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D57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A31" i="71" l="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I12" i="61"/>
  <c r="D12" i="61"/>
  <c r="G12" i="61"/>
  <c r="E12" i="61"/>
  <c r="H12" i="61"/>
  <c r="F12" i="61"/>
  <c r="C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A54" i="73" l="1"/>
  <c r="D6" i="73"/>
  <c r="T8" i="43"/>
  <c r="E16" i="61" l="1"/>
  <c r="B11" i="61"/>
  <c r="J523" i="60"/>
  <c r="J452" i="60"/>
  <c r="A451" i="60"/>
  <c r="J371" i="60"/>
  <c r="C371" i="60"/>
  <c r="J192" i="60"/>
  <c r="C192" i="60"/>
  <c r="A31" i="58"/>
  <c r="I13" i="58"/>
  <c r="C8" i="58"/>
  <c r="A27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25" i="57"/>
  <c r="F25" i="57"/>
  <c r="C26" i="57"/>
  <c r="G26" i="57"/>
  <c r="C25" i="57"/>
  <c r="G25" i="57"/>
  <c r="D26" i="57"/>
  <c r="I26" i="57"/>
  <c r="D25" i="57"/>
  <c r="I25" i="57"/>
  <c r="E26" i="57"/>
  <c r="E25" i="57"/>
  <c r="B26" i="57"/>
  <c r="F26" i="57"/>
  <c r="H26" i="57" s="1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30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K204" i="60" s="1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M8" i="39"/>
  <c r="K343" i="55"/>
  <c r="J25" i="57"/>
  <c r="J26" i="57"/>
  <c r="H25" i="57"/>
  <c r="K200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43" i="71"/>
  <c r="J14" i="71"/>
  <c r="I14" i="71"/>
  <c r="G43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G28" i="57"/>
  <c r="J24" i="57"/>
  <c r="I28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28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J31" i="71" s="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71" l="1"/>
  <c r="J32" i="71" s="1"/>
  <c r="I31" i="14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71" l="1"/>
  <c r="I33" i="71"/>
  <c r="J33" i="71"/>
  <c r="J34" i="71" s="1"/>
  <c r="J32" i="14"/>
  <c r="I32" i="14"/>
  <c r="I34" i="71" l="1"/>
  <c r="I35" i="71" s="1"/>
  <c r="I33" i="14"/>
  <c r="J33" i="14"/>
  <c r="J35" i="71" l="1"/>
  <c r="J36" i="71" s="1"/>
  <c r="J34" i="14"/>
  <c r="I34" i="14"/>
  <c r="I36" i="71" l="1"/>
  <c r="I37" i="71" s="1"/>
  <c r="I35" i="14"/>
  <c r="J35" i="14"/>
  <c r="J37" i="71" l="1"/>
  <c r="J38" i="71" s="1"/>
  <c r="J36" i="14"/>
  <c r="I36" i="14"/>
  <c r="I38" i="71" l="1"/>
  <c r="I39" i="71" s="1"/>
  <c r="I37" i="14"/>
  <c r="J37" i="14"/>
  <c r="J39" i="71" l="1"/>
  <c r="J40" i="71" s="1"/>
  <c r="J38" i="14"/>
  <c r="I38" i="14"/>
  <c r="I40" i="71" l="1"/>
  <c r="I41" i="71" s="1"/>
  <c r="I39" i="14"/>
  <c r="J39" i="14"/>
  <c r="J41" i="71" l="1"/>
  <c r="J42" i="71" s="1"/>
  <c r="J40" i="14"/>
  <c r="I40" i="14"/>
  <c r="I42" i="71" l="1"/>
  <c r="I41" i="14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28" i="57" l="1"/>
  <c r="H28" i="57" l="1"/>
  <c r="L28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 l="1"/>
  <c r="I45" i="15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<sst xmlns="http://schemas.openxmlformats.org/spreadsheetml/2006/main" count="23129" uniqueCount="1724">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</sst>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07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8" fillId="0" borderId="16" xfId="0" quotePrefix="1" applyNumberFormat="1" applyFont="1" applyFill="1" applyBorder="1" applyAlignment="1">
      <alignment horizontal="left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14" fontId="98" fillId="0" borderId="16" xfId="54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0" fillId="0" borderId="16" xfId="77" applyNumberFormat="1" applyFont="1" applyFill="1" applyBorder="1" applyAlignment="1">
      <alignment horizontal="center" vertical="center"/>
    </xf>
    <xf numFmtId="14" fontId="100" fillId="0" borderId="16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164" fontId="100" fillId="0" borderId="16" xfId="90" quotePrefix="1" applyNumberFormat="1" applyFont="1" applyFill="1" applyBorder="1" applyAlignment="1">
      <alignment horizontal="left" vertical="center"/>
    </xf>
    <xf numFmtId="49" fontId="100" fillId="0" borderId="16" xfId="90" applyNumberFormat="1" applyFont="1" applyFill="1" applyBorder="1" applyAlignment="1">
      <alignment horizontal="left" vertical="center"/>
    </xf>
    <xf numFmtId="164" fontId="100" fillId="0" borderId="16" xfId="29" applyNumberFormat="1" applyFont="1" applyFill="1" applyBorder="1" applyAlignment="1">
      <alignment horizontal="left" vertical="center"/>
    </xf>
    <xf numFmtId="164" fontId="100" fillId="0" borderId="16" xfId="77" applyNumberFormat="1" applyFont="1" applyFill="1" applyBorder="1" applyAlignment="1">
      <alignment vertical="center"/>
    </xf>
    <xf numFmtId="0" fontId="100" fillId="0" borderId="16" xfId="90" quotePrefix="1" applyNumberFormat="1" applyFont="1" applyFill="1" applyBorder="1" applyAlignment="1">
      <alignment horizontal="center" vertical="center"/>
    </xf>
    <xf numFmtId="1" fontId="100" fillId="0" borderId="16" xfId="54" quotePrefix="1" applyNumberFormat="1" applyFont="1" applyFill="1" applyBorder="1" applyAlignment="1">
      <alignment horizontal="center" vertical="center"/>
    </xf>
    <xf numFmtId="0" fontId="101" fillId="0" borderId="0" xfId="0" applyFont="1" applyFill="1"/>
    <xf numFmtId="3" fontId="100" fillId="0" borderId="16" xfId="46" applyFont="1" applyFill="1" applyBorder="1" applyAlignment="1">
      <alignment vertical="center"/>
    </xf>
    <xf numFmtId="164" fontId="100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0" fillId="0" borderId="16" xfId="54" quotePrefix="1" applyNumberFormat="1" applyFont="1" applyFill="1" applyBorder="1" applyAlignment="1">
      <alignment horizontal="left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0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0" fillId="0" borderId="16" xfId="0" applyFont="1" applyFill="1" applyBorder="1" applyAlignment="1">
      <alignment horizontal="center"/>
    </xf>
    <xf numFmtId="14" fontId="100" fillId="0" borderId="16" xfId="76" applyNumberFormat="1" applyFont="1" applyFill="1" applyBorder="1" applyAlignment="1">
      <alignment horizontal="center" vertical="center"/>
    </xf>
    <xf numFmtId="0" fontId="100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0" fillId="0" borderId="16" xfId="46" applyFont="1" applyBorder="1" applyAlignment="1">
      <alignment vertical="center"/>
    </xf>
    <xf numFmtId="0" fontId="100" fillId="0" borderId="16" xfId="0" applyFont="1" applyBorder="1" applyAlignment="1">
      <alignment vertical="center"/>
    </xf>
    <xf numFmtId="164" fontId="100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0" fillId="0" borderId="21" xfId="29" applyNumberFormat="1" applyFont="1" applyBorder="1" applyAlignment="1">
      <alignment horizontal="center" vertical="center"/>
    </xf>
    <xf numFmtId="164" fontId="100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25" activePane="bottomLeft" state="frozen"/>
      <selection activeCell="A6" sqref="A6"/>
      <selection pane="bottomLeft" activeCell="F58" sqref="F58"/>
    </sheetView>
  </sheetViews>
  <sheetFormatPr defaultColWidth="8" defaultRowHeight="12.75"/>
  <cols>
    <col min="1" max="1" width="7.42578125" style="641" customWidth="1"/>
    <col min="2" max="2" width="43" style="641" customWidth="1"/>
    <col min="3" max="3" width="14.5703125" style="162" customWidth="1"/>
    <col min="4" max="4" width="14.28515625" style="162" customWidth="1"/>
    <col min="5" max="5" width="15.140625" style="641" customWidth="1"/>
    <col min="6" max="6" width="17.28515625" style="641" customWidth="1"/>
    <col min="7" max="7" width="13.85546875" style="641" customWidth="1"/>
    <col min="8" max="8" width="14.7109375" style="641" customWidth="1"/>
    <col min="9" max="9" width="2.42578125" style="641" customWidth="1"/>
    <col min="10" max="10" width="8" style="641"/>
    <col min="11" max="11" width="10.7109375" style="641" customWidth="1"/>
    <col min="12" max="16384" width="8" style="641"/>
  </cols>
  <sheetData>
    <row r="1" spans="1:8">
      <c r="A1" s="640"/>
      <c r="B1" s="640"/>
    </row>
    <row r="2" spans="1:8">
      <c r="A2" s="640" t="str">
        <f>TH!A1</f>
        <v>Đơn vị: CÔNG TY TNHH SX TM KIM DUNG PHÁT</v>
      </c>
      <c r="B2" s="640"/>
    </row>
    <row r="3" spans="1:8">
      <c r="A3" s="641" t="str">
        <f>TH!A2</f>
        <v>Địa chỉ: 1A227/1 Ấp 1, Phạm Văn Hai, Bình Chánh, TPHCM</v>
      </c>
      <c r="B3" s="640"/>
    </row>
    <row r="5" spans="1:8" ht="36" customHeight="1">
      <c r="A5" s="642"/>
      <c r="B5" s="642"/>
      <c r="C5" s="643"/>
      <c r="D5" s="644" t="s">
        <v>395</v>
      </c>
      <c r="E5" s="642"/>
      <c r="F5" s="642"/>
      <c r="G5" s="642"/>
      <c r="H5" s="642"/>
    </row>
    <row r="6" spans="1:8" ht="15.75">
      <c r="A6" s="642"/>
      <c r="B6" s="642"/>
      <c r="C6" s="643"/>
      <c r="D6" s="664" t="s">
        <v>1555</v>
      </c>
      <c r="E6" s="642"/>
      <c r="F6" s="642"/>
      <c r="G6" s="642"/>
      <c r="H6" s="642"/>
    </row>
    <row r="7" spans="1:8" ht="6.75" customHeight="1"/>
    <row r="8" spans="1:8" ht="24.75" customHeight="1">
      <c r="A8" s="889" t="s">
        <v>393</v>
      </c>
      <c r="B8" s="889" t="s">
        <v>392</v>
      </c>
      <c r="C8" s="885" t="s">
        <v>37</v>
      </c>
      <c r="D8" s="886"/>
      <c r="E8" s="885" t="s">
        <v>38</v>
      </c>
      <c r="F8" s="886"/>
      <c r="G8" s="885" t="s">
        <v>394</v>
      </c>
      <c r="H8" s="886"/>
    </row>
    <row r="9" spans="1:8" ht="24.75" customHeight="1">
      <c r="A9" s="890"/>
      <c r="B9" s="890"/>
      <c r="C9" s="639" t="s">
        <v>42</v>
      </c>
      <c r="D9" s="639" t="s">
        <v>43</v>
      </c>
      <c r="E9" s="639" t="s">
        <v>42</v>
      </c>
      <c r="F9" s="639" t="s">
        <v>43</v>
      </c>
      <c r="G9" s="639" t="s">
        <v>42</v>
      </c>
      <c r="H9" s="639" t="s">
        <v>43</v>
      </c>
    </row>
    <row r="10" spans="1:8" s="162" customFormat="1" ht="17.25" customHeight="1">
      <c r="A10" s="645" t="s">
        <v>48</v>
      </c>
      <c r="B10" s="646" t="s">
        <v>49</v>
      </c>
      <c r="C10" s="647">
        <v>1611419622</v>
      </c>
      <c r="D10" s="647">
        <v>0</v>
      </c>
      <c r="E10" s="647">
        <f t="array" ref="E10">SUM(IF(A10=KHN,TH))</f>
        <v>1325186641</v>
      </c>
      <c r="F10" s="647">
        <f t="array" ref="F10">SUM(IF(A10=KHC,TH))</f>
        <v>1937581906</v>
      </c>
      <c r="G10" s="648">
        <f>MAX(C10+E10-D10-F10,0)</f>
        <v>999024357</v>
      </c>
      <c r="H10" s="648">
        <f>MAX(D10+F10-E10-C10,0)</f>
        <v>0</v>
      </c>
    </row>
    <row r="11" spans="1:8" s="162" customFormat="1" ht="17.25" customHeight="1">
      <c r="A11" s="649" t="s">
        <v>16</v>
      </c>
      <c r="B11" s="649" t="s">
        <v>50</v>
      </c>
      <c r="C11" s="650">
        <f>C10</f>
        <v>1611419622</v>
      </c>
      <c r="D11" s="650">
        <v>0</v>
      </c>
      <c r="E11" s="650">
        <f t="shared" ref="E11:H11" si="0">E10</f>
        <v>1325186641</v>
      </c>
      <c r="F11" s="650">
        <f t="shared" si="0"/>
        <v>1937581906</v>
      </c>
      <c r="G11" s="650">
        <f t="shared" si="0"/>
        <v>999024357</v>
      </c>
      <c r="H11" s="650">
        <f t="shared" si="0"/>
        <v>0</v>
      </c>
    </row>
    <row r="12" spans="1:8" s="162" customFormat="1" ht="17.25" customHeight="1">
      <c r="A12" s="646" t="s">
        <v>24</v>
      </c>
      <c r="B12" s="646" t="s">
        <v>51</v>
      </c>
      <c r="C12" s="647">
        <v>20452439</v>
      </c>
      <c r="D12" s="647">
        <v>0</v>
      </c>
      <c r="E12" s="647">
        <f t="array" ref="E12">SUM(IF(A12=KHN,TH))</f>
        <v>2399086856</v>
      </c>
      <c r="F12" s="647">
        <f t="array" ref="F12">SUM(IF(A12=KHC,TH))</f>
        <v>2419204362</v>
      </c>
      <c r="G12" s="648">
        <f>MAX(C12+E12-D12-F12,0)</f>
        <v>334933</v>
      </c>
      <c r="H12" s="648">
        <f>MAX(D12+F12-E12-C12,0)</f>
        <v>0</v>
      </c>
    </row>
    <row r="13" spans="1:8" s="162" customFormat="1" ht="17.25" customHeight="1">
      <c r="A13" s="649" t="s">
        <v>52</v>
      </c>
      <c r="B13" s="649" t="s">
        <v>53</v>
      </c>
      <c r="C13" s="650">
        <v>20452439</v>
      </c>
      <c r="D13" s="650">
        <v>0</v>
      </c>
      <c r="E13" s="650">
        <f t="shared" ref="E13:H13" si="1">E12</f>
        <v>2399086856</v>
      </c>
      <c r="F13" s="650">
        <f t="shared" si="1"/>
        <v>2419204362</v>
      </c>
      <c r="G13" s="650">
        <f t="shared" si="1"/>
        <v>334933</v>
      </c>
      <c r="H13" s="650">
        <f t="shared" si="1"/>
        <v>0</v>
      </c>
    </row>
    <row r="14" spans="1:8" s="162" customFormat="1" ht="17.25" customHeight="1">
      <c r="A14" s="649" t="s">
        <v>284</v>
      </c>
      <c r="B14" s="649" t="s">
        <v>294</v>
      </c>
      <c r="C14" s="650">
        <v>191482969</v>
      </c>
      <c r="D14" s="650">
        <v>0</v>
      </c>
      <c r="E14" s="651">
        <f t="array" ref="E14">SUM(IF(A14=KHN,TH))</f>
        <v>2258454557</v>
      </c>
      <c r="F14" s="651">
        <f t="array" ref="F14">SUM(IF(A14=KHC,TH))</f>
        <v>2421612069</v>
      </c>
      <c r="G14" s="650">
        <f>MAX(C14+E14-D14-F14,0)</f>
        <v>28325457</v>
      </c>
      <c r="H14" s="650">
        <f>MAX(D14+F14-E14-C14,0)</f>
        <v>0</v>
      </c>
    </row>
    <row r="15" spans="1:8" s="162" customFormat="1" ht="17.25" customHeight="1">
      <c r="A15" s="646" t="s">
        <v>9</v>
      </c>
      <c r="B15" s="646" t="s">
        <v>54</v>
      </c>
      <c r="C15" s="647">
        <v>7114977</v>
      </c>
      <c r="D15" s="647">
        <v>0</v>
      </c>
      <c r="E15" s="647">
        <f t="array" ref="E15">SUM(IF(A15=KHN,TH))</f>
        <v>265641197</v>
      </c>
      <c r="F15" s="647">
        <f t="array" ref="F15">SUM(IF(A15=KHC,TH))</f>
        <v>204654553</v>
      </c>
      <c r="G15" s="648">
        <f>MAX(C15+E15-D15-F15,0)</f>
        <v>68101621</v>
      </c>
      <c r="H15" s="648">
        <f>MAX(D15+F15-E15-C15,0)</f>
        <v>0</v>
      </c>
    </row>
    <row r="16" spans="1:8" s="162" customFormat="1" ht="17.25" customHeight="1">
      <c r="A16" s="649" t="s">
        <v>55</v>
      </c>
      <c r="B16" s="649" t="s">
        <v>56</v>
      </c>
      <c r="C16" s="650">
        <v>7114977</v>
      </c>
      <c r="D16" s="650">
        <v>0</v>
      </c>
      <c r="E16" s="650">
        <f t="shared" ref="E16:H16" si="2">E15</f>
        <v>265641197</v>
      </c>
      <c r="F16" s="650">
        <f t="shared" si="2"/>
        <v>204654553</v>
      </c>
      <c r="G16" s="650">
        <f t="shared" si="2"/>
        <v>68101621</v>
      </c>
      <c r="H16" s="650">
        <f t="shared" si="2"/>
        <v>0</v>
      </c>
    </row>
    <row r="17" spans="1:8" s="162" customFormat="1" ht="17.25" customHeight="1">
      <c r="A17" s="646" t="s">
        <v>57</v>
      </c>
      <c r="B17" s="646" t="s">
        <v>58</v>
      </c>
      <c r="C17" s="647">
        <v>0</v>
      </c>
      <c r="D17" s="647">
        <v>0</v>
      </c>
      <c r="E17" s="647">
        <f t="array" ref="E17">SUM(IF(A17=KHN,TH))</f>
        <v>100000000</v>
      </c>
      <c r="F17" s="647">
        <f t="array" ref="F17">SUM(IF(A17=KHC,TH))</f>
        <v>100000000</v>
      </c>
      <c r="G17" s="648">
        <f t="shared" ref="G17:G32" si="3">MAX(C17+E17-D17-F17,0)</f>
        <v>0</v>
      </c>
      <c r="H17" s="648">
        <f t="shared" ref="H17:H32" si="4">MAX(D17+F17-E17-C17,0)</f>
        <v>0</v>
      </c>
    </row>
    <row r="18" spans="1:8" s="162" customFormat="1" ht="17.25" customHeight="1">
      <c r="A18" s="649" t="s">
        <v>59</v>
      </c>
      <c r="B18" s="649" t="s">
        <v>60</v>
      </c>
      <c r="C18" s="650">
        <v>0</v>
      </c>
      <c r="D18" s="650">
        <v>0</v>
      </c>
      <c r="E18" s="650">
        <f>E17</f>
        <v>100000000</v>
      </c>
      <c r="F18" s="650">
        <f>F17</f>
        <v>100000000</v>
      </c>
      <c r="G18" s="650">
        <f t="shared" si="3"/>
        <v>0</v>
      </c>
      <c r="H18" s="650">
        <f t="shared" si="4"/>
        <v>0</v>
      </c>
    </row>
    <row r="19" spans="1:8" s="162" customFormat="1" ht="17.25" customHeight="1">
      <c r="A19" s="655" t="s">
        <v>501</v>
      </c>
      <c r="B19" s="649" t="s">
        <v>502</v>
      </c>
      <c r="C19" s="650">
        <v>4566819</v>
      </c>
      <c r="D19" s="650">
        <v>0</v>
      </c>
      <c r="E19" s="651">
        <f t="array" ref="E19">SUM(IF(A19=KHN,TH))</f>
        <v>0</v>
      </c>
      <c r="F19" s="651">
        <f t="array" ref="F19">SUM(IF(A19=KHC,TH))</f>
        <v>4566819</v>
      </c>
      <c r="G19" s="650">
        <f t="shared" si="3"/>
        <v>0</v>
      </c>
      <c r="H19" s="650">
        <f t="shared" si="4"/>
        <v>0</v>
      </c>
    </row>
    <row r="20" spans="1:8" s="162" customFormat="1" ht="17.25" customHeight="1">
      <c r="A20" s="646" t="s">
        <v>169</v>
      </c>
      <c r="B20" s="646" t="s">
        <v>170</v>
      </c>
      <c r="C20" s="647">
        <v>1393238</v>
      </c>
      <c r="D20" s="647">
        <v>0</v>
      </c>
      <c r="E20" s="647">
        <f t="array" ref="E20">SUM(IF(A20=KHN,TH))</f>
        <v>2365932044</v>
      </c>
      <c r="F20" s="647">
        <f t="array" ref="F20">SUM(IF(A20=KHC,TH))</f>
        <v>1439288694</v>
      </c>
      <c r="G20" s="648">
        <f t="shared" si="3"/>
        <v>928036588</v>
      </c>
      <c r="H20" s="648">
        <f t="shared" si="4"/>
        <v>0</v>
      </c>
    </row>
    <row r="21" spans="1:8" s="162" customFormat="1" ht="17.25" customHeight="1">
      <c r="A21" s="646" t="s">
        <v>171</v>
      </c>
      <c r="B21" s="646" t="s">
        <v>172</v>
      </c>
      <c r="C21" s="647">
        <v>1250000</v>
      </c>
      <c r="D21" s="647">
        <v>0</v>
      </c>
      <c r="E21" s="647">
        <f t="array" ref="E21">SUM(IF(A21=KHN,TH))</f>
        <v>44094250</v>
      </c>
      <c r="F21" s="647">
        <f t="array" ref="F21">SUM(IF(A21=KHC,TH))</f>
        <v>43086250</v>
      </c>
      <c r="G21" s="647">
        <f t="shared" si="3"/>
        <v>2258000</v>
      </c>
      <c r="H21" s="647">
        <f t="shared" si="4"/>
        <v>0</v>
      </c>
    </row>
    <row r="22" spans="1:8" s="162" customFormat="1" ht="17.25" customHeight="1">
      <c r="A22" s="649" t="s">
        <v>173</v>
      </c>
      <c r="B22" s="649" t="s">
        <v>174</v>
      </c>
      <c r="C22" s="650">
        <f>C20+C21</f>
        <v>2643238</v>
      </c>
      <c r="D22" s="650">
        <v>0</v>
      </c>
      <c r="E22" s="650">
        <f>E20+E21</f>
        <v>2410026294</v>
      </c>
      <c r="F22" s="650">
        <f>F20+F21</f>
        <v>1482374944</v>
      </c>
      <c r="G22" s="650">
        <f t="shared" si="3"/>
        <v>930294588</v>
      </c>
      <c r="H22" s="650">
        <f t="shared" si="4"/>
        <v>0</v>
      </c>
    </row>
    <row r="23" spans="1:8" s="162" customFormat="1" ht="17.25" customHeight="1">
      <c r="A23" s="649" t="s">
        <v>175</v>
      </c>
      <c r="B23" s="649" t="s">
        <v>176</v>
      </c>
      <c r="C23" s="650">
        <v>0</v>
      </c>
      <c r="D23" s="650">
        <v>0</v>
      </c>
      <c r="E23" s="651">
        <f t="array" ref="E23">SUM(IF(A23=KHN,TH))</f>
        <v>1787869813</v>
      </c>
      <c r="F23" s="651">
        <f t="array" ref="F23">SUM(IF(A23=KHC,TH))</f>
        <v>1787869813</v>
      </c>
      <c r="G23" s="650">
        <f t="shared" si="3"/>
        <v>0</v>
      </c>
      <c r="H23" s="650">
        <f t="shared" si="4"/>
        <v>0</v>
      </c>
    </row>
    <row r="24" spans="1:8" s="162" customFormat="1" ht="17.25" customHeight="1">
      <c r="A24" s="649" t="s">
        <v>177</v>
      </c>
      <c r="B24" s="649" t="s">
        <v>178</v>
      </c>
      <c r="C24" s="650">
        <v>0</v>
      </c>
      <c r="D24" s="650">
        <v>0</v>
      </c>
      <c r="E24" s="651">
        <f t="array" ref="E24">SUM(IF(A24=KHN,TH))</f>
        <v>1893125133</v>
      </c>
      <c r="F24" s="651">
        <f t="array" ref="F24">SUM(IF(A24=KHC,TH))</f>
        <v>1893125133</v>
      </c>
      <c r="G24" s="650">
        <f t="shared" si="3"/>
        <v>0</v>
      </c>
      <c r="H24" s="650">
        <f t="shared" si="4"/>
        <v>0</v>
      </c>
    </row>
    <row r="25" spans="1:8" s="162" customFormat="1" ht="17.25" customHeight="1">
      <c r="A25" s="652" t="s">
        <v>179</v>
      </c>
      <c r="B25" s="653" t="s">
        <v>180</v>
      </c>
      <c r="C25" s="654">
        <v>365000000</v>
      </c>
      <c r="D25" s="654">
        <v>0</v>
      </c>
      <c r="E25" s="647">
        <f t="array" ref="E25">SUM(IF(A25=KHN,TH))</f>
        <v>0</v>
      </c>
      <c r="F25" s="647">
        <f t="array" ref="F25">SUM(IF(A25=KHC,TH))</f>
        <v>0</v>
      </c>
      <c r="G25" s="654">
        <f t="shared" si="3"/>
        <v>365000000</v>
      </c>
      <c r="H25" s="654">
        <f t="shared" si="4"/>
        <v>0</v>
      </c>
    </row>
    <row r="26" spans="1:8" s="162" customFormat="1" ht="17.25" customHeight="1">
      <c r="A26" s="649" t="s">
        <v>181</v>
      </c>
      <c r="B26" s="649" t="s">
        <v>182</v>
      </c>
      <c r="C26" s="650">
        <v>365000000</v>
      </c>
      <c r="D26" s="650">
        <v>0</v>
      </c>
      <c r="E26" s="650">
        <f>SUM(E25:E25)</f>
        <v>0</v>
      </c>
      <c r="F26" s="650">
        <f>SUM(F25:F25)</f>
        <v>0</v>
      </c>
      <c r="G26" s="650">
        <f>SUM(G25:G25)</f>
        <v>365000000</v>
      </c>
      <c r="H26" s="650">
        <f>SUM(H25:H25)</f>
        <v>0</v>
      </c>
    </row>
    <row r="27" spans="1:8" s="162" customFormat="1" ht="17.25" customHeight="1">
      <c r="A27" s="646" t="s">
        <v>285</v>
      </c>
      <c r="B27" s="646" t="s">
        <v>291</v>
      </c>
      <c r="C27" s="647">
        <v>0</v>
      </c>
      <c r="D27" s="647">
        <v>37250000</v>
      </c>
      <c r="E27" s="647">
        <f t="array" ref="E27">SUM(IF(A27=KHN,TH))</f>
        <v>0</v>
      </c>
      <c r="F27" s="647">
        <f t="array" ref="F27">SUM(IF(A27=KHC,TH))</f>
        <v>73000000</v>
      </c>
      <c r="G27" s="647">
        <f>MAX(C27+E27-D27-F27,0)</f>
        <v>0</v>
      </c>
      <c r="H27" s="647">
        <f>MAX(D27+F27-E27-C27,0)</f>
        <v>110250000</v>
      </c>
    </row>
    <row r="28" spans="1:8" s="162" customFormat="1" ht="17.25" customHeight="1">
      <c r="A28" s="649" t="s">
        <v>292</v>
      </c>
      <c r="B28" s="649" t="s">
        <v>293</v>
      </c>
      <c r="C28" s="650">
        <f>C27</f>
        <v>0</v>
      </c>
      <c r="D28" s="650">
        <f t="shared" ref="D28:H28" si="5">D27</f>
        <v>37250000</v>
      </c>
      <c r="E28" s="650">
        <f t="shared" si="5"/>
        <v>0</v>
      </c>
      <c r="F28" s="650">
        <f t="shared" si="5"/>
        <v>73000000</v>
      </c>
      <c r="G28" s="650">
        <f t="shared" si="5"/>
        <v>0</v>
      </c>
      <c r="H28" s="650">
        <f t="shared" si="5"/>
        <v>110250000</v>
      </c>
    </row>
    <row r="29" spans="1:8" s="162" customFormat="1" ht="17.25" customHeight="1">
      <c r="A29" s="649" t="s">
        <v>8</v>
      </c>
      <c r="B29" s="649" t="s">
        <v>61</v>
      </c>
      <c r="C29" s="650">
        <v>0</v>
      </c>
      <c r="D29" s="650">
        <v>140518821</v>
      </c>
      <c r="E29" s="651">
        <f t="array" ref="E29">SUM(IF(A29=KHN,TH))</f>
        <v>2639690710</v>
      </c>
      <c r="F29" s="651">
        <f t="array" ref="F29">SUM(IF(A29=KHC,TH))</f>
        <v>2766809779</v>
      </c>
      <c r="G29" s="650">
        <f t="shared" si="3"/>
        <v>0</v>
      </c>
      <c r="H29" s="650">
        <f t="shared" si="4"/>
        <v>267637890</v>
      </c>
    </row>
    <row r="30" spans="1:8" s="162" customFormat="1" ht="17.25" customHeight="1">
      <c r="A30" s="656" t="s">
        <v>495</v>
      </c>
      <c r="B30" s="646" t="s">
        <v>494</v>
      </c>
      <c r="C30" s="647">
        <v>0</v>
      </c>
      <c r="D30" s="647">
        <v>0</v>
      </c>
      <c r="E30" s="647">
        <f t="array" ref="E30">SUM(IF(A30=KHN,TH))</f>
        <v>204654553</v>
      </c>
      <c r="F30" s="647">
        <f t="array" ref="F30">SUM(IF(A30=KHC,TH))</f>
        <v>204654553</v>
      </c>
      <c r="G30" s="647">
        <f t="shared" ref="G30" si="6">MAX(C30+E30-D30-F30,0)</f>
        <v>0</v>
      </c>
      <c r="H30" s="647">
        <f t="shared" ref="H30" si="7">MAX(D30+F30-E30-C30,0)</f>
        <v>0</v>
      </c>
    </row>
    <row r="31" spans="1:8" s="162" customFormat="1" ht="17.25" customHeight="1">
      <c r="A31" s="646" t="s">
        <v>62</v>
      </c>
      <c r="B31" s="646" t="s">
        <v>63</v>
      </c>
      <c r="C31" s="647">
        <v>0</v>
      </c>
      <c r="D31" s="647">
        <v>22244468</v>
      </c>
      <c r="E31" s="647">
        <f t="array" ref="E31">SUM(IF(A31=KHN,TH))</f>
        <v>0</v>
      </c>
      <c r="F31" s="647">
        <f t="array" ref="F31">SUM(IF(A31=KHC,TH))</f>
        <v>0</v>
      </c>
      <c r="G31" s="647">
        <f t="shared" si="3"/>
        <v>0</v>
      </c>
      <c r="H31" s="647">
        <f t="shared" si="4"/>
        <v>22244468</v>
      </c>
    </row>
    <row r="32" spans="1:8" s="162" customFormat="1" ht="17.25" customHeight="1">
      <c r="A32" s="656" t="s">
        <v>64</v>
      </c>
      <c r="B32" s="657" t="s">
        <v>65</v>
      </c>
      <c r="C32" s="658">
        <v>0</v>
      </c>
      <c r="D32" s="658">
        <v>0</v>
      </c>
      <c r="E32" s="658">
        <f t="array" ref="E32">SUM(IF(A32=KHN,TH))</f>
        <v>2000000</v>
      </c>
      <c r="F32" s="658">
        <f t="array" ref="F32">SUM(IF(A32=KHC,TH))</f>
        <v>2000000</v>
      </c>
      <c r="G32" s="658">
        <f t="shared" si="3"/>
        <v>0</v>
      </c>
      <c r="H32" s="658">
        <f t="shared" si="4"/>
        <v>0</v>
      </c>
    </row>
    <row r="33" spans="1:11" s="162" customFormat="1" ht="17.25" customHeight="1">
      <c r="A33" s="646" t="s">
        <v>18</v>
      </c>
      <c r="B33" s="646" t="s">
        <v>66</v>
      </c>
      <c r="C33" s="647">
        <v>0</v>
      </c>
      <c r="D33" s="647">
        <v>0</v>
      </c>
      <c r="E33" s="647">
        <f t="shared" ref="E33:H33" si="8">E32</f>
        <v>2000000</v>
      </c>
      <c r="F33" s="647">
        <f t="shared" si="8"/>
        <v>2000000</v>
      </c>
      <c r="G33" s="647">
        <f t="shared" si="8"/>
        <v>0</v>
      </c>
      <c r="H33" s="647">
        <f t="shared" si="8"/>
        <v>0</v>
      </c>
    </row>
    <row r="34" spans="1:11" s="162" customFormat="1" ht="17.25" customHeight="1">
      <c r="A34" s="649" t="s">
        <v>67</v>
      </c>
      <c r="B34" s="649" t="s">
        <v>68</v>
      </c>
      <c r="C34" s="650">
        <f>C30+C31+C33</f>
        <v>0</v>
      </c>
      <c r="D34" s="650">
        <f t="shared" ref="D34:H34" si="9">D30+D31+D33</f>
        <v>22244468</v>
      </c>
      <c r="E34" s="650">
        <f t="shared" si="9"/>
        <v>206654553</v>
      </c>
      <c r="F34" s="650">
        <f t="shared" si="9"/>
        <v>206654553</v>
      </c>
      <c r="G34" s="650">
        <f t="shared" si="9"/>
        <v>0</v>
      </c>
      <c r="H34" s="650">
        <f t="shared" si="9"/>
        <v>22244468</v>
      </c>
    </row>
    <row r="35" spans="1:11" s="162" customFormat="1" ht="17.25" customHeight="1">
      <c r="A35" s="646" t="s">
        <v>287</v>
      </c>
      <c r="B35" s="646" t="s">
        <v>288</v>
      </c>
      <c r="C35" s="647">
        <v>0</v>
      </c>
      <c r="D35" s="647">
        <v>0</v>
      </c>
      <c r="E35" s="647">
        <f t="array" ref="E35">SUM(IF(A35=KHN,TH))</f>
        <v>273300000</v>
      </c>
      <c r="F35" s="647">
        <f t="array" ref="F35">SUM(IF(A35=KHC,TH))</f>
        <v>273300000</v>
      </c>
      <c r="G35" s="647">
        <f t="shared" ref="G35:G37" si="10">MAX(C35+E35-D35-F35,0)</f>
        <v>0</v>
      </c>
      <c r="H35" s="647">
        <f t="shared" ref="H35:H37" si="11">MAX(D35+F35-E35-C35,0)</f>
        <v>0</v>
      </c>
    </row>
    <row r="36" spans="1:11" s="162" customFormat="1" ht="17.25" customHeight="1">
      <c r="A36" s="649" t="s">
        <v>289</v>
      </c>
      <c r="B36" s="649" t="s">
        <v>290</v>
      </c>
      <c r="C36" s="650">
        <v>0</v>
      </c>
      <c r="D36" s="650">
        <v>0</v>
      </c>
      <c r="E36" s="650">
        <f>E35</f>
        <v>273300000</v>
      </c>
      <c r="F36" s="650">
        <f>F35</f>
        <v>273300000</v>
      </c>
      <c r="G36" s="650">
        <f t="shared" si="10"/>
        <v>0</v>
      </c>
      <c r="H36" s="650">
        <f t="shared" si="11"/>
        <v>0</v>
      </c>
    </row>
    <row r="37" spans="1:11" s="162" customFormat="1" ht="17.25" customHeight="1">
      <c r="A37" s="646" t="s">
        <v>17</v>
      </c>
      <c r="B37" s="646" t="s">
        <v>69</v>
      </c>
      <c r="C37" s="647">
        <v>0</v>
      </c>
      <c r="D37" s="647">
        <v>0</v>
      </c>
      <c r="E37" s="647">
        <f t="array" ref="E37">SUM(IF(A37=KHN,TH))</f>
        <v>0</v>
      </c>
      <c r="F37" s="647">
        <f t="array" ref="F37">SUM(IF(A37=KHC,TH))</f>
        <v>2709616</v>
      </c>
      <c r="G37" s="647">
        <f t="shared" si="10"/>
        <v>0</v>
      </c>
      <c r="H37" s="647">
        <f t="shared" si="11"/>
        <v>2709616</v>
      </c>
    </row>
    <row r="38" spans="1:11" s="162" customFormat="1" ht="17.25" customHeight="1">
      <c r="A38" s="649" t="s">
        <v>70</v>
      </c>
      <c r="B38" s="649" t="s">
        <v>71</v>
      </c>
      <c r="C38" s="650">
        <v>0</v>
      </c>
      <c r="D38" s="650">
        <v>0</v>
      </c>
      <c r="E38" s="650">
        <f t="shared" ref="E38:H38" si="12">SUM(E37:E37)</f>
        <v>0</v>
      </c>
      <c r="F38" s="650">
        <f t="shared" si="12"/>
        <v>2709616</v>
      </c>
      <c r="G38" s="650">
        <f t="shared" si="12"/>
        <v>0</v>
      </c>
      <c r="H38" s="650">
        <f t="shared" si="12"/>
        <v>2709616</v>
      </c>
    </row>
    <row r="39" spans="1:11" s="162" customFormat="1" ht="17.25" customHeight="1">
      <c r="A39" s="646" t="s">
        <v>25</v>
      </c>
      <c r="B39" s="646" t="s">
        <v>72</v>
      </c>
      <c r="C39" s="647">
        <v>0</v>
      </c>
      <c r="D39" s="647">
        <v>1900000000</v>
      </c>
      <c r="E39" s="647">
        <f t="array" ref="E39">SUM(IF(A39=KHN,TH))</f>
        <v>0</v>
      </c>
      <c r="F39" s="647">
        <f t="array" ref="F39">SUM(IF(A39=KHC,TH))</f>
        <v>0</v>
      </c>
      <c r="G39" s="648">
        <f>MAX(C39+E39-D39-F39,0)</f>
        <v>0</v>
      </c>
      <c r="H39" s="648">
        <f>MAX(D39+F39-E39-C39,0)</f>
        <v>1900000000</v>
      </c>
    </row>
    <row r="40" spans="1:11" s="162" customFormat="1" ht="17.25" customHeight="1">
      <c r="A40" s="649" t="s">
        <v>73</v>
      </c>
      <c r="B40" s="649" t="s">
        <v>74</v>
      </c>
      <c r="C40" s="650">
        <v>0</v>
      </c>
      <c r="D40" s="650">
        <v>1900000000</v>
      </c>
      <c r="E40" s="650">
        <f>E39</f>
        <v>0</v>
      </c>
      <c r="F40" s="650">
        <f>F39</f>
        <v>0</v>
      </c>
      <c r="G40" s="650">
        <f>MAX(C40+E40-D40-F40,0)</f>
        <v>0</v>
      </c>
      <c r="H40" s="650">
        <f>MAX(D40+F40-E40-C40,0)</f>
        <v>1900000000</v>
      </c>
    </row>
    <row r="41" spans="1:11" s="162" customFormat="1" ht="17.25" customHeight="1">
      <c r="A41" s="645" t="s">
        <v>75</v>
      </c>
      <c r="B41" s="646" t="s">
        <v>76</v>
      </c>
      <c r="C41" s="647">
        <v>0</v>
      </c>
      <c r="D41" s="647">
        <v>102666775</v>
      </c>
      <c r="E41" s="647">
        <f t="array" ref="E41">SUM(IF(A41=KHN,TH))</f>
        <v>0</v>
      </c>
      <c r="F41" s="647">
        <f t="array" ref="F41">SUM(IF(A41=KHC,TH))</f>
        <v>0</v>
      </c>
      <c r="G41" s="648">
        <f>MAX(C41+E41-D41-F41,0)</f>
        <v>0</v>
      </c>
      <c r="H41" s="648">
        <f>MAX(D41+F41-E41-C41,0)</f>
        <v>102666775</v>
      </c>
    </row>
    <row r="42" spans="1:11" s="162" customFormat="1" ht="17.25" customHeight="1">
      <c r="A42" s="646" t="s">
        <v>77</v>
      </c>
      <c r="B42" s="646" t="s">
        <v>78</v>
      </c>
      <c r="C42" s="647"/>
      <c r="D42" s="647"/>
      <c r="E42" s="647">
        <f t="array" ref="E42">SUM(IF(A42=TH!$L$10:$L$3304,TH!$K$10:$K$3304))</f>
        <v>14427793</v>
      </c>
      <c r="F42" s="647">
        <f t="array" ref="F42">SUM(IF(A42=TH!$M$10:$M$3304,TH!$K$10:$K$3304))</f>
        <v>0</v>
      </c>
      <c r="G42" s="647">
        <f>MAX(C42+E42-D42-F42,0)</f>
        <v>14427793</v>
      </c>
      <c r="H42" s="647">
        <f>MAX(D42+F42-E42-C42,0)</f>
        <v>0</v>
      </c>
      <c r="K42" s="162">
        <v>-80003100</v>
      </c>
    </row>
    <row r="43" spans="1:11" s="162" customFormat="1" ht="17.25" customHeight="1">
      <c r="A43" s="649" t="s">
        <v>79</v>
      </c>
      <c r="B43" s="649" t="s">
        <v>80</v>
      </c>
      <c r="C43" s="650">
        <f>C41+C42</f>
        <v>0</v>
      </c>
      <c r="D43" s="650">
        <f>D41+D42</f>
        <v>102666775</v>
      </c>
      <c r="E43" s="650">
        <f t="shared" ref="E43:H43" si="13">E41+E42</f>
        <v>14427793</v>
      </c>
      <c r="F43" s="650">
        <f t="shared" si="13"/>
        <v>0</v>
      </c>
      <c r="G43" s="650">
        <f t="shared" si="13"/>
        <v>14427793</v>
      </c>
      <c r="H43" s="650">
        <f t="shared" si="13"/>
        <v>102666775</v>
      </c>
    </row>
    <row r="44" spans="1:11" s="162" customFormat="1" ht="17.25" customHeight="1">
      <c r="A44" s="645" t="s">
        <v>185</v>
      </c>
      <c r="B44" s="646" t="s">
        <v>186</v>
      </c>
      <c r="C44" s="647"/>
      <c r="D44" s="647"/>
      <c r="E44" s="647">
        <f t="array" ref="E44">SUM(IF(A44=KHN,TH))</f>
        <v>2046545483</v>
      </c>
      <c r="F44" s="647">
        <f t="array" ref="F44">SUM(IF(A44=KHC,TH))</f>
        <v>2046545483</v>
      </c>
      <c r="G44" s="648"/>
      <c r="H44" s="648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49" t="s">
        <v>187</v>
      </c>
      <c r="B45" s="649" t="s">
        <v>188</v>
      </c>
      <c r="C45" s="650"/>
      <c r="D45" s="650"/>
      <c r="E45" s="650">
        <f>E44</f>
        <v>2046545483</v>
      </c>
      <c r="F45" s="650">
        <f>F44</f>
        <v>2046545483</v>
      </c>
      <c r="G45" s="650"/>
      <c r="H45" s="650"/>
      <c r="I45" s="162">
        <f>E45-F45</f>
        <v>0</v>
      </c>
    </row>
    <row r="46" spans="1:11" s="162" customFormat="1" ht="17.25" customHeight="1">
      <c r="A46" s="649" t="s">
        <v>40</v>
      </c>
      <c r="B46" s="649" t="s">
        <v>81</v>
      </c>
      <c r="C46" s="650"/>
      <c r="D46" s="650"/>
      <c r="E46" s="651">
        <f t="array" ref="E46">SUM(IF(A46=KHN,TH))</f>
        <v>501718</v>
      </c>
      <c r="F46" s="651">
        <f t="array" ref="F46">SUM(IF(A46=KHC,TH))</f>
        <v>501718</v>
      </c>
      <c r="G46" s="650"/>
      <c r="H46" s="650"/>
      <c r="I46" s="162">
        <f t="shared" ref="I46:I54" si="14">E46-F46</f>
        <v>0</v>
      </c>
    </row>
    <row r="47" spans="1:11" s="162" customFormat="1" ht="17.25" customHeight="1">
      <c r="A47" s="649" t="s">
        <v>183</v>
      </c>
      <c r="B47" s="649" t="s">
        <v>184</v>
      </c>
      <c r="C47" s="650"/>
      <c r="D47" s="650"/>
      <c r="E47" s="651">
        <f t="array" ref="E47">SUM(IF(A47=KHN,TH))</f>
        <v>1914775083</v>
      </c>
      <c r="F47" s="651">
        <f t="array" ref="F47">SUM(IF(A47=KHC,TH))</f>
        <v>1914775083</v>
      </c>
      <c r="G47" s="650"/>
      <c r="H47" s="650"/>
      <c r="I47" s="162">
        <f t="shared" si="14"/>
        <v>0</v>
      </c>
    </row>
    <row r="48" spans="1:11" s="162" customFormat="1" ht="17.25" customHeight="1">
      <c r="A48" s="649" t="s">
        <v>82</v>
      </c>
      <c r="B48" s="649" t="s">
        <v>83</v>
      </c>
      <c r="C48" s="650"/>
      <c r="D48" s="650"/>
      <c r="E48" s="651">
        <f t="array" ref="E48">SUM(IF(A48=KHN,TH))</f>
        <v>0</v>
      </c>
      <c r="F48" s="651">
        <f t="array" ref="F48">SUM(IF(A48=KHC,TH))</f>
        <v>0</v>
      </c>
      <c r="G48" s="650"/>
      <c r="H48" s="650"/>
      <c r="I48" s="162">
        <f t="shared" si="14"/>
        <v>0</v>
      </c>
    </row>
    <row r="49" spans="1:9" s="162" customFormat="1" ht="17.25" customHeight="1">
      <c r="A49" s="655" t="s">
        <v>286</v>
      </c>
      <c r="B49" s="649" t="s">
        <v>358</v>
      </c>
      <c r="C49" s="650"/>
      <c r="D49" s="650"/>
      <c r="E49" s="651">
        <f t="array" ref="E49">SUM(IF(A49=KHN,TH))</f>
        <v>0</v>
      </c>
      <c r="F49" s="651">
        <f t="array" ref="F49">SUM(IF(A49=KHC,TH))</f>
        <v>0</v>
      </c>
      <c r="G49" s="650"/>
      <c r="H49" s="650"/>
      <c r="I49" s="162">
        <f>E49-F49</f>
        <v>0</v>
      </c>
    </row>
    <row r="50" spans="1:9" s="162" customFormat="1" ht="17.25" customHeight="1">
      <c r="A50" s="649" t="s">
        <v>84</v>
      </c>
      <c r="B50" s="649" t="s">
        <v>85</v>
      </c>
      <c r="C50" s="650"/>
      <c r="D50" s="650"/>
      <c r="E50" s="651">
        <f t="array" ref="E50">SUM(IF(A50=KHN,TH))</f>
        <v>146699853</v>
      </c>
      <c r="F50" s="651">
        <f t="array" ref="F50">SUM(IF(A50=KHC,TH))</f>
        <v>146699853</v>
      </c>
      <c r="G50" s="650"/>
      <c r="H50" s="650"/>
      <c r="I50" s="162">
        <f t="shared" si="14"/>
        <v>0</v>
      </c>
    </row>
    <row r="51" spans="1:9" s="162" customFormat="1" ht="17.25" customHeight="1">
      <c r="A51" s="655" t="s">
        <v>86</v>
      </c>
      <c r="B51" s="649" t="s">
        <v>87</v>
      </c>
      <c r="C51" s="650"/>
      <c r="D51" s="650"/>
      <c r="E51" s="651">
        <f t="array" ref="E51">SUM(IF(A51=KHN,TH))</f>
        <v>232</v>
      </c>
      <c r="F51" s="651">
        <f t="array" ref="F51">SUM(IF(A51=KHC,TH))</f>
        <v>232</v>
      </c>
      <c r="G51" s="650"/>
      <c r="H51" s="650"/>
      <c r="I51" s="162">
        <f t="shared" si="14"/>
        <v>0</v>
      </c>
    </row>
    <row r="52" spans="1:9" s="162" customFormat="1" ht="17.25" customHeight="1">
      <c r="A52" s="649" t="s">
        <v>88</v>
      </c>
      <c r="B52" s="649" t="s">
        <v>89</v>
      </c>
      <c r="C52" s="650"/>
      <c r="D52" s="650"/>
      <c r="E52" s="651">
        <f t="array" ref="E52">SUM(IF(A52=KHN,TH))</f>
        <v>290</v>
      </c>
      <c r="F52" s="651">
        <f t="array" ref="F52">SUM(IF(A52=KHC,TH))</f>
        <v>290</v>
      </c>
      <c r="G52" s="650"/>
      <c r="H52" s="650"/>
      <c r="I52" s="162">
        <f t="shared" si="14"/>
        <v>0</v>
      </c>
    </row>
    <row r="53" spans="1:9" s="162" customFormat="1" ht="17.25" customHeight="1">
      <c r="A53" s="655" t="s">
        <v>90</v>
      </c>
      <c r="B53" s="649" t="s">
        <v>91</v>
      </c>
      <c r="C53" s="650"/>
      <c r="D53" s="650"/>
      <c r="E53" s="651">
        <f t="array" ref="E53">SUM(IF(A53=KHN,TH))</f>
        <v>0</v>
      </c>
      <c r="F53" s="651">
        <f t="array" ref="F53">SUM(IF(A53=KHC,TH))</f>
        <v>0</v>
      </c>
      <c r="G53" s="650"/>
      <c r="H53" s="650"/>
      <c r="I53" s="162">
        <f t="shared" si="14"/>
        <v>0</v>
      </c>
    </row>
    <row r="54" spans="1:9" s="162" customFormat="1" ht="17.25" customHeight="1">
      <c r="A54" s="649" t="s">
        <v>92</v>
      </c>
      <c r="B54" s="649" t="s">
        <v>93</v>
      </c>
      <c r="C54" s="650"/>
      <c r="D54" s="650"/>
      <c r="E54" s="659">
        <f t="array" ref="E54">SUM(IF(A54=KHN,TH))</f>
        <v>2061475226</v>
      </c>
      <c r="F54" s="659">
        <f t="array" ref="F54">SUM(IF(A54=TH!$M$10:$M$3304,TH!$K$10:$K$3304))</f>
        <v>2061475226</v>
      </c>
      <c r="G54" s="650"/>
      <c r="H54" s="650"/>
      <c r="I54" s="162">
        <f t="shared" si="14"/>
        <v>0</v>
      </c>
    </row>
    <row r="55" spans="1:9" s="162" customFormat="1" ht="17.25" customHeight="1">
      <c r="A55" s="887" t="s">
        <v>39</v>
      </c>
      <c r="B55" s="888"/>
      <c r="C55" s="660">
        <f t="shared" ref="C55:H55" si="15">C11+C13+C14+C16+C18+C19+C22+C23+C24+C26+C28+C29+C34+C36+C38+C40+C43+C45+C46+C47+C48+C49+C50+C51+C52+C53+C54</f>
        <v>2202680064</v>
      </c>
      <c r="D55" s="660">
        <f t="shared" si="15"/>
        <v>2202680064</v>
      </c>
      <c r="E55" s="660">
        <f t="shared" si="15"/>
        <v>21743461432</v>
      </c>
      <c r="F55" s="660">
        <f t="shared" si="15"/>
        <v>21743461432</v>
      </c>
      <c r="G55" s="660">
        <f t="shared" si="15"/>
        <v>2405508749</v>
      </c>
      <c r="H55" s="660">
        <f t="shared" si="15"/>
        <v>2405508749</v>
      </c>
    </row>
    <row r="56" spans="1:9">
      <c r="E56" s="661"/>
      <c r="F56" s="662"/>
    </row>
    <row r="57" spans="1:9">
      <c r="D57" s="162">
        <f>C55-D55</f>
        <v>0</v>
      </c>
      <c r="E57" s="662"/>
      <c r="F57" s="662">
        <f>E55-F55</f>
        <v>0</v>
      </c>
      <c r="H57" s="662">
        <f>G55-H55</f>
        <v>0</v>
      </c>
    </row>
    <row r="58" spans="1:9">
      <c r="E58" s="663"/>
      <c r="F58" s="663"/>
    </row>
    <row r="59" spans="1:9">
      <c r="E59" s="663"/>
      <c r="F59" s="663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755" activePane="bottomLeft" state="frozen"/>
      <selection activeCell="A7" sqref="A7"/>
      <selection pane="bottomLeft" activeCell="H30" sqref="H3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9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532</v>
      </c>
      <c r="B1" s="31"/>
      <c r="C1" s="31"/>
      <c r="D1" s="32"/>
      <c r="E1" s="32"/>
      <c r="F1" s="33"/>
      <c r="G1" s="48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533</v>
      </c>
      <c r="B2" s="31"/>
      <c r="C2" s="31"/>
      <c r="D2" s="32"/>
      <c r="E2" s="32"/>
      <c r="F2" s="32"/>
      <c r="G2" s="48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09" t="s">
        <v>94</v>
      </c>
      <c r="D4" s="909"/>
      <c r="E4" s="909"/>
      <c r="F4" s="909"/>
      <c r="G4" s="909"/>
      <c r="H4" s="909"/>
      <c r="I4" s="909"/>
      <c r="J4" s="909"/>
      <c r="K4" s="909"/>
      <c r="L4" s="909"/>
      <c r="M4" s="909"/>
    </row>
    <row r="5" spans="1:26" ht="14.25">
      <c r="B5" s="42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891" t="s">
        <v>118</v>
      </c>
      <c r="B7" s="893" t="s">
        <v>102</v>
      </c>
      <c r="C7" s="911" t="s">
        <v>20</v>
      </c>
      <c r="D7" s="912" t="s">
        <v>1</v>
      </c>
      <c r="E7" s="913"/>
      <c r="F7" s="911" t="s">
        <v>0</v>
      </c>
      <c r="G7" s="915" t="s">
        <v>117</v>
      </c>
      <c r="H7" s="895" t="s">
        <v>44</v>
      </c>
      <c r="I7" s="906" t="s">
        <v>283</v>
      </c>
      <c r="J7" s="907"/>
      <c r="K7" s="911" t="s">
        <v>167</v>
      </c>
      <c r="L7" s="914" t="s">
        <v>95</v>
      </c>
      <c r="M7" s="914"/>
      <c r="N7" s="898" t="s">
        <v>516</v>
      </c>
      <c r="O7" s="900" t="s">
        <v>48</v>
      </c>
      <c r="P7" s="901"/>
      <c r="Q7" s="902"/>
      <c r="R7" s="900" t="s">
        <v>52</v>
      </c>
      <c r="S7" s="901"/>
      <c r="T7" s="902"/>
      <c r="U7" s="898" t="s">
        <v>515</v>
      </c>
      <c r="V7" s="896" t="str">
        <f>CTTK!$E$7</f>
        <v>142</v>
      </c>
      <c r="W7" s="908" t="s">
        <v>173</v>
      </c>
      <c r="X7" s="908"/>
      <c r="Y7" s="908"/>
      <c r="Z7" s="908" t="s">
        <v>391</v>
      </c>
    </row>
    <row r="8" spans="1:26" ht="24.75" customHeight="1">
      <c r="A8" s="892"/>
      <c r="B8" s="894"/>
      <c r="C8" s="911"/>
      <c r="D8" s="202" t="s">
        <v>15</v>
      </c>
      <c r="E8" s="201" t="s">
        <v>32</v>
      </c>
      <c r="F8" s="911"/>
      <c r="G8" s="916"/>
      <c r="H8" s="895"/>
      <c r="I8" s="259" t="s">
        <v>222</v>
      </c>
      <c r="J8" s="259" t="s">
        <v>223</v>
      </c>
      <c r="K8" s="911"/>
      <c r="L8" s="203" t="s">
        <v>22</v>
      </c>
      <c r="M8" s="203" t="s">
        <v>23</v>
      </c>
      <c r="N8" s="899"/>
      <c r="O8" s="903"/>
      <c r="P8" s="904"/>
      <c r="Q8" s="905"/>
      <c r="R8" s="903"/>
      <c r="S8" s="904"/>
      <c r="T8" s="905"/>
      <c r="U8" s="899"/>
      <c r="V8" s="897"/>
      <c r="W8" s="908"/>
      <c r="X8" s="908"/>
      <c r="Y8" s="908"/>
      <c r="Z8" s="908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1558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09">
        <f>E21</f>
        <v>40910</v>
      </c>
      <c r="D21" s="709" t="s">
        <v>367</v>
      </c>
      <c r="E21" s="786">
        <v>40910</v>
      </c>
      <c r="F21" s="710" t="s">
        <v>509</v>
      </c>
      <c r="G21" s="711"/>
      <c r="H21" s="626"/>
      <c r="I21" s="485"/>
      <c r="J21" s="485"/>
      <c r="K21" s="712">
        <v>18250000</v>
      </c>
      <c r="L21" s="713" t="s">
        <v>175</v>
      </c>
      <c r="M21" s="713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3"/>
      <c r="AB21" s="603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09">
        <f>E22</f>
        <v>40910</v>
      </c>
      <c r="D22" s="709" t="s">
        <v>367</v>
      </c>
      <c r="E22" s="786">
        <v>40910</v>
      </c>
      <c r="F22" s="710" t="s">
        <v>510</v>
      </c>
      <c r="G22" s="711"/>
      <c r="H22" s="626"/>
      <c r="I22" s="485"/>
      <c r="J22" s="485"/>
      <c r="K22" s="712">
        <v>4566819</v>
      </c>
      <c r="L22" s="713" t="s">
        <v>175</v>
      </c>
      <c r="M22" s="713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3"/>
      <c r="AB22" s="603"/>
      <c r="AC22" s="603"/>
      <c r="AD22" s="603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556</v>
      </c>
      <c r="G23" s="486" t="s">
        <v>557</v>
      </c>
      <c r="H23" s="7" t="s">
        <v>401</v>
      </c>
      <c r="I23" s="252"/>
      <c r="J23" s="255"/>
      <c r="K23" s="612">
        <v>1600000</v>
      </c>
      <c r="L23" s="194" t="s">
        <v>175</v>
      </c>
      <c r="M23" s="613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6" t="s">
        <v>557</v>
      </c>
      <c r="H24" s="7" t="s">
        <v>401</v>
      </c>
      <c r="I24" s="252"/>
      <c r="J24" s="255"/>
      <c r="K24" s="612">
        <v>160000</v>
      </c>
      <c r="L24" s="194" t="s">
        <v>9</v>
      </c>
      <c r="M24" s="613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3">
        <v>1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558</v>
      </c>
      <c r="G25" s="486" t="s">
        <v>559</v>
      </c>
      <c r="H25" s="7" t="s">
        <v>401</v>
      </c>
      <c r="I25" s="252"/>
      <c r="J25" s="255"/>
      <c r="K25" s="612">
        <v>2740000</v>
      </c>
      <c r="L25" s="194" t="s">
        <v>175</v>
      </c>
      <c r="M25" s="613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3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6" t="s">
        <v>559</v>
      </c>
      <c r="H26" s="7" t="s">
        <v>401</v>
      </c>
      <c r="I26" s="252"/>
      <c r="J26" s="255"/>
      <c r="K26" s="612">
        <v>274000</v>
      </c>
      <c r="L26" s="194" t="s">
        <v>9</v>
      </c>
      <c r="M26" s="613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3">
        <v>1</v>
      </c>
      <c r="AB26" s="211"/>
    </row>
    <row r="27" spans="1:30" s="60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4" t="s">
        <v>361</v>
      </c>
      <c r="H27" s="7" t="s">
        <v>496</v>
      </c>
      <c r="I27" s="252"/>
      <c r="J27" s="252"/>
      <c r="K27" s="612">
        <v>100000000</v>
      </c>
      <c r="L27" s="613" t="s">
        <v>24</v>
      </c>
      <c r="M27" s="613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534</v>
      </c>
      <c r="G28" s="614" t="s">
        <v>361</v>
      </c>
      <c r="H28" s="7" t="s">
        <v>397</v>
      </c>
      <c r="I28" s="252"/>
      <c r="J28" s="252"/>
      <c r="K28" s="612">
        <v>20000000</v>
      </c>
      <c r="L28" s="613" t="s">
        <v>48</v>
      </c>
      <c r="M28" s="61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1560</v>
      </c>
      <c r="E29" s="191">
        <v>40915</v>
      </c>
      <c r="F29" s="192" t="s">
        <v>1453</v>
      </c>
      <c r="G29" s="488" t="s">
        <v>1452</v>
      </c>
      <c r="H29" s="193" t="s">
        <v>497</v>
      </c>
      <c r="I29" s="252">
        <v>25</v>
      </c>
      <c r="J29" s="252">
        <v>44600</v>
      </c>
      <c r="K29" s="612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1560</v>
      </c>
      <c r="E30" s="191">
        <v>40915</v>
      </c>
      <c r="F30" s="192" t="s">
        <v>1454</v>
      </c>
      <c r="G30" s="488" t="s">
        <v>1452</v>
      </c>
      <c r="H30" s="193" t="s">
        <v>497</v>
      </c>
      <c r="I30" s="252">
        <v>50</v>
      </c>
      <c r="J30" s="252">
        <v>24800</v>
      </c>
      <c r="K30" s="612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1560</v>
      </c>
      <c r="E31" s="191">
        <v>40915</v>
      </c>
      <c r="F31" s="192" t="s">
        <v>1455</v>
      </c>
      <c r="G31" s="488" t="s">
        <v>1452</v>
      </c>
      <c r="H31" s="193" t="s">
        <v>497</v>
      </c>
      <c r="I31" s="252">
        <v>25</v>
      </c>
      <c r="J31" s="252">
        <v>51500</v>
      </c>
      <c r="K31" s="612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1560</v>
      </c>
      <c r="E32" s="191">
        <v>40915</v>
      </c>
      <c r="F32" s="192" t="s">
        <v>1456</v>
      </c>
      <c r="G32" s="488" t="s">
        <v>1452</v>
      </c>
      <c r="H32" s="193" t="s">
        <v>497</v>
      </c>
      <c r="I32" s="252">
        <v>45</v>
      </c>
      <c r="J32" s="252">
        <v>36500</v>
      </c>
      <c r="K32" s="612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3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1560</v>
      </c>
      <c r="E33" s="191">
        <v>40915</v>
      </c>
      <c r="F33" s="192" t="s">
        <v>1457</v>
      </c>
      <c r="G33" s="488" t="s">
        <v>1452</v>
      </c>
      <c r="H33" s="193" t="s">
        <v>497</v>
      </c>
      <c r="I33" s="252">
        <v>100</v>
      </c>
      <c r="J33" s="252">
        <v>27700</v>
      </c>
      <c r="K33" s="612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3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1560</v>
      </c>
      <c r="E34" s="191">
        <v>40915</v>
      </c>
      <c r="F34" s="192" t="s">
        <v>524</v>
      </c>
      <c r="G34" s="488" t="s">
        <v>1452</v>
      </c>
      <c r="H34" s="193" t="s">
        <v>497</v>
      </c>
      <c r="I34" s="252"/>
      <c r="J34" s="252"/>
      <c r="K34" s="612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3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1561</v>
      </c>
      <c r="E35" s="191">
        <v>40915</v>
      </c>
      <c r="F35" s="192" t="s">
        <v>1458</v>
      </c>
      <c r="G35" s="488" t="s">
        <v>899</v>
      </c>
      <c r="H35" s="193" t="s">
        <v>497</v>
      </c>
      <c r="I35" s="252">
        <v>149</v>
      </c>
      <c r="J35" s="252">
        <v>18800</v>
      </c>
      <c r="K35" s="612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3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1561</v>
      </c>
      <c r="E36" s="191">
        <v>40915</v>
      </c>
      <c r="F36" s="192" t="s">
        <v>1086</v>
      </c>
      <c r="G36" s="488" t="s">
        <v>899</v>
      </c>
      <c r="H36" s="193" t="s">
        <v>497</v>
      </c>
      <c r="I36" s="252">
        <v>300</v>
      </c>
      <c r="J36" s="252">
        <v>1200</v>
      </c>
      <c r="K36" s="612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3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1561</v>
      </c>
      <c r="E37" s="191">
        <v>40915</v>
      </c>
      <c r="F37" s="192" t="s">
        <v>1459</v>
      </c>
      <c r="G37" s="488" t="s">
        <v>899</v>
      </c>
      <c r="H37" s="193" t="s">
        <v>497</v>
      </c>
      <c r="I37" s="252">
        <v>119</v>
      </c>
      <c r="J37" s="252">
        <v>36700</v>
      </c>
      <c r="K37" s="612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3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1561</v>
      </c>
      <c r="E38" s="191">
        <v>40915</v>
      </c>
      <c r="F38" s="192" t="s">
        <v>1460</v>
      </c>
      <c r="G38" s="488" t="s">
        <v>899</v>
      </c>
      <c r="H38" s="193" t="s">
        <v>497</v>
      </c>
      <c r="I38" s="252">
        <v>240</v>
      </c>
      <c r="J38" s="252">
        <v>2900</v>
      </c>
      <c r="K38" s="612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3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1561</v>
      </c>
      <c r="E39" s="191">
        <v>40915</v>
      </c>
      <c r="F39" s="192" t="s">
        <v>1087</v>
      </c>
      <c r="G39" s="488" t="s">
        <v>899</v>
      </c>
      <c r="H39" s="193" t="s">
        <v>497</v>
      </c>
      <c r="I39" s="252">
        <v>3900</v>
      </c>
      <c r="J39" s="252">
        <v>123</v>
      </c>
      <c r="K39" s="612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3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1561</v>
      </c>
      <c r="E40" s="191">
        <v>40915</v>
      </c>
      <c r="F40" s="192" t="s">
        <v>524</v>
      </c>
      <c r="G40" s="488" t="s">
        <v>899</v>
      </c>
      <c r="H40" s="193" t="s">
        <v>497</v>
      </c>
      <c r="I40" s="252"/>
      <c r="J40" s="252"/>
      <c r="K40" s="612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3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1562</v>
      </c>
      <c r="E41" s="191">
        <v>40917</v>
      </c>
      <c r="F41" s="192" t="s">
        <v>1161</v>
      </c>
      <c r="G41" s="488" t="s">
        <v>901</v>
      </c>
      <c r="H41" s="193" t="s">
        <v>902</v>
      </c>
      <c r="I41" s="252">
        <v>973</v>
      </c>
      <c r="J41" s="252">
        <v>17850</v>
      </c>
      <c r="K41" s="612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3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1562</v>
      </c>
      <c r="E42" s="191">
        <v>40917</v>
      </c>
      <c r="F42" s="192" t="s">
        <v>524</v>
      </c>
      <c r="G42" s="488" t="s">
        <v>901</v>
      </c>
      <c r="H42" s="193" t="s">
        <v>902</v>
      </c>
      <c r="I42" s="252"/>
      <c r="J42" s="252"/>
      <c r="K42" s="612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3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88" t="s">
        <v>901</v>
      </c>
      <c r="H43" s="193" t="s">
        <v>902</v>
      </c>
      <c r="I43" s="252"/>
      <c r="J43" s="252"/>
      <c r="K43" s="612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3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1563</v>
      </c>
      <c r="E44" s="191">
        <v>40917</v>
      </c>
      <c r="F44" s="192" t="s">
        <v>900</v>
      </c>
      <c r="G44" s="488" t="s">
        <v>903</v>
      </c>
      <c r="H44" s="193" t="s">
        <v>498</v>
      </c>
      <c r="I44" s="252">
        <v>1000</v>
      </c>
      <c r="J44" s="252">
        <v>10000</v>
      </c>
      <c r="K44" s="612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3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1563</v>
      </c>
      <c r="E45" s="191">
        <v>40917</v>
      </c>
      <c r="F45" s="192" t="s">
        <v>524</v>
      </c>
      <c r="G45" s="488" t="s">
        <v>903</v>
      </c>
      <c r="H45" s="193" t="s">
        <v>498</v>
      </c>
      <c r="I45" s="252"/>
      <c r="J45" s="252"/>
      <c r="K45" s="612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3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88" t="s">
        <v>903</v>
      </c>
      <c r="H46" s="193" t="s">
        <v>498</v>
      </c>
      <c r="I46" s="252"/>
      <c r="J46" s="252"/>
      <c r="K46" s="612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3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65" t="s">
        <v>361</v>
      </c>
      <c r="H47" s="7" t="s">
        <v>500</v>
      </c>
      <c r="I47" s="252"/>
      <c r="J47" s="252"/>
      <c r="K47" s="38">
        <v>54530300</v>
      </c>
      <c r="L47" s="613" t="s">
        <v>24</v>
      </c>
      <c r="M47" s="613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3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1564</v>
      </c>
      <c r="E48" s="191">
        <v>40918</v>
      </c>
      <c r="F48" s="192" t="s">
        <v>900</v>
      </c>
      <c r="G48" s="488" t="s">
        <v>904</v>
      </c>
      <c r="H48" s="193" t="s">
        <v>498</v>
      </c>
      <c r="I48" s="252">
        <v>202</v>
      </c>
      <c r="J48" s="252">
        <v>43800</v>
      </c>
      <c r="K48" s="612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1564</v>
      </c>
      <c r="E49" s="191">
        <v>40918</v>
      </c>
      <c r="F49" s="192" t="s">
        <v>524</v>
      </c>
      <c r="G49" s="488" t="s">
        <v>904</v>
      </c>
      <c r="H49" s="193" t="s">
        <v>498</v>
      </c>
      <c r="I49" s="252"/>
      <c r="J49" s="252"/>
      <c r="K49" s="612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88" t="s">
        <v>904</v>
      </c>
      <c r="H50" s="193" t="s">
        <v>498</v>
      </c>
      <c r="I50" s="252"/>
      <c r="J50" s="252"/>
      <c r="K50" s="612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517</v>
      </c>
      <c r="E51" s="191">
        <v>40919</v>
      </c>
      <c r="F51" s="189" t="s">
        <v>534</v>
      </c>
      <c r="G51" s="665" t="s">
        <v>361</v>
      </c>
      <c r="H51" s="7" t="s">
        <v>397</v>
      </c>
      <c r="I51" s="252"/>
      <c r="J51" s="252"/>
      <c r="K51" s="38">
        <v>130000000</v>
      </c>
      <c r="L51" s="613" t="s">
        <v>48</v>
      </c>
      <c r="M51" s="61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6" t="s">
        <v>361</v>
      </c>
      <c r="H52" s="7"/>
      <c r="I52" s="252"/>
      <c r="J52" s="252"/>
      <c r="K52" s="38">
        <v>9091</v>
      </c>
      <c r="L52" s="613" t="s">
        <v>84</v>
      </c>
      <c r="M52" s="61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1451</v>
      </c>
      <c r="G53" s="486" t="s">
        <v>361</v>
      </c>
      <c r="H53" s="7"/>
      <c r="I53" s="252"/>
      <c r="J53" s="252"/>
      <c r="K53" s="38">
        <v>909</v>
      </c>
      <c r="L53" s="613" t="s">
        <v>9</v>
      </c>
      <c r="M53" s="61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3">
        <v>1</v>
      </c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6" t="s">
        <v>361</v>
      </c>
      <c r="H54" s="7" t="s">
        <v>436</v>
      </c>
      <c r="I54" s="252"/>
      <c r="J54" s="252"/>
      <c r="K54" s="38">
        <v>19794013</v>
      </c>
      <c r="L54" s="613" t="s">
        <v>8</v>
      </c>
      <c r="M54" s="613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6" t="s">
        <v>361</v>
      </c>
      <c r="H55" s="7" t="s">
        <v>496</v>
      </c>
      <c r="I55" s="252"/>
      <c r="J55" s="252"/>
      <c r="K55" s="666">
        <v>17694269</v>
      </c>
      <c r="L55" s="613" t="s">
        <v>24</v>
      </c>
      <c r="M55" s="613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535</v>
      </c>
      <c r="G56" s="486" t="s">
        <v>536</v>
      </c>
      <c r="H56" s="45" t="s">
        <v>537</v>
      </c>
      <c r="I56" s="252"/>
      <c r="J56" s="252"/>
      <c r="K56" s="38">
        <v>900000</v>
      </c>
      <c r="L56" s="613" t="s">
        <v>175</v>
      </c>
      <c r="M56" s="613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6" t="s">
        <v>536</v>
      </c>
      <c r="H57" s="45" t="s">
        <v>537</v>
      </c>
      <c r="I57" s="252"/>
      <c r="J57" s="252"/>
      <c r="K57" s="38">
        <v>90000</v>
      </c>
      <c r="L57" s="613" t="s">
        <v>9</v>
      </c>
      <c r="M57" s="613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3">
        <v>2</v>
      </c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1565</v>
      </c>
      <c r="E58" s="191">
        <v>40922</v>
      </c>
      <c r="F58" s="192" t="s">
        <v>1088</v>
      </c>
      <c r="G58" s="488" t="s">
        <v>905</v>
      </c>
      <c r="H58" s="7" t="s">
        <v>499</v>
      </c>
      <c r="I58" s="252">
        <v>492</v>
      </c>
      <c r="J58" s="252">
        <v>5180</v>
      </c>
      <c r="K58" s="612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1565</v>
      </c>
      <c r="E59" s="191">
        <v>40922</v>
      </c>
      <c r="F59" s="192" t="s">
        <v>1461</v>
      </c>
      <c r="G59" s="488" t="s">
        <v>905</v>
      </c>
      <c r="H59" s="7" t="s">
        <v>499</v>
      </c>
      <c r="I59" s="252">
        <v>304</v>
      </c>
      <c r="J59" s="252">
        <v>5100</v>
      </c>
      <c r="K59" s="612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1565</v>
      </c>
      <c r="E60" s="191">
        <v>40922</v>
      </c>
      <c r="F60" s="192" t="s">
        <v>1462</v>
      </c>
      <c r="G60" s="488" t="s">
        <v>905</v>
      </c>
      <c r="H60" s="7" t="s">
        <v>499</v>
      </c>
      <c r="I60" s="252">
        <v>1000</v>
      </c>
      <c r="J60" s="252">
        <v>9500</v>
      </c>
      <c r="K60" s="612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1565</v>
      </c>
      <c r="E61" s="191">
        <v>40922</v>
      </c>
      <c r="F61" s="192" t="s">
        <v>1463</v>
      </c>
      <c r="G61" s="488" t="s">
        <v>905</v>
      </c>
      <c r="H61" s="7" t="s">
        <v>499</v>
      </c>
      <c r="I61" s="252">
        <v>500</v>
      </c>
      <c r="J61" s="252">
        <v>6680</v>
      </c>
      <c r="K61" s="612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1565</v>
      </c>
      <c r="E62" s="191">
        <v>40922</v>
      </c>
      <c r="F62" s="192" t="s">
        <v>524</v>
      </c>
      <c r="G62" s="488" t="s">
        <v>905</v>
      </c>
      <c r="H62" s="7" t="s">
        <v>499</v>
      </c>
      <c r="I62" s="252"/>
      <c r="J62" s="252"/>
      <c r="K62" s="612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522</v>
      </c>
      <c r="E63" s="191">
        <v>40922</v>
      </c>
      <c r="F63" s="192" t="s">
        <v>365</v>
      </c>
      <c r="G63" s="488" t="s">
        <v>905</v>
      </c>
      <c r="H63" s="7" t="s">
        <v>499</v>
      </c>
      <c r="I63" s="252"/>
      <c r="J63" s="252"/>
      <c r="K63" s="612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1216</v>
      </c>
      <c r="G64" s="665" t="s">
        <v>538</v>
      </c>
      <c r="H64" s="7" t="s">
        <v>436</v>
      </c>
      <c r="I64" s="252">
        <v>100</v>
      </c>
      <c r="J64" s="252">
        <v>16988</v>
      </c>
      <c r="K64" s="612">
        <v>1698800</v>
      </c>
      <c r="L64" s="613" t="s">
        <v>169</v>
      </c>
      <c r="M64" s="613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3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1217</v>
      </c>
      <c r="G65" s="665" t="s">
        <v>538</v>
      </c>
      <c r="H65" s="7" t="s">
        <v>436</v>
      </c>
      <c r="I65" s="252">
        <v>150</v>
      </c>
      <c r="J65" s="252">
        <v>17097</v>
      </c>
      <c r="K65" s="612">
        <v>2564550</v>
      </c>
      <c r="L65" s="613" t="s">
        <v>169</v>
      </c>
      <c r="M65" s="613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3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1218</v>
      </c>
      <c r="G66" s="486" t="s">
        <v>538</v>
      </c>
      <c r="H66" s="7" t="s">
        <v>436</v>
      </c>
      <c r="I66" s="252">
        <v>175</v>
      </c>
      <c r="J66" s="252">
        <v>17533</v>
      </c>
      <c r="K66" s="38">
        <v>3068275</v>
      </c>
      <c r="L66" s="613" t="s">
        <v>169</v>
      </c>
      <c r="M66" s="613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3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539</v>
      </c>
      <c r="G67" s="486" t="s">
        <v>538</v>
      </c>
      <c r="H67" s="7" t="s">
        <v>436</v>
      </c>
      <c r="I67" s="252">
        <v>210</v>
      </c>
      <c r="J67" s="252">
        <v>26898</v>
      </c>
      <c r="K67" s="38">
        <v>5648580</v>
      </c>
      <c r="L67" s="613" t="s">
        <v>169</v>
      </c>
      <c r="M67" s="613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3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1219</v>
      </c>
      <c r="G68" s="665" t="s">
        <v>538</v>
      </c>
      <c r="H68" s="7" t="s">
        <v>436</v>
      </c>
      <c r="I68" s="252">
        <v>420</v>
      </c>
      <c r="J68" s="252">
        <v>17139</v>
      </c>
      <c r="K68" s="612">
        <v>7198380</v>
      </c>
      <c r="L68" s="613" t="s">
        <v>169</v>
      </c>
      <c r="M68" s="613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3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1220</v>
      </c>
      <c r="G69" s="665" t="s">
        <v>538</v>
      </c>
      <c r="H69" s="7" t="s">
        <v>436</v>
      </c>
      <c r="I69" s="252">
        <v>100</v>
      </c>
      <c r="J69" s="252">
        <v>25616</v>
      </c>
      <c r="K69" s="612">
        <v>2561600</v>
      </c>
      <c r="L69" s="613" t="s">
        <v>169</v>
      </c>
      <c r="M69" s="613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3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1221</v>
      </c>
      <c r="G70" s="665" t="s">
        <v>538</v>
      </c>
      <c r="H70" s="7" t="s">
        <v>436</v>
      </c>
      <c r="I70" s="252">
        <v>100</v>
      </c>
      <c r="J70" s="252">
        <v>11435</v>
      </c>
      <c r="K70" s="612">
        <v>1143500</v>
      </c>
      <c r="L70" s="613" t="s">
        <v>169</v>
      </c>
      <c r="M70" s="613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3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1222</v>
      </c>
      <c r="G71" s="665" t="s">
        <v>538</v>
      </c>
      <c r="H71" s="7" t="s">
        <v>436</v>
      </c>
      <c r="I71" s="252">
        <v>100</v>
      </c>
      <c r="J71" s="252">
        <v>24206</v>
      </c>
      <c r="K71" s="612">
        <v>2420600</v>
      </c>
      <c r="L71" s="613" t="s">
        <v>169</v>
      </c>
      <c r="M71" s="613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3" customFormat="1" ht="15.75" customHeight="1">
      <c r="A72" s="204" t="str">
        <f>IF(B72&lt;&gt;"",IF(AND(B72&gt;=_TM1,B72&lt;=_TM2,OR(TH!L72="1111",TH!M72="1111")),TH!D72,""),"")</f>
        <v/>
      </c>
      <c r="B72" s="701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1223</v>
      </c>
      <c r="G72" s="665" t="s">
        <v>538</v>
      </c>
      <c r="H72" s="7" t="s">
        <v>436</v>
      </c>
      <c r="I72" s="252">
        <v>140</v>
      </c>
      <c r="J72" s="252">
        <v>20059</v>
      </c>
      <c r="K72" s="612">
        <v>2808260</v>
      </c>
      <c r="L72" s="613" t="s">
        <v>169</v>
      </c>
      <c r="M72" s="613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07"/>
    </row>
    <row r="73" spans="1:27" s="603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529</v>
      </c>
      <c r="G73" s="665" t="s">
        <v>538</v>
      </c>
      <c r="H73" s="7" t="s">
        <v>436</v>
      </c>
      <c r="I73" s="252"/>
      <c r="J73" s="252"/>
      <c r="K73" s="38">
        <v>2911255</v>
      </c>
      <c r="L73" s="613" t="s">
        <v>9</v>
      </c>
      <c r="M73" s="613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3">
        <v>1</v>
      </c>
    </row>
    <row r="74" spans="1:27" s="603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1340</v>
      </c>
      <c r="G74" s="614" t="s">
        <v>540</v>
      </c>
      <c r="H74" s="7" t="s">
        <v>436</v>
      </c>
      <c r="I74" s="252">
        <v>100</v>
      </c>
      <c r="J74" s="252">
        <v>21766</v>
      </c>
      <c r="K74" s="612">
        <v>2176600</v>
      </c>
      <c r="L74" s="613" t="s">
        <v>169</v>
      </c>
      <c r="M74" s="613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3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1341</v>
      </c>
      <c r="G75" s="665" t="s">
        <v>540</v>
      </c>
      <c r="H75" s="7" t="s">
        <v>436</v>
      </c>
      <c r="I75" s="252">
        <v>1200</v>
      </c>
      <c r="J75" s="252">
        <v>8768</v>
      </c>
      <c r="K75" s="612">
        <v>10521600</v>
      </c>
      <c r="L75" s="613" t="s">
        <v>169</v>
      </c>
      <c r="M75" s="613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3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1342</v>
      </c>
      <c r="G76" s="665" t="s">
        <v>540</v>
      </c>
      <c r="H76" s="7" t="s">
        <v>436</v>
      </c>
      <c r="I76" s="252">
        <v>300</v>
      </c>
      <c r="J76" s="252">
        <v>13471</v>
      </c>
      <c r="K76" s="612">
        <v>4041300</v>
      </c>
      <c r="L76" s="613" t="s">
        <v>169</v>
      </c>
      <c r="M76" s="613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3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1343</v>
      </c>
      <c r="G77" s="665" t="s">
        <v>540</v>
      </c>
      <c r="H77" s="7" t="s">
        <v>436</v>
      </c>
      <c r="I77" s="252">
        <v>223</v>
      </c>
      <c r="J77" s="252">
        <v>12207</v>
      </c>
      <c r="K77" s="612">
        <v>2722161</v>
      </c>
      <c r="L77" s="613" t="s">
        <v>169</v>
      </c>
      <c r="M77" s="613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3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1344</v>
      </c>
      <c r="G78" s="665" t="s">
        <v>540</v>
      </c>
      <c r="H78" s="7" t="s">
        <v>436</v>
      </c>
      <c r="I78" s="252">
        <v>272</v>
      </c>
      <c r="J78" s="252">
        <v>13471</v>
      </c>
      <c r="K78" s="612">
        <v>3664112</v>
      </c>
      <c r="L78" s="613" t="s">
        <v>169</v>
      </c>
      <c r="M78" s="613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3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1224</v>
      </c>
      <c r="G79" s="665" t="s">
        <v>540</v>
      </c>
      <c r="H79" s="7" t="s">
        <v>436</v>
      </c>
      <c r="I79" s="252">
        <v>100</v>
      </c>
      <c r="J79" s="252">
        <v>31451</v>
      </c>
      <c r="K79" s="612">
        <v>3145100</v>
      </c>
      <c r="L79" s="613" t="s">
        <v>169</v>
      </c>
      <c r="M79" s="613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3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1225</v>
      </c>
      <c r="G80" s="665" t="s">
        <v>540</v>
      </c>
      <c r="H80" s="7" t="s">
        <v>436</v>
      </c>
      <c r="I80" s="252">
        <v>493</v>
      </c>
      <c r="J80" s="252">
        <v>31364</v>
      </c>
      <c r="K80" s="612">
        <v>15462452</v>
      </c>
      <c r="L80" s="613" t="s">
        <v>169</v>
      </c>
      <c r="M80" s="613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1226</v>
      </c>
      <c r="G81" s="665" t="s">
        <v>540</v>
      </c>
      <c r="H81" s="7" t="s">
        <v>436</v>
      </c>
      <c r="I81" s="252">
        <v>300</v>
      </c>
      <c r="J81" s="252">
        <v>20255</v>
      </c>
      <c r="K81" s="612">
        <v>6076500</v>
      </c>
      <c r="L81" s="613" t="s">
        <v>169</v>
      </c>
      <c r="M81" s="613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541</v>
      </c>
      <c r="G82" s="665" t="s">
        <v>540</v>
      </c>
      <c r="H82" s="7" t="s">
        <v>436</v>
      </c>
      <c r="I82" s="252"/>
      <c r="J82" s="252"/>
      <c r="K82" s="38">
        <v>4780983</v>
      </c>
      <c r="L82" s="194" t="s">
        <v>9</v>
      </c>
      <c r="M82" s="613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3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1345</v>
      </c>
      <c r="G83" s="665" t="s">
        <v>542</v>
      </c>
      <c r="H83" s="7" t="s">
        <v>436</v>
      </c>
      <c r="I83" s="252">
        <v>395</v>
      </c>
      <c r="J83" s="252">
        <v>14984</v>
      </c>
      <c r="K83" s="612">
        <v>5918680</v>
      </c>
      <c r="L83" s="613" t="s">
        <v>169</v>
      </c>
      <c r="M83" s="613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07"/>
      <c r="AD83" s="707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1346</v>
      </c>
      <c r="G84" s="665" t="s">
        <v>542</v>
      </c>
      <c r="H84" s="7" t="s">
        <v>436</v>
      </c>
      <c r="I84" s="252">
        <v>983</v>
      </c>
      <c r="J84" s="252">
        <v>20362</v>
      </c>
      <c r="K84" s="612">
        <v>20015846</v>
      </c>
      <c r="L84" s="613" t="s">
        <v>169</v>
      </c>
      <c r="M84" s="613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1347</v>
      </c>
      <c r="G85" s="665" t="s">
        <v>542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3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1348</v>
      </c>
      <c r="G86" s="665" t="s">
        <v>542</v>
      </c>
      <c r="H86" s="7" t="s">
        <v>436</v>
      </c>
      <c r="I86" s="252">
        <v>1140</v>
      </c>
      <c r="J86" s="252">
        <v>19567</v>
      </c>
      <c r="K86" s="612">
        <v>22306380</v>
      </c>
      <c r="L86" s="613" t="s">
        <v>169</v>
      </c>
      <c r="M86" s="613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1349</v>
      </c>
      <c r="G87" s="665" t="s">
        <v>542</v>
      </c>
      <c r="H87" s="7" t="s">
        <v>436</v>
      </c>
      <c r="I87" s="252">
        <v>165</v>
      </c>
      <c r="J87" s="252">
        <v>23783</v>
      </c>
      <c r="K87" s="612">
        <v>3924195</v>
      </c>
      <c r="L87" s="613" t="s">
        <v>169</v>
      </c>
      <c r="M87" s="613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1350</v>
      </c>
      <c r="G88" s="614" t="s">
        <v>542</v>
      </c>
      <c r="H88" s="7" t="s">
        <v>436</v>
      </c>
      <c r="I88" s="252">
        <v>100</v>
      </c>
      <c r="J88" s="252">
        <v>12022</v>
      </c>
      <c r="K88" s="612">
        <v>1202200</v>
      </c>
      <c r="L88" s="613" t="s">
        <v>169</v>
      </c>
      <c r="M88" s="613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1227</v>
      </c>
      <c r="G89" s="665" t="s">
        <v>542</v>
      </c>
      <c r="H89" s="7" t="s">
        <v>436</v>
      </c>
      <c r="I89" s="252">
        <v>340</v>
      </c>
      <c r="J89" s="252">
        <v>30158</v>
      </c>
      <c r="K89" s="612">
        <v>10253720</v>
      </c>
      <c r="L89" s="613" t="s">
        <v>169</v>
      </c>
      <c r="M89" s="613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3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1228</v>
      </c>
      <c r="G90" s="665" t="s">
        <v>542</v>
      </c>
      <c r="H90" s="7" t="s">
        <v>436</v>
      </c>
      <c r="I90" s="252">
        <v>100</v>
      </c>
      <c r="J90" s="252">
        <v>22897</v>
      </c>
      <c r="K90" s="612">
        <v>2289700</v>
      </c>
      <c r="L90" s="613" t="s">
        <v>169</v>
      </c>
      <c r="M90" s="613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07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541</v>
      </c>
      <c r="G91" s="665" t="s">
        <v>542</v>
      </c>
      <c r="H91" s="7" t="s">
        <v>436</v>
      </c>
      <c r="I91" s="252"/>
      <c r="J91" s="252"/>
      <c r="K91" s="612">
        <v>6850309</v>
      </c>
      <c r="L91" s="613" t="s">
        <v>9</v>
      </c>
      <c r="M91" s="613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3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1229</v>
      </c>
      <c r="G92" s="665" t="s">
        <v>543</v>
      </c>
      <c r="H92" s="7" t="s">
        <v>436</v>
      </c>
      <c r="I92" s="252">
        <v>200</v>
      </c>
      <c r="J92" s="252">
        <v>25802</v>
      </c>
      <c r="K92" s="612">
        <v>5160400</v>
      </c>
      <c r="L92" s="613" t="s">
        <v>169</v>
      </c>
      <c r="M92" s="613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3" customFormat="1" ht="15.75" customHeight="1">
      <c r="A93" s="204" t="str">
        <f>IF(B93&lt;&gt;"",IF(AND(B93&gt;=_TM1,B93&lt;=_TM2,OR(TH!L93="1111",TH!M93="1111")),TH!D93,""),"")</f>
        <v/>
      </c>
      <c r="B93" s="701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1230</v>
      </c>
      <c r="G93" s="665" t="s">
        <v>543</v>
      </c>
      <c r="H93" s="7" t="s">
        <v>436</v>
      </c>
      <c r="I93" s="252">
        <v>110</v>
      </c>
      <c r="J93" s="252">
        <v>24566</v>
      </c>
      <c r="K93" s="612">
        <v>2702260</v>
      </c>
      <c r="L93" s="613" t="s">
        <v>169</v>
      </c>
      <c r="M93" s="613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07"/>
    </row>
    <row r="94" spans="1:30" s="603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1231</v>
      </c>
      <c r="G94" s="665" t="s">
        <v>543</v>
      </c>
      <c r="H94" s="7" t="s">
        <v>436</v>
      </c>
      <c r="I94" s="252">
        <v>10</v>
      </c>
      <c r="J94" s="252">
        <v>19004</v>
      </c>
      <c r="K94" s="612">
        <v>190040</v>
      </c>
      <c r="L94" s="613" t="s">
        <v>169</v>
      </c>
      <c r="M94" s="613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541</v>
      </c>
      <c r="G95" s="665" t="s">
        <v>543</v>
      </c>
      <c r="H95" s="7" t="s">
        <v>436</v>
      </c>
      <c r="I95" s="252"/>
      <c r="J95" s="252"/>
      <c r="K95" s="612">
        <v>805270</v>
      </c>
      <c r="L95" s="613" t="s">
        <v>9</v>
      </c>
      <c r="M95" s="613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65" t="s">
        <v>543</v>
      </c>
      <c r="H96" s="7" t="s">
        <v>436</v>
      </c>
      <c r="I96" s="252"/>
      <c r="J96" s="252"/>
      <c r="K96" s="612">
        <v>8857970</v>
      </c>
      <c r="L96" s="613" t="s">
        <v>8</v>
      </c>
      <c r="M96" s="613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1566</v>
      </c>
      <c r="E97" s="191">
        <v>40924</v>
      </c>
      <c r="F97" s="192" t="s">
        <v>1456</v>
      </c>
      <c r="G97" s="488" t="s">
        <v>906</v>
      </c>
      <c r="H97" s="193" t="s">
        <v>497</v>
      </c>
      <c r="I97" s="252">
        <v>5</v>
      </c>
      <c r="J97" s="252">
        <v>36500</v>
      </c>
      <c r="K97" s="612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1566</v>
      </c>
      <c r="E98" s="191">
        <v>40924</v>
      </c>
      <c r="F98" s="192" t="s">
        <v>1458</v>
      </c>
      <c r="G98" s="488" t="s">
        <v>906</v>
      </c>
      <c r="H98" s="193" t="s">
        <v>497</v>
      </c>
      <c r="I98" s="252">
        <v>1</v>
      </c>
      <c r="J98" s="252">
        <v>18800</v>
      </c>
      <c r="K98" s="612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1566</v>
      </c>
      <c r="E99" s="191">
        <v>40924</v>
      </c>
      <c r="F99" s="192" t="s">
        <v>1459</v>
      </c>
      <c r="G99" s="488" t="s">
        <v>906</v>
      </c>
      <c r="H99" s="193" t="s">
        <v>497</v>
      </c>
      <c r="I99" s="252">
        <v>91</v>
      </c>
      <c r="J99" s="252">
        <v>36700</v>
      </c>
      <c r="K99" s="612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1566</v>
      </c>
      <c r="E100" s="191">
        <v>40924</v>
      </c>
      <c r="F100" s="192" t="s">
        <v>1210</v>
      </c>
      <c r="G100" s="488" t="s">
        <v>906</v>
      </c>
      <c r="H100" s="193" t="s">
        <v>497</v>
      </c>
      <c r="I100" s="252">
        <v>210</v>
      </c>
      <c r="J100" s="252">
        <v>29400</v>
      </c>
      <c r="K100" s="612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1566</v>
      </c>
      <c r="E101" s="191">
        <v>40924</v>
      </c>
      <c r="F101" s="192" t="s">
        <v>1211</v>
      </c>
      <c r="G101" s="488" t="s">
        <v>906</v>
      </c>
      <c r="H101" s="193" t="s">
        <v>497</v>
      </c>
      <c r="I101" s="252">
        <v>420</v>
      </c>
      <c r="J101" s="252">
        <v>2300</v>
      </c>
      <c r="K101" s="612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1566</v>
      </c>
      <c r="E102" s="191">
        <v>40924</v>
      </c>
      <c r="F102" s="192" t="s">
        <v>1460</v>
      </c>
      <c r="G102" s="488" t="s">
        <v>906</v>
      </c>
      <c r="H102" s="193" t="s">
        <v>497</v>
      </c>
      <c r="I102" s="252">
        <v>180</v>
      </c>
      <c r="J102" s="252">
        <v>2900</v>
      </c>
      <c r="K102" s="612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1566</v>
      </c>
      <c r="E103" s="191">
        <v>40924</v>
      </c>
      <c r="F103" s="192" t="s">
        <v>524</v>
      </c>
      <c r="G103" s="488" t="s">
        <v>906</v>
      </c>
      <c r="H103" s="193" t="s">
        <v>497</v>
      </c>
      <c r="I103" s="252"/>
      <c r="J103" s="252"/>
      <c r="K103" s="612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65" t="s">
        <v>544</v>
      </c>
      <c r="H104" s="7" t="s">
        <v>545</v>
      </c>
      <c r="I104" s="252"/>
      <c r="J104" s="252"/>
      <c r="K104" s="612">
        <v>522643</v>
      </c>
      <c r="L104" s="613" t="s">
        <v>84</v>
      </c>
      <c r="M104" s="613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65" t="s">
        <v>544</v>
      </c>
      <c r="H105" s="7" t="s">
        <v>545</v>
      </c>
      <c r="I105" s="252"/>
      <c r="J105" s="252"/>
      <c r="K105" s="612">
        <v>52264</v>
      </c>
      <c r="L105" s="613" t="s">
        <v>9</v>
      </c>
      <c r="M105" s="613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1567</v>
      </c>
      <c r="E106" s="191">
        <v>40925</v>
      </c>
      <c r="F106" s="192" t="s">
        <v>1471</v>
      </c>
      <c r="G106" s="488" t="s">
        <v>1522</v>
      </c>
      <c r="H106" s="7" t="s">
        <v>496</v>
      </c>
      <c r="I106" s="252">
        <v>90</v>
      </c>
      <c r="J106" s="252">
        <v>14299</v>
      </c>
      <c r="K106" s="612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1567</v>
      </c>
      <c r="E107" s="191">
        <v>40925</v>
      </c>
      <c r="F107" s="192" t="s">
        <v>1472</v>
      </c>
      <c r="G107" s="488" t="s">
        <v>1522</v>
      </c>
      <c r="H107" s="7" t="s">
        <v>496</v>
      </c>
      <c r="I107" s="252">
        <v>180</v>
      </c>
      <c r="J107" s="252">
        <v>7146</v>
      </c>
      <c r="K107" s="612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1567</v>
      </c>
      <c r="E108" s="191">
        <v>40925</v>
      </c>
      <c r="F108" s="192" t="s">
        <v>1473</v>
      </c>
      <c r="G108" s="488" t="s">
        <v>1522</v>
      </c>
      <c r="H108" s="7" t="s">
        <v>496</v>
      </c>
      <c r="I108" s="252">
        <v>20</v>
      </c>
      <c r="J108" s="252">
        <v>13172</v>
      </c>
      <c r="K108" s="612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1567</v>
      </c>
      <c r="E109" s="191">
        <v>40925</v>
      </c>
      <c r="F109" s="192" t="s">
        <v>1474</v>
      </c>
      <c r="G109" s="488" t="s">
        <v>1522</v>
      </c>
      <c r="H109" s="7" t="s">
        <v>496</v>
      </c>
      <c r="I109" s="252">
        <v>590</v>
      </c>
      <c r="J109" s="252">
        <v>5827</v>
      </c>
      <c r="K109" s="612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1567</v>
      </c>
      <c r="E110" s="191">
        <v>40925</v>
      </c>
      <c r="F110" s="192" t="s">
        <v>1475</v>
      </c>
      <c r="G110" s="488" t="s">
        <v>1522</v>
      </c>
      <c r="H110" s="7" t="s">
        <v>496</v>
      </c>
      <c r="I110" s="252">
        <v>60</v>
      </c>
      <c r="J110" s="252">
        <v>10323</v>
      </c>
      <c r="K110" s="612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1567</v>
      </c>
      <c r="E111" s="191">
        <v>40925</v>
      </c>
      <c r="F111" s="192" t="s">
        <v>1476</v>
      </c>
      <c r="G111" s="488" t="s">
        <v>1522</v>
      </c>
      <c r="H111" s="7" t="s">
        <v>496</v>
      </c>
      <c r="I111" s="252">
        <v>150</v>
      </c>
      <c r="J111" s="252">
        <v>8416</v>
      </c>
      <c r="K111" s="612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1567</v>
      </c>
      <c r="E112" s="191">
        <v>40925</v>
      </c>
      <c r="F112" s="192" t="s">
        <v>1477</v>
      </c>
      <c r="G112" s="488" t="s">
        <v>1522</v>
      </c>
      <c r="H112" s="7" t="s">
        <v>496</v>
      </c>
      <c r="I112" s="252">
        <v>218</v>
      </c>
      <c r="J112" s="252">
        <v>9171</v>
      </c>
      <c r="K112" s="612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3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1567</v>
      </c>
      <c r="E113" s="191">
        <v>40925</v>
      </c>
      <c r="F113" s="192" t="s">
        <v>1523</v>
      </c>
      <c r="G113" s="488" t="s">
        <v>1522</v>
      </c>
      <c r="H113" s="7" t="s">
        <v>496</v>
      </c>
      <c r="I113" s="252">
        <v>40</v>
      </c>
      <c r="J113" s="252">
        <v>16005</v>
      </c>
      <c r="K113" s="612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3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1567</v>
      </c>
      <c r="E114" s="191">
        <v>40925</v>
      </c>
      <c r="F114" s="192" t="s">
        <v>1479</v>
      </c>
      <c r="G114" s="488" t="s">
        <v>1522</v>
      </c>
      <c r="H114" s="7" t="s">
        <v>496</v>
      </c>
      <c r="I114" s="252">
        <v>350</v>
      </c>
      <c r="J114" s="252">
        <v>9650</v>
      </c>
      <c r="K114" s="612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3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1567</v>
      </c>
      <c r="E115" s="191">
        <v>40925</v>
      </c>
      <c r="F115" s="192" t="s">
        <v>1480</v>
      </c>
      <c r="G115" s="488" t="s">
        <v>1522</v>
      </c>
      <c r="H115" s="7" t="s">
        <v>496</v>
      </c>
      <c r="I115" s="252">
        <v>366</v>
      </c>
      <c r="J115" s="252">
        <v>10655</v>
      </c>
      <c r="K115" s="612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3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1567</v>
      </c>
      <c r="E116" s="191">
        <v>40925</v>
      </c>
      <c r="F116" s="192" t="s">
        <v>524</v>
      </c>
      <c r="G116" s="488" t="s">
        <v>1522</v>
      </c>
      <c r="H116" s="7" t="s">
        <v>496</v>
      </c>
      <c r="I116" s="252"/>
      <c r="J116" s="252"/>
      <c r="K116" s="612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3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546</v>
      </c>
      <c r="G117" s="665" t="s">
        <v>547</v>
      </c>
      <c r="H117" s="7" t="s">
        <v>548</v>
      </c>
      <c r="I117" s="252"/>
      <c r="J117" s="252"/>
      <c r="K117" s="612">
        <v>728658</v>
      </c>
      <c r="L117" s="613" t="s">
        <v>84</v>
      </c>
      <c r="M117" s="613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3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549</v>
      </c>
      <c r="G118" s="486" t="s">
        <v>550</v>
      </c>
      <c r="H118" s="45" t="s">
        <v>548</v>
      </c>
      <c r="I118" s="252"/>
      <c r="J118" s="252"/>
      <c r="K118" s="38">
        <v>72867</v>
      </c>
      <c r="L118" s="194" t="s">
        <v>9</v>
      </c>
      <c r="M118" s="613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3">
        <v>1</v>
      </c>
    </row>
    <row r="119" spans="1:30" s="603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1568</v>
      </c>
      <c r="E119" s="191">
        <v>40926</v>
      </c>
      <c r="F119" s="192" t="s">
        <v>1487</v>
      </c>
      <c r="G119" s="488" t="s">
        <v>1524</v>
      </c>
      <c r="H119" s="7" t="s">
        <v>496</v>
      </c>
      <c r="I119" s="252">
        <v>500</v>
      </c>
      <c r="J119" s="252">
        <v>8502</v>
      </c>
      <c r="K119" s="612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3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1568</v>
      </c>
      <c r="E120" s="191">
        <v>40926</v>
      </c>
      <c r="F120" s="192" t="s">
        <v>1488</v>
      </c>
      <c r="G120" s="488" t="s">
        <v>1524</v>
      </c>
      <c r="H120" s="7" t="s">
        <v>496</v>
      </c>
      <c r="I120" s="252">
        <v>240</v>
      </c>
      <c r="J120" s="252">
        <v>16790</v>
      </c>
      <c r="K120" s="612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3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1568</v>
      </c>
      <c r="E121" s="191">
        <v>40926</v>
      </c>
      <c r="F121" s="192" t="s">
        <v>1489</v>
      </c>
      <c r="G121" s="488" t="s">
        <v>1524</v>
      </c>
      <c r="H121" s="7" t="s">
        <v>496</v>
      </c>
      <c r="I121" s="252">
        <v>170</v>
      </c>
      <c r="J121" s="252">
        <v>12633</v>
      </c>
      <c r="K121" s="612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3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1568</v>
      </c>
      <c r="E122" s="191">
        <v>40926</v>
      </c>
      <c r="F122" s="192" t="s">
        <v>1473</v>
      </c>
      <c r="G122" s="488" t="s">
        <v>1524</v>
      </c>
      <c r="H122" s="7" t="s">
        <v>496</v>
      </c>
      <c r="I122" s="252">
        <v>30</v>
      </c>
      <c r="J122" s="252">
        <v>13172</v>
      </c>
      <c r="K122" s="612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3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1568</v>
      </c>
      <c r="E123" s="191">
        <v>40926</v>
      </c>
      <c r="F123" s="192" t="s">
        <v>1484</v>
      </c>
      <c r="G123" s="488" t="s">
        <v>1524</v>
      </c>
      <c r="H123" s="7" t="s">
        <v>496</v>
      </c>
      <c r="I123" s="252">
        <v>350</v>
      </c>
      <c r="J123" s="252">
        <v>15688</v>
      </c>
      <c r="K123" s="612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3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1568</v>
      </c>
      <c r="E124" s="191">
        <v>40926</v>
      </c>
      <c r="F124" s="192" t="s">
        <v>1525</v>
      </c>
      <c r="G124" s="488" t="s">
        <v>1524</v>
      </c>
      <c r="H124" s="7" t="s">
        <v>496</v>
      </c>
      <c r="I124" s="252">
        <v>20</v>
      </c>
      <c r="J124" s="252">
        <v>18708</v>
      </c>
      <c r="K124" s="612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3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1568</v>
      </c>
      <c r="E125" s="191">
        <v>40926</v>
      </c>
      <c r="F125" s="192" t="s">
        <v>1491</v>
      </c>
      <c r="G125" s="488" t="s">
        <v>1524</v>
      </c>
      <c r="H125" s="7" t="s">
        <v>496</v>
      </c>
      <c r="I125" s="252">
        <v>300</v>
      </c>
      <c r="J125" s="252">
        <v>19723</v>
      </c>
      <c r="K125" s="612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3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1568</v>
      </c>
      <c r="E126" s="191">
        <v>40926</v>
      </c>
      <c r="F126" s="192" t="s">
        <v>1492</v>
      </c>
      <c r="G126" s="488" t="s">
        <v>1524</v>
      </c>
      <c r="H126" s="7" t="s">
        <v>496</v>
      </c>
      <c r="I126" s="252">
        <v>40</v>
      </c>
      <c r="J126" s="252">
        <v>19819</v>
      </c>
      <c r="K126" s="612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1568</v>
      </c>
      <c r="E127" s="191">
        <v>40926</v>
      </c>
      <c r="F127" s="192" t="s">
        <v>1493</v>
      </c>
      <c r="G127" s="488" t="s">
        <v>1524</v>
      </c>
      <c r="H127" s="7" t="s">
        <v>496</v>
      </c>
      <c r="I127" s="252">
        <v>260</v>
      </c>
      <c r="J127" s="252">
        <v>17916</v>
      </c>
      <c r="K127" s="612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3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1568</v>
      </c>
      <c r="E128" s="191">
        <v>40926</v>
      </c>
      <c r="F128" s="192" t="s">
        <v>1494</v>
      </c>
      <c r="G128" s="488" t="s">
        <v>1524</v>
      </c>
      <c r="H128" s="7" t="s">
        <v>496</v>
      </c>
      <c r="I128" s="252">
        <v>75</v>
      </c>
      <c r="J128" s="252">
        <v>17507</v>
      </c>
      <c r="K128" s="612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3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1568</v>
      </c>
      <c r="E129" s="191">
        <v>40926</v>
      </c>
      <c r="F129" s="192" t="s">
        <v>524</v>
      </c>
      <c r="G129" s="488" t="s">
        <v>1524</v>
      </c>
      <c r="H129" s="7" t="s">
        <v>496</v>
      </c>
      <c r="I129" s="252"/>
      <c r="J129" s="252"/>
      <c r="K129" s="612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3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521</v>
      </c>
      <c r="E130" s="191">
        <v>40927</v>
      </c>
      <c r="F130" s="192" t="s">
        <v>534</v>
      </c>
      <c r="G130" s="486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3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02">
        <v>40928</v>
      </c>
      <c r="D131" s="702" t="s">
        <v>363</v>
      </c>
      <c r="E131" s="702">
        <v>40928</v>
      </c>
      <c r="F131" s="703" t="s">
        <v>398</v>
      </c>
      <c r="G131" s="704" t="s">
        <v>361</v>
      </c>
      <c r="H131" s="805"/>
      <c r="I131" s="250"/>
      <c r="J131" s="250"/>
      <c r="K131" s="705">
        <v>77446</v>
      </c>
      <c r="L131" s="706" t="s">
        <v>24</v>
      </c>
      <c r="M131" s="706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3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551</v>
      </c>
      <c r="G132" s="665" t="s">
        <v>552</v>
      </c>
      <c r="H132" s="7" t="s">
        <v>537</v>
      </c>
      <c r="I132" s="252"/>
      <c r="J132" s="252"/>
      <c r="K132" s="612">
        <v>700000</v>
      </c>
      <c r="L132" s="613" t="s">
        <v>175</v>
      </c>
      <c r="M132" s="613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65" t="s">
        <v>552</v>
      </c>
      <c r="H133" s="7" t="s">
        <v>537</v>
      </c>
      <c r="I133" s="252"/>
      <c r="J133" s="252"/>
      <c r="K133" s="612">
        <v>70000</v>
      </c>
      <c r="L133" s="613" t="s">
        <v>9</v>
      </c>
      <c r="M133" s="613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3">
        <v>2</v>
      </c>
      <c r="AC133" s="603"/>
      <c r="AD133" s="603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1569</v>
      </c>
      <c r="E134" s="191">
        <v>40938</v>
      </c>
      <c r="F134" s="192" t="s">
        <v>1471</v>
      </c>
      <c r="G134" s="488" t="s">
        <v>1526</v>
      </c>
      <c r="H134" s="7" t="s">
        <v>496</v>
      </c>
      <c r="I134" s="252">
        <v>210</v>
      </c>
      <c r="J134" s="252">
        <v>14299</v>
      </c>
      <c r="K134" s="612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1569</v>
      </c>
      <c r="E135" s="191">
        <v>40938</v>
      </c>
      <c r="F135" s="192" t="s">
        <v>1530</v>
      </c>
      <c r="G135" s="488" t="s">
        <v>1526</v>
      </c>
      <c r="H135" s="7" t="s">
        <v>496</v>
      </c>
      <c r="I135" s="252">
        <v>80</v>
      </c>
      <c r="J135" s="252">
        <v>8796</v>
      </c>
      <c r="K135" s="612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1569</v>
      </c>
      <c r="E136" s="191">
        <v>40938</v>
      </c>
      <c r="F136" s="192" t="s">
        <v>1501</v>
      </c>
      <c r="G136" s="488" t="s">
        <v>1526</v>
      </c>
      <c r="H136" s="7" t="s">
        <v>496</v>
      </c>
      <c r="I136" s="252">
        <v>210</v>
      </c>
      <c r="J136" s="252">
        <v>17110</v>
      </c>
      <c r="K136" s="612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1569</v>
      </c>
      <c r="E137" s="191">
        <v>40938</v>
      </c>
      <c r="F137" s="192" t="s">
        <v>1497</v>
      </c>
      <c r="G137" s="488" t="s">
        <v>1526</v>
      </c>
      <c r="H137" s="7" t="s">
        <v>496</v>
      </c>
      <c r="I137" s="252">
        <v>230</v>
      </c>
      <c r="J137" s="252">
        <v>18107</v>
      </c>
      <c r="K137" s="612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1569</v>
      </c>
      <c r="E138" s="191">
        <v>40938</v>
      </c>
      <c r="F138" s="192" t="s">
        <v>1491</v>
      </c>
      <c r="G138" s="488" t="s">
        <v>1526</v>
      </c>
      <c r="H138" s="7" t="s">
        <v>496</v>
      </c>
      <c r="I138" s="252">
        <v>310</v>
      </c>
      <c r="J138" s="252">
        <v>19769</v>
      </c>
      <c r="K138" s="612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1569</v>
      </c>
      <c r="E139" s="191">
        <v>40938</v>
      </c>
      <c r="F139" s="192" t="s">
        <v>1499</v>
      </c>
      <c r="G139" s="488" t="s">
        <v>1526</v>
      </c>
      <c r="H139" s="7" t="s">
        <v>496</v>
      </c>
      <c r="I139" s="252">
        <v>370</v>
      </c>
      <c r="J139" s="252">
        <v>20520</v>
      </c>
      <c r="K139" s="612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1569</v>
      </c>
      <c r="E140" s="191">
        <v>40938</v>
      </c>
      <c r="F140" s="192" t="s">
        <v>1473</v>
      </c>
      <c r="G140" s="488" t="s">
        <v>1526</v>
      </c>
      <c r="H140" s="7" t="s">
        <v>496</v>
      </c>
      <c r="I140" s="252">
        <v>173</v>
      </c>
      <c r="J140" s="252">
        <v>13172</v>
      </c>
      <c r="K140" s="612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1569</v>
      </c>
      <c r="E141" s="191">
        <v>40938</v>
      </c>
      <c r="F141" s="192" t="s">
        <v>1484</v>
      </c>
      <c r="G141" s="488" t="s">
        <v>1526</v>
      </c>
      <c r="H141" s="7" t="s">
        <v>496</v>
      </c>
      <c r="I141" s="252">
        <v>150</v>
      </c>
      <c r="J141" s="252">
        <v>15688</v>
      </c>
      <c r="K141" s="612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3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1569</v>
      </c>
      <c r="E142" s="191">
        <v>40938</v>
      </c>
      <c r="F142" s="192" t="s">
        <v>1494</v>
      </c>
      <c r="G142" s="488" t="s">
        <v>1526</v>
      </c>
      <c r="H142" s="7" t="s">
        <v>496</v>
      </c>
      <c r="I142" s="252">
        <v>210</v>
      </c>
      <c r="J142" s="252">
        <v>17507</v>
      </c>
      <c r="K142" s="612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3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1569</v>
      </c>
      <c r="E143" s="191">
        <v>40938</v>
      </c>
      <c r="F143" s="192" t="s">
        <v>1491</v>
      </c>
      <c r="G143" s="488" t="s">
        <v>1526</v>
      </c>
      <c r="H143" s="7" t="s">
        <v>496</v>
      </c>
      <c r="I143" s="252">
        <v>250</v>
      </c>
      <c r="J143" s="252">
        <v>19723</v>
      </c>
      <c r="K143" s="612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3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1569</v>
      </c>
      <c r="E144" s="191">
        <v>40938</v>
      </c>
      <c r="F144" s="192" t="s">
        <v>524</v>
      </c>
      <c r="G144" s="488" t="s">
        <v>1526</v>
      </c>
      <c r="H144" s="7" t="s">
        <v>496</v>
      </c>
      <c r="I144" s="252"/>
      <c r="J144" s="252"/>
      <c r="K144" s="612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3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09">
        <f t="shared" si="14"/>
        <v>40939</v>
      </c>
      <c r="D145" s="709" t="s">
        <v>367</v>
      </c>
      <c r="E145" s="786">
        <v>40939</v>
      </c>
      <c r="F145" s="710" t="s">
        <v>1559</v>
      </c>
      <c r="G145" s="711"/>
      <c r="H145" s="626"/>
      <c r="I145" s="485"/>
      <c r="J145" s="485"/>
      <c r="K145" s="712">
        <v>9325000</v>
      </c>
      <c r="L145" s="713" t="s">
        <v>84</v>
      </c>
      <c r="M145" s="713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3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09">
        <f t="shared" si="14"/>
        <v>40939</v>
      </c>
      <c r="D146" s="709" t="s">
        <v>367</v>
      </c>
      <c r="E146" s="786">
        <v>40939</v>
      </c>
      <c r="F146" s="710" t="s">
        <v>511</v>
      </c>
      <c r="G146" s="711"/>
      <c r="H146" s="626"/>
      <c r="I146" s="485"/>
      <c r="J146" s="485"/>
      <c r="K146" s="712">
        <v>13450000</v>
      </c>
      <c r="L146" s="713" t="s">
        <v>175</v>
      </c>
      <c r="M146" s="713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3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09">
        <f t="shared" si="14"/>
        <v>40939</v>
      </c>
      <c r="D147" s="709" t="s">
        <v>417</v>
      </c>
      <c r="E147" s="786">
        <v>40939</v>
      </c>
      <c r="F147" s="710" t="str">
        <f>"Thanh toán tiền lương tháng "&amp;MONTH(E147)&amp;"/"&amp;YEAR(E147)</f>
        <v>Thanh toán tiền lương tháng 1/2012</v>
      </c>
      <c r="G147" s="711"/>
      <c r="H147" s="45" t="s">
        <v>659</v>
      </c>
      <c r="I147" s="485"/>
      <c r="J147" s="485"/>
      <c r="K147" s="712">
        <f>K145+K146</f>
        <v>22775000</v>
      </c>
      <c r="L147" s="713" t="s">
        <v>287</v>
      </c>
      <c r="M147" s="713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3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1570</v>
      </c>
      <c r="E148" s="191">
        <v>40939</v>
      </c>
      <c r="F148" s="192" t="s">
        <v>1473</v>
      </c>
      <c r="G148" s="488" t="s">
        <v>1527</v>
      </c>
      <c r="H148" s="7" t="s">
        <v>496</v>
      </c>
      <c r="I148" s="252">
        <v>130</v>
      </c>
      <c r="J148" s="252">
        <v>13172</v>
      </c>
      <c r="K148" s="612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3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1570</v>
      </c>
      <c r="E149" s="191">
        <v>40939</v>
      </c>
      <c r="F149" s="192" t="s">
        <v>1531</v>
      </c>
      <c r="G149" s="488" t="s">
        <v>1527</v>
      </c>
      <c r="H149" s="7" t="s">
        <v>496</v>
      </c>
      <c r="I149" s="252">
        <v>12</v>
      </c>
      <c r="J149" s="252">
        <f>K149/I149</f>
        <v>16300</v>
      </c>
      <c r="K149" s="612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3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1570</v>
      </c>
      <c r="E150" s="191">
        <v>40939</v>
      </c>
      <c r="F150" s="192" t="s">
        <v>1525</v>
      </c>
      <c r="G150" s="488" t="s">
        <v>1527</v>
      </c>
      <c r="H150" s="7" t="s">
        <v>496</v>
      </c>
      <c r="I150" s="252">
        <v>140</v>
      </c>
      <c r="J150" s="252">
        <v>18708</v>
      </c>
      <c r="K150" s="612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3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1570</v>
      </c>
      <c r="E151" s="191">
        <v>40939</v>
      </c>
      <c r="F151" s="192" t="s">
        <v>1491</v>
      </c>
      <c r="G151" s="488" t="s">
        <v>1527</v>
      </c>
      <c r="H151" s="7" t="s">
        <v>496</v>
      </c>
      <c r="I151" s="252">
        <v>180</v>
      </c>
      <c r="J151" s="252">
        <v>19723</v>
      </c>
      <c r="K151" s="612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3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1570</v>
      </c>
      <c r="E152" s="191">
        <v>40939</v>
      </c>
      <c r="F152" s="192" t="s">
        <v>1492</v>
      </c>
      <c r="G152" s="488" t="s">
        <v>1527</v>
      </c>
      <c r="H152" s="7" t="s">
        <v>496</v>
      </c>
      <c r="I152" s="252">
        <v>310</v>
      </c>
      <c r="J152" s="252">
        <v>19819</v>
      </c>
      <c r="K152" s="612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3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1570</v>
      </c>
      <c r="E153" s="191">
        <v>40939</v>
      </c>
      <c r="F153" s="192" t="s">
        <v>1501</v>
      </c>
      <c r="G153" s="488" t="s">
        <v>1527</v>
      </c>
      <c r="H153" s="7" t="s">
        <v>496</v>
      </c>
      <c r="I153" s="252">
        <v>160</v>
      </c>
      <c r="J153" s="252">
        <v>17110</v>
      </c>
      <c r="K153" s="612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3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1570</v>
      </c>
      <c r="E154" s="191">
        <v>40939</v>
      </c>
      <c r="F154" s="192" t="s">
        <v>1497</v>
      </c>
      <c r="G154" s="488" t="s">
        <v>1527</v>
      </c>
      <c r="H154" s="7" t="s">
        <v>496</v>
      </c>
      <c r="I154" s="252">
        <v>270</v>
      </c>
      <c r="J154" s="252">
        <v>18107</v>
      </c>
      <c r="K154" s="612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3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1570</v>
      </c>
      <c r="E155" s="191">
        <v>40939</v>
      </c>
      <c r="F155" s="192" t="s">
        <v>1491</v>
      </c>
      <c r="G155" s="488" t="s">
        <v>1527</v>
      </c>
      <c r="H155" s="7" t="s">
        <v>496</v>
      </c>
      <c r="I155" s="252">
        <v>151</v>
      </c>
      <c r="J155" s="252">
        <v>19769</v>
      </c>
      <c r="K155" s="612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3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1570</v>
      </c>
      <c r="E156" s="191">
        <v>40939</v>
      </c>
      <c r="F156" s="192" t="s">
        <v>1499</v>
      </c>
      <c r="G156" s="488" t="s">
        <v>1527</v>
      </c>
      <c r="H156" s="7" t="s">
        <v>496</v>
      </c>
      <c r="I156" s="252">
        <v>60</v>
      </c>
      <c r="J156" s="252">
        <v>20520</v>
      </c>
      <c r="K156" s="612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3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1570</v>
      </c>
      <c r="E157" s="191">
        <v>40939</v>
      </c>
      <c r="F157" s="192" t="s">
        <v>1473</v>
      </c>
      <c r="G157" s="488" t="s">
        <v>1527</v>
      </c>
      <c r="H157" s="7" t="s">
        <v>496</v>
      </c>
      <c r="I157" s="252">
        <v>150</v>
      </c>
      <c r="J157" s="252">
        <v>13172</v>
      </c>
      <c r="K157" s="612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3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1570</v>
      </c>
      <c r="E158" s="191">
        <v>40939</v>
      </c>
      <c r="F158" s="192" t="s">
        <v>524</v>
      </c>
      <c r="G158" s="488" t="s">
        <v>1527</v>
      </c>
      <c r="H158" s="7" t="s">
        <v>496</v>
      </c>
      <c r="I158" s="252"/>
      <c r="J158" s="252"/>
      <c r="K158" s="612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3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553</v>
      </c>
      <c r="G159" s="614" t="s">
        <v>407</v>
      </c>
      <c r="H159" s="193" t="s">
        <v>554</v>
      </c>
      <c r="I159" s="252"/>
      <c r="J159" s="252"/>
      <c r="K159" s="612">
        <v>4700000</v>
      </c>
      <c r="L159" s="613" t="s">
        <v>84</v>
      </c>
      <c r="M159" s="613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3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555</v>
      </c>
      <c r="G160" s="486" t="s">
        <v>407</v>
      </c>
      <c r="H160" s="7" t="s">
        <v>554</v>
      </c>
      <c r="I160" s="255"/>
      <c r="J160" s="252"/>
      <c r="K160" s="612">
        <v>470000</v>
      </c>
      <c r="L160" s="194" t="s">
        <v>9</v>
      </c>
      <c r="M160" s="613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3">
        <v>2</v>
      </c>
      <c r="AB160" s="211"/>
    </row>
    <row r="161" spans="1:30" s="603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6" t="s">
        <v>361</v>
      </c>
      <c r="H161" s="7" t="s">
        <v>499</v>
      </c>
      <c r="I161" s="252"/>
      <c r="J161" s="255"/>
      <c r="K161" s="612">
        <v>18632856</v>
      </c>
      <c r="L161" s="194" t="s">
        <v>24</v>
      </c>
      <c r="M161" s="613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3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6" t="s">
        <v>560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3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3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6" t="s">
        <v>560</v>
      </c>
      <c r="H163" s="7" t="s">
        <v>406</v>
      </c>
      <c r="I163" s="252"/>
      <c r="J163" s="255"/>
      <c r="K163" s="612">
        <v>201600</v>
      </c>
      <c r="L163" s="194" t="s">
        <v>9</v>
      </c>
      <c r="M163" s="613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3">
        <v>2</v>
      </c>
      <c r="AB163" s="211"/>
    </row>
    <row r="164" spans="1:30" s="603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6" t="s">
        <v>560</v>
      </c>
      <c r="H164" s="7" t="s">
        <v>406</v>
      </c>
      <c r="I164" s="252"/>
      <c r="J164" s="255"/>
      <c r="K164" s="612">
        <v>2217600</v>
      </c>
      <c r="L164" s="613" t="s">
        <v>8</v>
      </c>
      <c r="M164" s="613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3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6" t="s">
        <v>361</v>
      </c>
      <c r="H165" s="7" t="s">
        <v>436</v>
      </c>
      <c r="I165" s="252"/>
      <c r="J165" s="255"/>
      <c r="K165" s="38">
        <v>18600000</v>
      </c>
      <c r="L165" s="613" t="s">
        <v>8</v>
      </c>
      <c r="M165" s="61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3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561</v>
      </c>
      <c r="G166" s="486" t="s">
        <v>562</v>
      </c>
      <c r="H166" s="7" t="s">
        <v>537</v>
      </c>
      <c r="I166" s="252"/>
      <c r="J166" s="255"/>
      <c r="K166" s="612">
        <v>960000</v>
      </c>
      <c r="L166" s="194" t="s">
        <v>175</v>
      </c>
      <c r="M166" s="613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3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6" t="s">
        <v>562</v>
      </c>
      <c r="H167" s="7" t="s">
        <v>537</v>
      </c>
      <c r="I167" s="252"/>
      <c r="J167" s="255"/>
      <c r="K167" s="612">
        <v>96000</v>
      </c>
      <c r="L167" s="194" t="s">
        <v>9</v>
      </c>
      <c r="M167" s="613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3">
        <v>2</v>
      </c>
      <c r="AB167" s="211"/>
    </row>
    <row r="168" spans="1:30" s="603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1571</v>
      </c>
      <c r="E168" s="191">
        <v>40946</v>
      </c>
      <c r="F168" s="192" t="s">
        <v>1209</v>
      </c>
      <c r="G168" s="488" t="s">
        <v>907</v>
      </c>
      <c r="H168" s="193" t="s">
        <v>571</v>
      </c>
      <c r="I168" s="252">
        <v>600</v>
      </c>
      <c r="J168" s="252">
        <v>20730</v>
      </c>
      <c r="K168" s="612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1571</v>
      </c>
      <c r="E169" s="191">
        <v>40946</v>
      </c>
      <c r="F169" s="192" t="s">
        <v>1181</v>
      </c>
      <c r="G169" s="488" t="s">
        <v>907</v>
      </c>
      <c r="H169" s="193" t="s">
        <v>571</v>
      </c>
      <c r="I169" s="252">
        <v>200</v>
      </c>
      <c r="J169" s="252">
        <v>15720</v>
      </c>
      <c r="K169" s="612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1571</v>
      </c>
      <c r="E170" s="191">
        <v>40946</v>
      </c>
      <c r="F170" s="192" t="s">
        <v>1208</v>
      </c>
      <c r="G170" s="488" t="s">
        <v>907</v>
      </c>
      <c r="H170" s="193" t="s">
        <v>571</v>
      </c>
      <c r="I170" s="252">
        <v>300</v>
      </c>
      <c r="J170" s="252">
        <v>23900</v>
      </c>
      <c r="K170" s="612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1571</v>
      </c>
      <c r="E171" s="191">
        <v>40946</v>
      </c>
      <c r="F171" s="192" t="s">
        <v>908</v>
      </c>
      <c r="G171" s="488" t="s">
        <v>907</v>
      </c>
      <c r="H171" s="193" t="s">
        <v>571</v>
      </c>
      <c r="I171" s="252">
        <v>900</v>
      </c>
      <c r="J171" s="252">
        <v>1653</v>
      </c>
      <c r="K171" s="612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1571</v>
      </c>
      <c r="E172" s="191">
        <v>40946</v>
      </c>
      <c r="F172" s="192" t="s">
        <v>909</v>
      </c>
      <c r="G172" s="488" t="s">
        <v>907</v>
      </c>
      <c r="H172" s="193" t="s">
        <v>571</v>
      </c>
      <c r="I172" s="252">
        <v>900</v>
      </c>
      <c r="J172" s="252">
        <v>1633</v>
      </c>
      <c r="K172" s="612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1571</v>
      </c>
      <c r="E173" s="191">
        <v>40946</v>
      </c>
      <c r="F173" s="192" t="s">
        <v>524</v>
      </c>
      <c r="G173" s="488" t="s">
        <v>907</v>
      </c>
      <c r="H173" s="193" t="s">
        <v>571</v>
      </c>
      <c r="I173" s="252"/>
      <c r="J173" s="252"/>
      <c r="K173" s="612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6" t="s">
        <v>563</v>
      </c>
      <c r="H174" s="7" t="s">
        <v>545</v>
      </c>
      <c r="I174" s="254"/>
      <c r="J174" s="255"/>
      <c r="K174" s="612">
        <v>267520</v>
      </c>
      <c r="L174" s="194" t="s">
        <v>84</v>
      </c>
      <c r="M174" s="613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3"/>
      <c r="AB174" s="603"/>
      <c r="AC174" s="603"/>
      <c r="AD174" s="603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564</v>
      </c>
      <c r="G175" s="486" t="s">
        <v>565</v>
      </c>
      <c r="H175" s="7" t="s">
        <v>566</v>
      </c>
      <c r="I175" s="252"/>
      <c r="J175" s="255"/>
      <c r="K175" s="612">
        <v>332504</v>
      </c>
      <c r="L175" s="194" t="s">
        <v>84</v>
      </c>
      <c r="M175" s="613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567</v>
      </c>
      <c r="G176" s="486" t="s">
        <v>565</v>
      </c>
      <c r="H176" s="7" t="s">
        <v>566</v>
      </c>
      <c r="I176" s="255"/>
      <c r="J176" s="255"/>
      <c r="K176" s="38">
        <v>33249</v>
      </c>
      <c r="L176" s="194" t="s">
        <v>9</v>
      </c>
      <c r="M176" s="613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3">
        <v>2</v>
      </c>
      <c r="AB176" s="211"/>
      <c r="AC176" s="603"/>
      <c r="AD176" s="603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6" t="s">
        <v>568</v>
      </c>
      <c r="H177" s="45" t="s">
        <v>569</v>
      </c>
      <c r="I177" s="252"/>
      <c r="J177" s="252"/>
      <c r="K177" s="612">
        <v>2000000</v>
      </c>
      <c r="L177" s="194" t="s">
        <v>64</v>
      </c>
      <c r="M177" s="613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3"/>
      <c r="AB177" s="603"/>
      <c r="AC177" s="603"/>
      <c r="AD177" s="603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6" t="s">
        <v>568</v>
      </c>
      <c r="H178" s="45"/>
      <c r="I178" s="252"/>
      <c r="J178" s="252"/>
      <c r="K178" s="38">
        <v>2000000</v>
      </c>
      <c r="L178" s="194" t="s">
        <v>84</v>
      </c>
      <c r="M178" s="613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3"/>
      <c r="AD178" s="603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561</v>
      </c>
      <c r="G179" s="614" t="s">
        <v>570</v>
      </c>
      <c r="H179" s="193" t="s">
        <v>537</v>
      </c>
      <c r="I179" s="252"/>
      <c r="J179" s="252"/>
      <c r="K179" s="612">
        <v>1020000</v>
      </c>
      <c r="L179" s="613" t="s">
        <v>175</v>
      </c>
      <c r="M179" s="613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4" t="s">
        <v>570</v>
      </c>
      <c r="H180" s="7" t="s">
        <v>537</v>
      </c>
      <c r="I180" s="252"/>
      <c r="J180" s="252"/>
      <c r="K180" s="612">
        <v>102000</v>
      </c>
      <c r="L180" s="613" t="s">
        <v>9</v>
      </c>
      <c r="M180" s="613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3">
        <v>2</v>
      </c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1572</v>
      </c>
      <c r="E181" s="191">
        <v>40953</v>
      </c>
      <c r="F181" s="192" t="s">
        <v>910</v>
      </c>
      <c r="G181" s="488" t="s">
        <v>911</v>
      </c>
      <c r="H181" s="7" t="s">
        <v>499</v>
      </c>
      <c r="I181" s="252">
        <v>498</v>
      </c>
      <c r="J181" s="252">
        <v>7600</v>
      </c>
      <c r="K181" s="612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1572</v>
      </c>
      <c r="E182" s="191">
        <v>40953</v>
      </c>
      <c r="F182" s="192" t="s">
        <v>524</v>
      </c>
      <c r="G182" s="488" t="s">
        <v>911</v>
      </c>
      <c r="H182" s="7" t="s">
        <v>499</v>
      </c>
      <c r="I182" s="252"/>
      <c r="J182" s="252"/>
      <c r="K182" s="612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1615</v>
      </c>
      <c r="E183" s="191">
        <v>40953</v>
      </c>
      <c r="F183" s="192" t="s">
        <v>365</v>
      </c>
      <c r="G183" s="488" t="s">
        <v>911</v>
      </c>
      <c r="H183" s="7" t="s">
        <v>499</v>
      </c>
      <c r="I183" s="252"/>
      <c r="J183" s="252"/>
      <c r="K183" s="612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1573</v>
      </c>
      <c r="E184" s="191">
        <v>40953</v>
      </c>
      <c r="F184" s="192" t="s">
        <v>1132</v>
      </c>
      <c r="G184" s="488" t="s">
        <v>1528</v>
      </c>
      <c r="H184" s="7" t="s">
        <v>500</v>
      </c>
      <c r="I184" s="252">
        <v>850</v>
      </c>
      <c r="J184" s="252">
        <v>10900</v>
      </c>
      <c r="K184" s="612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1573</v>
      </c>
      <c r="E185" s="191">
        <v>40953</v>
      </c>
      <c r="F185" s="192" t="s">
        <v>530</v>
      </c>
      <c r="G185" s="488" t="s">
        <v>1528</v>
      </c>
      <c r="H185" s="7" t="s">
        <v>500</v>
      </c>
      <c r="I185" s="252"/>
      <c r="J185" s="252"/>
      <c r="K185" s="612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4" t="s">
        <v>361</v>
      </c>
      <c r="H186" s="7" t="s">
        <v>497</v>
      </c>
      <c r="I186" s="252"/>
      <c r="J186" s="252"/>
      <c r="K186" s="612">
        <v>14752000</v>
      </c>
      <c r="L186" s="613" t="s">
        <v>24</v>
      </c>
      <c r="M186" s="613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4" t="s">
        <v>361</v>
      </c>
      <c r="H187" s="7" t="s">
        <v>496</v>
      </c>
      <c r="I187" s="252"/>
      <c r="J187" s="252"/>
      <c r="K187" s="612">
        <v>125296698</v>
      </c>
      <c r="L187" s="613" t="s">
        <v>24</v>
      </c>
      <c r="M187" s="613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88" t="s">
        <v>361</v>
      </c>
      <c r="H188" s="193" t="s">
        <v>571</v>
      </c>
      <c r="I188" s="252"/>
      <c r="J188" s="255"/>
      <c r="K188" s="612">
        <v>28280340</v>
      </c>
      <c r="L188" s="194" t="s">
        <v>24</v>
      </c>
      <c r="M188" s="613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1616</v>
      </c>
      <c r="E189" s="191">
        <v>40955</v>
      </c>
      <c r="F189" s="189" t="s">
        <v>534</v>
      </c>
      <c r="G189" s="488" t="s">
        <v>361</v>
      </c>
      <c r="H189" s="7" t="s">
        <v>397</v>
      </c>
      <c r="I189" s="252"/>
      <c r="J189" s="255"/>
      <c r="K189" s="612">
        <v>40000000</v>
      </c>
      <c r="L189" s="194" t="s">
        <v>48</v>
      </c>
      <c r="M189" s="61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3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88" t="s">
        <v>361</v>
      </c>
      <c r="H190" s="7" t="s">
        <v>436</v>
      </c>
      <c r="I190" s="252"/>
      <c r="J190" s="255"/>
      <c r="K190" s="612">
        <v>100000000</v>
      </c>
      <c r="L190" s="613" t="s">
        <v>57</v>
      </c>
      <c r="M190" s="61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3"/>
      <c r="AB190" s="603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88" t="s">
        <v>361</v>
      </c>
      <c r="H191" s="7"/>
      <c r="I191" s="252"/>
      <c r="J191" s="255"/>
      <c r="K191" s="612">
        <v>9091</v>
      </c>
      <c r="L191" s="194" t="s">
        <v>84</v>
      </c>
      <c r="M191" s="61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3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1451</v>
      </c>
      <c r="G192" s="488" t="s">
        <v>361</v>
      </c>
      <c r="H192" s="7"/>
      <c r="I192" s="252"/>
      <c r="J192" s="255"/>
      <c r="K192" s="612">
        <v>909</v>
      </c>
      <c r="L192" s="194" t="s">
        <v>9</v>
      </c>
      <c r="M192" s="61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3">
        <v>2</v>
      </c>
      <c r="AB192" s="603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88" t="s">
        <v>572</v>
      </c>
      <c r="H193" s="7" t="s">
        <v>405</v>
      </c>
      <c r="I193" s="252">
        <v>100</v>
      </c>
      <c r="J193" s="255">
        <v>25000</v>
      </c>
      <c r="K193" s="612">
        <v>2500000</v>
      </c>
      <c r="L193" s="194" t="s">
        <v>171</v>
      </c>
      <c r="M193" s="613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3"/>
      <c r="AB193" s="603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88" t="s">
        <v>572</v>
      </c>
      <c r="H194" s="7" t="s">
        <v>405</v>
      </c>
      <c r="I194" s="252"/>
      <c r="J194" s="255"/>
      <c r="K194" s="38">
        <v>250000</v>
      </c>
      <c r="L194" s="194" t="s">
        <v>9</v>
      </c>
      <c r="M194" s="613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3">
        <v>2</v>
      </c>
      <c r="AB194" s="603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88" t="s">
        <v>572</v>
      </c>
      <c r="H195" s="7" t="s">
        <v>405</v>
      </c>
      <c r="I195" s="254"/>
      <c r="J195" s="255"/>
      <c r="K195" s="612">
        <v>2750000</v>
      </c>
      <c r="L195" s="613" t="s">
        <v>8</v>
      </c>
      <c r="M195" s="613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3"/>
      <c r="AC195" s="603"/>
      <c r="AD195" s="603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573</v>
      </c>
      <c r="G196" s="488" t="s">
        <v>361</v>
      </c>
      <c r="H196" s="7" t="s">
        <v>436</v>
      </c>
      <c r="I196" s="254"/>
      <c r="J196" s="255"/>
      <c r="K196" s="612">
        <v>100000000</v>
      </c>
      <c r="L196" s="194" t="s">
        <v>24</v>
      </c>
      <c r="M196" s="613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3"/>
      <c r="AB196" s="603"/>
      <c r="AC196" s="603"/>
      <c r="AD196" s="603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546</v>
      </c>
      <c r="G197" s="488" t="s">
        <v>574</v>
      </c>
      <c r="H197" s="7" t="s">
        <v>548</v>
      </c>
      <c r="I197" s="252"/>
      <c r="J197" s="255"/>
      <c r="K197" s="612">
        <v>659271</v>
      </c>
      <c r="L197" s="194" t="s">
        <v>84</v>
      </c>
      <c r="M197" s="613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3"/>
      <c r="AB197" s="603"/>
      <c r="AC197" s="603"/>
      <c r="AD197" s="603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549</v>
      </c>
      <c r="G198" s="488" t="s">
        <v>574</v>
      </c>
      <c r="H198" s="7" t="s">
        <v>548</v>
      </c>
      <c r="I198" s="255"/>
      <c r="J198" s="255"/>
      <c r="K198" s="38">
        <v>65928</v>
      </c>
      <c r="L198" s="194" t="s">
        <v>9</v>
      </c>
      <c r="M198" s="613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3">
        <v>2</v>
      </c>
      <c r="AB198" s="603"/>
      <c r="AC198" s="603"/>
      <c r="AD198" s="603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1574</v>
      </c>
      <c r="E199" s="191">
        <v>40956</v>
      </c>
      <c r="F199" s="192" t="s">
        <v>526</v>
      </c>
      <c r="G199" s="488" t="s">
        <v>912</v>
      </c>
      <c r="H199" s="7" t="s">
        <v>608</v>
      </c>
      <c r="I199" s="252">
        <v>500</v>
      </c>
      <c r="J199" s="252">
        <v>11500</v>
      </c>
      <c r="K199" s="612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1574</v>
      </c>
      <c r="E200" s="191">
        <v>40956</v>
      </c>
      <c r="F200" s="192" t="s">
        <v>530</v>
      </c>
      <c r="G200" s="488" t="s">
        <v>912</v>
      </c>
      <c r="H200" s="7" t="s">
        <v>608</v>
      </c>
      <c r="I200" s="252"/>
      <c r="J200" s="252"/>
      <c r="K200" s="612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1575</v>
      </c>
      <c r="E201" s="191">
        <v>40959</v>
      </c>
      <c r="F201" s="192" t="s">
        <v>1132</v>
      </c>
      <c r="G201" s="488" t="s">
        <v>1529</v>
      </c>
      <c r="H201" s="7" t="s">
        <v>500</v>
      </c>
      <c r="I201" s="252">
        <v>930</v>
      </c>
      <c r="J201" s="252">
        <v>10900</v>
      </c>
      <c r="K201" s="612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1575</v>
      </c>
      <c r="E202" s="191">
        <v>40959</v>
      </c>
      <c r="F202" s="192" t="s">
        <v>1532</v>
      </c>
      <c r="G202" s="488" t="s">
        <v>1529</v>
      </c>
      <c r="H202" s="7" t="s">
        <v>500</v>
      </c>
      <c r="I202" s="252">
        <v>990</v>
      </c>
      <c r="J202" s="252">
        <v>17900</v>
      </c>
      <c r="K202" s="612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1575</v>
      </c>
      <c r="E203" s="191">
        <v>40959</v>
      </c>
      <c r="F203" s="192" t="s">
        <v>530</v>
      </c>
      <c r="G203" s="488" t="s">
        <v>1529</v>
      </c>
      <c r="H203" s="7" t="s">
        <v>500</v>
      </c>
      <c r="I203" s="252"/>
      <c r="J203" s="252"/>
      <c r="K203" s="612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1617</v>
      </c>
      <c r="E204" s="191">
        <v>40960</v>
      </c>
      <c r="F204" s="192" t="s">
        <v>534</v>
      </c>
      <c r="G204" s="488" t="s">
        <v>361</v>
      </c>
      <c r="H204" s="7" t="s">
        <v>397</v>
      </c>
      <c r="I204" s="252"/>
      <c r="J204" s="255"/>
      <c r="K204" s="612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3"/>
      <c r="AB204" s="603"/>
      <c r="AC204" s="603"/>
      <c r="AD204" s="603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88" t="s">
        <v>361</v>
      </c>
      <c r="H205" s="7" t="s">
        <v>436</v>
      </c>
      <c r="I205" s="252"/>
      <c r="J205" s="255"/>
      <c r="K205" s="38">
        <v>100000000</v>
      </c>
      <c r="L205" s="613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3"/>
      <c r="AC205" s="603"/>
      <c r="AD205" s="603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6" t="s">
        <v>361</v>
      </c>
      <c r="H206" s="45"/>
      <c r="I206" s="252"/>
      <c r="J206" s="252"/>
      <c r="K206" s="38">
        <v>9091</v>
      </c>
      <c r="L206" s="194" t="s">
        <v>84</v>
      </c>
      <c r="M206" s="61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3"/>
      <c r="AB206" s="603"/>
      <c r="AC206" s="603"/>
      <c r="AD206" s="603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1451</v>
      </c>
      <c r="G207" s="486" t="s">
        <v>361</v>
      </c>
      <c r="H207" s="45"/>
      <c r="I207" s="252"/>
      <c r="J207" s="252"/>
      <c r="K207" s="38">
        <v>909</v>
      </c>
      <c r="L207" s="194" t="s">
        <v>9</v>
      </c>
      <c r="M207" s="613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3">
        <v>2</v>
      </c>
      <c r="AB207" s="603"/>
      <c r="AC207" s="603"/>
      <c r="AD207" s="603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1576</v>
      </c>
      <c r="E208" s="191">
        <v>40962</v>
      </c>
      <c r="F208" s="192" t="s">
        <v>1465</v>
      </c>
      <c r="G208" s="488" t="s">
        <v>913</v>
      </c>
      <c r="H208" s="193" t="s">
        <v>914</v>
      </c>
      <c r="I208" s="252">
        <v>100</v>
      </c>
      <c r="J208" s="252">
        <v>9470</v>
      </c>
      <c r="K208" s="612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1576</v>
      </c>
      <c r="E209" s="191">
        <v>40962</v>
      </c>
      <c r="F209" s="192" t="s">
        <v>530</v>
      </c>
      <c r="G209" s="488" t="s">
        <v>913</v>
      </c>
      <c r="H209" s="193" t="s">
        <v>914</v>
      </c>
      <c r="I209" s="252"/>
      <c r="J209" s="252"/>
      <c r="K209" s="612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1618</v>
      </c>
      <c r="E210" s="191">
        <v>40962</v>
      </c>
      <c r="F210" s="192" t="s">
        <v>365</v>
      </c>
      <c r="G210" s="488" t="s">
        <v>913</v>
      </c>
      <c r="H210" s="193" t="s">
        <v>914</v>
      </c>
      <c r="I210" s="252"/>
      <c r="J210" s="252"/>
      <c r="K210" s="612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6" t="s">
        <v>575</v>
      </c>
      <c r="H211" s="45" t="s">
        <v>576</v>
      </c>
      <c r="I211" s="252"/>
      <c r="J211" s="252"/>
      <c r="K211" s="38">
        <v>410000</v>
      </c>
      <c r="L211" s="194" t="s">
        <v>84</v>
      </c>
      <c r="M211" s="613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3"/>
      <c r="AC211" s="603"/>
      <c r="AD211" s="603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1577</v>
      </c>
      <c r="E212" s="191">
        <v>40963</v>
      </c>
      <c r="F212" s="192" t="s">
        <v>1534</v>
      </c>
      <c r="G212" s="488" t="s">
        <v>1533</v>
      </c>
      <c r="H212" s="193" t="s">
        <v>571</v>
      </c>
      <c r="I212" s="252">
        <v>200</v>
      </c>
      <c r="J212" s="252">
        <v>15720</v>
      </c>
      <c r="K212" s="612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1577</v>
      </c>
      <c r="E213" s="191">
        <v>40963</v>
      </c>
      <c r="F213" s="192" t="s">
        <v>1535</v>
      </c>
      <c r="G213" s="488" t="s">
        <v>1533</v>
      </c>
      <c r="H213" s="193" t="s">
        <v>571</v>
      </c>
      <c r="I213" s="252">
        <v>200</v>
      </c>
      <c r="J213" s="252">
        <v>1000</v>
      </c>
      <c r="K213" s="612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1577</v>
      </c>
      <c r="E214" s="191">
        <v>40963</v>
      </c>
      <c r="F214" s="192" t="s">
        <v>530</v>
      </c>
      <c r="G214" s="488" t="s">
        <v>1533</v>
      </c>
      <c r="H214" s="193" t="s">
        <v>571</v>
      </c>
      <c r="I214" s="252"/>
      <c r="J214" s="252"/>
      <c r="K214" s="612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1619</v>
      </c>
      <c r="E215" s="191">
        <v>40963</v>
      </c>
      <c r="F215" s="192" t="s">
        <v>365</v>
      </c>
      <c r="G215" s="488" t="s">
        <v>1533</v>
      </c>
      <c r="H215" s="193" t="s">
        <v>571</v>
      </c>
      <c r="I215" s="252"/>
      <c r="J215" s="252"/>
      <c r="K215" s="612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6" t="s">
        <v>361</v>
      </c>
      <c r="H216" s="45"/>
      <c r="I216" s="252"/>
      <c r="J216" s="252"/>
      <c r="K216" s="38">
        <v>58419</v>
      </c>
      <c r="L216" s="194" t="s">
        <v>24</v>
      </c>
      <c r="M216" s="613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3"/>
      <c r="AB216" s="603"/>
      <c r="AC216" s="603"/>
      <c r="AD216" s="603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1578</v>
      </c>
      <c r="E217" s="191">
        <v>40965</v>
      </c>
      <c r="F217" s="192" t="s">
        <v>1471</v>
      </c>
      <c r="G217" s="488" t="s">
        <v>1470</v>
      </c>
      <c r="H217" s="7" t="s">
        <v>496</v>
      </c>
      <c r="I217" s="252">
        <v>735</v>
      </c>
      <c r="J217" s="252">
        <v>14299</v>
      </c>
      <c r="K217" s="612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1578</v>
      </c>
      <c r="E218" s="191">
        <v>40965</v>
      </c>
      <c r="F218" s="192" t="s">
        <v>1472</v>
      </c>
      <c r="G218" s="488" t="s">
        <v>1470</v>
      </c>
      <c r="H218" s="7" t="s">
        <v>496</v>
      </c>
      <c r="I218" s="252">
        <v>2</v>
      </c>
      <c r="J218" s="252">
        <v>7146</v>
      </c>
      <c r="K218" s="612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1578</v>
      </c>
      <c r="E219" s="191">
        <v>40965</v>
      </c>
      <c r="F219" s="192" t="s">
        <v>1473</v>
      </c>
      <c r="G219" s="488" t="s">
        <v>1470</v>
      </c>
      <c r="H219" s="7" t="s">
        <v>496</v>
      </c>
      <c r="I219" s="252">
        <v>2</v>
      </c>
      <c r="J219" s="252">
        <v>13172</v>
      </c>
      <c r="K219" s="612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1578</v>
      </c>
      <c r="E220" s="191">
        <v>40965</v>
      </c>
      <c r="F220" s="192" t="s">
        <v>1474</v>
      </c>
      <c r="G220" s="488" t="s">
        <v>1470</v>
      </c>
      <c r="H220" s="7" t="s">
        <v>496</v>
      </c>
      <c r="I220" s="252">
        <v>1</v>
      </c>
      <c r="J220" s="252">
        <v>5827</v>
      </c>
      <c r="K220" s="612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1578</v>
      </c>
      <c r="E221" s="191">
        <v>40965</v>
      </c>
      <c r="F221" s="192" t="s">
        <v>1475</v>
      </c>
      <c r="G221" s="488" t="s">
        <v>1470</v>
      </c>
      <c r="H221" s="7" t="s">
        <v>496</v>
      </c>
      <c r="I221" s="252">
        <v>1</v>
      </c>
      <c r="J221" s="252">
        <v>10323</v>
      </c>
      <c r="K221" s="612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1578</v>
      </c>
      <c r="E222" s="191">
        <v>40965</v>
      </c>
      <c r="F222" s="192" t="s">
        <v>1476</v>
      </c>
      <c r="G222" s="488" t="s">
        <v>1470</v>
      </c>
      <c r="H222" s="7" t="s">
        <v>496</v>
      </c>
      <c r="I222" s="252">
        <v>1</v>
      </c>
      <c r="J222" s="252">
        <v>8416</v>
      </c>
      <c r="K222" s="612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1578</v>
      </c>
      <c r="E223" s="191">
        <v>40965</v>
      </c>
      <c r="F223" s="192" t="s">
        <v>1477</v>
      </c>
      <c r="G223" s="488" t="s">
        <v>1470</v>
      </c>
      <c r="H223" s="7" t="s">
        <v>496</v>
      </c>
      <c r="I223" s="252">
        <v>1</v>
      </c>
      <c r="J223" s="252">
        <v>9171</v>
      </c>
      <c r="K223" s="612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1578</v>
      </c>
      <c r="E224" s="191">
        <v>40965</v>
      </c>
      <c r="F224" s="192" t="s">
        <v>1478</v>
      </c>
      <c r="G224" s="488" t="s">
        <v>1470</v>
      </c>
      <c r="H224" s="7" t="s">
        <v>496</v>
      </c>
      <c r="I224" s="252">
        <v>1</v>
      </c>
      <c r="J224" s="252">
        <v>8814</v>
      </c>
      <c r="K224" s="612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1578</v>
      </c>
      <c r="E225" s="191">
        <v>40965</v>
      </c>
      <c r="F225" s="192" t="s">
        <v>1479</v>
      </c>
      <c r="G225" s="488" t="s">
        <v>1470</v>
      </c>
      <c r="H225" s="7" t="s">
        <v>496</v>
      </c>
      <c r="I225" s="252">
        <v>167</v>
      </c>
      <c r="J225" s="252">
        <v>9650</v>
      </c>
      <c r="K225" s="612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1578</v>
      </c>
      <c r="E226" s="191">
        <v>40965</v>
      </c>
      <c r="F226" s="192" t="s">
        <v>1480</v>
      </c>
      <c r="G226" s="488" t="s">
        <v>1470</v>
      </c>
      <c r="H226" s="7" t="s">
        <v>496</v>
      </c>
      <c r="I226" s="252">
        <v>364</v>
      </c>
      <c r="J226" s="252">
        <v>10655</v>
      </c>
      <c r="K226" s="612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1578</v>
      </c>
      <c r="E227" s="191">
        <v>40965</v>
      </c>
      <c r="F227" s="192" t="s">
        <v>1481</v>
      </c>
      <c r="G227" s="488" t="s">
        <v>1470</v>
      </c>
      <c r="H227" s="7" t="s">
        <v>496</v>
      </c>
      <c r="I227" s="252">
        <v>420</v>
      </c>
      <c r="J227" s="252">
        <v>13938</v>
      </c>
      <c r="K227" s="612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1579</v>
      </c>
      <c r="E228" s="191">
        <v>40965</v>
      </c>
      <c r="F228" s="192" t="s">
        <v>1482</v>
      </c>
      <c r="G228" s="488" t="s">
        <v>1470</v>
      </c>
      <c r="H228" s="7" t="s">
        <v>496</v>
      </c>
      <c r="I228" s="252">
        <v>8</v>
      </c>
      <c r="J228" s="252">
        <v>16356</v>
      </c>
      <c r="K228" s="612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1579</v>
      </c>
      <c r="E229" s="191">
        <v>40965</v>
      </c>
      <c r="F229" s="192" t="s">
        <v>1483</v>
      </c>
      <c r="G229" s="488" t="s">
        <v>1470</v>
      </c>
      <c r="H229" s="7" t="s">
        <v>496</v>
      </c>
      <c r="I229" s="252">
        <v>10</v>
      </c>
      <c r="J229" s="252">
        <v>11382</v>
      </c>
      <c r="K229" s="612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1579</v>
      </c>
      <c r="E230" s="191">
        <v>40965</v>
      </c>
      <c r="F230" s="192" t="s">
        <v>1484</v>
      </c>
      <c r="G230" s="488" t="s">
        <v>1470</v>
      </c>
      <c r="H230" s="7" t="s">
        <v>496</v>
      </c>
      <c r="I230" s="252">
        <v>17</v>
      </c>
      <c r="J230" s="252">
        <v>15688</v>
      </c>
      <c r="K230" s="612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1579</v>
      </c>
      <c r="E231" s="191">
        <v>40965</v>
      </c>
      <c r="F231" s="192" t="s">
        <v>1485</v>
      </c>
      <c r="G231" s="488" t="s">
        <v>1470</v>
      </c>
      <c r="H231" s="7" t="s">
        <v>496</v>
      </c>
      <c r="I231" s="252">
        <v>61</v>
      </c>
      <c r="J231" s="252">
        <v>14909</v>
      </c>
      <c r="K231" s="612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1579</v>
      </c>
      <c r="E232" s="191">
        <v>40965</v>
      </c>
      <c r="F232" s="192" t="s">
        <v>1486</v>
      </c>
      <c r="G232" s="488" t="s">
        <v>1470</v>
      </c>
      <c r="H232" s="7" t="s">
        <v>496</v>
      </c>
      <c r="I232" s="252">
        <v>22</v>
      </c>
      <c r="J232" s="252">
        <v>7402</v>
      </c>
      <c r="K232" s="612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1579</v>
      </c>
      <c r="E233" s="191">
        <v>40965</v>
      </c>
      <c r="F233" s="192" t="s">
        <v>1487</v>
      </c>
      <c r="G233" s="488" t="s">
        <v>1470</v>
      </c>
      <c r="H233" s="7" t="s">
        <v>496</v>
      </c>
      <c r="I233" s="252">
        <v>50</v>
      </c>
      <c r="J233" s="252">
        <v>8502</v>
      </c>
      <c r="K233" s="612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1579</v>
      </c>
      <c r="E234" s="191">
        <v>40965</v>
      </c>
      <c r="F234" s="192" t="s">
        <v>1488</v>
      </c>
      <c r="G234" s="488" t="s">
        <v>1470</v>
      </c>
      <c r="H234" s="7" t="s">
        <v>496</v>
      </c>
      <c r="I234" s="252">
        <v>19</v>
      </c>
      <c r="J234" s="252">
        <v>16790</v>
      </c>
      <c r="K234" s="612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1579</v>
      </c>
      <c r="E235" s="191">
        <v>40965</v>
      </c>
      <c r="F235" s="192" t="s">
        <v>1489</v>
      </c>
      <c r="G235" s="488" t="s">
        <v>1470</v>
      </c>
      <c r="H235" s="7" t="s">
        <v>496</v>
      </c>
      <c r="I235" s="252">
        <v>3</v>
      </c>
      <c r="J235" s="252">
        <v>12633</v>
      </c>
      <c r="K235" s="612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1579</v>
      </c>
      <c r="E236" s="191">
        <v>40965</v>
      </c>
      <c r="F236" s="192" t="s">
        <v>1473</v>
      </c>
      <c r="G236" s="488" t="s">
        <v>1470</v>
      </c>
      <c r="H236" s="7" t="s">
        <v>496</v>
      </c>
      <c r="I236" s="252">
        <v>2</v>
      </c>
      <c r="J236" s="252">
        <v>13172</v>
      </c>
      <c r="K236" s="612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1579</v>
      </c>
      <c r="E237" s="191">
        <v>40965</v>
      </c>
      <c r="F237" s="192" t="s">
        <v>1484</v>
      </c>
      <c r="G237" s="488" t="s">
        <v>1470</v>
      </c>
      <c r="H237" s="7" t="s">
        <v>496</v>
      </c>
      <c r="I237" s="252">
        <v>2</v>
      </c>
      <c r="J237" s="252">
        <v>15688</v>
      </c>
      <c r="K237" s="612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1579</v>
      </c>
      <c r="E238" s="191">
        <v>40965</v>
      </c>
      <c r="F238" s="192" t="s">
        <v>1490</v>
      </c>
      <c r="G238" s="488" t="s">
        <v>1470</v>
      </c>
      <c r="H238" s="7" t="s">
        <v>496</v>
      </c>
      <c r="I238" s="252">
        <v>1</v>
      </c>
      <c r="J238" s="252">
        <v>12250</v>
      </c>
      <c r="K238" s="612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1580</v>
      </c>
      <c r="E239" s="191">
        <v>40965</v>
      </c>
      <c r="F239" s="192" t="s">
        <v>1491</v>
      </c>
      <c r="G239" s="488" t="s">
        <v>1470</v>
      </c>
      <c r="H239" s="7" t="s">
        <v>496</v>
      </c>
      <c r="I239" s="252">
        <v>4</v>
      </c>
      <c r="J239" s="252">
        <v>19723</v>
      </c>
      <c r="K239" s="612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1580</v>
      </c>
      <c r="E240" s="191">
        <v>40965</v>
      </c>
      <c r="F240" s="192" t="s">
        <v>1492</v>
      </c>
      <c r="G240" s="488" t="s">
        <v>1470</v>
      </c>
      <c r="H240" s="7" t="s">
        <v>496</v>
      </c>
      <c r="I240" s="252">
        <v>4</v>
      </c>
      <c r="J240" s="252">
        <v>19819</v>
      </c>
      <c r="K240" s="612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1580</v>
      </c>
      <c r="E241" s="191">
        <v>40965</v>
      </c>
      <c r="F241" s="192" t="s">
        <v>1493</v>
      </c>
      <c r="G241" s="488" t="s">
        <v>1470</v>
      </c>
      <c r="H241" s="7" t="s">
        <v>496</v>
      </c>
      <c r="I241" s="252">
        <v>10</v>
      </c>
      <c r="J241" s="252">
        <v>17916</v>
      </c>
      <c r="K241" s="612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1580</v>
      </c>
      <c r="E242" s="191">
        <v>40965</v>
      </c>
      <c r="F242" s="192" t="s">
        <v>1494</v>
      </c>
      <c r="G242" s="488" t="s">
        <v>1470</v>
      </c>
      <c r="H242" s="7" t="s">
        <v>496</v>
      </c>
      <c r="I242" s="252">
        <v>508</v>
      </c>
      <c r="J242" s="252">
        <v>17507</v>
      </c>
      <c r="K242" s="612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1580</v>
      </c>
      <c r="E243" s="191">
        <v>40965</v>
      </c>
      <c r="F243" s="192" t="s">
        <v>909</v>
      </c>
      <c r="G243" s="488" t="s">
        <v>1470</v>
      </c>
      <c r="H243" s="7" t="s">
        <v>496</v>
      </c>
      <c r="I243" s="252">
        <v>520</v>
      </c>
      <c r="J243" s="252">
        <v>6577</v>
      </c>
      <c r="K243" s="612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1580</v>
      </c>
      <c r="E244" s="191">
        <v>40965</v>
      </c>
      <c r="F244" s="192" t="s">
        <v>1495</v>
      </c>
      <c r="G244" s="488" t="s">
        <v>1470</v>
      </c>
      <c r="H244" s="7" t="s">
        <v>496</v>
      </c>
      <c r="I244" s="252">
        <v>2</v>
      </c>
      <c r="J244" s="252">
        <v>19181</v>
      </c>
      <c r="K244" s="612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1580</v>
      </c>
      <c r="E245" s="191">
        <v>40965</v>
      </c>
      <c r="F245" s="192" t="s">
        <v>530</v>
      </c>
      <c r="G245" s="488" t="s">
        <v>1470</v>
      </c>
      <c r="H245" s="7" t="s">
        <v>496</v>
      </c>
      <c r="I245" s="252"/>
      <c r="J245" s="252"/>
      <c r="K245" s="612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1344</v>
      </c>
      <c r="G246" s="486" t="s">
        <v>577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3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3"/>
      <c r="AB246" s="603"/>
      <c r="AC246" s="603"/>
      <c r="AD246" s="603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1345</v>
      </c>
      <c r="G247" s="486" t="s">
        <v>577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3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3"/>
      <c r="AC247" s="603"/>
      <c r="AD247" s="603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1346</v>
      </c>
      <c r="G248" s="614" t="s">
        <v>577</v>
      </c>
      <c r="H248" s="7" t="s">
        <v>436</v>
      </c>
      <c r="I248" s="252">
        <v>360</v>
      </c>
      <c r="J248" s="252">
        <v>20362</v>
      </c>
      <c r="K248" s="612">
        <v>7330320</v>
      </c>
      <c r="L248" s="613" t="s">
        <v>169</v>
      </c>
      <c r="M248" s="613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3"/>
      <c r="AB248" s="603"/>
      <c r="AC248" s="603"/>
      <c r="AD248" s="603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1351</v>
      </c>
      <c r="G249" s="614" t="s">
        <v>577</v>
      </c>
      <c r="H249" s="7" t="s">
        <v>436</v>
      </c>
      <c r="I249" s="252">
        <v>100</v>
      </c>
      <c r="J249" s="252">
        <v>11508</v>
      </c>
      <c r="K249" s="612">
        <v>1150800</v>
      </c>
      <c r="L249" s="613" t="s">
        <v>169</v>
      </c>
      <c r="M249" s="613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3"/>
      <c r="AB249" s="603"/>
      <c r="AC249" s="603"/>
      <c r="AD249" s="603"/>
    </row>
    <row r="250" spans="1:30" s="782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1352</v>
      </c>
      <c r="G250" s="488" t="s">
        <v>577</v>
      </c>
      <c r="H250" s="7" t="s">
        <v>436</v>
      </c>
      <c r="I250" s="252">
        <v>100</v>
      </c>
      <c r="J250" s="255">
        <v>15344</v>
      </c>
      <c r="K250" s="612">
        <v>1534400</v>
      </c>
      <c r="L250" s="194" t="s">
        <v>169</v>
      </c>
      <c r="M250" s="613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3"/>
      <c r="AB250" s="603"/>
      <c r="AC250" s="603"/>
      <c r="AD250" s="603"/>
    </row>
    <row r="251" spans="1:30" s="782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1353</v>
      </c>
      <c r="G251" s="488" t="s">
        <v>577</v>
      </c>
      <c r="H251" s="7" t="s">
        <v>436</v>
      </c>
      <c r="I251" s="254">
        <v>250</v>
      </c>
      <c r="J251" s="255">
        <v>12053</v>
      </c>
      <c r="K251" s="612">
        <v>3013250</v>
      </c>
      <c r="L251" s="194" t="s">
        <v>169</v>
      </c>
      <c r="M251" s="613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3"/>
      <c r="AB251" s="603"/>
      <c r="AC251" s="603"/>
      <c r="AD251" s="603"/>
    </row>
    <row r="252" spans="1:30" s="782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1232</v>
      </c>
      <c r="G252" s="488" t="s">
        <v>577</v>
      </c>
      <c r="H252" s="7" t="s">
        <v>436</v>
      </c>
      <c r="I252" s="252">
        <v>260</v>
      </c>
      <c r="J252" s="255">
        <v>32728</v>
      </c>
      <c r="K252" s="612">
        <v>8509280</v>
      </c>
      <c r="L252" s="194" t="s">
        <v>169</v>
      </c>
      <c r="M252" s="613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3"/>
      <c r="AC252" s="603"/>
      <c r="AD252" s="603"/>
    </row>
    <row r="253" spans="1:30" s="782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1233</v>
      </c>
      <c r="G253" s="488" t="s">
        <v>577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3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3"/>
      <c r="AB253" s="603"/>
      <c r="AC253" s="603"/>
      <c r="AD253" s="603"/>
    </row>
    <row r="254" spans="1:30" s="782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541</v>
      </c>
      <c r="G254" s="486" t="s">
        <v>577</v>
      </c>
      <c r="H254" s="7" t="s">
        <v>436</v>
      </c>
      <c r="I254" s="252"/>
      <c r="J254" s="252"/>
      <c r="K254" s="38">
        <v>2849511</v>
      </c>
      <c r="L254" s="194" t="s">
        <v>9</v>
      </c>
      <c r="M254" s="613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3">
        <v>2</v>
      </c>
      <c r="AB254" s="603"/>
      <c r="AC254" s="603"/>
      <c r="AD254" s="603"/>
    </row>
    <row r="255" spans="1:30" s="782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1354</v>
      </c>
      <c r="G255" s="486" t="s">
        <v>578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3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3"/>
      <c r="AB255" s="603"/>
      <c r="AC255" s="603"/>
      <c r="AD255" s="603"/>
    </row>
    <row r="256" spans="1:30" s="782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1234</v>
      </c>
      <c r="G256" s="488" t="s">
        <v>578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3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3"/>
      <c r="AB256" s="603"/>
      <c r="AC256" s="603"/>
      <c r="AD256" s="603"/>
    </row>
    <row r="257" spans="1:30" s="782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1227</v>
      </c>
      <c r="G257" s="488" t="s">
        <v>578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3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3"/>
      <c r="AC257" s="603"/>
      <c r="AD257" s="603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1235</v>
      </c>
      <c r="G258" s="486" t="s">
        <v>578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3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3"/>
      <c r="AC258" s="603"/>
      <c r="AD258" s="603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1236</v>
      </c>
      <c r="G259" s="486" t="s">
        <v>578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3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3"/>
      <c r="AC259" s="603"/>
      <c r="AD259" s="603"/>
    </row>
    <row r="260" spans="1:30" s="603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541</v>
      </c>
      <c r="G260" s="486" t="s">
        <v>578</v>
      </c>
      <c r="H260" s="7" t="s">
        <v>436</v>
      </c>
      <c r="I260" s="254"/>
      <c r="J260" s="252"/>
      <c r="K260" s="38">
        <v>3662457</v>
      </c>
      <c r="L260" s="194" t="s">
        <v>9</v>
      </c>
      <c r="M260" s="613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3">
        <v>2</v>
      </c>
      <c r="AB260" s="198"/>
    </row>
    <row r="261" spans="1:30" s="782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09">
        <f>E261</f>
        <v>40968</v>
      </c>
      <c r="D261" s="709" t="s">
        <v>367</v>
      </c>
      <c r="E261" s="786">
        <v>40968</v>
      </c>
      <c r="F261" s="710" t="s">
        <v>1559</v>
      </c>
      <c r="G261" s="711"/>
      <c r="H261" s="626"/>
      <c r="I261" s="485"/>
      <c r="J261" s="485"/>
      <c r="K261" s="712">
        <v>9325000</v>
      </c>
      <c r="L261" s="713" t="s">
        <v>84</v>
      </c>
      <c r="M261" s="713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3"/>
      <c r="AC261" s="603"/>
      <c r="AD261" s="603"/>
    </row>
    <row r="262" spans="1:30" s="782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09">
        <f>E262</f>
        <v>40968</v>
      </c>
      <c r="D262" s="709" t="s">
        <v>367</v>
      </c>
      <c r="E262" s="786">
        <v>40968</v>
      </c>
      <c r="F262" s="710" t="s">
        <v>511</v>
      </c>
      <c r="G262" s="711"/>
      <c r="H262" s="626"/>
      <c r="I262" s="485"/>
      <c r="J262" s="485"/>
      <c r="K262" s="712">
        <v>13450000</v>
      </c>
      <c r="L262" s="713" t="s">
        <v>175</v>
      </c>
      <c r="M262" s="713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3"/>
      <c r="AC262" s="603"/>
      <c r="AD262" s="603"/>
    </row>
    <row r="263" spans="1:30" s="782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09">
        <f>E263</f>
        <v>40968</v>
      </c>
      <c r="D263" s="709" t="s">
        <v>448</v>
      </c>
      <c r="E263" s="786">
        <v>40968</v>
      </c>
      <c r="F263" s="710" t="str">
        <f>"Thanh toán tiền lương tháng "&amp;MONTH(E263)&amp;"/"&amp;YEAR(E263)</f>
        <v>Thanh toán tiền lương tháng 2/2012</v>
      </c>
      <c r="G263" s="711"/>
      <c r="H263" s="45" t="s">
        <v>659</v>
      </c>
      <c r="I263" s="485"/>
      <c r="J263" s="485"/>
      <c r="K263" s="712">
        <f>K261+K262</f>
        <v>22775000</v>
      </c>
      <c r="L263" s="713" t="s">
        <v>287</v>
      </c>
      <c r="M263" s="713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3"/>
      <c r="AC263" s="603"/>
      <c r="AD263" s="603"/>
    </row>
    <row r="264" spans="1:30" s="782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579</v>
      </c>
      <c r="G264" s="614" t="s">
        <v>580</v>
      </c>
      <c r="H264" s="193" t="s">
        <v>581</v>
      </c>
      <c r="I264" s="252">
        <v>200</v>
      </c>
      <c r="J264" s="252">
        <v>13372</v>
      </c>
      <c r="K264" s="612">
        <v>2674400</v>
      </c>
      <c r="L264" s="613" t="s">
        <v>169</v>
      </c>
      <c r="M264" s="613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3"/>
      <c r="AC264" s="603"/>
      <c r="AD264" s="603"/>
    </row>
    <row r="265" spans="1:30" s="782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582</v>
      </c>
      <c r="G265" s="488" t="s">
        <v>580</v>
      </c>
      <c r="H265" s="7" t="s">
        <v>581</v>
      </c>
      <c r="I265" s="252">
        <v>22</v>
      </c>
      <c r="J265" s="255">
        <v>17626</v>
      </c>
      <c r="K265" s="612">
        <v>387772</v>
      </c>
      <c r="L265" s="194" t="s">
        <v>169</v>
      </c>
      <c r="M265" s="613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3"/>
      <c r="AC265" s="603"/>
      <c r="AD265" s="603"/>
    </row>
    <row r="266" spans="1:30" s="782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583</v>
      </c>
      <c r="G266" s="488" t="s">
        <v>580</v>
      </c>
      <c r="H266" s="7" t="s">
        <v>581</v>
      </c>
      <c r="I266" s="252">
        <v>180</v>
      </c>
      <c r="J266" s="252">
        <v>23610</v>
      </c>
      <c r="K266" s="612">
        <v>4249800</v>
      </c>
      <c r="L266" s="194" t="s">
        <v>169</v>
      </c>
      <c r="M266" s="613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3"/>
      <c r="AC266" s="198"/>
      <c r="AD266" s="198"/>
    </row>
    <row r="267" spans="1:30" s="782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584</v>
      </c>
      <c r="G267" s="488" t="s">
        <v>580</v>
      </c>
      <c r="H267" s="7" t="s">
        <v>581</v>
      </c>
      <c r="I267" s="252">
        <v>29</v>
      </c>
      <c r="J267" s="252">
        <v>23827</v>
      </c>
      <c r="K267" s="612">
        <v>690983</v>
      </c>
      <c r="L267" s="194" t="s">
        <v>169</v>
      </c>
      <c r="M267" s="613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3"/>
      <c r="AC267" s="198"/>
      <c r="AD267" s="198"/>
    </row>
    <row r="268" spans="1:30" s="782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585</v>
      </c>
      <c r="G268" s="488" t="s">
        <v>580</v>
      </c>
      <c r="H268" s="7" t="s">
        <v>581</v>
      </c>
      <c r="I268" s="252">
        <v>230</v>
      </c>
      <c r="J268" s="252">
        <v>20213</v>
      </c>
      <c r="K268" s="612">
        <v>4648990</v>
      </c>
      <c r="L268" s="194" t="s">
        <v>169</v>
      </c>
      <c r="M268" s="613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3"/>
      <c r="AC268" s="198"/>
      <c r="AD268" s="198"/>
    </row>
    <row r="269" spans="1:30" s="782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586</v>
      </c>
      <c r="G269" s="488" t="s">
        <v>580</v>
      </c>
      <c r="H269" s="7" t="s">
        <v>581</v>
      </c>
      <c r="I269" s="252">
        <v>85</v>
      </c>
      <c r="J269" s="252">
        <v>22185</v>
      </c>
      <c r="K269" s="38">
        <v>1885725</v>
      </c>
      <c r="L269" s="194" t="s">
        <v>169</v>
      </c>
      <c r="M269" s="613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3"/>
      <c r="AC269" s="198"/>
      <c r="AD269" s="198"/>
    </row>
    <row r="270" spans="1:30" s="782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587</v>
      </c>
      <c r="G270" s="488" t="s">
        <v>580</v>
      </c>
      <c r="H270" s="7" t="s">
        <v>581</v>
      </c>
      <c r="I270" s="252">
        <v>255</v>
      </c>
      <c r="J270" s="252">
        <v>19424</v>
      </c>
      <c r="K270" s="612">
        <v>4953120</v>
      </c>
      <c r="L270" s="194" t="s">
        <v>169</v>
      </c>
      <c r="M270" s="61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3"/>
      <c r="AC270" s="198"/>
      <c r="AD270" s="198"/>
    </row>
    <row r="271" spans="1:30" s="782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588</v>
      </c>
      <c r="G271" s="488" t="s">
        <v>580</v>
      </c>
      <c r="H271" s="7" t="s">
        <v>581</v>
      </c>
      <c r="I271" s="252">
        <v>35</v>
      </c>
      <c r="J271" s="252">
        <v>21199</v>
      </c>
      <c r="K271" s="612">
        <v>741965</v>
      </c>
      <c r="L271" s="194" t="s">
        <v>169</v>
      </c>
      <c r="M271" s="61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3"/>
      <c r="AC271" s="198"/>
      <c r="AD271" s="198"/>
    </row>
    <row r="272" spans="1:30" s="782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589</v>
      </c>
      <c r="G272" s="488" t="s">
        <v>580</v>
      </c>
      <c r="H272" s="7" t="s">
        <v>581</v>
      </c>
      <c r="I272" s="252">
        <v>30</v>
      </c>
      <c r="J272" s="252">
        <v>13641</v>
      </c>
      <c r="K272" s="612">
        <v>409230</v>
      </c>
      <c r="L272" s="194" t="s">
        <v>169</v>
      </c>
      <c r="M272" s="613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3"/>
      <c r="AC272" s="198"/>
      <c r="AD272" s="198"/>
    </row>
    <row r="273" spans="1:30" s="782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590</v>
      </c>
      <c r="G273" s="488" t="s">
        <v>580</v>
      </c>
      <c r="H273" s="7" t="s">
        <v>581</v>
      </c>
      <c r="I273" s="252">
        <v>50</v>
      </c>
      <c r="J273" s="252">
        <v>14161</v>
      </c>
      <c r="K273" s="612">
        <v>708050</v>
      </c>
      <c r="L273" s="194" t="s">
        <v>169</v>
      </c>
      <c r="M273" s="613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3"/>
      <c r="AC273" s="198"/>
      <c r="AD273" s="198"/>
    </row>
    <row r="274" spans="1:30" s="782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591</v>
      </c>
      <c r="G274" s="488" t="s">
        <v>580</v>
      </c>
      <c r="H274" s="7" t="s">
        <v>581</v>
      </c>
      <c r="I274" s="254">
        <v>70</v>
      </c>
      <c r="J274" s="254">
        <v>14875</v>
      </c>
      <c r="K274" s="612">
        <v>1041250</v>
      </c>
      <c r="L274" s="194" t="s">
        <v>169</v>
      </c>
      <c r="M274" s="613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3"/>
      <c r="AC274" s="198"/>
      <c r="AD274" s="198"/>
    </row>
    <row r="275" spans="1:30" s="782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592</v>
      </c>
      <c r="G275" s="488" t="s">
        <v>580</v>
      </c>
      <c r="H275" s="7" t="s">
        <v>581</v>
      </c>
      <c r="I275" s="254">
        <v>30</v>
      </c>
      <c r="J275" s="254">
        <v>15385</v>
      </c>
      <c r="K275" s="612">
        <v>461550</v>
      </c>
      <c r="L275" s="194" t="s">
        <v>169</v>
      </c>
      <c r="M275" s="613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3"/>
      <c r="AC275" s="198"/>
      <c r="AD275" s="198"/>
    </row>
    <row r="276" spans="1:30" s="782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593</v>
      </c>
      <c r="G276" s="488" t="s">
        <v>580</v>
      </c>
      <c r="H276" s="7" t="s">
        <v>581</v>
      </c>
      <c r="I276" s="252">
        <v>40</v>
      </c>
      <c r="J276" s="252">
        <v>13372</v>
      </c>
      <c r="K276" s="612">
        <v>534880</v>
      </c>
      <c r="L276" s="194" t="s">
        <v>169</v>
      </c>
      <c r="M276" s="613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3"/>
      <c r="AC276" s="198"/>
      <c r="AD276" s="198"/>
    </row>
    <row r="277" spans="1:30" s="782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594</v>
      </c>
      <c r="G277" s="488" t="s">
        <v>580</v>
      </c>
      <c r="H277" s="7" t="s">
        <v>581</v>
      </c>
      <c r="I277" s="252">
        <v>50</v>
      </c>
      <c r="J277" s="252">
        <v>16176</v>
      </c>
      <c r="K277" s="38">
        <v>808800</v>
      </c>
      <c r="L277" s="194" t="s">
        <v>169</v>
      </c>
      <c r="M277" s="613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3"/>
      <c r="AC277" s="198"/>
      <c r="AD277" s="198"/>
    </row>
    <row r="278" spans="1:30" s="782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595</v>
      </c>
      <c r="G278" s="614" t="s">
        <v>580</v>
      </c>
      <c r="H278" s="193" t="s">
        <v>581</v>
      </c>
      <c r="I278" s="252"/>
      <c r="J278" s="252"/>
      <c r="K278" s="612">
        <v>2419652</v>
      </c>
      <c r="L278" s="613" t="s">
        <v>9</v>
      </c>
      <c r="M278" s="613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3">
        <v>2</v>
      </c>
      <c r="AB278" s="198"/>
      <c r="AC278" s="198"/>
      <c r="AD278" s="198"/>
    </row>
    <row r="279" spans="1:30" s="782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1722</v>
      </c>
      <c r="G279" s="614"/>
      <c r="H279" s="193" t="s">
        <v>1549</v>
      </c>
      <c r="I279" s="252"/>
      <c r="J279" s="252"/>
      <c r="K279" s="612">
        <v>839974</v>
      </c>
      <c r="L279" s="613" t="s">
        <v>9</v>
      </c>
      <c r="M279" s="613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3"/>
      <c r="AB279" s="198"/>
      <c r="AC279" s="198"/>
      <c r="AD279" s="198"/>
    </row>
    <row r="280" spans="1:30" s="782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1581</v>
      </c>
      <c r="E280" s="191">
        <v>40968</v>
      </c>
      <c r="F280" s="192" t="s">
        <v>1506</v>
      </c>
      <c r="G280" s="488" t="s">
        <v>1496</v>
      </c>
      <c r="H280" s="7" t="s">
        <v>496</v>
      </c>
      <c r="I280" s="252">
        <v>9</v>
      </c>
      <c r="J280" s="252">
        <v>17916</v>
      </c>
      <c r="K280" s="612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2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1581</v>
      </c>
      <c r="E281" s="191">
        <v>40968</v>
      </c>
      <c r="F281" s="192" t="s">
        <v>1505</v>
      </c>
      <c r="G281" s="488" t="s">
        <v>1496</v>
      </c>
      <c r="H281" s="7" t="s">
        <v>496</v>
      </c>
      <c r="I281" s="252">
        <v>2</v>
      </c>
      <c r="J281" s="252">
        <v>5277</v>
      </c>
      <c r="K281" s="612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2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1581</v>
      </c>
      <c r="E282" s="191">
        <v>40968</v>
      </c>
      <c r="F282" s="192" t="s">
        <v>1472</v>
      </c>
      <c r="G282" s="488" t="s">
        <v>1496</v>
      </c>
      <c r="H282" s="7" t="s">
        <v>496</v>
      </c>
      <c r="I282" s="252">
        <v>2</v>
      </c>
      <c r="J282" s="252">
        <v>7173</v>
      </c>
      <c r="K282" s="612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2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1581</v>
      </c>
      <c r="E283" s="191">
        <v>40968</v>
      </c>
      <c r="F283" s="192" t="s">
        <v>1503</v>
      </c>
      <c r="G283" s="488" t="s">
        <v>1496</v>
      </c>
      <c r="H283" s="7" t="s">
        <v>496</v>
      </c>
      <c r="I283" s="252">
        <v>3</v>
      </c>
      <c r="J283" s="252">
        <v>10123</v>
      </c>
      <c r="K283" s="612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2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1581</v>
      </c>
      <c r="E284" s="191">
        <v>40968</v>
      </c>
      <c r="F284" s="192" t="s">
        <v>1486</v>
      </c>
      <c r="G284" s="488" t="s">
        <v>1496</v>
      </c>
      <c r="H284" s="7" t="s">
        <v>496</v>
      </c>
      <c r="I284" s="252">
        <v>2</v>
      </c>
      <c r="J284" s="252">
        <v>7129</v>
      </c>
      <c r="K284" s="612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2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1581</v>
      </c>
      <c r="E285" s="191">
        <v>40968</v>
      </c>
      <c r="F285" s="192" t="s">
        <v>1502</v>
      </c>
      <c r="G285" s="488" t="s">
        <v>1496</v>
      </c>
      <c r="H285" s="7" t="s">
        <v>496</v>
      </c>
      <c r="I285" s="252">
        <v>2</v>
      </c>
      <c r="J285" s="252">
        <v>10349</v>
      </c>
      <c r="K285" s="612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2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1581</v>
      </c>
      <c r="E286" s="191">
        <v>40968</v>
      </c>
      <c r="F286" s="802" t="s">
        <v>1504</v>
      </c>
      <c r="G286" s="488" t="s">
        <v>1496</v>
      </c>
      <c r="H286" s="7" t="s">
        <v>496</v>
      </c>
      <c r="I286" s="252">
        <v>2</v>
      </c>
      <c r="J286" s="252">
        <v>12312</v>
      </c>
      <c r="K286" s="612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2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1581</v>
      </c>
      <c r="E287" s="191">
        <v>40968</v>
      </c>
      <c r="F287" s="192" t="s">
        <v>1487</v>
      </c>
      <c r="G287" s="488" t="s">
        <v>1496</v>
      </c>
      <c r="H287" s="7" t="s">
        <v>496</v>
      </c>
      <c r="I287" s="252">
        <v>66</v>
      </c>
      <c r="J287" s="252">
        <v>8504</v>
      </c>
      <c r="K287" s="612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2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1581</v>
      </c>
      <c r="E288" s="191">
        <v>40968</v>
      </c>
      <c r="F288" s="192" t="s">
        <v>1489</v>
      </c>
      <c r="G288" s="488" t="s">
        <v>1496</v>
      </c>
      <c r="H288" s="7" t="s">
        <v>496</v>
      </c>
      <c r="I288" s="252">
        <v>1</v>
      </c>
      <c r="J288" s="252">
        <v>12669</v>
      </c>
      <c r="K288" s="612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2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1581</v>
      </c>
      <c r="E289" s="191">
        <v>40968</v>
      </c>
      <c r="F289" s="192" t="s">
        <v>1479</v>
      </c>
      <c r="G289" s="488" t="s">
        <v>1496</v>
      </c>
      <c r="H289" s="7" t="s">
        <v>496</v>
      </c>
      <c r="I289" s="252">
        <v>68</v>
      </c>
      <c r="J289" s="252">
        <v>9684</v>
      </c>
      <c r="K289" s="612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2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1581</v>
      </c>
      <c r="E290" s="191">
        <v>40968</v>
      </c>
      <c r="F290" s="192" t="s">
        <v>1480</v>
      </c>
      <c r="G290" s="488" t="s">
        <v>1496</v>
      </c>
      <c r="H290" s="7" t="s">
        <v>496</v>
      </c>
      <c r="I290" s="252">
        <v>136</v>
      </c>
      <c r="J290" s="252">
        <v>10690</v>
      </c>
      <c r="K290" s="612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2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1581</v>
      </c>
      <c r="E291" s="191">
        <v>40968</v>
      </c>
      <c r="F291" s="192" t="s">
        <v>1500</v>
      </c>
      <c r="G291" s="488" t="s">
        <v>1496</v>
      </c>
      <c r="H291" s="7" t="s">
        <v>496</v>
      </c>
      <c r="I291" s="252">
        <v>52</v>
      </c>
      <c r="J291" s="252">
        <v>11054</v>
      </c>
      <c r="K291" s="612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2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1582</v>
      </c>
      <c r="E292" s="191">
        <v>40968</v>
      </c>
      <c r="F292" s="192" t="s">
        <v>1481</v>
      </c>
      <c r="G292" s="488" t="s">
        <v>1496</v>
      </c>
      <c r="H292" s="7" t="s">
        <v>496</v>
      </c>
      <c r="I292" s="252">
        <v>532</v>
      </c>
      <c r="J292" s="252">
        <v>13978</v>
      </c>
      <c r="K292" s="612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2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1582</v>
      </c>
      <c r="E293" s="191">
        <v>40968</v>
      </c>
      <c r="F293" s="192" t="s">
        <v>1471</v>
      </c>
      <c r="G293" s="488" t="s">
        <v>1496</v>
      </c>
      <c r="H293" s="7" t="s">
        <v>496</v>
      </c>
      <c r="I293" s="252">
        <v>451</v>
      </c>
      <c r="J293" s="252">
        <v>14349</v>
      </c>
      <c r="K293" s="612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2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1582</v>
      </c>
      <c r="E294" s="191">
        <v>40968</v>
      </c>
      <c r="F294" s="192" t="s">
        <v>1485</v>
      </c>
      <c r="G294" s="488" t="s">
        <v>1496</v>
      </c>
      <c r="H294" s="7" t="s">
        <v>496</v>
      </c>
      <c r="I294" s="252">
        <v>4</v>
      </c>
      <c r="J294" s="252">
        <v>14949</v>
      </c>
      <c r="K294" s="612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2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1582</v>
      </c>
      <c r="E295" s="191">
        <v>40968</v>
      </c>
      <c r="F295" s="192" t="s">
        <v>1501</v>
      </c>
      <c r="G295" s="488" t="s">
        <v>1496</v>
      </c>
      <c r="H295" s="7" t="s">
        <v>496</v>
      </c>
      <c r="I295" s="252">
        <v>346</v>
      </c>
      <c r="J295" s="252">
        <v>17110</v>
      </c>
      <c r="K295" s="612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782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1582</v>
      </c>
      <c r="E296" s="191">
        <v>40968</v>
      </c>
      <c r="F296" s="192" t="s">
        <v>1497</v>
      </c>
      <c r="G296" s="488" t="s">
        <v>1496</v>
      </c>
      <c r="H296" s="7" t="s">
        <v>496</v>
      </c>
      <c r="I296" s="252">
        <v>196</v>
      </c>
      <c r="J296" s="252">
        <v>18107</v>
      </c>
      <c r="K296" s="612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782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1582</v>
      </c>
      <c r="E297" s="191">
        <v>40968</v>
      </c>
      <c r="F297" s="192" t="s">
        <v>1488</v>
      </c>
      <c r="G297" s="488" t="s">
        <v>1496</v>
      </c>
      <c r="H297" s="7" t="s">
        <v>496</v>
      </c>
      <c r="I297" s="252">
        <v>50</v>
      </c>
      <c r="J297" s="252">
        <v>16833</v>
      </c>
      <c r="K297" s="612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782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1582</v>
      </c>
      <c r="E298" s="191">
        <v>40968</v>
      </c>
      <c r="F298" s="192" t="s">
        <v>1491</v>
      </c>
      <c r="G298" s="488" t="s">
        <v>1496</v>
      </c>
      <c r="H298" s="7" t="s">
        <v>496</v>
      </c>
      <c r="I298" s="252">
        <v>30</v>
      </c>
      <c r="J298" s="252">
        <v>19769</v>
      </c>
      <c r="K298" s="612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782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1582</v>
      </c>
      <c r="E299" s="191">
        <v>40968</v>
      </c>
      <c r="F299" s="192" t="s">
        <v>1498</v>
      </c>
      <c r="G299" s="488" t="s">
        <v>1496</v>
      </c>
      <c r="H299" s="7" t="s">
        <v>496</v>
      </c>
      <c r="I299" s="252">
        <v>63</v>
      </c>
      <c r="J299" s="252">
        <v>15249</v>
      </c>
      <c r="K299" s="612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2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1582</v>
      </c>
      <c r="E300" s="191">
        <v>40968</v>
      </c>
      <c r="F300" s="192" t="s">
        <v>1484</v>
      </c>
      <c r="G300" s="488" t="s">
        <v>1496</v>
      </c>
      <c r="H300" s="7" t="s">
        <v>496</v>
      </c>
      <c r="I300" s="252">
        <v>165</v>
      </c>
      <c r="J300" s="252">
        <v>15732</v>
      </c>
      <c r="K300" s="612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782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1582</v>
      </c>
      <c r="E301" s="191">
        <v>40968</v>
      </c>
      <c r="F301" s="192" t="s">
        <v>1482</v>
      </c>
      <c r="G301" s="488" t="s">
        <v>1496</v>
      </c>
      <c r="H301" s="7" t="s">
        <v>496</v>
      </c>
      <c r="I301" s="252">
        <v>1</v>
      </c>
      <c r="J301" s="252">
        <v>16401</v>
      </c>
      <c r="K301" s="612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2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1582</v>
      </c>
      <c r="E302" s="191">
        <v>40968</v>
      </c>
      <c r="F302" s="192" t="s">
        <v>1499</v>
      </c>
      <c r="G302" s="488" t="s">
        <v>1496</v>
      </c>
      <c r="H302" s="7" t="s">
        <v>496</v>
      </c>
      <c r="I302" s="252">
        <v>50</v>
      </c>
      <c r="J302" s="252">
        <v>20520</v>
      </c>
      <c r="K302" s="612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1582</v>
      </c>
      <c r="E303" s="191">
        <v>40968</v>
      </c>
      <c r="F303" s="192" t="s">
        <v>530</v>
      </c>
      <c r="G303" s="488" t="s">
        <v>1496</v>
      </c>
      <c r="H303" s="7" t="s">
        <v>496</v>
      </c>
      <c r="I303" s="252"/>
      <c r="J303" s="252"/>
      <c r="K303" s="612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3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596</v>
      </c>
      <c r="G304" s="486" t="s">
        <v>597</v>
      </c>
      <c r="H304" s="45" t="s">
        <v>598</v>
      </c>
      <c r="I304" s="252"/>
      <c r="J304" s="252"/>
      <c r="K304" s="38">
        <v>3800000</v>
      </c>
      <c r="L304" s="194" t="s">
        <v>84</v>
      </c>
      <c r="M304" s="613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782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599</v>
      </c>
      <c r="G305" s="486" t="s">
        <v>597</v>
      </c>
      <c r="H305" s="45" t="s">
        <v>598</v>
      </c>
      <c r="I305" s="254"/>
      <c r="J305" s="252"/>
      <c r="K305" s="38">
        <v>380000</v>
      </c>
      <c r="L305" s="194" t="s">
        <v>9</v>
      </c>
      <c r="M305" s="613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782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1583</v>
      </c>
      <c r="E306" s="191">
        <v>40971</v>
      </c>
      <c r="F306" s="192" t="s">
        <v>1464</v>
      </c>
      <c r="G306" s="488" t="s">
        <v>915</v>
      </c>
      <c r="H306" s="7" t="s">
        <v>500</v>
      </c>
      <c r="I306" s="252">
        <v>490</v>
      </c>
      <c r="J306" s="252">
        <v>12790</v>
      </c>
      <c r="K306" s="612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2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1583</v>
      </c>
      <c r="E307" s="191">
        <v>40971</v>
      </c>
      <c r="F307" s="192" t="s">
        <v>530</v>
      </c>
      <c r="G307" s="488" t="s">
        <v>915</v>
      </c>
      <c r="H307" s="7" t="s">
        <v>500</v>
      </c>
      <c r="I307" s="252"/>
      <c r="J307" s="252"/>
      <c r="K307" s="612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78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8" t="s">
        <v>1584</v>
      </c>
      <c r="E308" s="818">
        <v>40971</v>
      </c>
      <c r="F308" s="192" t="s">
        <v>1453</v>
      </c>
      <c r="G308" s="820" t="s">
        <v>916</v>
      </c>
      <c r="H308" s="193" t="s">
        <v>497</v>
      </c>
      <c r="I308" s="252">
        <v>45</v>
      </c>
      <c r="J308" s="252">
        <v>44600</v>
      </c>
      <c r="K308" s="612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8" t="s">
        <v>1584</v>
      </c>
      <c r="E309" s="818">
        <v>40971</v>
      </c>
      <c r="F309" s="192" t="s">
        <v>1454</v>
      </c>
      <c r="G309" s="820" t="s">
        <v>916</v>
      </c>
      <c r="H309" s="193" t="s">
        <v>497</v>
      </c>
      <c r="I309" s="252">
        <v>420</v>
      </c>
      <c r="J309" s="252">
        <v>24800</v>
      </c>
      <c r="K309" s="612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8" t="s">
        <v>1584</v>
      </c>
      <c r="E310" s="818">
        <v>40971</v>
      </c>
      <c r="F310" s="192" t="s">
        <v>1455</v>
      </c>
      <c r="G310" s="820" t="s">
        <v>916</v>
      </c>
      <c r="H310" s="193" t="s">
        <v>497</v>
      </c>
      <c r="I310" s="252">
        <v>15</v>
      </c>
      <c r="J310" s="252">
        <v>51500</v>
      </c>
      <c r="K310" s="612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78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18" t="s">
        <v>1584</v>
      </c>
      <c r="E311" s="818">
        <v>40971</v>
      </c>
      <c r="F311" s="192" t="s">
        <v>1456</v>
      </c>
      <c r="G311" s="820" t="s">
        <v>916</v>
      </c>
      <c r="H311" s="193" t="s">
        <v>497</v>
      </c>
      <c r="I311" s="252">
        <v>45</v>
      </c>
      <c r="J311" s="252">
        <v>36500</v>
      </c>
      <c r="K311" s="612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78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18" t="s">
        <v>1584</v>
      </c>
      <c r="E312" s="818">
        <v>40971</v>
      </c>
      <c r="F312" s="192" t="s">
        <v>1457</v>
      </c>
      <c r="G312" s="820" t="s">
        <v>916</v>
      </c>
      <c r="H312" s="193" t="s">
        <v>497</v>
      </c>
      <c r="I312" s="252">
        <v>100</v>
      </c>
      <c r="J312" s="252">
        <v>27692</v>
      </c>
      <c r="K312" s="612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18" t="s">
        <v>1584</v>
      </c>
      <c r="E313" s="818">
        <v>40971</v>
      </c>
      <c r="F313" s="192" t="s">
        <v>1458</v>
      </c>
      <c r="G313" s="820" t="s">
        <v>916</v>
      </c>
      <c r="H313" s="193" t="s">
        <v>497</v>
      </c>
      <c r="I313" s="252">
        <v>47</v>
      </c>
      <c r="J313" s="252">
        <v>18800</v>
      </c>
      <c r="K313" s="612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78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18" t="s">
        <v>1584</v>
      </c>
      <c r="E314" s="818">
        <v>40971</v>
      </c>
      <c r="F314" s="192" t="s">
        <v>1086</v>
      </c>
      <c r="G314" s="820" t="s">
        <v>916</v>
      </c>
      <c r="H314" s="193" t="s">
        <v>497</v>
      </c>
      <c r="I314" s="252">
        <v>30</v>
      </c>
      <c r="J314" s="252">
        <v>1200</v>
      </c>
      <c r="K314" s="612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18" t="s">
        <v>1584</v>
      </c>
      <c r="E315" s="818">
        <v>40971</v>
      </c>
      <c r="F315" s="192" t="s">
        <v>1459</v>
      </c>
      <c r="G315" s="820" t="s">
        <v>916</v>
      </c>
      <c r="H315" s="193" t="s">
        <v>497</v>
      </c>
      <c r="I315" s="252">
        <v>20</v>
      </c>
      <c r="J315" s="252">
        <v>36700</v>
      </c>
      <c r="K315" s="612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78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18" t="s">
        <v>1584</v>
      </c>
      <c r="E316" s="818">
        <v>40971</v>
      </c>
      <c r="F316" s="192" t="s">
        <v>1460</v>
      </c>
      <c r="G316" s="820" t="s">
        <v>916</v>
      </c>
      <c r="H316" s="193" t="s">
        <v>497</v>
      </c>
      <c r="I316" s="252">
        <v>257</v>
      </c>
      <c r="J316" s="252">
        <v>2900</v>
      </c>
      <c r="K316" s="612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78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18" t="s">
        <v>1584</v>
      </c>
      <c r="E317" s="818">
        <v>40971</v>
      </c>
      <c r="F317" s="192" t="s">
        <v>530</v>
      </c>
      <c r="G317" s="820" t="s">
        <v>916</v>
      </c>
      <c r="H317" s="193" t="s">
        <v>497</v>
      </c>
      <c r="I317" s="252"/>
      <c r="J317" s="252"/>
      <c r="K317" s="612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838"/>
      <c r="AC317" s="838">
        <f>SUM(K308:K316)-AB317</f>
        <v>20006100</v>
      </c>
      <c r="AD317" s="198"/>
    </row>
    <row r="318" spans="1:30" s="78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02" t="s">
        <v>365</v>
      </c>
      <c r="G318" s="486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3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1585</v>
      </c>
      <c r="E319" s="191">
        <v>40974</v>
      </c>
      <c r="F319" s="192" t="s">
        <v>1465</v>
      </c>
      <c r="G319" s="488" t="s">
        <v>917</v>
      </c>
      <c r="H319" s="193" t="s">
        <v>914</v>
      </c>
      <c r="I319" s="252">
        <v>230</v>
      </c>
      <c r="J319" s="252">
        <v>9470</v>
      </c>
      <c r="K319" s="612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1585</v>
      </c>
      <c r="E320" s="191">
        <v>40974</v>
      </c>
      <c r="F320" s="192" t="s">
        <v>530</v>
      </c>
      <c r="G320" s="488" t="s">
        <v>917</v>
      </c>
      <c r="H320" s="193" t="s">
        <v>914</v>
      </c>
      <c r="I320" s="252"/>
      <c r="J320" s="252"/>
      <c r="K320" s="612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1620</v>
      </c>
      <c r="E321" s="191">
        <v>40974</v>
      </c>
      <c r="F321" s="192" t="s">
        <v>365</v>
      </c>
      <c r="G321" s="488" t="s">
        <v>917</v>
      </c>
      <c r="H321" s="193" t="s">
        <v>914</v>
      </c>
      <c r="I321" s="252"/>
      <c r="J321" s="252"/>
      <c r="K321" s="612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2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1586</v>
      </c>
      <c r="E322" s="191">
        <v>40974</v>
      </c>
      <c r="F322" s="192" t="s">
        <v>1130</v>
      </c>
      <c r="G322" s="488" t="s">
        <v>918</v>
      </c>
      <c r="H322" s="193" t="s">
        <v>914</v>
      </c>
      <c r="I322" s="252">
        <v>100</v>
      </c>
      <c r="J322" s="252">
        <v>18000</v>
      </c>
      <c r="K322" s="612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2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1586</v>
      </c>
      <c r="E323" s="191">
        <v>40974</v>
      </c>
      <c r="F323" s="192" t="s">
        <v>530</v>
      </c>
      <c r="G323" s="488" t="s">
        <v>918</v>
      </c>
      <c r="H323" s="193" t="s">
        <v>914</v>
      </c>
      <c r="I323" s="252"/>
      <c r="J323" s="252"/>
      <c r="K323" s="612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78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1621</v>
      </c>
      <c r="E324" s="191">
        <v>40974</v>
      </c>
      <c r="F324" s="192" t="s">
        <v>365</v>
      </c>
      <c r="G324" s="488" t="s">
        <v>918</v>
      </c>
      <c r="H324" s="193" t="s">
        <v>914</v>
      </c>
      <c r="I324" s="252"/>
      <c r="J324" s="252"/>
      <c r="K324" s="612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78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6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3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78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6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3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1587</v>
      </c>
      <c r="E327" s="191">
        <v>40977</v>
      </c>
      <c r="F327" s="192" t="s">
        <v>1466</v>
      </c>
      <c r="G327" s="488" t="s">
        <v>919</v>
      </c>
      <c r="H327" s="193" t="s">
        <v>920</v>
      </c>
      <c r="I327" s="252">
        <v>497</v>
      </c>
      <c r="J327" s="252">
        <v>13700</v>
      </c>
      <c r="K327" s="612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78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1587</v>
      </c>
      <c r="E328" s="191">
        <v>40977</v>
      </c>
      <c r="F328" s="192" t="s">
        <v>530</v>
      </c>
      <c r="G328" s="488" t="s">
        <v>919</v>
      </c>
      <c r="H328" s="193" t="s">
        <v>920</v>
      </c>
      <c r="I328" s="252"/>
      <c r="J328" s="252"/>
      <c r="K328" s="612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782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1622</v>
      </c>
      <c r="E329" s="191">
        <v>40977</v>
      </c>
      <c r="F329" s="192" t="s">
        <v>365</v>
      </c>
      <c r="G329" s="488" t="s">
        <v>919</v>
      </c>
      <c r="H329" s="193" t="s">
        <v>920</v>
      </c>
      <c r="I329" s="252"/>
      <c r="J329" s="252"/>
      <c r="K329" s="612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782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1588</v>
      </c>
      <c r="E330" s="191">
        <v>40978</v>
      </c>
      <c r="F330" s="192" t="s">
        <v>1467</v>
      </c>
      <c r="G330" s="488" t="s">
        <v>887</v>
      </c>
      <c r="H330" s="7" t="s">
        <v>607</v>
      </c>
      <c r="I330" s="252">
        <v>1277</v>
      </c>
      <c r="J330" s="252">
        <v>6210</v>
      </c>
      <c r="K330" s="612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782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1588</v>
      </c>
      <c r="E331" s="191">
        <v>40978</v>
      </c>
      <c r="F331" s="192" t="s">
        <v>1468</v>
      </c>
      <c r="G331" s="488" t="s">
        <v>887</v>
      </c>
      <c r="H331" s="7" t="s">
        <v>607</v>
      </c>
      <c r="I331" s="252">
        <v>1305</v>
      </c>
      <c r="J331" s="252">
        <v>6630</v>
      </c>
      <c r="K331" s="612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782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1588</v>
      </c>
      <c r="E332" s="191">
        <v>40978</v>
      </c>
      <c r="F332" s="192" t="s">
        <v>1469</v>
      </c>
      <c r="G332" s="488" t="s">
        <v>887</v>
      </c>
      <c r="H332" s="7" t="s">
        <v>607</v>
      </c>
      <c r="I332" s="252">
        <v>301</v>
      </c>
      <c r="J332" s="252">
        <v>6830</v>
      </c>
      <c r="K332" s="612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78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1588</v>
      </c>
      <c r="E333" s="191">
        <v>40978</v>
      </c>
      <c r="F333" s="192" t="s">
        <v>1106</v>
      </c>
      <c r="G333" s="488" t="s">
        <v>887</v>
      </c>
      <c r="H333" s="7" t="s">
        <v>607</v>
      </c>
      <c r="I333" s="252">
        <v>220</v>
      </c>
      <c r="J333" s="252">
        <v>13320</v>
      </c>
      <c r="K333" s="612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1588</v>
      </c>
      <c r="E334" s="191">
        <v>40978</v>
      </c>
      <c r="F334" s="192" t="s">
        <v>530</v>
      </c>
      <c r="G334" s="488" t="s">
        <v>887</v>
      </c>
      <c r="H334" s="7" t="s">
        <v>607</v>
      </c>
      <c r="I334" s="252"/>
      <c r="J334" s="252"/>
      <c r="K334" s="612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1623</v>
      </c>
      <c r="E335" s="184">
        <v>40980</v>
      </c>
      <c r="F335" s="189" t="s">
        <v>534</v>
      </c>
      <c r="G335" s="614" t="s">
        <v>361</v>
      </c>
      <c r="H335" s="7" t="s">
        <v>397</v>
      </c>
      <c r="I335" s="252"/>
      <c r="J335" s="252"/>
      <c r="K335" s="612">
        <v>23390000</v>
      </c>
      <c r="L335" s="613" t="s">
        <v>48</v>
      </c>
      <c r="M335" s="613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3"/>
      <c r="AB335" s="603"/>
      <c r="AC335" s="198"/>
      <c r="AD335" s="198"/>
    </row>
    <row r="336" spans="1:30" s="78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4" t="s">
        <v>361</v>
      </c>
      <c r="H336" s="7" t="s">
        <v>436</v>
      </c>
      <c r="I336" s="252"/>
      <c r="J336" s="252"/>
      <c r="K336" s="612">
        <v>50000000</v>
      </c>
      <c r="L336" s="613" t="s">
        <v>8</v>
      </c>
      <c r="M336" s="613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3"/>
      <c r="AB336" s="603"/>
      <c r="AC336" s="198"/>
      <c r="AD336" s="198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4" t="s">
        <v>361</v>
      </c>
      <c r="H337" s="193" t="s">
        <v>581</v>
      </c>
      <c r="I337" s="252"/>
      <c r="J337" s="252"/>
      <c r="K337" s="612">
        <v>26616000</v>
      </c>
      <c r="L337" s="613" t="s">
        <v>8</v>
      </c>
      <c r="M337" s="613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3"/>
      <c r="AB337" s="603"/>
      <c r="AC337" s="198"/>
      <c r="AD337" s="198"/>
    </row>
    <row r="338" spans="1:30" s="78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1557</v>
      </c>
      <c r="G338" s="614"/>
      <c r="H338" s="193" t="s">
        <v>581</v>
      </c>
      <c r="I338" s="252"/>
      <c r="J338" s="252"/>
      <c r="K338" s="612">
        <v>167</v>
      </c>
      <c r="L338" s="613" t="s">
        <v>8</v>
      </c>
      <c r="M338" s="613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3"/>
      <c r="AB338" s="603"/>
      <c r="AC338" s="198"/>
      <c r="AD338" s="198"/>
    </row>
    <row r="339" spans="1:30" s="78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88" t="s">
        <v>361</v>
      </c>
      <c r="H339" s="7"/>
      <c r="I339" s="252"/>
      <c r="J339" s="252"/>
      <c r="K339" s="612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78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88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78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1589</v>
      </c>
      <c r="E341" s="191">
        <v>40980</v>
      </c>
      <c r="F341" s="192" t="s">
        <v>1118</v>
      </c>
      <c r="G341" s="488" t="s">
        <v>921</v>
      </c>
      <c r="H341" s="45" t="s">
        <v>866</v>
      </c>
      <c r="I341" s="252">
        <v>991</v>
      </c>
      <c r="J341" s="252">
        <v>11500</v>
      </c>
      <c r="K341" s="612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78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1589</v>
      </c>
      <c r="E342" s="191">
        <v>40980</v>
      </c>
      <c r="F342" s="192" t="s">
        <v>530</v>
      </c>
      <c r="G342" s="488" t="s">
        <v>921</v>
      </c>
      <c r="H342" s="45" t="s">
        <v>866</v>
      </c>
      <c r="I342" s="252"/>
      <c r="J342" s="252"/>
      <c r="K342" s="612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782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1590</v>
      </c>
      <c r="E343" s="191">
        <v>40980</v>
      </c>
      <c r="F343" s="192" t="s">
        <v>1008</v>
      </c>
      <c r="G343" s="488" t="s">
        <v>922</v>
      </c>
      <c r="H343" s="193" t="s">
        <v>923</v>
      </c>
      <c r="I343" s="252">
        <v>701</v>
      </c>
      <c r="J343" s="252">
        <v>6990</v>
      </c>
      <c r="K343" s="612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782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1590</v>
      </c>
      <c r="E344" s="191">
        <v>40980</v>
      </c>
      <c r="F344" s="192" t="s">
        <v>1144</v>
      </c>
      <c r="G344" s="488" t="s">
        <v>922</v>
      </c>
      <c r="H344" s="193" t="s">
        <v>923</v>
      </c>
      <c r="I344" s="252">
        <v>299</v>
      </c>
      <c r="J344" s="252">
        <v>8050</v>
      </c>
      <c r="K344" s="612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784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1590</v>
      </c>
      <c r="E345" s="191">
        <v>40980</v>
      </c>
      <c r="F345" s="192" t="s">
        <v>1070</v>
      </c>
      <c r="G345" s="488" t="s">
        <v>922</v>
      </c>
      <c r="H345" s="193" t="s">
        <v>923</v>
      </c>
      <c r="I345" s="252">
        <v>56</v>
      </c>
      <c r="J345" s="252">
        <v>7380</v>
      </c>
      <c r="K345" s="612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1590</v>
      </c>
      <c r="E346" s="191">
        <v>40980</v>
      </c>
      <c r="F346" s="192" t="s">
        <v>1143</v>
      </c>
      <c r="G346" s="488" t="s">
        <v>922</v>
      </c>
      <c r="H346" s="193" t="s">
        <v>923</v>
      </c>
      <c r="I346" s="252">
        <v>68</v>
      </c>
      <c r="J346" s="252">
        <v>9512</v>
      </c>
      <c r="K346" s="612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1590</v>
      </c>
      <c r="E347" s="191">
        <v>40980</v>
      </c>
      <c r="F347" s="189" t="s">
        <v>1044</v>
      </c>
      <c r="G347" s="488" t="s">
        <v>922</v>
      </c>
      <c r="H347" s="193" t="s">
        <v>923</v>
      </c>
      <c r="I347" s="252">
        <v>108</v>
      </c>
      <c r="J347" s="252">
        <v>6585</v>
      </c>
      <c r="K347" s="612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1590</v>
      </c>
      <c r="E348" s="191">
        <v>40980</v>
      </c>
      <c r="F348" s="192" t="s">
        <v>530</v>
      </c>
      <c r="G348" s="488" t="s">
        <v>922</v>
      </c>
      <c r="H348" s="193" t="s">
        <v>923</v>
      </c>
      <c r="I348" s="252"/>
      <c r="J348" s="252"/>
      <c r="K348" s="612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1624</v>
      </c>
      <c r="E349" s="191">
        <v>40980</v>
      </c>
      <c r="F349" s="192" t="s">
        <v>365</v>
      </c>
      <c r="G349" s="488" t="s">
        <v>922</v>
      </c>
      <c r="H349" s="193" t="s">
        <v>923</v>
      </c>
      <c r="I349" s="252"/>
      <c r="J349" s="252"/>
      <c r="K349" s="612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600</v>
      </c>
      <c r="G350" s="488" t="s">
        <v>601</v>
      </c>
      <c r="H350" s="193" t="s">
        <v>602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4" t="s">
        <v>601</v>
      </c>
      <c r="H351" s="193" t="s">
        <v>602</v>
      </c>
      <c r="I351" s="252"/>
      <c r="J351" s="252"/>
      <c r="K351" s="612">
        <v>360000</v>
      </c>
      <c r="L351" s="613" t="s">
        <v>9</v>
      </c>
      <c r="M351" s="613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603</v>
      </c>
      <c r="G352" s="614" t="s">
        <v>604</v>
      </c>
      <c r="H352" s="193" t="s">
        <v>581</v>
      </c>
      <c r="I352" s="252">
        <v>140</v>
      </c>
      <c r="J352" s="252">
        <v>16128</v>
      </c>
      <c r="K352" s="612">
        <v>2257920</v>
      </c>
      <c r="L352" s="613" t="s">
        <v>169</v>
      </c>
      <c r="M352" s="613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3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605</v>
      </c>
      <c r="G353" s="614" t="s">
        <v>604</v>
      </c>
      <c r="H353" s="7" t="s">
        <v>581</v>
      </c>
      <c r="I353" s="252">
        <v>244</v>
      </c>
      <c r="J353" s="252">
        <v>30836</v>
      </c>
      <c r="K353" s="612">
        <v>7523984</v>
      </c>
      <c r="L353" s="613" t="s">
        <v>169</v>
      </c>
      <c r="M353" s="613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3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606</v>
      </c>
      <c r="G354" s="614" t="s">
        <v>604</v>
      </c>
      <c r="H354" s="7" t="s">
        <v>581</v>
      </c>
      <c r="I354" s="252">
        <v>274</v>
      </c>
      <c r="J354" s="252">
        <v>26146</v>
      </c>
      <c r="K354" s="612">
        <v>7164004</v>
      </c>
      <c r="L354" s="613" t="s">
        <v>169</v>
      </c>
      <c r="M354" s="613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3"/>
      <c r="AB354" s="603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595</v>
      </c>
      <c r="G355" s="488" t="s">
        <v>604</v>
      </c>
      <c r="H355" s="7" t="s">
        <v>581</v>
      </c>
      <c r="I355" s="254"/>
      <c r="J355" s="254"/>
      <c r="K355" s="612">
        <v>1694590</v>
      </c>
      <c r="L355" s="194" t="s">
        <v>9</v>
      </c>
      <c r="M355" s="613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3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88" t="s">
        <v>604</v>
      </c>
      <c r="H356" s="7" t="s">
        <v>581</v>
      </c>
      <c r="I356" s="254"/>
      <c r="J356" s="254"/>
      <c r="K356" s="612">
        <v>18640498</v>
      </c>
      <c r="L356" s="194" t="s">
        <v>8</v>
      </c>
      <c r="M356" s="613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3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88" t="s">
        <v>361</v>
      </c>
      <c r="H357" s="7" t="s">
        <v>607</v>
      </c>
      <c r="I357" s="254"/>
      <c r="J357" s="254"/>
      <c r="K357" s="612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3"/>
      <c r="AB357" s="603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88" t="s">
        <v>361</v>
      </c>
      <c r="H358" s="7" t="s">
        <v>608</v>
      </c>
      <c r="I358" s="254"/>
      <c r="J358" s="254"/>
      <c r="K358" s="612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3"/>
      <c r="AB358" s="603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609</v>
      </c>
      <c r="G359" s="488" t="s">
        <v>610</v>
      </c>
      <c r="H359" s="7" t="s">
        <v>581</v>
      </c>
      <c r="I359" s="254">
        <v>33</v>
      </c>
      <c r="J359" s="254">
        <v>19316</v>
      </c>
      <c r="K359" s="612">
        <v>637428</v>
      </c>
      <c r="L359" s="194" t="s">
        <v>169</v>
      </c>
      <c r="M359" s="613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3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611</v>
      </c>
      <c r="G360" s="488" t="s">
        <v>610</v>
      </c>
      <c r="H360" s="7" t="s">
        <v>581</v>
      </c>
      <c r="I360" s="254">
        <v>503</v>
      </c>
      <c r="J360" s="254">
        <v>20511</v>
      </c>
      <c r="K360" s="612">
        <v>10317033</v>
      </c>
      <c r="L360" s="194" t="s">
        <v>169</v>
      </c>
      <c r="M360" s="613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3"/>
      <c r="AB360" s="603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612</v>
      </c>
      <c r="G361" s="488" t="s">
        <v>610</v>
      </c>
      <c r="H361" s="7" t="s">
        <v>581</v>
      </c>
      <c r="I361" s="254">
        <v>240</v>
      </c>
      <c r="J361" s="254">
        <v>15665</v>
      </c>
      <c r="K361" s="38">
        <v>3759600</v>
      </c>
      <c r="L361" s="194" t="s">
        <v>169</v>
      </c>
      <c r="M361" s="613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3"/>
      <c r="AB361" s="603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613</v>
      </c>
      <c r="G362" s="488" t="s">
        <v>610</v>
      </c>
      <c r="H362" s="7" t="s">
        <v>581</v>
      </c>
      <c r="I362" s="254">
        <v>20</v>
      </c>
      <c r="J362" s="254">
        <v>16346</v>
      </c>
      <c r="K362" s="612">
        <v>326920</v>
      </c>
      <c r="L362" s="194" t="s">
        <v>169</v>
      </c>
      <c r="M362" s="613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3"/>
      <c r="AB362" s="603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614</v>
      </c>
      <c r="G363" s="488" t="s">
        <v>610</v>
      </c>
      <c r="H363" s="7" t="s">
        <v>581</v>
      </c>
      <c r="I363" s="252">
        <v>150</v>
      </c>
      <c r="J363" s="252">
        <v>11554</v>
      </c>
      <c r="K363" s="38">
        <v>1733100</v>
      </c>
      <c r="L363" s="194" t="s">
        <v>169</v>
      </c>
      <c r="M363" s="613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3"/>
      <c r="AB363" s="603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615</v>
      </c>
      <c r="G364" s="488" t="s">
        <v>610</v>
      </c>
      <c r="H364" s="7" t="s">
        <v>581</v>
      </c>
      <c r="I364" s="252">
        <v>30</v>
      </c>
      <c r="J364" s="252">
        <v>14151</v>
      </c>
      <c r="K364" s="612">
        <v>424530</v>
      </c>
      <c r="L364" s="194" t="s">
        <v>169</v>
      </c>
      <c r="M364" s="613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3"/>
      <c r="AB364" s="603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616</v>
      </c>
      <c r="G365" s="488" t="s">
        <v>610</v>
      </c>
      <c r="H365" s="7" t="s">
        <v>581</v>
      </c>
      <c r="I365" s="252">
        <v>248</v>
      </c>
      <c r="J365" s="252">
        <v>22315</v>
      </c>
      <c r="K365" s="612">
        <v>5534120</v>
      </c>
      <c r="L365" s="194" t="s">
        <v>169</v>
      </c>
      <c r="M365" s="613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3"/>
      <c r="AB365" s="603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617</v>
      </c>
      <c r="G366" s="488" t="s">
        <v>610</v>
      </c>
      <c r="H366" s="7" t="s">
        <v>581</v>
      </c>
      <c r="I366" s="252">
        <v>350</v>
      </c>
      <c r="J366" s="252">
        <v>16660</v>
      </c>
      <c r="K366" s="612">
        <v>5831000</v>
      </c>
      <c r="L366" s="194" t="s">
        <v>169</v>
      </c>
      <c r="M366" s="613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3"/>
      <c r="AB366" s="603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618</v>
      </c>
      <c r="G367" s="488" t="s">
        <v>610</v>
      </c>
      <c r="H367" s="7" t="s">
        <v>581</v>
      </c>
      <c r="I367" s="252">
        <v>100</v>
      </c>
      <c r="J367" s="252">
        <v>29155</v>
      </c>
      <c r="K367" s="612">
        <v>2915500</v>
      </c>
      <c r="L367" s="194" t="s">
        <v>169</v>
      </c>
      <c r="M367" s="613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3"/>
      <c r="AB367" s="603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619</v>
      </c>
      <c r="G368" s="488" t="s">
        <v>610</v>
      </c>
      <c r="H368" s="7" t="s">
        <v>581</v>
      </c>
      <c r="I368" s="252">
        <v>100</v>
      </c>
      <c r="J368" s="252">
        <v>14166</v>
      </c>
      <c r="K368" s="612">
        <v>1416600</v>
      </c>
      <c r="L368" s="194" t="s">
        <v>169</v>
      </c>
      <c r="M368" s="613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3"/>
      <c r="AB368" s="603"/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620</v>
      </c>
      <c r="G369" s="488" t="s">
        <v>610</v>
      </c>
      <c r="H369" s="7" t="s">
        <v>581</v>
      </c>
      <c r="I369" s="252">
        <v>80</v>
      </c>
      <c r="J369" s="252">
        <v>23748</v>
      </c>
      <c r="K369" s="612">
        <v>1899840</v>
      </c>
      <c r="L369" s="194" t="s">
        <v>169</v>
      </c>
      <c r="M369" s="613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621</v>
      </c>
      <c r="G370" s="488" t="s">
        <v>610</v>
      </c>
      <c r="H370" s="7" t="s">
        <v>581</v>
      </c>
      <c r="I370" s="252">
        <v>300</v>
      </c>
      <c r="J370" s="252">
        <v>17763</v>
      </c>
      <c r="K370" s="612">
        <v>5328900</v>
      </c>
      <c r="L370" s="194" t="s">
        <v>169</v>
      </c>
      <c r="M370" s="613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3"/>
      <c r="AB370" s="603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622</v>
      </c>
      <c r="G371" s="488" t="s">
        <v>610</v>
      </c>
      <c r="H371" s="7" t="s">
        <v>581</v>
      </c>
      <c r="I371" s="252">
        <v>50</v>
      </c>
      <c r="J371" s="252">
        <v>17443</v>
      </c>
      <c r="K371" s="38">
        <v>872150</v>
      </c>
      <c r="L371" s="194" t="s">
        <v>169</v>
      </c>
      <c r="M371" s="613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3"/>
      <c r="AB371" s="603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623</v>
      </c>
      <c r="G372" s="614" t="s">
        <v>610</v>
      </c>
      <c r="H372" s="193" t="s">
        <v>581</v>
      </c>
      <c r="I372" s="252">
        <v>50</v>
      </c>
      <c r="J372" s="252">
        <v>21130</v>
      </c>
      <c r="K372" s="612">
        <v>1056500</v>
      </c>
      <c r="L372" s="613" t="s">
        <v>169</v>
      </c>
      <c r="M372" s="613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3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624</v>
      </c>
      <c r="G373" s="488" t="s">
        <v>610</v>
      </c>
      <c r="H373" s="193" t="s">
        <v>581</v>
      </c>
      <c r="I373" s="252">
        <v>169</v>
      </c>
      <c r="J373" s="252">
        <v>19080</v>
      </c>
      <c r="K373" s="612">
        <v>3224520</v>
      </c>
      <c r="L373" s="194" t="s">
        <v>169</v>
      </c>
      <c r="M373" s="613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3"/>
      <c r="AB373" s="603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625</v>
      </c>
      <c r="G374" s="488" t="s">
        <v>610</v>
      </c>
      <c r="H374" s="193" t="s">
        <v>581</v>
      </c>
      <c r="I374" s="252">
        <v>195</v>
      </c>
      <c r="J374" s="252">
        <v>20842</v>
      </c>
      <c r="K374" s="612">
        <v>4064190</v>
      </c>
      <c r="L374" s="194" t="s">
        <v>169</v>
      </c>
      <c r="M374" s="613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3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626</v>
      </c>
      <c r="G375" s="488" t="s">
        <v>610</v>
      </c>
      <c r="H375" s="193" t="s">
        <v>581</v>
      </c>
      <c r="I375" s="252">
        <v>105</v>
      </c>
      <c r="J375" s="252">
        <v>17530</v>
      </c>
      <c r="K375" s="38">
        <v>1840650</v>
      </c>
      <c r="L375" s="194" t="s">
        <v>169</v>
      </c>
      <c r="M375" s="613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3"/>
      <c r="AB375" s="603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627</v>
      </c>
      <c r="G376" s="488" t="s">
        <v>610</v>
      </c>
      <c r="H376" s="193" t="s">
        <v>581</v>
      </c>
      <c r="I376" s="252">
        <v>98</v>
      </c>
      <c r="J376" s="252">
        <v>19086</v>
      </c>
      <c r="K376" s="612">
        <v>1870428</v>
      </c>
      <c r="L376" s="194" t="s">
        <v>169</v>
      </c>
      <c r="M376" s="613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3"/>
      <c r="AB376" s="603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628</v>
      </c>
      <c r="G377" s="488" t="s">
        <v>610</v>
      </c>
      <c r="H377" s="193" t="s">
        <v>581</v>
      </c>
      <c r="I377" s="252">
        <v>1500</v>
      </c>
      <c r="J377" s="252">
        <v>571</v>
      </c>
      <c r="K377" s="38">
        <v>856500</v>
      </c>
      <c r="L377" s="194" t="s">
        <v>169</v>
      </c>
      <c r="M377" s="613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3"/>
      <c r="AB377" s="603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629</v>
      </c>
      <c r="G378" s="488" t="s">
        <v>610</v>
      </c>
      <c r="H378" s="7" t="s">
        <v>581</v>
      </c>
      <c r="I378" s="252">
        <v>55</v>
      </c>
      <c r="J378" s="252">
        <v>10819</v>
      </c>
      <c r="K378" s="612">
        <v>595045</v>
      </c>
      <c r="L378" s="194" t="s">
        <v>169</v>
      </c>
      <c r="M378" s="613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3"/>
      <c r="AB378" s="603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630</v>
      </c>
      <c r="G379" s="488" t="s">
        <v>610</v>
      </c>
      <c r="H379" s="7" t="s">
        <v>581</v>
      </c>
      <c r="I379" s="252">
        <v>102</v>
      </c>
      <c r="J379" s="252">
        <v>14573</v>
      </c>
      <c r="K379" s="612">
        <v>1486446</v>
      </c>
      <c r="L379" s="194" t="s">
        <v>169</v>
      </c>
      <c r="M379" s="613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3"/>
      <c r="AB379" s="603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631</v>
      </c>
      <c r="G380" s="488" t="s">
        <v>610</v>
      </c>
      <c r="H380" s="7" t="s">
        <v>581</v>
      </c>
      <c r="I380" s="254">
        <v>195</v>
      </c>
      <c r="J380" s="254">
        <v>18008</v>
      </c>
      <c r="K380" s="612">
        <v>3511560</v>
      </c>
      <c r="L380" s="194" t="s">
        <v>169</v>
      </c>
      <c r="M380" s="613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3"/>
      <c r="AB380" s="603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632</v>
      </c>
      <c r="G381" s="488" t="s">
        <v>610</v>
      </c>
      <c r="H381" s="7" t="s">
        <v>581</v>
      </c>
      <c r="I381" s="252">
        <v>105</v>
      </c>
      <c r="J381" s="252">
        <v>23373</v>
      </c>
      <c r="K381" s="612">
        <v>2454165</v>
      </c>
      <c r="L381" s="194" t="s">
        <v>169</v>
      </c>
      <c r="M381" s="613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3"/>
    </row>
    <row r="382" spans="1:30" s="782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633</v>
      </c>
      <c r="G382" s="488" t="s">
        <v>610</v>
      </c>
      <c r="H382" s="7" t="s">
        <v>581</v>
      </c>
      <c r="I382" s="254">
        <v>139</v>
      </c>
      <c r="J382" s="254">
        <v>28381</v>
      </c>
      <c r="K382" s="38">
        <v>3944959</v>
      </c>
      <c r="L382" s="194" t="s">
        <v>169</v>
      </c>
      <c r="M382" s="613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3"/>
      <c r="AB382" s="603"/>
      <c r="AC382" s="198"/>
      <c r="AD382" s="198"/>
    </row>
    <row r="383" spans="1:30" s="782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634</v>
      </c>
      <c r="G383" s="488" t="s">
        <v>610</v>
      </c>
      <c r="H383" s="45" t="s">
        <v>581</v>
      </c>
      <c r="I383" s="252">
        <v>78</v>
      </c>
      <c r="J383" s="252">
        <v>26573</v>
      </c>
      <c r="K383" s="38">
        <v>2072694</v>
      </c>
      <c r="L383" s="194" t="s">
        <v>169</v>
      </c>
      <c r="M383" s="613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3"/>
      <c r="AB383" s="603"/>
      <c r="AC383" s="198"/>
      <c r="AD383" s="198"/>
    </row>
    <row r="384" spans="1:30" s="782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635</v>
      </c>
      <c r="G384" s="488" t="s">
        <v>610</v>
      </c>
      <c r="H384" s="45" t="s">
        <v>581</v>
      </c>
      <c r="I384" s="252">
        <v>263</v>
      </c>
      <c r="J384" s="252">
        <v>11886</v>
      </c>
      <c r="K384" s="38">
        <v>3126018</v>
      </c>
      <c r="L384" s="194" t="s">
        <v>169</v>
      </c>
      <c r="M384" s="613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3"/>
      <c r="AB384" s="603"/>
      <c r="AC384" s="198"/>
      <c r="AD384" s="198"/>
    </row>
    <row r="385" spans="1:30" s="782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636</v>
      </c>
      <c r="G385" s="488" t="s">
        <v>610</v>
      </c>
      <c r="H385" s="7" t="s">
        <v>581</v>
      </c>
      <c r="I385" s="252">
        <v>225</v>
      </c>
      <c r="J385" s="252">
        <v>15974</v>
      </c>
      <c r="K385" s="612">
        <v>3594150</v>
      </c>
      <c r="L385" s="194" t="s">
        <v>169</v>
      </c>
      <c r="M385" s="613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3"/>
      <c r="AC385" s="198"/>
      <c r="AD385" s="198"/>
    </row>
    <row r="386" spans="1:30" s="782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579</v>
      </c>
      <c r="G386" s="488" t="s">
        <v>610</v>
      </c>
      <c r="H386" s="7" t="s">
        <v>581</v>
      </c>
      <c r="I386" s="252">
        <v>309</v>
      </c>
      <c r="J386" s="252">
        <v>13372</v>
      </c>
      <c r="K386" s="612">
        <v>4131948</v>
      </c>
      <c r="L386" s="194" t="s">
        <v>169</v>
      </c>
      <c r="M386" s="613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3"/>
      <c r="AB386" s="603"/>
      <c r="AC386" s="198"/>
      <c r="AD386" s="198"/>
    </row>
    <row r="387" spans="1:30" s="782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637</v>
      </c>
      <c r="G387" s="488" t="s">
        <v>610</v>
      </c>
      <c r="H387" s="7" t="s">
        <v>581</v>
      </c>
      <c r="I387" s="252">
        <v>520</v>
      </c>
      <c r="J387" s="252">
        <v>21434</v>
      </c>
      <c r="K387" s="612">
        <v>11145680</v>
      </c>
      <c r="L387" s="194" t="s">
        <v>169</v>
      </c>
      <c r="M387" s="613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3"/>
      <c r="AC387" s="198"/>
      <c r="AD387" s="198"/>
    </row>
    <row r="388" spans="1:30" s="782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638</v>
      </c>
      <c r="G388" s="488" t="s">
        <v>610</v>
      </c>
      <c r="H388" s="7" t="s">
        <v>581</v>
      </c>
      <c r="I388" s="252">
        <v>336</v>
      </c>
      <c r="J388" s="252">
        <v>28538</v>
      </c>
      <c r="K388" s="612">
        <v>9588768</v>
      </c>
      <c r="L388" s="194" t="s">
        <v>169</v>
      </c>
      <c r="M388" s="613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3"/>
      <c r="AB388" s="603"/>
      <c r="AC388" s="198"/>
      <c r="AD388" s="198"/>
    </row>
    <row r="389" spans="1:30" s="782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595</v>
      </c>
      <c r="G389" s="488" t="s">
        <v>610</v>
      </c>
      <c r="H389" s="7" t="s">
        <v>581</v>
      </c>
      <c r="I389" s="252"/>
      <c r="J389" s="252"/>
      <c r="K389" s="612">
        <v>9956094</v>
      </c>
      <c r="L389" s="194" t="s">
        <v>9</v>
      </c>
      <c r="M389" s="613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3"/>
      <c r="AC389" s="198"/>
      <c r="AD389" s="198"/>
    </row>
    <row r="390" spans="1:30" s="782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1591</v>
      </c>
      <c r="E390" s="191">
        <v>40988</v>
      </c>
      <c r="F390" s="192" t="s">
        <v>1213</v>
      </c>
      <c r="G390" s="488" t="s">
        <v>924</v>
      </c>
      <c r="H390" s="7" t="s">
        <v>607</v>
      </c>
      <c r="I390" s="252">
        <v>2985</v>
      </c>
      <c r="J390" s="252">
        <v>5600</v>
      </c>
      <c r="K390" s="612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782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1591</v>
      </c>
      <c r="E391" s="191">
        <v>40988</v>
      </c>
      <c r="F391" s="192" t="s">
        <v>1141</v>
      </c>
      <c r="G391" s="488" t="s">
        <v>924</v>
      </c>
      <c r="H391" s="7" t="s">
        <v>607</v>
      </c>
      <c r="I391" s="252">
        <v>622</v>
      </c>
      <c r="J391" s="252">
        <v>5098</v>
      </c>
      <c r="K391" s="612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2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1591</v>
      </c>
      <c r="E392" s="191">
        <v>40988</v>
      </c>
      <c r="F392" s="192" t="s">
        <v>530</v>
      </c>
      <c r="G392" s="488" t="s">
        <v>924</v>
      </c>
      <c r="H392" s="7" t="s">
        <v>607</v>
      </c>
      <c r="I392" s="252"/>
      <c r="J392" s="252"/>
      <c r="K392" s="612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2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1625</v>
      </c>
      <c r="E393" s="191">
        <v>40989</v>
      </c>
      <c r="F393" s="189" t="s">
        <v>534</v>
      </c>
      <c r="G393" s="488" t="s">
        <v>361</v>
      </c>
      <c r="H393" s="7" t="s">
        <v>397</v>
      </c>
      <c r="I393" s="252"/>
      <c r="J393" s="252"/>
      <c r="K393" s="612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3"/>
      <c r="AB393" s="603"/>
      <c r="AC393" s="198"/>
      <c r="AD393" s="198"/>
    </row>
    <row r="394" spans="1:30" s="782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1592</v>
      </c>
      <c r="E394" s="191">
        <v>40989</v>
      </c>
      <c r="F394" s="192" t="s">
        <v>1212</v>
      </c>
      <c r="G394" s="488" t="s">
        <v>925</v>
      </c>
      <c r="H394" s="193" t="s">
        <v>926</v>
      </c>
      <c r="I394" s="252">
        <v>1030</v>
      </c>
      <c r="J394" s="252">
        <v>11850</v>
      </c>
      <c r="K394" s="612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782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1592</v>
      </c>
      <c r="E395" s="191">
        <v>40989</v>
      </c>
      <c r="F395" s="192" t="s">
        <v>530</v>
      </c>
      <c r="G395" s="488" t="s">
        <v>925</v>
      </c>
      <c r="H395" s="193" t="s">
        <v>926</v>
      </c>
      <c r="I395" s="252"/>
      <c r="J395" s="252"/>
      <c r="K395" s="612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782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1626</v>
      </c>
      <c r="E396" s="191">
        <v>40989</v>
      </c>
      <c r="F396" s="192" t="s">
        <v>365</v>
      </c>
      <c r="G396" s="488" t="s">
        <v>925</v>
      </c>
      <c r="H396" s="193" t="s">
        <v>926</v>
      </c>
      <c r="I396" s="252"/>
      <c r="J396" s="252"/>
      <c r="K396" s="612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782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1593</v>
      </c>
      <c r="E397" s="191">
        <v>40989</v>
      </c>
      <c r="F397" s="192" t="s">
        <v>927</v>
      </c>
      <c r="G397" s="488" t="s">
        <v>928</v>
      </c>
      <c r="H397" s="45" t="s">
        <v>929</v>
      </c>
      <c r="I397" s="252">
        <v>210</v>
      </c>
      <c r="J397" s="252">
        <v>21779</v>
      </c>
      <c r="K397" s="612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782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1593</v>
      </c>
      <c r="E398" s="191">
        <v>40989</v>
      </c>
      <c r="F398" s="192" t="s">
        <v>1214</v>
      </c>
      <c r="G398" s="488" t="s">
        <v>928</v>
      </c>
      <c r="H398" s="45" t="s">
        <v>929</v>
      </c>
      <c r="I398" s="252">
        <v>210</v>
      </c>
      <c r="J398" s="252">
        <v>4600</v>
      </c>
      <c r="K398" s="612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782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1593</v>
      </c>
      <c r="E399" s="191">
        <v>40989</v>
      </c>
      <c r="F399" s="192" t="s">
        <v>530</v>
      </c>
      <c r="G399" s="488" t="s">
        <v>928</v>
      </c>
      <c r="H399" s="45" t="s">
        <v>929</v>
      </c>
      <c r="I399" s="252"/>
      <c r="J399" s="252"/>
      <c r="K399" s="612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782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1627</v>
      </c>
      <c r="E400" s="191">
        <v>40989</v>
      </c>
      <c r="F400" s="192" t="s">
        <v>365</v>
      </c>
      <c r="G400" s="488" t="s">
        <v>928</v>
      </c>
      <c r="H400" s="45" t="s">
        <v>929</v>
      </c>
      <c r="I400" s="252"/>
      <c r="J400" s="252"/>
      <c r="K400" s="612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782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1594</v>
      </c>
      <c r="E401" s="191">
        <v>40989</v>
      </c>
      <c r="F401" s="189" t="s">
        <v>1181</v>
      </c>
      <c r="G401" s="488" t="s">
        <v>930</v>
      </c>
      <c r="H401" s="193" t="s">
        <v>571</v>
      </c>
      <c r="I401" s="252">
        <v>308</v>
      </c>
      <c r="J401" s="252">
        <v>15720</v>
      </c>
      <c r="K401" s="612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782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1594</v>
      </c>
      <c r="E402" s="191">
        <v>40989</v>
      </c>
      <c r="F402" s="192" t="s">
        <v>530</v>
      </c>
      <c r="G402" s="488" t="s">
        <v>930</v>
      </c>
      <c r="H402" s="193" t="s">
        <v>571</v>
      </c>
      <c r="I402" s="252"/>
      <c r="J402" s="252"/>
      <c r="K402" s="612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782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639</v>
      </c>
      <c r="G403" s="488" t="s">
        <v>640</v>
      </c>
      <c r="H403" s="7" t="s">
        <v>581</v>
      </c>
      <c r="I403" s="252">
        <v>436</v>
      </c>
      <c r="J403" s="252">
        <v>25225</v>
      </c>
      <c r="K403" s="38">
        <v>10998100</v>
      </c>
      <c r="L403" s="194" t="s">
        <v>169</v>
      </c>
      <c r="M403" s="613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3"/>
      <c r="AB403" s="603"/>
      <c r="AC403" s="198"/>
      <c r="AD403" s="198"/>
    </row>
    <row r="404" spans="1:30" s="782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638</v>
      </c>
      <c r="G404" s="488" t="s">
        <v>640</v>
      </c>
      <c r="H404" s="193" t="s">
        <v>581</v>
      </c>
      <c r="I404" s="252">
        <v>342</v>
      </c>
      <c r="J404" s="252">
        <v>28538</v>
      </c>
      <c r="K404" s="38">
        <v>9759996</v>
      </c>
      <c r="L404" s="194" t="s">
        <v>169</v>
      </c>
      <c r="M404" s="613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3"/>
      <c r="AB404" s="603"/>
      <c r="AC404" s="198"/>
      <c r="AD404" s="198"/>
    </row>
    <row r="405" spans="1:30" s="782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641</v>
      </c>
      <c r="G405" s="488" t="s">
        <v>640</v>
      </c>
      <c r="H405" s="193" t="s">
        <v>581</v>
      </c>
      <c r="I405" s="252">
        <v>130</v>
      </c>
      <c r="J405" s="252">
        <v>25480</v>
      </c>
      <c r="K405" s="38">
        <v>3312400</v>
      </c>
      <c r="L405" s="194" t="s">
        <v>169</v>
      </c>
      <c r="M405" s="613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3"/>
      <c r="AC405" s="198"/>
      <c r="AD405" s="198"/>
    </row>
    <row r="406" spans="1:30" s="782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595</v>
      </c>
      <c r="G406" s="488" t="s">
        <v>640</v>
      </c>
      <c r="H406" s="193" t="s">
        <v>581</v>
      </c>
      <c r="I406" s="254"/>
      <c r="J406" s="254"/>
      <c r="K406" s="612">
        <v>2407050</v>
      </c>
      <c r="L406" s="194" t="s">
        <v>9</v>
      </c>
      <c r="M406" s="613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3"/>
      <c r="AC406" s="198"/>
      <c r="AD406" s="198"/>
    </row>
    <row r="407" spans="1:30" s="782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88" t="s">
        <v>361</v>
      </c>
      <c r="H407" s="193"/>
      <c r="I407" s="252"/>
      <c r="J407" s="252"/>
      <c r="K407" s="612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3"/>
      <c r="AC407" s="198"/>
      <c r="AD407" s="198"/>
    </row>
    <row r="408" spans="1:30" s="782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642</v>
      </c>
      <c r="G408" s="488" t="s">
        <v>643</v>
      </c>
      <c r="H408" s="193" t="s">
        <v>581</v>
      </c>
      <c r="I408" s="252">
        <v>254</v>
      </c>
      <c r="J408" s="252">
        <v>16565</v>
      </c>
      <c r="K408" s="612">
        <v>4207510</v>
      </c>
      <c r="L408" s="194" t="s">
        <v>169</v>
      </c>
      <c r="M408" s="613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3"/>
      <c r="AB408" s="603"/>
      <c r="AC408" s="198"/>
      <c r="AD408" s="198"/>
    </row>
    <row r="409" spans="1:30" s="782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644</v>
      </c>
      <c r="G409" s="488" t="s">
        <v>643</v>
      </c>
      <c r="H409" s="193" t="s">
        <v>581</v>
      </c>
      <c r="I409" s="252">
        <v>760</v>
      </c>
      <c r="J409" s="252">
        <v>12936</v>
      </c>
      <c r="K409" s="612">
        <v>9831360</v>
      </c>
      <c r="L409" s="194" t="s">
        <v>169</v>
      </c>
      <c r="M409" s="613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3"/>
      <c r="AB409" s="603"/>
      <c r="AC409" s="198"/>
      <c r="AD409" s="198"/>
    </row>
    <row r="410" spans="1:30" s="782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645</v>
      </c>
      <c r="G410" s="488" t="s">
        <v>643</v>
      </c>
      <c r="H410" s="193" t="s">
        <v>581</v>
      </c>
      <c r="I410" s="255">
        <v>103</v>
      </c>
      <c r="J410" s="255">
        <v>8555</v>
      </c>
      <c r="K410" s="38">
        <v>881165</v>
      </c>
      <c r="L410" s="194" t="s">
        <v>169</v>
      </c>
      <c r="M410" s="613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3"/>
      <c r="AB410" s="603"/>
      <c r="AC410" s="198"/>
      <c r="AD410" s="198"/>
    </row>
    <row r="411" spans="1:30" s="782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646</v>
      </c>
      <c r="G411" s="488" t="s">
        <v>643</v>
      </c>
      <c r="H411" s="7" t="s">
        <v>581</v>
      </c>
      <c r="I411" s="254">
        <v>118</v>
      </c>
      <c r="J411" s="254">
        <v>12260</v>
      </c>
      <c r="K411" s="612">
        <v>1446680</v>
      </c>
      <c r="L411" s="194" t="s">
        <v>169</v>
      </c>
      <c r="M411" s="613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3"/>
      <c r="AB411" s="603"/>
      <c r="AC411" s="198"/>
      <c r="AD411" s="198"/>
    </row>
    <row r="412" spans="1:30" s="782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595</v>
      </c>
      <c r="G412" s="488" t="s">
        <v>643</v>
      </c>
      <c r="H412" s="7" t="s">
        <v>581</v>
      </c>
      <c r="I412" s="252"/>
      <c r="J412" s="252"/>
      <c r="K412" s="38">
        <v>1636672</v>
      </c>
      <c r="L412" s="194" t="s">
        <v>9</v>
      </c>
      <c r="M412" s="613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3"/>
      <c r="AC412" s="198"/>
      <c r="AD412" s="198"/>
    </row>
    <row r="413" spans="1:30" s="782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88" t="s">
        <v>643</v>
      </c>
      <c r="H413" s="7" t="s">
        <v>581</v>
      </c>
      <c r="I413" s="252"/>
      <c r="J413" s="252"/>
      <c r="K413" s="38">
        <v>18003387</v>
      </c>
      <c r="L413" s="613" t="s">
        <v>8</v>
      </c>
      <c r="M413" s="613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3"/>
      <c r="AC413" s="198"/>
      <c r="AD413" s="198"/>
    </row>
    <row r="414" spans="1:30" s="782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4" t="s">
        <v>361</v>
      </c>
      <c r="H414" s="7" t="s">
        <v>607</v>
      </c>
      <c r="I414" s="252"/>
      <c r="J414" s="252"/>
      <c r="K414" s="612">
        <v>21875651</v>
      </c>
      <c r="L414" s="613" t="s">
        <v>24</v>
      </c>
      <c r="M414" s="613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782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1595</v>
      </c>
      <c r="E415" s="191">
        <v>40995</v>
      </c>
      <c r="F415" s="192" t="s">
        <v>1204</v>
      </c>
      <c r="G415" s="488" t="s">
        <v>931</v>
      </c>
      <c r="H415" s="193" t="s">
        <v>923</v>
      </c>
      <c r="I415" s="252">
        <v>2261</v>
      </c>
      <c r="J415" s="252">
        <v>5300</v>
      </c>
      <c r="K415" s="612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782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1595</v>
      </c>
      <c r="E416" s="191">
        <v>40995</v>
      </c>
      <c r="F416" s="192" t="s">
        <v>1202</v>
      </c>
      <c r="G416" s="488" t="s">
        <v>931</v>
      </c>
      <c r="H416" s="193" t="s">
        <v>923</v>
      </c>
      <c r="I416" s="252">
        <v>103</v>
      </c>
      <c r="J416" s="252">
        <v>9090</v>
      </c>
      <c r="K416" s="612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782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1595</v>
      </c>
      <c r="E417" s="191">
        <v>40995</v>
      </c>
      <c r="F417" s="802" t="s">
        <v>1203</v>
      </c>
      <c r="G417" s="488" t="s">
        <v>931</v>
      </c>
      <c r="H417" s="193" t="s">
        <v>923</v>
      </c>
      <c r="I417" s="252">
        <v>400</v>
      </c>
      <c r="J417" s="252">
        <v>550</v>
      </c>
      <c r="K417" s="612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782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1595</v>
      </c>
      <c r="E418" s="191">
        <v>40995</v>
      </c>
      <c r="F418" s="802" t="s">
        <v>530</v>
      </c>
      <c r="G418" s="488" t="s">
        <v>931</v>
      </c>
      <c r="H418" s="193" t="s">
        <v>923</v>
      </c>
      <c r="I418" s="254"/>
      <c r="J418" s="254"/>
      <c r="K418" s="612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782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1628</v>
      </c>
      <c r="E419" s="191">
        <v>40995</v>
      </c>
      <c r="F419" s="192" t="s">
        <v>365</v>
      </c>
      <c r="G419" s="488" t="s">
        <v>931</v>
      </c>
      <c r="H419" s="193" t="s">
        <v>923</v>
      </c>
      <c r="I419" s="254"/>
      <c r="J419" s="254"/>
      <c r="K419" s="612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2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647</v>
      </c>
      <c r="G420" s="614" t="s">
        <v>648</v>
      </c>
      <c r="H420" s="7" t="s">
        <v>649</v>
      </c>
      <c r="I420" s="252">
        <v>250</v>
      </c>
      <c r="J420" s="252">
        <v>24720</v>
      </c>
      <c r="K420" s="612">
        <v>6180000</v>
      </c>
      <c r="L420" s="613" t="s">
        <v>169</v>
      </c>
      <c r="M420" s="613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3"/>
      <c r="AB420" s="603"/>
      <c r="AC420" s="198"/>
      <c r="AD420" s="198"/>
    </row>
    <row r="421" spans="1:30" s="782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06" t="s">
        <v>650</v>
      </c>
      <c r="G421" s="614" t="s">
        <v>648</v>
      </c>
      <c r="H421" s="7" t="s">
        <v>649</v>
      </c>
      <c r="I421" s="252">
        <v>100</v>
      </c>
      <c r="J421" s="252">
        <v>13370</v>
      </c>
      <c r="K421" s="612">
        <v>1337000</v>
      </c>
      <c r="L421" s="613" t="s">
        <v>169</v>
      </c>
      <c r="M421" s="613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3"/>
      <c r="AC421" s="198"/>
      <c r="AD421" s="198"/>
    </row>
    <row r="422" spans="1:30" s="782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06" t="s">
        <v>651</v>
      </c>
      <c r="G422" s="488" t="s">
        <v>648</v>
      </c>
      <c r="H422" s="7" t="s">
        <v>649</v>
      </c>
      <c r="I422" s="252">
        <v>1000</v>
      </c>
      <c r="J422" s="252">
        <v>10130</v>
      </c>
      <c r="K422" s="612">
        <v>10130000</v>
      </c>
      <c r="L422" s="194" t="s">
        <v>169</v>
      </c>
      <c r="M422" s="613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3"/>
      <c r="AB422" s="603"/>
      <c r="AC422" s="198"/>
      <c r="AD422" s="198"/>
    </row>
    <row r="423" spans="1:30" s="782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652</v>
      </c>
      <c r="G423" s="488" t="s">
        <v>648</v>
      </c>
      <c r="H423" s="7" t="s">
        <v>649</v>
      </c>
      <c r="I423" s="252"/>
      <c r="J423" s="252"/>
      <c r="K423" s="38">
        <v>1764700</v>
      </c>
      <c r="L423" s="194" t="s">
        <v>9</v>
      </c>
      <c r="M423" s="613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782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88" t="s">
        <v>648</v>
      </c>
      <c r="H424" s="7" t="s">
        <v>649</v>
      </c>
      <c r="I424" s="252"/>
      <c r="J424" s="252"/>
      <c r="K424" s="38">
        <v>19411700</v>
      </c>
      <c r="L424" s="613" t="s">
        <v>8</v>
      </c>
      <c r="M424" s="613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782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653</v>
      </c>
      <c r="G425" s="488" t="s">
        <v>654</v>
      </c>
      <c r="H425" s="7" t="s">
        <v>602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3"/>
      <c r="AB425" s="603"/>
    </row>
    <row r="426" spans="1:30" s="782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88" t="s">
        <v>654</v>
      </c>
      <c r="H426" s="193" t="s">
        <v>602</v>
      </c>
      <c r="I426" s="252"/>
      <c r="J426" s="252"/>
      <c r="K426" s="612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3"/>
    </row>
    <row r="427" spans="1:30" s="782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655</v>
      </c>
      <c r="G427" s="488" t="s">
        <v>656</v>
      </c>
      <c r="H427" s="193" t="s">
        <v>602</v>
      </c>
      <c r="I427" s="252"/>
      <c r="J427" s="252"/>
      <c r="K427" s="612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3"/>
      <c r="AB427" s="603"/>
    </row>
    <row r="428" spans="1:30" s="782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88" t="s">
        <v>656</v>
      </c>
      <c r="H428" s="193" t="s">
        <v>602</v>
      </c>
      <c r="I428" s="252"/>
      <c r="J428" s="252"/>
      <c r="K428" s="612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3"/>
    </row>
    <row r="429" spans="1:30" s="782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1596</v>
      </c>
      <c r="E429" s="191">
        <v>40996</v>
      </c>
      <c r="F429" s="189" t="s">
        <v>1096</v>
      </c>
      <c r="G429" s="488" t="s">
        <v>932</v>
      </c>
      <c r="H429" s="193" t="s">
        <v>933</v>
      </c>
      <c r="I429" s="252">
        <v>1000</v>
      </c>
      <c r="J429" s="252">
        <v>8000</v>
      </c>
      <c r="K429" s="612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782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1596</v>
      </c>
      <c r="E430" s="191">
        <v>40996</v>
      </c>
      <c r="F430" s="192" t="s">
        <v>530</v>
      </c>
      <c r="G430" s="488" t="s">
        <v>932</v>
      </c>
      <c r="H430" s="193" t="s">
        <v>933</v>
      </c>
      <c r="I430" s="252"/>
      <c r="J430" s="252"/>
      <c r="K430" s="612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782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1629</v>
      </c>
      <c r="E431" s="191">
        <v>40996</v>
      </c>
      <c r="F431" s="192" t="s">
        <v>365</v>
      </c>
      <c r="G431" s="488" t="s">
        <v>932</v>
      </c>
      <c r="H431" s="193" t="s">
        <v>933</v>
      </c>
      <c r="I431" s="252"/>
      <c r="J431" s="252"/>
      <c r="K431" s="612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782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657</v>
      </c>
      <c r="G432" s="488" t="s">
        <v>658</v>
      </c>
      <c r="H432" s="193" t="s">
        <v>602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3"/>
      <c r="AB432" s="603"/>
    </row>
    <row r="433" spans="1:30" s="782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4" t="s">
        <v>658</v>
      </c>
      <c r="H433" s="193" t="s">
        <v>602</v>
      </c>
      <c r="I433" s="252"/>
      <c r="J433" s="252"/>
      <c r="K433" s="612">
        <v>315000</v>
      </c>
      <c r="L433" s="613" t="s">
        <v>9</v>
      </c>
      <c r="M433" s="613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3"/>
    </row>
    <row r="434" spans="1:30" s="782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1723</v>
      </c>
      <c r="G434" s="614"/>
      <c r="H434" s="193" t="s">
        <v>1549</v>
      </c>
      <c r="I434" s="252"/>
      <c r="J434" s="252"/>
      <c r="K434" s="612">
        <v>1869642</v>
      </c>
      <c r="L434" s="613" t="s">
        <v>9</v>
      </c>
      <c r="M434" s="613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3"/>
      <c r="AB434" s="198"/>
      <c r="AC434" s="198"/>
      <c r="AD434" s="198"/>
    </row>
    <row r="435" spans="1:30" s="782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1597</v>
      </c>
      <c r="E435" s="191">
        <v>40998</v>
      </c>
      <c r="F435" s="192" t="s">
        <v>1200</v>
      </c>
      <c r="G435" s="488" t="s">
        <v>934</v>
      </c>
      <c r="H435" s="210" t="s">
        <v>935</v>
      </c>
      <c r="I435" s="252">
        <v>64</v>
      </c>
      <c r="J435" s="254">
        <v>14850</v>
      </c>
      <c r="K435" s="612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2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1597</v>
      </c>
      <c r="E436" s="191">
        <v>40998</v>
      </c>
      <c r="F436" s="192" t="s">
        <v>1201</v>
      </c>
      <c r="G436" s="488" t="s">
        <v>934</v>
      </c>
      <c r="H436" s="210" t="s">
        <v>935</v>
      </c>
      <c r="I436" s="254"/>
      <c r="J436" s="254"/>
      <c r="K436" s="612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782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1630</v>
      </c>
      <c r="E437" s="191">
        <v>40998</v>
      </c>
      <c r="F437" s="192" t="s">
        <v>365</v>
      </c>
      <c r="G437" s="488" t="s">
        <v>934</v>
      </c>
      <c r="H437" s="210" t="s">
        <v>935</v>
      </c>
      <c r="I437" s="254"/>
      <c r="J437" s="254"/>
      <c r="K437" s="612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782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1598</v>
      </c>
      <c r="E438" s="191">
        <v>40998</v>
      </c>
      <c r="F438" s="192" t="s">
        <v>1199</v>
      </c>
      <c r="G438" s="488" t="s">
        <v>936</v>
      </c>
      <c r="H438" s="193" t="s">
        <v>923</v>
      </c>
      <c r="I438" s="252">
        <v>253</v>
      </c>
      <c r="J438" s="252">
        <v>5170</v>
      </c>
      <c r="K438" s="612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2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1598</v>
      </c>
      <c r="E439" s="191">
        <v>40998</v>
      </c>
      <c r="F439" s="192" t="s">
        <v>1198</v>
      </c>
      <c r="G439" s="488" t="s">
        <v>936</v>
      </c>
      <c r="H439" s="193" t="s">
        <v>923</v>
      </c>
      <c r="I439" s="252">
        <v>204</v>
      </c>
      <c r="J439" s="252">
        <v>7268</v>
      </c>
      <c r="K439" s="612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2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1598</v>
      </c>
      <c r="E440" s="191">
        <v>40998</v>
      </c>
      <c r="F440" s="192" t="s">
        <v>1197</v>
      </c>
      <c r="G440" s="488" t="s">
        <v>936</v>
      </c>
      <c r="H440" s="193" t="s">
        <v>923</v>
      </c>
      <c r="I440" s="252">
        <v>2100</v>
      </c>
      <c r="J440" s="252">
        <v>655</v>
      </c>
      <c r="K440" s="612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2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1598</v>
      </c>
      <c r="E441" s="191">
        <v>40998</v>
      </c>
      <c r="F441" s="192" t="s">
        <v>530</v>
      </c>
      <c r="G441" s="488" t="s">
        <v>936</v>
      </c>
      <c r="H441" s="193" t="s">
        <v>923</v>
      </c>
      <c r="I441" s="250"/>
      <c r="J441" s="250"/>
      <c r="K441" s="612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2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1631</v>
      </c>
      <c r="E442" s="191">
        <v>40998</v>
      </c>
      <c r="F442" s="192" t="s">
        <v>365</v>
      </c>
      <c r="G442" s="488" t="s">
        <v>936</v>
      </c>
      <c r="H442" s="193" t="s">
        <v>923</v>
      </c>
      <c r="I442" s="250"/>
      <c r="J442" s="250"/>
      <c r="K442" s="612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782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1599</v>
      </c>
      <c r="E443" s="191">
        <v>40998</v>
      </c>
      <c r="F443" s="802" t="s">
        <v>1517</v>
      </c>
      <c r="G443" s="488" t="s">
        <v>937</v>
      </c>
      <c r="H443" s="7" t="s">
        <v>496</v>
      </c>
      <c r="I443" s="252">
        <v>350</v>
      </c>
      <c r="J443" s="252">
        <v>12078</v>
      </c>
      <c r="K443" s="612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2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1599</v>
      </c>
      <c r="E444" s="191">
        <v>40998</v>
      </c>
      <c r="F444" s="192" t="s">
        <v>1518</v>
      </c>
      <c r="G444" s="488" t="s">
        <v>937</v>
      </c>
      <c r="H444" s="7" t="s">
        <v>496</v>
      </c>
      <c r="I444" s="252">
        <v>200</v>
      </c>
      <c r="J444" s="252">
        <v>15916</v>
      </c>
      <c r="K444" s="612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2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1599</v>
      </c>
      <c r="E445" s="191">
        <v>40998</v>
      </c>
      <c r="F445" s="192" t="s">
        <v>1519</v>
      </c>
      <c r="G445" s="488" t="s">
        <v>937</v>
      </c>
      <c r="H445" s="7" t="s">
        <v>496</v>
      </c>
      <c r="I445" s="252">
        <v>450</v>
      </c>
      <c r="J445" s="252">
        <v>16005</v>
      </c>
      <c r="K445" s="612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782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1599</v>
      </c>
      <c r="E446" s="191">
        <v>40998</v>
      </c>
      <c r="F446" s="192" t="s">
        <v>1511</v>
      </c>
      <c r="G446" s="488" t="s">
        <v>937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2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1599</v>
      </c>
      <c r="E447" s="191">
        <v>40998</v>
      </c>
      <c r="F447" s="192" t="s">
        <v>1514</v>
      </c>
      <c r="G447" s="488" t="s">
        <v>937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782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1599</v>
      </c>
      <c r="E448" s="191">
        <v>40998</v>
      </c>
      <c r="F448" s="192" t="s">
        <v>1478</v>
      </c>
      <c r="G448" s="488" t="s">
        <v>937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2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1599</v>
      </c>
      <c r="E449" s="191">
        <v>40998</v>
      </c>
      <c r="F449" s="192" t="s">
        <v>1521</v>
      </c>
      <c r="G449" s="488" t="s">
        <v>937</v>
      </c>
      <c r="H449" s="7" t="s">
        <v>496</v>
      </c>
      <c r="I449" s="252">
        <v>27</v>
      </c>
      <c r="J449" s="829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2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1599</v>
      </c>
      <c r="E450" s="191">
        <v>40998</v>
      </c>
      <c r="F450" s="192" t="s">
        <v>1490</v>
      </c>
      <c r="G450" s="488" t="s">
        <v>937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2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1599</v>
      </c>
      <c r="E451" s="191">
        <v>40998</v>
      </c>
      <c r="F451" s="192" t="s">
        <v>1515</v>
      </c>
      <c r="G451" s="488" t="s">
        <v>937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2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1599</v>
      </c>
      <c r="E452" s="191">
        <v>40998</v>
      </c>
      <c r="F452" s="192" t="s">
        <v>1490</v>
      </c>
      <c r="G452" s="488" t="s">
        <v>937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1599</v>
      </c>
      <c r="E453" s="191">
        <v>40998</v>
      </c>
      <c r="F453" s="802" t="s">
        <v>1520</v>
      </c>
      <c r="G453" s="488" t="s">
        <v>937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782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1599</v>
      </c>
      <c r="E454" s="191">
        <v>40998</v>
      </c>
      <c r="F454" s="192" t="s">
        <v>530</v>
      </c>
      <c r="G454" s="804" t="s">
        <v>937</v>
      </c>
      <c r="H454" s="7" t="s">
        <v>496</v>
      </c>
      <c r="I454" s="252"/>
      <c r="J454" s="252"/>
      <c r="K454" s="612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782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1600</v>
      </c>
      <c r="E455" s="191">
        <v>40998</v>
      </c>
      <c r="F455" s="192" t="s">
        <v>1517</v>
      </c>
      <c r="G455" s="665" t="s">
        <v>938</v>
      </c>
      <c r="H455" s="7" t="s">
        <v>496</v>
      </c>
      <c r="I455" s="252">
        <v>505</v>
      </c>
      <c r="J455" s="252">
        <v>12078</v>
      </c>
      <c r="K455" s="612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782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1600</v>
      </c>
      <c r="E456" s="191">
        <v>40998</v>
      </c>
      <c r="F456" s="192" t="s">
        <v>1518</v>
      </c>
      <c r="G456" s="665" t="s">
        <v>938</v>
      </c>
      <c r="H456" s="7" t="s">
        <v>496</v>
      </c>
      <c r="I456" s="252">
        <f>75+95+96</f>
        <v>266</v>
      </c>
      <c r="J456" s="252">
        <v>15916</v>
      </c>
      <c r="K456" s="612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782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1600</v>
      </c>
      <c r="E457" s="191">
        <v>40998</v>
      </c>
      <c r="F457" s="192" t="s">
        <v>1519</v>
      </c>
      <c r="G457" s="665" t="s">
        <v>938</v>
      </c>
      <c r="H457" s="7" t="s">
        <v>496</v>
      </c>
      <c r="I457" s="252">
        <f>215+645</f>
        <v>860</v>
      </c>
      <c r="J457" s="252">
        <v>16005</v>
      </c>
      <c r="K457" s="612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782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1600</v>
      </c>
      <c r="E458" s="191">
        <v>40998</v>
      </c>
      <c r="F458" s="192" t="s">
        <v>530</v>
      </c>
      <c r="G458" s="812" t="s">
        <v>938</v>
      </c>
      <c r="H458" s="7" t="s">
        <v>496</v>
      </c>
      <c r="I458" s="253"/>
      <c r="J458" s="253"/>
      <c r="K458" s="612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782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1601</v>
      </c>
      <c r="E459" s="191">
        <v>40998</v>
      </c>
      <c r="F459" s="189" t="s">
        <v>1196</v>
      </c>
      <c r="G459" s="486" t="s">
        <v>939</v>
      </c>
      <c r="H459" s="193" t="s">
        <v>663</v>
      </c>
      <c r="I459" s="252">
        <v>425</v>
      </c>
      <c r="J459" s="252">
        <v>9300</v>
      </c>
      <c r="K459" s="612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782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1601</v>
      </c>
      <c r="E460" s="191">
        <v>40998</v>
      </c>
      <c r="F460" s="192" t="s">
        <v>530</v>
      </c>
      <c r="G460" s="813" t="s">
        <v>939</v>
      </c>
      <c r="H460" s="193" t="s">
        <v>663</v>
      </c>
      <c r="I460" s="253"/>
      <c r="J460" s="253"/>
      <c r="K460" s="612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782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1602</v>
      </c>
      <c r="E461" s="818">
        <v>40998</v>
      </c>
      <c r="F461" s="192" t="s">
        <v>1456</v>
      </c>
      <c r="G461" s="830" t="s">
        <v>1536</v>
      </c>
      <c r="H461" s="193" t="s">
        <v>497</v>
      </c>
      <c r="I461" s="252">
        <v>10</v>
      </c>
      <c r="J461" s="252">
        <v>36497</v>
      </c>
      <c r="K461" s="612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782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1602</v>
      </c>
      <c r="E462" s="818">
        <v>40998</v>
      </c>
      <c r="F462" s="192" t="s">
        <v>1458</v>
      </c>
      <c r="G462" s="830" t="s">
        <v>1536</v>
      </c>
      <c r="H462" s="193" t="s">
        <v>497</v>
      </c>
      <c r="I462" s="252">
        <v>50</v>
      </c>
      <c r="J462" s="252">
        <v>18800</v>
      </c>
      <c r="K462" s="612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782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1602</v>
      </c>
      <c r="E463" s="818">
        <v>40998</v>
      </c>
      <c r="F463" s="192" t="s">
        <v>1459</v>
      </c>
      <c r="G463" s="830" t="s">
        <v>1536</v>
      </c>
      <c r="H463" s="193" t="s">
        <v>497</v>
      </c>
      <c r="I463" s="252">
        <v>75</v>
      </c>
      <c r="J463" s="252">
        <v>36700</v>
      </c>
      <c r="K463" s="612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782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1602</v>
      </c>
      <c r="E464" s="818">
        <v>40998</v>
      </c>
      <c r="F464" s="192" t="s">
        <v>1210</v>
      </c>
      <c r="G464" s="830" t="s">
        <v>1536</v>
      </c>
      <c r="H464" s="193" t="s">
        <v>497</v>
      </c>
      <c r="I464" s="252">
        <v>150</v>
      </c>
      <c r="J464" s="252">
        <v>29400</v>
      </c>
      <c r="K464" s="612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782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1602</v>
      </c>
      <c r="E465" s="818">
        <v>40998</v>
      </c>
      <c r="F465" s="192" t="s">
        <v>1211</v>
      </c>
      <c r="G465" s="830" t="s">
        <v>1536</v>
      </c>
      <c r="H465" s="193" t="s">
        <v>497</v>
      </c>
      <c r="I465" s="252">
        <v>410</v>
      </c>
      <c r="J465" s="252">
        <v>2303</v>
      </c>
      <c r="K465" s="612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784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1602</v>
      </c>
      <c r="E466" s="818">
        <v>40998</v>
      </c>
      <c r="F466" s="192" t="s">
        <v>1460</v>
      </c>
      <c r="G466" s="830" t="s">
        <v>1536</v>
      </c>
      <c r="H466" s="193" t="s">
        <v>497</v>
      </c>
      <c r="I466" s="252">
        <v>220</v>
      </c>
      <c r="J466" s="252">
        <v>2900</v>
      </c>
      <c r="K466" s="612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17">
        <f t="shared" si="32"/>
        <v>3</v>
      </c>
      <c r="C467" s="818">
        <f t="shared" si="33"/>
        <v>40998</v>
      </c>
      <c r="D467" s="191" t="s">
        <v>1602</v>
      </c>
      <c r="E467" s="818">
        <v>40998</v>
      </c>
      <c r="F467" s="819" t="s">
        <v>530</v>
      </c>
      <c r="G467" s="830" t="s">
        <v>1536</v>
      </c>
      <c r="H467" s="821" t="s">
        <v>497</v>
      </c>
      <c r="I467" s="822"/>
      <c r="J467" s="822"/>
      <c r="K467" s="828">
        <v>1004970</v>
      </c>
      <c r="L467" s="824" t="s">
        <v>284</v>
      </c>
      <c r="M467" s="82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6"/>
      <c r="AB467" s="838"/>
      <c r="AC467" s="838">
        <f>SUM(K461:K466)-AB467</f>
        <v>10049700</v>
      </c>
      <c r="AD467" s="826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09">
        <f t="shared" si="33"/>
        <v>40999</v>
      </c>
      <c r="D468" s="709" t="s">
        <v>367</v>
      </c>
      <c r="E468" s="786">
        <v>40999</v>
      </c>
      <c r="F468" s="710" t="s">
        <v>1559</v>
      </c>
      <c r="G468" s="711"/>
      <c r="H468" s="626"/>
      <c r="I468" s="485"/>
      <c r="J468" s="485"/>
      <c r="K468" s="712">
        <v>9325000</v>
      </c>
      <c r="L468" s="713" t="s">
        <v>84</v>
      </c>
      <c r="M468" s="713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3"/>
      <c r="AC468" s="603"/>
      <c r="AD468" s="603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09">
        <f t="shared" si="33"/>
        <v>40999</v>
      </c>
      <c r="D469" s="709" t="s">
        <v>367</v>
      </c>
      <c r="E469" s="786">
        <v>40999</v>
      </c>
      <c r="F469" s="710" t="s">
        <v>511</v>
      </c>
      <c r="G469" s="711"/>
      <c r="H469" s="626"/>
      <c r="I469" s="485"/>
      <c r="J469" s="485"/>
      <c r="K469" s="712">
        <v>13450000</v>
      </c>
      <c r="L469" s="713" t="s">
        <v>175</v>
      </c>
      <c r="M469" s="713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3"/>
      <c r="AC469" s="603"/>
      <c r="AD469" s="603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09">
        <f t="shared" si="33"/>
        <v>40999</v>
      </c>
      <c r="D470" s="709" t="s">
        <v>457</v>
      </c>
      <c r="E470" s="786">
        <v>40999</v>
      </c>
      <c r="F470" s="710" t="str">
        <f>"Thanh toán tiền lương tháng "&amp;MONTH(E470)&amp;"/"&amp;YEAR(E470)</f>
        <v>Thanh toán tiền lương tháng 3/2012</v>
      </c>
      <c r="G470" s="711"/>
      <c r="H470" s="45" t="s">
        <v>659</v>
      </c>
      <c r="I470" s="485"/>
      <c r="J470" s="485"/>
      <c r="K470" s="712">
        <f>K468+K469</f>
        <v>22775000</v>
      </c>
      <c r="L470" s="713" t="s">
        <v>287</v>
      </c>
      <c r="M470" s="713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3"/>
      <c r="AC470" s="603"/>
      <c r="AD470" s="603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09">
        <f t="shared" si="33"/>
        <v>41000</v>
      </c>
      <c r="D471" s="709" t="s">
        <v>367</v>
      </c>
      <c r="E471" s="786">
        <v>41000</v>
      </c>
      <c r="F471" s="710" t="s">
        <v>509</v>
      </c>
      <c r="G471" s="711"/>
      <c r="H471" s="626"/>
      <c r="I471" s="485"/>
      <c r="J471" s="485"/>
      <c r="K471" s="712">
        <v>18250000</v>
      </c>
      <c r="L471" s="713" t="s">
        <v>175</v>
      </c>
      <c r="M471" s="713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3"/>
      <c r="AB471" s="603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564</v>
      </c>
      <c r="G472" s="486" t="s">
        <v>1445</v>
      </c>
      <c r="H472" s="7" t="s">
        <v>566</v>
      </c>
      <c r="I472" s="252"/>
      <c r="J472" s="255"/>
      <c r="K472" s="612">
        <f>284300+228041+229715+162894</f>
        <v>904950</v>
      </c>
      <c r="L472" s="194" t="s">
        <v>84</v>
      </c>
      <c r="M472" s="613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567</v>
      </c>
      <c r="G473" s="486" t="s">
        <v>1445</v>
      </c>
      <c r="H473" s="7" t="s">
        <v>566</v>
      </c>
      <c r="I473" s="255"/>
      <c r="J473" s="255"/>
      <c r="K473" s="38">
        <f>28430+22804+22971+16289</f>
        <v>90494</v>
      </c>
      <c r="L473" s="194" t="s">
        <v>9</v>
      </c>
      <c r="M473" s="613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3"/>
      <c r="AD473" s="603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88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3"/>
      <c r="AB474" s="211"/>
      <c r="AC474" s="782"/>
      <c r="AD474" s="782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534</v>
      </c>
      <c r="G475" s="488" t="s">
        <v>361</v>
      </c>
      <c r="H475" s="193" t="s">
        <v>659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782"/>
      <c r="AD475" s="782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1560</v>
      </c>
      <c r="E476" s="184">
        <v>41003</v>
      </c>
      <c r="F476" s="189" t="s">
        <v>1120</v>
      </c>
      <c r="G476" s="486" t="s">
        <v>940</v>
      </c>
      <c r="H476" s="193" t="s">
        <v>885</v>
      </c>
      <c r="I476" s="252">
        <v>500</v>
      </c>
      <c r="J476" s="252">
        <v>11020</v>
      </c>
      <c r="K476" s="612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1560</v>
      </c>
      <c r="E477" s="184">
        <v>41003</v>
      </c>
      <c r="F477" s="189" t="s">
        <v>1195</v>
      </c>
      <c r="G477" s="486" t="s">
        <v>940</v>
      </c>
      <c r="H477" s="193" t="s">
        <v>885</v>
      </c>
      <c r="I477" s="252">
        <v>200</v>
      </c>
      <c r="J477" s="252">
        <v>7235</v>
      </c>
      <c r="K477" s="612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1560</v>
      </c>
      <c r="E478" s="814">
        <v>41003</v>
      </c>
      <c r="F478" s="192" t="s">
        <v>530</v>
      </c>
      <c r="G478" s="813" t="s">
        <v>940</v>
      </c>
      <c r="H478" s="193" t="s">
        <v>885</v>
      </c>
      <c r="I478" s="253"/>
      <c r="J478" s="253"/>
      <c r="K478" s="612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14">
        <v>41003</v>
      </c>
      <c r="F479" s="192" t="s">
        <v>365</v>
      </c>
      <c r="G479" s="813" t="s">
        <v>940</v>
      </c>
      <c r="H479" s="193" t="s">
        <v>885</v>
      </c>
      <c r="I479" s="253"/>
      <c r="J479" s="253"/>
      <c r="K479" s="612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1561</v>
      </c>
      <c r="E480" s="184">
        <v>41003</v>
      </c>
      <c r="F480" s="189" t="s">
        <v>1194</v>
      </c>
      <c r="G480" s="486" t="s">
        <v>941</v>
      </c>
      <c r="H480" s="7" t="s">
        <v>499</v>
      </c>
      <c r="I480" s="252">
        <v>507</v>
      </c>
      <c r="J480" s="252">
        <v>7432</v>
      </c>
      <c r="K480" s="612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1561</v>
      </c>
      <c r="E481" s="814">
        <v>41003</v>
      </c>
      <c r="F481" s="192" t="s">
        <v>530</v>
      </c>
      <c r="G481" s="813" t="s">
        <v>941</v>
      </c>
      <c r="H481" s="7" t="s">
        <v>499</v>
      </c>
      <c r="I481" s="252"/>
      <c r="J481" s="252"/>
      <c r="K481" s="612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88" t="s">
        <v>361</v>
      </c>
      <c r="H482" s="7" t="s">
        <v>496</v>
      </c>
      <c r="I482" s="252"/>
      <c r="J482" s="252"/>
      <c r="K482" s="612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3"/>
      <c r="AB482" s="211"/>
      <c r="AC482" s="782"/>
      <c r="AD482" s="782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534</v>
      </c>
      <c r="G483" s="488" t="s">
        <v>361</v>
      </c>
      <c r="H483" s="7" t="s">
        <v>659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782"/>
      <c r="AD483" s="782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1562</v>
      </c>
      <c r="E484" s="184">
        <v>41004</v>
      </c>
      <c r="F484" s="189" t="s">
        <v>1132</v>
      </c>
      <c r="G484" s="486" t="s">
        <v>942</v>
      </c>
      <c r="H484" s="7" t="s">
        <v>500</v>
      </c>
      <c r="I484" s="252">
        <v>1488</v>
      </c>
      <c r="J484" s="252">
        <v>10900</v>
      </c>
      <c r="K484" s="612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1562</v>
      </c>
      <c r="E485" s="814">
        <v>41004</v>
      </c>
      <c r="F485" s="192" t="s">
        <v>530</v>
      </c>
      <c r="G485" s="813" t="s">
        <v>942</v>
      </c>
      <c r="H485" s="7" t="s">
        <v>500</v>
      </c>
      <c r="I485" s="252"/>
      <c r="J485" s="252"/>
      <c r="K485" s="612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4" t="s">
        <v>361</v>
      </c>
      <c r="H486" s="193" t="s">
        <v>571</v>
      </c>
      <c r="I486" s="252"/>
      <c r="J486" s="252"/>
      <c r="K486" s="612">
        <v>9004336</v>
      </c>
      <c r="L486" s="613" t="s">
        <v>24</v>
      </c>
      <c r="M486" s="613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3"/>
      <c r="AB486" s="603"/>
      <c r="AC486" s="782"/>
      <c r="AD486" s="782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534</v>
      </c>
      <c r="G487" s="614" t="s">
        <v>361</v>
      </c>
      <c r="H487" s="7" t="s">
        <v>659</v>
      </c>
      <c r="I487" s="252"/>
      <c r="J487" s="252"/>
      <c r="K487" s="612">
        <v>30000000</v>
      </c>
      <c r="L487" s="613" t="s">
        <v>48</v>
      </c>
      <c r="M487" s="613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3"/>
      <c r="AC487" s="782"/>
      <c r="AD487" s="782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4" t="s">
        <v>361</v>
      </c>
      <c r="H488" s="7" t="s">
        <v>436</v>
      </c>
      <c r="I488" s="252"/>
      <c r="J488" s="252"/>
      <c r="K488" s="612">
        <v>35000000</v>
      </c>
      <c r="L488" s="613" t="s">
        <v>8</v>
      </c>
      <c r="M488" s="613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3"/>
      <c r="AB488" s="603"/>
      <c r="AC488" s="782"/>
      <c r="AD488" s="782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4" t="s">
        <v>361</v>
      </c>
      <c r="H489" s="7"/>
      <c r="I489" s="252"/>
      <c r="J489" s="252"/>
      <c r="K489" s="612">
        <v>10000</v>
      </c>
      <c r="L489" s="613" t="s">
        <v>84</v>
      </c>
      <c r="M489" s="613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3"/>
      <c r="AB489" s="603"/>
      <c r="AC489" s="782"/>
      <c r="AD489" s="782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1563</v>
      </c>
      <c r="E490" s="184">
        <v>41009</v>
      </c>
      <c r="F490" s="189" t="s">
        <v>1096</v>
      </c>
      <c r="G490" s="486" t="s">
        <v>943</v>
      </c>
      <c r="H490" s="193" t="s">
        <v>933</v>
      </c>
      <c r="I490" s="252">
        <v>420</v>
      </c>
      <c r="J490" s="252">
        <v>8000</v>
      </c>
      <c r="K490" s="612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1563</v>
      </c>
      <c r="E491" s="184">
        <v>41009</v>
      </c>
      <c r="F491" s="189" t="s">
        <v>1193</v>
      </c>
      <c r="G491" s="486" t="s">
        <v>943</v>
      </c>
      <c r="H491" s="193" t="s">
        <v>933</v>
      </c>
      <c r="I491" s="252">
        <v>412</v>
      </c>
      <c r="J491" s="252">
        <v>8360</v>
      </c>
      <c r="K491" s="612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1563</v>
      </c>
      <c r="E492" s="814">
        <v>41009</v>
      </c>
      <c r="F492" s="192" t="s">
        <v>530</v>
      </c>
      <c r="G492" s="486" t="s">
        <v>943</v>
      </c>
      <c r="H492" s="193" t="s">
        <v>933</v>
      </c>
      <c r="I492" s="252"/>
      <c r="J492" s="252"/>
      <c r="K492" s="612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517</v>
      </c>
      <c r="E493" s="814">
        <v>41009</v>
      </c>
      <c r="F493" s="192" t="s">
        <v>365</v>
      </c>
      <c r="G493" s="486" t="s">
        <v>943</v>
      </c>
      <c r="H493" s="193" t="s">
        <v>933</v>
      </c>
      <c r="I493" s="252"/>
      <c r="J493" s="252"/>
      <c r="K493" s="612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1564</v>
      </c>
      <c r="E494" s="184">
        <v>41009</v>
      </c>
      <c r="F494" s="189" t="s">
        <v>1192</v>
      </c>
      <c r="G494" s="486" t="s">
        <v>944</v>
      </c>
      <c r="H494" s="193" t="s">
        <v>571</v>
      </c>
      <c r="I494" s="252">
        <v>1000</v>
      </c>
      <c r="J494" s="252">
        <v>2000</v>
      </c>
      <c r="K494" s="612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1564</v>
      </c>
      <c r="E495" s="184">
        <v>41009</v>
      </c>
      <c r="F495" s="189" t="s">
        <v>1191</v>
      </c>
      <c r="G495" s="486" t="s">
        <v>944</v>
      </c>
      <c r="H495" s="193" t="s">
        <v>571</v>
      </c>
      <c r="I495" s="252">
        <v>1500</v>
      </c>
      <c r="J495" s="252">
        <v>1000</v>
      </c>
      <c r="K495" s="612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1564</v>
      </c>
      <c r="E496" s="815">
        <v>41009</v>
      </c>
      <c r="F496" s="192" t="s">
        <v>530</v>
      </c>
      <c r="G496" s="486" t="s">
        <v>944</v>
      </c>
      <c r="H496" s="193" t="s">
        <v>571</v>
      </c>
      <c r="I496" s="252"/>
      <c r="J496" s="252"/>
      <c r="K496" s="612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88" t="s">
        <v>361</v>
      </c>
      <c r="H497" s="7" t="s">
        <v>497</v>
      </c>
      <c r="I497" s="252"/>
      <c r="J497" s="252"/>
      <c r="K497" s="612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3"/>
      <c r="AB497" s="603"/>
      <c r="AC497" s="782"/>
      <c r="AD497" s="782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1565</v>
      </c>
      <c r="E498" s="184">
        <v>41010</v>
      </c>
      <c r="F498" s="192" t="s">
        <v>1189</v>
      </c>
      <c r="G498" s="486" t="s">
        <v>945</v>
      </c>
      <c r="H498" s="210" t="s">
        <v>935</v>
      </c>
      <c r="I498" s="252">
        <v>85</v>
      </c>
      <c r="J498" s="252">
        <v>17388</v>
      </c>
      <c r="K498" s="612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1565</v>
      </c>
      <c r="E499" s="815">
        <v>41010</v>
      </c>
      <c r="F499" s="192" t="s">
        <v>1190</v>
      </c>
      <c r="G499" s="486" t="s">
        <v>945</v>
      </c>
      <c r="H499" s="210" t="s">
        <v>935</v>
      </c>
      <c r="I499" s="252"/>
      <c r="J499" s="252"/>
      <c r="K499" s="612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522</v>
      </c>
      <c r="E500" s="815">
        <v>41010</v>
      </c>
      <c r="F500" s="192" t="s">
        <v>365</v>
      </c>
      <c r="G500" s="486" t="s">
        <v>945</v>
      </c>
      <c r="H500" s="210" t="s">
        <v>935</v>
      </c>
      <c r="I500" s="252"/>
      <c r="J500" s="252"/>
      <c r="K500" s="612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88" t="s">
        <v>361</v>
      </c>
      <c r="H501" s="7" t="s">
        <v>436</v>
      </c>
      <c r="I501" s="252"/>
      <c r="J501" s="252"/>
      <c r="K501" s="612">
        <v>26477546</v>
      </c>
      <c r="L501" s="613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3"/>
      <c r="AB501" s="603"/>
      <c r="AC501" s="782"/>
      <c r="AD501" s="782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88" t="s">
        <v>361</v>
      </c>
      <c r="H502" s="7"/>
      <c r="I502" s="252"/>
      <c r="J502" s="252"/>
      <c r="K502" s="612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3"/>
      <c r="AC502" s="782"/>
      <c r="AD502" s="782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1343</v>
      </c>
      <c r="G503" s="488" t="s">
        <v>660</v>
      </c>
      <c r="H503" s="7" t="s">
        <v>436</v>
      </c>
      <c r="I503" s="252">
        <v>260</v>
      </c>
      <c r="J503" s="252">
        <v>11939</v>
      </c>
      <c r="K503" s="612">
        <v>3104140</v>
      </c>
      <c r="L503" s="194" t="s">
        <v>169</v>
      </c>
      <c r="M503" s="613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3"/>
      <c r="AC503" s="782"/>
      <c r="AD503" s="782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1344</v>
      </c>
      <c r="G504" s="488" t="s">
        <v>660</v>
      </c>
      <c r="H504" s="7" t="s">
        <v>436</v>
      </c>
      <c r="I504" s="252">
        <v>340</v>
      </c>
      <c r="J504" s="252">
        <v>13176</v>
      </c>
      <c r="K504" s="612">
        <v>4479840</v>
      </c>
      <c r="L504" s="194" t="s">
        <v>169</v>
      </c>
      <c r="M504" s="613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3"/>
      <c r="AB504" s="603"/>
      <c r="AC504" s="782"/>
      <c r="AD504" s="782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1345</v>
      </c>
      <c r="G505" s="488" t="s">
        <v>660</v>
      </c>
      <c r="H505" s="7" t="s">
        <v>436</v>
      </c>
      <c r="I505" s="252">
        <v>520</v>
      </c>
      <c r="J505" s="252">
        <v>14656</v>
      </c>
      <c r="K505" s="612">
        <v>7621120</v>
      </c>
      <c r="L505" s="194" t="s">
        <v>169</v>
      </c>
      <c r="M505" s="613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3"/>
      <c r="AC505" s="782"/>
      <c r="AD505" s="782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1355</v>
      </c>
      <c r="G506" s="488" t="s">
        <v>660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3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3"/>
      <c r="AC506" s="782"/>
      <c r="AD506" s="782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1346</v>
      </c>
      <c r="G507" s="614" t="s">
        <v>660</v>
      </c>
      <c r="H507" s="7" t="s">
        <v>436</v>
      </c>
      <c r="I507" s="252">
        <v>1256</v>
      </c>
      <c r="J507" s="252">
        <v>19916</v>
      </c>
      <c r="K507" s="612">
        <v>25014496</v>
      </c>
      <c r="L507" s="194" t="s">
        <v>169</v>
      </c>
      <c r="M507" s="613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3"/>
      <c r="AB507" s="603"/>
      <c r="AC507" s="782"/>
      <c r="AD507" s="782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1347</v>
      </c>
      <c r="G508" s="614" t="s">
        <v>660</v>
      </c>
      <c r="H508" s="7" t="s">
        <v>436</v>
      </c>
      <c r="I508" s="252">
        <v>160</v>
      </c>
      <c r="J508" s="252">
        <v>21859</v>
      </c>
      <c r="K508" s="612">
        <v>3497440</v>
      </c>
      <c r="L508" s="194" t="s">
        <v>169</v>
      </c>
      <c r="M508" s="613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3"/>
      <c r="AC508" s="782"/>
      <c r="AD508" s="782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1348</v>
      </c>
      <c r="G509" s="614" t="s">
        <v>660</v>
      </c>
      <c r="H509" s="7" t="s">
        <v>436</v>
      </c>
      <c r="I509" s="252">
        <v>1200</v>
      </c>
      <c r="J509" s="252">
        <v>19139</v>
      </c>
      <c r="K509" s="612">
        <v>22966800</v>
      </c>
      <c r="L509" s="194" t="s">
        <v>169</v>
      </c>
      <c r="M509" s="613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3"/>
      <c r="AB509" s="603"/>
      <c r="AC509" s="782"/>
      <c r="AD509" s="782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1349</v>
      </c>
      <c r="G510" s="488" t="s">
        <v>660</v>
      </c>
      <c r="H510" s="7" t="s">
        <v>436</v>
      </c>
      <c r="I510" s="252">
        <v>120</v>
      </c>
      <c r="J510" s="252">
        <v>23262</v>
      </c>
      <c r="K510" s="612">
        <v>2791440</v>
      </c>
      <c r="L510" s="194" t="s">
        <v>169</v>
      </c>
      <c r="M510" s="613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3"/>
      <c r="AC510" s="782"/>
      <c r="AD510" s="782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1356</v>
      </c>
      <c r="G511" s="488" t="s">
        <v>660</v>
      </c>
      <c r="H511" s="7" t="s">
        <v>436</v>
      </c>
      <c r="I511" s="254">
        <v>130</v>
      </c>
      <c r="J511" s="254">
        <v>23477</v>
      </c>
      <c r="K511" s="612">
        <v>3052010</v>
      </c>
      <c r="L511" s="194" t="s">
        <v>169</v>
      </c>
      <c r="M511" s="613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3"/>
      <c r="AB511" s="603"/>
      <c r="AC511" s="782"/>
      <c r="AD511" s="782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541</v>
      </c>
      <c r="G512" s="488" t="s">
        <v>660</v>
      </c>
      <c r="H512" s="7" t="s">
        <v>436</v>
      </c>
      <c r="I512" s="252"/>
      <c r="J512" s="252"/>
      <c r="K512" s="612">
        <v>7404319</v>
      </c>
      <c r="L512" s="194" t="s">
        <v>9</v>
      </c>
      <c r="M512" s="613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3">
        <v>4</v>
      </c>
      <c r="AB512" s="603"/>
      <c r="AC512" s="782"/>
      <c r="AD512" s="782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1357</v>
      </c>
      <c r="G513" s="488" t="s">
        <v>661</v>
      </c>
      <c r="H513" s="7" t="s">
        <v>436</v>
      </c>
      <c r="I513" s="254">
        <v>100</v>
      </c>
      <c r="J513" s="254">
        <v>12814</v>
      </c>
      <c r="K513" s="612">
        <v>1281400</v>
      </c>
      <c r="L513" s="194" t="s">
        <v>169</v>
      </c>
      <c r="M513" s="613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3"/>
      <c r="AB513" s="603"/>
      <c r="AC513" s="782"/>
      <c r="AD513" s="782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1358</v>
      </c>
      <c r="G514" s="488" t="s">
        <v>661</v>
      </c>
      <c r="H514" s="7" t="s">
        <v>436</v>
      </c>
      <c r="I514" s="252">
        <v>100</v>
      </c>
      <c r="J514" s="252">
        <v>13782</v>
      </c>
      <c r="K514" s="612">
        <v>1378200</v>
      </c>
      <c r="L514" s="194" t="s">
        <v>169</v>
      </c>
      <c r="M514" s="613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3"/>
      <c r="AB514" s="603"/>
      <c r="AC514" s="782"/>
      <c r="AD514" s="782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1359</v>
      </c>
      <c r="G515" s="488" t="s">
        <v>661</v>
      </c>
      <c r="H515" s="7" t="s">
        <v>436</v>
      </c>
      <c r="I515" s="254">
        <v>250</v>
      </c>
      <c r="J515" s="254">
        <v>11480</v>
      </c>
      <c r="K515" s="612">
        <v>2870000</v>
      </c>
      <c r="L515" s="194" t="s">
        <v>169</v>
      </c>
      <c r="M515" s="613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3"/>
      <c r="AB515" s="603"/>
      <c r="AC515" s="782"/>
      <c r="AD515" s="782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1237</v>
      </c>
      <c r="G516" s="488" t="s">
        <v>661</v>
      </c>
      <c r="H516" s="7" t="s">
        <v>436</v>
      </c>
      <c r="I516" s="252">
        <v>76</v>
      </c>
      <c r="J516" s="252">
        <v>28987</v>
      </c>
      <c r="K516" s="612">
        <v>2203012</v>
      </c>
      <c r="L516" s="194" t="s">
        <v>169</v>
      </c>
      <c r="M516" s="613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3"/>
      <c r="AC516" s="782"/>
      <c r="AD516" s="782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1238</v>
      </c>
      <c r="G517" s="488" t="s">
        <v>661</v>
      </c>
      <c r="H517" s="7" t="s">
        <v>436</v>
      </c>
      <c r="I517" s="254">
        <v>320</v>
      </c>
      <c r="J517" s="254">
        <v>11635</v>
      </c>
      <c r="K517" s="612">
        <v>3723200</v>
      </c>
      <c r="L517" s="194" t="s">
        <v>169</v>
      </c>
      <c r="M517" s="613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3"/>
      <c r="AC517" s="782"/>
      <c r="AD517" s="782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1239</v>
      </c>
      <c r="G518" s="488" t="s">
        <v>661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3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3"/>
      <c r="AC518" s="782"/>
      <c r="AD518" s="782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1240</v>
      </c>
      <c r="G519" s="488" t="s">
        <v>661</v>
      </c>
      <c r="H519" s="7" t="s">
        <v>436</v>
      </c>
      <c r="I519" s="252">
        <v>50</v>
      </c>
      <c r="J519" s="252">
        <v>17306</v>
      </c>
      <c r="K519" s="612">
        <v>865300</v>
      </c>
      <c r="L519" s="194" t="s">
        <v>169</v>
      </c>
      <c r="M519" s="613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3"/>
      <c r="AC519" s="782"/>
      <c r="AD519" s="782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1241</v>
      </c>
      <c r="G520" s="488" t="s">
        <v>661</v>
      </c>
      <c r="H520" s="7" t="s">
        <v>436</v>
      </c>
      <c r="I520" s="252">
        <v>350</v>
      </c>
      <c r="J520" s="252">
        <v>18559</v>
      </c>
      <c r="K520" s="612">
        <v>6495650</v>
      </c>
      <c r="L520" s="194" t="s">
        <v>169</v>
      </c>
      <c r="M520" s="613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3"/>
      <c r="AC520" s="782"/>
      <c r="AD520" s="782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541</v>
      </c>
      <c r="G521" s="488" t="s">
        <v>661</v>
      </c>
      <c r="H521" s="7" t="s">
        <v>436</v>
      </c>
      <c r="I521" s="252"/>
      <c r="J521" s="252"/>
      <c r="K521" s="612">
        <v>2677326</v>
      </c>
      <c r="L521" s="194" t="s">
        <v>9</v>
      </c>
      <c r="M521" s="613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3">
        <v>4</v>
      </c>
      <c r="AB521" s="211"/>
      <c r="AC521" s="782"/>
      <c r="AD521" s="782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1360</v>
      </c>
      <c r="G522" s="488" t="s">
        <v>662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3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3"/>
      <c r="AC522" s="782"/>
      <c r="AD522" s="782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1360</v>
      </c>
      <c r="G523" s="488" t="s">
        <v>662</v>
      </c>
      <c r="H523" s="7" t="s">
        <v>436</v>
      </c>
      <c r="I523" s="252">
        <v>170</v>
      </c>
      <c r="J523" s="252">
        <v>8355</v>
      </c>
      <c r="K523" s="612">
        <v>1420350</v>
      </c>
      <c r="L523" s="194" t="s">
        <v>169</v>
      </c>
      <c r="M523" s="613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3"/>
      <c r="AB523" s="603"/>
      <c r="AC523" s="782"/>
      <c r="AD523" s="782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1361</v>
      </c>
      <c r="G524" s="488" t="s">
        <v>662</v>
      </c>
      <c r="H524" s="7" t="s">
        <v>436</v>
      </c>
      <c r="I524" s="254">
        <v>150</v>
      </c>
      <c r="J524" s="254">
        <v>11176</v>
      </c>
      <c r="K524" s="612">
        <v>1676400</v>
      </c>
      <c r="L524" s="194" t="s">
        <v>169</v>
      </c>
      <c r="M524" s="613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3"/>
      <c r="AB524" s="603"/>
      <c r="AC524" s="782"/>
      <c r="AD524" s="782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1362</v>
      </c>
      <c r="G525" s="488" t="s">
        <v>662</v>
      </c>
      <c r="H525" s="7" t="s">
        <v>436</v>
      </c>
      <c r="I525" s="252">
        <v>200</v>
      </c>
      <c r="J525" s="252">
        <v>12563</v>
      </c>
      <c r="K525" s="612">
        <v>2512600</v>
      </c>
      <c r="L525" s="194" t="s">
        <v>169</v>
      </c>
      <c r="M525" s="613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3"/>
      <c r="AC525" s="782"/>
      <c r="AD525" s="782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1363</v>
      </c>
      <c r="G526" s="488" t="s">
        <v>662</v>
      </c>
      <c r="H526" s="7" t="s">
        <v>436</v>
      </c>
      <c r="I526" s="252">
        <v>100</v>
      </c>
      <c r="J526" s="252">
        <v>15544</v>
      </c>
      <c r="K526" s="612">
        <v>1554400</v>
      </c>
      <c r="L526" s="194" t="s">
        <v>169</v>
      </c>
      <c r="M526" s="613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3"/>
      <c r="AB526" s="603"/>
      <c r="AC526" s="782"/>
      <c r="AD526" s="782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1242</v>
      </c>
      <c r="G527" s="488" t="s">
        <v>662</v>
      </c>
      <c r="H527" s="7" t="s">
        <v>436</v>
      </c>
      <c r="I527" s="252">
        <v>300</v>
      </c>
      <c r="J527" s="252">
        <v>14375</v>
      </c>
      <c r="K527" s="612">
        <v>4312500</v>
      </c>
      <c r="L527" s="194" t="s">
        <v>169</v>
      </c>
      <c r="M527" s="613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3"/>
      <c r="AC527" s="782"/>
      <c r="AD527" s="782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1243</v>
      </c>
      <c r="G528" s="488" t="s">
        <v>662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3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3"/>
      <c r="AB528" s="603"/>
      <c r="AC528" s="782"/>
      <c r="AD528" s="782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1244</v>
      </c>
      <c r="G529" s="614" t="s">
        <v>662</v>
      </c>
      <c r="H529" s="7" t="s">
        <v>436</v>
      </c>
      <c r="I529" s="252">
        <v>1000</v>
      </c>
      <c r="J529" s="252">
        <v>22846</v>
      </c>
      <c r="K529" s="612">
        <v>22846000</v>
      </c>
      <c r="L529" s="194" t="s">
        <v>169</v>
      </c>
      <c r="M529" s="613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3"/>
      <c r="AC529" s="782"/>
      <c r="AD529" s="782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541</v>
      </c>
      <c r="G530" s="488" t="s">
        <v>662</v>
      </c>
      <c r="H530" s="7" t="s">
        <v>436</v>
      </c>
      <c r="I530" s="254"/>
      <c r="J530" s="254"/>
      <c r="K530" s="612">
        <v>4735230</v>
      </c>
      <c r="L530" s="194" t="s">
        <v>9</v>
      </c>
      <c r="M530" s="613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3">
        <v>4</v>
      </c>
      <c r="AB530" s="211"/>
      <c r="AC530" s="782"/>
      <c r="AD530" s="782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564</v>
      </c>
      <c r="G531" s="486" t="s">
        <v>1444</v>
      </c>
      <c r="H531" s="7" t="s">
        <v>566</v>
      </c>
      <c r="I531" s="252"/>
      <c r="J531" s="255"/>
      <c r="K531" s="612">
        <f>158359+311427+284766+199218</f>
        <v>953770</v>
      </c>
      <c r="L531" s="194" t="s">
        <v>84</v>
      </c>
      <c r="M531" s="613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567</v>
      </c>
      <c r="G532" s="486" t="s">
        <v>1444</v>
      </c>
      <c r="H532" s="7" t="s">
        <v>566</v>
      </c>
      <c r="I532" s="255"/>
      <c r="J532" s="255"/>
      <c r="K532" s="38">
        <f>15836+31143+28477+19922</f>
        <v>95378</v>
      </c>
      <c r="L532" s="194" t="s">
        <v>9</v>
      </c>
      <c r="M532" s="613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3"/>
      <c r="AD532" s="603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88" t="s">
        <v>361</v>
      </c>
      <c r="H533" s="193" t="s">
        <v>663</v>
      </c>
      <c r="I533" s="254"/>
      <c r="J533" s="254"/>
      <c r="K533" s="612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782"/>
      <c r="AD533" s="782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664</v>
      </c>
      <c r="G534" s="488" t="s">
        <v>665</v>
      </c>
      <c r="H534" s="193" t="s">
        <v>401</v>
      </c>
      <c r="I534" s="254"/>
      <c r="J534" s="254"/>
      <c r="K534" s="612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782"/>
      <c r="AD534" s="782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88" t="s">
        <v>665</v>
      </c>
      <c r="H535" s="193" t="s">
        <v>401</v>
      </c>
      <c r="I535" s="252"/>
      <c r="J535" s="252"/>
      <c r="K535" s="612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3">
        <v>4</v>
      </c>
      <c r="AB535" s="211"/>
      <c r="AC535" s="782"/>
      <c r="AD535" s="782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1566</v>
      </c>
      <c r="E536" s="184">
        <v>41016</v>
      </c>
      <c r="F536" s="189" t="s">
        <v>1188</v>
      </c>
      <c r="G536" s="486" t="s">
        <v>946</v>
      </c>
      <c r="H536" s="7" t="s">
        <v>499</v>
      </c>
      <c r="I536" s="252">
        <v>940</v>
      </c>
      <c r="J536" s="252">
        <v>9500</v>
      </c>
      <c r="K536" s="612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1566</v>
      </c>
      <c r="E537" s="815">
        <v>41016</v>
      </c>
      <c r="F537" s="192" t="s">
        <v>530</v>
      </c>
      <c r="G537" s="486" t="s">
        <v>946</v>
      </c>
      <c r="H537" s="7" t="s">
        <v>499</v>
      </c>
      <c r="I537" s="252"/>
      <c r="J537" s="252"/>
      <c r="K537" s="612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1567</v>
      </c>
      <c r="E538" s="184">
        <v>41016</v>
      </c>
      <c r="F538" s="189" t="s">
        <v>1538</v>
      </c>
      <c r="G538" s="486" t="s">
        <v>1537</v>
      </c>
      <c r="H538" s="7" t="s">
        <v>498</v>
      </c>
      <c r="I538" s="252">
        <v>146</v>
      </c>
      <c r="J538" s="252">
        <v>17100</v>
      </c>
      <c r="K538" s="612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1567</v>
      </c>
      <c r="E539" s="184">
        <v>41016</v>
      </c>
      <c r="F539" s="189" t="s">
        <v>1539</v>
      </c>
      <c r="G539" s="486" t="s">
        <v>1537</v>
      </c>
      <c r="H539" s="7" t="s">
        <v>498</v>
      </c>
      <c r="I539" s="252">
        <v>97</v>
      </c>
      <c r="J539" s="252">
        <v>45560</v>
      </c>
      <c r="K539" s="612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1567</v>
      </c>
      <c r="E540" s="184">
        <v>41016</v>
      </c>
      <c r="F540" s="189" t="s">
        <v>1540</v>
      </c>
      <c r="G540" s="486" t="s">
        <v>1537</v>
      </c>
      <c r="H540" s="7" t="s">
        <v>498</v>
      </c>
      <c r="I540" s="252">
        <v>201</v>
      </c>
      <c r="J540" s="252">
        <v>17100</v>
      </c>
      <c r="K540" s="612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1567</v>
      </c>
      <c r="E541" s="815">
        <v>41016</v>
      </c>
      <c r="F541" s="192" t="s">
        <v>530</v>
      </c>
      <c r="G541" s="486" t="s">
        <v>1537</v>
      </c>
      <c r="H541" s="7" t="s">
        <v>498</v>
      </c>
      <c r="I541" s="252"/>
      <c r="J541" s="252"/>
      <c r="K541" s="612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521</v>
      </c>
      <c r="E542" s="815">
        <v>41016</v>
      </c>
      <c r="F542" s="192" t="s">
        <v>365</v>
      </c>
      <c r="G542" s="486" t="s">
        <v>1537</v>
      </c>
      <c r="H542" s="7" t="s">
        <v>498</v>
      </c>
      <c r="I542" s="252"/>
      <c r="J542" s="252"/>
      <c r="K542" s="612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1568</v>
      </c>
      <c r="E543" s="184">
        <v>41016</v>
      </c>
      <c r="F543" s="189" t="s">
        <v>1187</v>
      </c>
      <c r="G543" s="486" t="s">
        <v>947</v>
      </c>
      <c r="H543" s="193" t="s">
        <v>675</v>
      </c>
      <c r="I543" s="252">
        <v>110</v>
      </c>
      <c r="J543" s="252">
        <v>34000</v>
      </c>
      <c r="K543" s="612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1568</v>
      </c>
      <c r="E544" s="184">
        <v>41016</v>
      </c>
      <c r="F544" s="189" t="s">
        <v>1121</v>
      </c>
      <c r="G544" s="486" t="s">
        <v>947</v>
      </c>
      <c r="H544" s="193" t="s">
        <v>675</v>
      </c>
      <c r="I544" s="252">
        <v>85</v>
      </c>
      <c r="J544" s="252">
        <v>47000</v>
      </c>
      <c r="K544" s="612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1568</v>
      </c>
      <c r="E545" s="184">
        <v>41016</v>
      </c>
      <c r="F545" s="189" t="s">
        <v>948</v>
      </c>
      <c r="G545" s="486" t="s">
        <v>947</v>
      </c>
      <c r="H545" s="193" t="s">
        <v>675</v>
      </c>
      <c r="I545" s="252">
        <v>150</v>
      </c>
      <c r="J545" s="252">
        <v>16480</v>
      </c>
      <c r="K545" s="612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1568</v>
      </c>
      <c r="E546" s="184">
        <v>41016</v>
      </c>
      <c r="F546" s="189" t="s">
        <v>1186</v>
      </c>
      <c r="G546" s="486" t="s">
        <v>947</v>
      </c>
      <c r="H546" s="193" t="s">
        <v>675</v>
      </c>
      <c r="I546" s="252">
        <v>91</v>
      </c>
      <c r="J546" s="252">
        <v>24875</v>
      </c>
      <c r="K546" s="612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1568</v>
      </c>
      <c r="E547" s="815">
        <v>41016</v>
      </c>
      <c r="F547" s="192" t="s">
        <v>530</v>
      </c>
      <c r="G547" s="486" t="s">
        <v>947</v>
      </c>
      <c r="H547" s="193" t="s">
        <v>675</v>
      </c>
      <c r="I547" s="252"/>
      <c r="J547" s="252"/>
      <c r="K547" s="612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556</v>
      </c>
      <c r="G548" s="488" t="s">
        <v>666</v>
      </c>
      <c r="H548" s="193" t="s">
        <v>401</v>
      </c>
      <c r="I548" s="252"/>
      <c r="J548" s="252"/>
      <c r="K548" s="612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782"/>
      <c r="AD548" s="782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88" t="s">
        <v>666</v>
      </c>
      <c r="H549" s="193" t="s">
        <v>401</v>
      </c>
      <c r="I549" s="252"/>
      <c r="J549" s="252"/>
      <c r="K549" s="612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3">
        <v>4</v>
      </c>
      <c r="AB549" s="603"/>
      <c r="AC549" s="782"/>
      <c r="AD549" s="782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1569</v>
      </c>
      <c r="E550" s="184">
        <v>41020</v>
      </c>
      <c r="F550" s="189" t="s">
        <v>1185</v>
      </c>
      <c r="G550" s="486" t="s">
        <v>949</v>
      </c>
      <c r="H550" s="193" t="s">
        <v>571</v>
      </c>
      <c r="I550" s="252">
        <v>400</v>
      </c>
      <c r="J550" s="252">
        <v>2300</v>
      </c>
      <c r="K550" s="612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1569</v>
      </c>
      <c r="E551" s="815">
        <v>41020</v>
      </c>
      <c r="F551" s="192" t="s">
        <v>530</v>
      </c>
      <c r="G551" s="486" t="s">
        <v>949</v>
      </c>
      <c r="H551" s="193" t="s">
        <v>571</v>
      </c>
      <c r="I551" s="252"/>
      <c r="J551" s="252"/>
      <c r="K551" s="612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667</v>
      </c>
      <c r="G552" s="488" t="s">
        <v>668</v>
      </c>
      <c r="H552" s="193" t="s">
        <v>602</v>
      </c>
      <c r="I552" s="252"/>
      <c r="J552" s="252"/>
      <c r="K552" s="612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782"/>
      <c r="AD552" s="782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88" t="s">
        <v>668</v>
      </c>
      <c r="H553" s="193" t="s">
        <v>602</v>
      </c>
      <c r="I553" s="254"/>
      <c r="J553" s="254"/>
      <c r="K553" s="612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3">
        <v>4</v>
      </c>
      <c r="AB553" s="211"/>
      <c r="AC553" s="782"/>
      <c r="AD553" s="782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1570</v>
      </c>
      <c r="E554" s="184">
        <v>41023</v>
      </c>
      <c r="F554" s="189" t="s">
        <v>1184</v>
      </c>
      <c r="G554" s="486" t="s">
        <v>950</v>
      </c>
      <c r="H554" s="193" t="s">
        <v>951</v>
      </c>
      <c r="I554" s="252">
        <v>840</v>
      </c>
      <c r="J554" s="252">
        <v>5960</v>
      </c>
      <c r="K554" s="612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1570</v>
      </c>
      <c r="E555" s="184">
        <v>41023</v>
      </c>
      <c r="F555" s="189" t="s">
        <v>952</v>
      </c>
      <c r="G555" s="486" t="s">
        <v>950</v>
      </c>
      <c r="H555" s="193" t="s">
        <v>951</v>
      </c>
      <c r="I555" s="252">
        <v>933</v>
      </c>
      <c r="J555" s="252">
        <v>6640</v>
      </c>
      <c r="K555" s="612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1570</v>
      </c>
      <c r="E556" s="815">
        <v>41023</v>
      </c>
      <c r="F556" s="192" t="s">
        <v>530</v>
      </c>
      <c r="G556" s="486" t="s">
        <v>950</v>
      </c>
      <c r="H556" s="193" t="s">
        <v>951</v>
      </c>
      <c r="I556" s="252"/>
      <c r="J556" s="252"/>
      <c r="K556" s="612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1615</v>
      </c>
      <c r="E557" s="815">
        <v>41023</v>
      </c>
      <c r="F557" s="192" t="s">
        <v>365</v>
      </c>
      <c r="G557" s="486" t="s">
        <v>950</v>
      </c>
      <c r="H557" s="193" t="s">
        <v>951</v>
      </c>
      <c r="I557" s="252"/>
      <c r="J557" s="252"/>
      <c r="K557" s="612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1571</v>
      </c>
      <c r="E558" s="184">
        <v>41023</v>
      </c>
      <c r="F558" s="189" t="s">
        <v>1183</v>
      </c>
      <c r="G558" s="486" t="s">
        <v>953</v>
      </c>
      <c r="H558" s="7" t="s">
        <v>499</v>
      </c>
      <c r="I558" s="252">
        <v>500</v>
      </c>
      <c r="J558" s="252">
        <v>5800</v>
      </c>
      <c r="K558" s="612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1571</v>
      </c>
      <c r="E559" s="815">
        <v>41023</v>
      </c>
      <c r="F559" s="192" t="s">
        <v>530</v>
      </c>
      <c r="G559" s="486" t="s">
        <v>953</v>
      </c>
      <c r="H559" s="7" t="s">
        <v>499</v>
      </c>
      <c r="I559" s="252"/>
      <c r="J559" s="252"/>
      <c r="K559" s="612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1616</v>
      </c>
      <c r="E560" s="815">
        <v>41023</v>
      </c>
      <c r="F560" s="192" t="s">
        <v>365</v>
      </c>
      <c r="G560" s="486"/>
      <c r="H560" s="7" t="s">
        <v>499</v>
      </c>
      <c r="I560" s="252"/>
      <c r="J560" s="252"/>
      <c r="K560" s="612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88" t="s">
        <v>361</v>
      </c>
      <c r="H561" s="193"/>
      <c r="I561" s="252"/>
      <c r="J561" s="252"/>
      <c r="K561" s="612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782"/>
      <c r="AD561" s="782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1364</v>
      </c>
      <c r="G562" s="488" t="s">
        <v>669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3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3"/>
      <c r="AB562" s="603"/>
      <c r="AC562" s="782"/>
      <c r="AD562" s="782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1245</v>
      </c>
      <c r="G563" s="488" t="s">
        <v>669</v>
      </c>
      <c r="H563" s="7" t="s">
        <v>436</v>
      </c>
      <c r="I563" s="252">
        <v>100</v>
      </c>
      <c r="J563" s="252">
        <v>22809</v>
      </c>
      <c r="K563" s="612">
        <v>2280900</v>
      </c>
      <c r="L563" s="194" t="s">
        <v>169</v>
      </c>
      <c r="M563" s="613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3"/>
      <c r="AC563" s="782"/>
      <c r="AD563" s="782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1246</v>
      </c>
      <c r="G564" s="488" t="s">
        <v>669</v>
      </c>
      <c r="H564" s="7" t="s">
        <v>436</v>
      </c>
      <c r="I564" s="252">
        <v>100</v>
      </c>
      <c r="J564" s="252">
        <v>23210</v>
      </c>
      <c r="K564" s="612">
        <v>2321000</v>
      </c>
      <c r="L564" s="194" t="s">
        <v>169</v>
      </c>
      <c r="M564" s="613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3"/>
      <c r="AB564" s="603"/>
      <c r="AC564" s="782"/>
      <c r="AD564" s="782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1247</v>
      </c>
      <c r="G565" s="488" t="s">
        <v>669</v>
      </c>
      <c r="H565" s="7" t="s">
        <v>436</v>
      </c>
      <c r="I565" s="252">
        <v>200</v>
      </c>
      <c r="J565" s="252">
        <v>17067</v>
      </c>
      <c r="K565" s="612">
        <v>3413400</v>
      </c>
      <c r="L565" s="194" t="s">
        <v>169</v>
      </c>
      <c r="M565" s="613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3"/>
      <c r="AC565" s="782"/>
      <c r="AD565" s="782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1248</v>
      </c>
      <c r="G566" s="488" t="s">
        <v>669</v>
      </c>
      <c r="H566" s="7" t="s">
        <v>436</v>
      </c>
      <c r="I566" s="252">
        <v>104</v>
      </c>
      <c r="J566" s="252">
        <v>22853</v>
      </c>
      <c r="K566" s="612">
        <v>2376712</v>
      </c>
      <c r="L566" s="194" t="s">
        <v>169</v>
      </c>
      <c r="M566" s="613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3"/>
      <c r="AB566" s="603"/>
      <c r="AC566" s="782"/>
      <c r="AD566" s="782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1249</v>
      </c>
      <c r="G567" s="488" t="s">
        <v>669</v>
      </c>
      <c r="H567" s="7" t="s">
        <v>436</v>
      </c>
      <c r="I567" s="252">
        <v>66</v>
      </c>
      <c r="J567" s="252">
        <v>20933</v>
      </c>
      <c r="K567" s="612">
        <v>1381578</v>
      </c>
      <c r="L567" s="194" t="s">
        <v>169</v>
      </c>
      <c r="M567" s="613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3"/>
      <c r="AC567" s="782"/>
      <c r="AD567" s="782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1250</v>
      </c>
      <c r="G568" s="488" t="s">
        <v>669</v>
      </c>
      <c r="H568" s="7" t="s">
        <v>436</v>
      </c>
      <c r="I568" s="252">
        <v>66</v>
      </c>
      <c r="J568" s="252">
        <v>17926</v>
      </c>
      <c r="K568" s="612">
        <v>1183116</v>
      </c>
      <c r="L568" s="194" t="s">
        <v>169</v>
      </c>
      <c r="M568" s="613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3"/>
      <c r="AB568" s="603"/>
      <c r="AC568" s="782"/>
      <c r="AD568" s="782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1251</v>
      </c>
      <c r="G569" s="488" t="s">
        <v>669</v>
      </c>
      <c r="H569" s="7" t="s">
        <v>436</v>
      </c>
      <c r="I569" s="252">
        <v>112</v>
      </c>
      <c r="J569" s="252">
        <v>18818</v>
      </c>
      <c r="K569" s="612">
        <v>2107616</v>
      </c>
      <c r="L569" s="194" t="s">
        <v>169</v>
      </c>
      <c r="M569" s="613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3"/>
      <c r="AC569" s="782"/>
      <c r="AD569" s="782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541</v>
      </c>
      <c r="G570" s="488" t="s">
        <v>669</v>
      </c>
      <c r="H570" s="7" t="s">
        <v>436</v>
      </c>
      <c r="I570" s="252"/>
      <c r="J570" s="252"/>
      <c r="K570" s="612">
        <v>1594502</v>
      </c>
      <c r="L570" s="194" t="s">
        <v>9</v>
      </c>
      <c r="M570" s="613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3">
        <v>4</v>
      </c>
      <c r="AB570" s="211"/>
      <c r="AC570" s="782"/>
      <c r="AD570" s="782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88" t="s">
        <v>669</v>
      </c>
      <c r="H571" s="7" t="s">
        <v>436</v>
      </c>
      <c r="I571" s="252"/>
      <c r="J571" s="252"/>
      <c r="K571" s="612">
        <v>17539524</v>
      </c>
      <c r="L571" s="613" t="s">
        <v>8</v>
      </c>
      <c r="M571" s="613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3"/>
      <c r="AB571" s="211"/>
      <c r="AC571" s="782"/>
      <c r="AD571" s="782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1365</v>
      </c>
      <c r="G572" s="488" t="s">
        <v>670</v>
      </c>
      <c r="H572" s="7" t="s">
        <v>436</v>
      </c>
      <c r="I572" s="252">
        <v>100</v>
      </c>
      <c r="J572" s="252">
        <v>11866</v>
      </c>
      <c r="K572" s="612">
        <v>1186600</v>
      </c>
      <c r="L572" s="194" t="s">
        <v>169</v>
      </c>
      <c r="M572" s="613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67"/>
      <c r="AB572" s="603"/>
      <c r="AC572" s="782"/>
      <c r="AD572" s="78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1366</v>
      </c>
      <c r="G573" s="488" t="s">
        <v>670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3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3"/>
      <c r="AB573" s="603"/>
      <c r="AC573" s="782"/>
      <c r="AD573" s="78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1367</v>
      </c>
      <c r="G574" s="488" t="s">
        <v>670</v>
      </c>
      <c r="H574" s="7" t="s">
        <v>436</v>
      </c>
      <c r="I574" s="252">
        <v>170</v>
      </c>
      <c r="J574" s="252">
        <v>14573</v>
      </c>
      <c r="K574" s="612">
        <v>2477410</v>
      </c>
      <c r="L574" s="194" t="s">
        <v>169</v>
      </c>
      <c r="M574" s="613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3"/>
      <c r="AC574" s="782"/>
      <c r="AD574" s="78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1368</v>
      </c>
      <c r="G575" s="488" t="s">
        <v>670</v>
      </c>
      <c r="H575" s="7" t="s">
        <v>436</v>
      </c>
      <c r="I575" s="252">
        <v>50</v>
      </c>
      <c r="J575" s="252">
        <v>15578</v>
      </c>
      <c r="K575" s="612">
        <v>778900</v>
      </c>
      <c r="L575" s="194" t="s">
        <v>169</v>
      </c>
      <c r="M575" s="613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3"/>
      <c r="AB575" s="603"/>
      <c r="AC575" s="782"/>
      <c r="AD575" s="78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1252</v>
      </c>
      <c r="G576" s="488" t="s">
        <v>670</v>
      </c>
      <c r="H576" s="7" t="s">
        <v>436</v>
      </c>
      <c r="I576" s="252">
        <v>240</v>
      </c>
      <c r="J576" s="252">
        <v>17072</v>
      </c>
      <c r="K576" s="612">
        <v>4097280</v>
      </c>
      <c r="L576" s="194" t="s">
        <v>169</v>
      </c>
      <c r="M576" s="613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3"/>
      <c r="AC576" s="782"/>
      <c r="AD576" s="78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1253</v>
      </c>
      <c r="G577" s="488" t="s">
        <v>670</v>
      </c>
      <c r="H577" s="7" t="s">
        <v>436</v>
      </c>
      <c r="I577" s="252">
        <v>65</v>
      </c>
      <c r="J577" s="252">
        <v>16878</v>
      </c>
      <c r="K577" s="612">
        <v>1097070</v>
      </c>
      <c r="L577" s="194" t="s">
        <v>169</v>
      </c>
      <c r="M577" s="613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3"/>
      <c r="AB577" s="603"/>
      <c r="AC577" s="782"/>
      <c r="AD577" s="78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1254</v>
      </c>
      <c r="G578" s="488" t="s">
        <v>670</v>
      </c>
      <c r="H578" s="7" t="s">
        <v>436</v>
      </c>
      <c r="I578" s="252">
        <v>104</v>
      </c>
      <c r="J578" s="252">
        <v>19759</v>
      </c>
      <c r="K578" s="612">
        <v>2054936</v>
      </c>
      <c r="L578" s="194" t="s">
        <v>169</v>
      </c>
      <c r="M578" s="613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3"/>
      <c r="AC578" s="782"/>
      <c r="AD578" s="78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1255</v>
      </c>
      <c r="G579" s="488" t="s">
        <v>670</v>
      </c>
      <c r="H579" s="7" t="s">
        <v>436</v>
      </c>
      <c r="I579" s="252">
        <v>214</v>
      </c>
      <c r="J579" s="252">
        <v>24095</v>
      </c>
      <c r="K579" s="612">
        <v>5156330</v>
      </c>
      <c r="L579" s="194" t="s">
        <v>169</v>
      </c>
      <c r="M579" s="613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3"/>
      <c r="AB579" s="603"/>
      <c r="AC579" s="782"/>
      <c r="AD579" s="78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541</v>
      </c>
      <c r="G580" s="488" t="s">
        <v>670</v>
      </c>
      <c r="H580" s="7" t="s">
        <v>436</v>
      </c>
      <c r="I580" s="252"/>
      <c r="J580" s="252"/>
      <c r="K580" s="612">
        <v>1860379</v>
      </c>
      <c r="L580" s="194" t="s">
        <v>9</v>
      </c>
      <c r="M580" s="613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3">
        <v>4</v>
      </c>
      <c r="AB580" s="211"/>
      <c r="AC580" s="782"/>
      <c r="AD580" s="78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88" t="s">
        <v>670</v>
      </c>
      <c r="H581" s="7" t="s">
        <v>436</v>
      </c>
      <c r="I581" s="252"/>
      <c r="J581" s="252"/>
      <c r="K581" s="612">
        <v>10000000</v>
      </c>
      <c r="L581" s="613" t="s">
        <v>8</v>
      </c>
      <c r="M581" s="613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3"/>
      <c r="AB581" s="211"/>
      <c r="AC581" s="782"/>
      <c r="AD581" s="78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1572</v>
      </c>
      <c r="E582" s="184">
        <v>41025</v>
      </c>
      <c r="F582" s="189" t="s">
        <v>1044</v>
      </c>
      <c r="G582" s="486" t="s">
        <v>954</v>
      </c>
      <c r="H582" s="193" t="s">
        <v>923</v>
      </c>
      <c r="I582" s="252">
        <v>190</v>
      </c>
      <c r="J582" s="252">
        <v>6585</v>
      </c>
      <c r="K582" s="612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1572</v>
      </c>
      <c r="E583" s="184">
        <v>41025</v>
      </c>
      <c r="F583" s="189" t="s">
        <v>1045</v>
      </c>
      <c r="G583" s="486" t="s">
        <v>954</v>
      </c>
      <c r="H583" s="193" t="s">
        <v>923</v>
      </c>
      <c r="I583" s="252">
        <v>712</v>
      </c>
      <c r="J583" s="252">
        <v>6700</v>
      </c>
      <c r="K583" s="612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1572</v>
      </c>
      <c r="E584" s="815">
        <v>41025</v>
      </c>
      <c r="F584" s="192" t="s">
        <v>530</v>
      </c>
      <c r="G584" s="486" t="s">
        <v>954</v>
      </c>
      <c r="H584" s="193" t="s">
        <v>923</v>
      </c>
      <c r="I584" s="252"/>
      <c r="J584" s="252"/>
      <c r="K584" s="612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1617</v>
      </c>
      <c r="E585" s="815">
        <v>41025</v>
      </c>
      <c r="F585" s="192" t="s">
        <v>365</v>
      </c>
      <c r="G585" s="486" t="s">
        <v>954</v>
      </c>
      <c r="H585" s="193" t="s">
        <v>923</v>
      </c>
      <c r="I585" s="252"/>
      <c r="J585" s="252"/>
      <c r="K585" s="612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1573</v>
      </c>
      <c r="E586" s="831">
        <v>41025</v>
      </c>
      <c r="F586" s="192" t="s">
        <v>1453</v>
      </c>
      <c r="G586" s="830" t="s">
        <v>1541</v>
      </c>
      <c r="H586" s="193" t="s">
        <v>497</v>
      </c>
      <c r="I586" s="252">
        <v>75</v>
      </c>
      <c r="J586" s="252">
        <v>44600</v>
      </c>
      <c r="K586" s="612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1573</v>
      </c>
      <c r="E587" s="831">
        <v>41025</v>
      </c>
      <c r="F587" s="192" t="s">
        <v>1454</v>
      </c>
      <c r="G587" s="830" t="s">
        <v>1541</v>
      </c>
      <c r="H587" s="193" t="s">
        <v>497</v>
      </c>
      <c r="I587" s="252">
        <v>150</v>
      </c>
      <c r="J587" s="252">
        <v>24800</v>
      </c>
      <c r="K587" s="612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1573</v>
      </c>
      <c r="E588" s="831">
        <v>41025</v>
      </c>
      <c r="F588" s="192" t="s">
        <v>1455</v>
      </c>
      <c r="G588" s="830" t="s">
        <v>1541</v>
      </c>
      <c r="H588" s="193" t="s">
        <v>497</v>
      </c>
      <c r="I588" s="252">
        <v>100</v>
      </c>
      <c r="J588" s="252">
        <v>51500</v>
      </c>
      <c r="K588" s="612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1573</v>
      </c>
      <c r="E589" s="831">
        <v>41025</v>
      </c>
      <c r="F589" s="192" t="s">
        <v>1456</v>
      </c>
      <c r="G589" s="830" t="s">
        <v>1541</v>
      </c>
      <c r="H589" s="193" t="s">
        <v>497</v>
      </c>
      <c r="I589" s="252">
        <v>140</v>
      </c>
      <c r="J589" s="252">
        <v>36500</v>
      </c>
      <c r="K589" s="612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1573</v>
      </c>
      <c r="E590" s="831">
        <v>41025</v>
      </c>
      <c r="F590" s="192" t="s">
        <v>1457</v>
      </c>
      <c r="G590" s="830" t="s">
        <v>1541</v>
      </c>
      <c r="H590" s="193" t="s">
        <v>497</v>
      </c>
      <c r="I590" s="252">
        <v>210</v>
      </c>
      <c r="J590" s="252">
        <v>27700</v>
      </c>
      <c r="K590" s="612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1573</v>
      </c>
      <c r="E591" s="831">
        <v>41025</v>
      </c>
      <c r="F591" s="192" t="s">
        <v>1458</v>
      </c>
      <c r="G591" s="830" t="s">
        <v>1541</v>
      </c>
      <c r="H591" s="193" t="s">
        <v>497</v>
      </c>
      <c r="I591" s="252">
        <v>328</v>
      </c>
      <c r="J591" s="252">
        <v>18800</v>
      </c>
      <c r="K591" s="612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1573</v>
      </c>
      <c r="E592" s="831">
        <v>41025</v>
      </c>
      <c r="F592" s="192" t="s">
        <v>1086</v>
      </c>
      <c r="G592" s="830" t="s">
        <v>1541</v>
      </c>
      <c r="H592" s="193" t="s">
        <v>497</v>
      </c>
      <c r="I592" s="252">
        <v>500</v>
      </c>
      <c r="J592" s="252">
        <v>1200</v>
      </c>
      <c r="K592" s="612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1573</v>
      </c>
      <c r="E593" s="831">
        <v>41025</v>
      </c>
      <c r="F593" s="192" t="s">
        <v>1459</v>
      </c>
      <c r="G593" s="830" t="s">
        <v>1541</v>
      </c>
      <c r="H593" s="193" t="s">
        <v>497</v>
      </c>
      <c r="I593" s="252">
        <v>150</v>
      </c>
      <c r="J593" s="252">
        <v>36700</v>
      </c>
      <c r="K593" s="612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1573</v>
      </c>
      <c r="E594" s="831">
        <v>41025</v>
      </c>
      <c r="F594" s="192" t="s">
        <v>1460</v>
      </c>
      <c r="G594" s="830" t="s">
        <v>1541</v>
      </c>
      <c r="H594" s="193" t="s">
        <v>497</v>
      </c>
      <c r="I594" s="252">
        <v>240</v>
      </c>
      <c r="J594" s="252">
        <v>2900</v>
      </c>
      <c r="K594" s="612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1573</v>
      </c>
      <c r="E595" s="831">
        <v>41025</v>
      </c>
      <c r="F595" s="192" t="s">
        <v>1087</v>
      </c>
      <c r="G595" s="830" t="s">
        <v>1541</v>
      </c>
      <c r="H595" s="193" t="s">
        <v>497</v>
      </c>
      <c r="I595" s="252">
        <v>4096</v>
      </c>
      <c r="J595" s="252">
        <v>124.999</v>
      </c>
      <c r="K595" s="612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1573</v>
      </c>
      <c r="E596" s="831">
        <v>41025</v>
      </c>
      <c r="F596" s="192" t="s">
        <v>530</v>
      </c>
      <c r="G596" s="830" t="s">
        <v>1541</v>
      </c>
      <c r="H596" s="193" t="s">
        <v>497</v>
      </c>
      <c r="I596" s="252"/>
      <c r="J596" s="252"/>
      <c r="K596" s="612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838"/>
      <c r="AC596" s="838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1574</v>
      </c>
      <c r="E597" s="831">
        <v>41025</v>
      </c>
      <c r="F597" s="192" t="s">
        <v>1510</v>
      </c>
      <c r="G597" s="488" t="s">
        <v>985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1574</v>
      </c>
      <c r="E598" s="831">
        <v>41025</v>
      </c>
      <c r="F598" s="192" t="s">
        <v>1471</v>
      </c>
      <c r="G598" s="488" t="s">
        <v>985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1574</v>
      </c>
      <c r="E599" s="831">
        <v>41025</v>
      </c>
      <c r="F599" s="192" t="s">
        <v>1485</v>
      </c>
      <c r="G599" s="488" t="s">
        <v>985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1574</v>
      </c>
      <c r="E600" s="831">
        <v>41025</v>
      </c>
      <c r="F600" s="192" t="s">
        <v>1501</v>
      </c>
      <c r="G600" s="488" t="s">
        <v>985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1574</v>
      </c>
      <c r="E601" s="831">
        <v>41025</v>
      </c>
      <c r="F601" s="192" t="s">
        <v>1513</v>
      </c>
      <c r="G601" s="488" t="s">
        <v>985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1574</v>
      </c>
      <c r="E602" s="831">
        <v>41025</v>
      </c>
      <c r="F602" s="192" t="s">
        <v>1488</v>
      </c>
      <c r="G602" s="488" t="s">
        <v>985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1574</v>
      </c>
      <c r="E603" s="831">
        <v>41025</v>
      </c>
      <c r="F603" s="192" t="s">
        <v>1507</v>
      </c>
      <c r="G603" s="488" t="s">
        <v>985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1574</v>
      </c>
      <c r="E604" s="831">
        <v>41025</v>
      </c>
      <c r="F604" s="192" t="s">
        <v>1491</v>
      </c>
      <c r="G604" s="488" t="s">
        <v>985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1574</v>
      </c>
      <c r="E605" s="831">
        <v>41025</v>
      </c>
      <c r="F605" s="192" t="s">
        <v>1498</v>
      </c>
      <c r="G605" s="488" t="s">
        <v>985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1574</v>
      </c>
      <c r="E606" s="831">
        <v>41025</v>
      </c>
      <c r="F606" s="192" t="s">
        <v>1499</v>
      </c>
      <c r="G606" s="488" t="s">
        <v>985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1574</v>
      </c>
      <c r="E607" s="815">
        <v>41025</v>
      </c>
      <c r="F607" s="192" t="s">
        <v>530</v>
      </c>
      <c r="G607" s="486" t="s">
        <v>1542</v>
      </c>
      <c r="H607" s="7" t="s">
        <v>496</v>
      </c>
      <c r="I607" s="252"/>
      <c r="J607" s="252"/>
      <c r="K607" s="612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838"/>
      <c r="AC607" s="838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1369</v>
      </c>
      <c r="G608" s="488" t="s">
        <v>671</v>
      </c>
      <c r="H608" s="7" t="s">
        <v>436</v>
      </c>
      <c r="I608" s="255">
        <v>350</v>
      </c>
      <c r="J608" s="255">
        <v>19819</v>
      </c>
      <c r="K608" s="612">
        <v>6936650</v>
      </c>
      <c r="L608" s="194" t="s">
        <v>169</v>
      </c>
      <c r="M608" s="613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3"/>
      <c r="AC608" s="782"/>
      <c r="AD608" s="78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1370</v>
      </c>
      <c r="G609" s="488" t="s">
        <v>671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3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3"/>
      <c r="AC609" s="782"/>
      <c r="AD609" s="78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1371</v>
      </c>
      <c r="G610" s="488" t="s">
        <v>671</v>
      </c>
      <c r="H610" s="7" t="s">
        <v>436</v>
      </c>
      <c r="I610" s="255">
        <v>290</v>
      </c>
      <c r="J610" s="255">
        <v>19041</v>
      </c>
      <c r="K610" s="612">
        <v>5521890</v>
      </c>
      <c r="L610" s="194" t="s">
        <v>169</v>
      </c>
      <c r="M610" s="613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3"/>
      <c r="AC610" s="782"/>
      <c r="AD610" s="78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1372</v>
      </c>
      <c r="G611" s="488" t="s">
        <v>671</v>
      </c>
      <c r="H611" s="7" t="s">
        <v>436</v>
      </c>
      <c r="I611" s="252">
        <v>50</v>
      </c>
      <c r="J611" s="252">
        <v>23155</v>
      </c>
      <c r="K611" s="612">
        <v>1157750</v>
      </c>
      <c r="L611" s="194" t="s">
        <v>169</v>
      </c>
      <c r="M611" s="613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3"/>
      <c r="AC611" s="782"/>
      <c r="AD611" s="78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1373</v>
      </c>
      <c r="G612" s="488" t="s">
        <v>671</v>
      </c>
      <c r="H612" s="7" t="s">
        <v>436</v>
      </c>
      <c r="I612" s="252">
        <v>100</v>
      </c>
      <c r="J612" s="252">
        <v>12757</v>
      </c>
      <c r="K612" s="612">
        <v>1275700</v>
      </c>
      <c r="L612" s="194" t="s">
        <v>169</v>
      </c>
      <c r="M612" s="613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3"/>
      <c r="AC612" s="782"/>
      <c r="AD612" s="782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1256</v>
      </c>
      <c r="G613" s="488" t="s">
        <v>671</v>
      </c>
      <c r="H613" s="7" t="s">
        <v>436</v>
      </c>
      <c r="I613" s="252">
        <v>100</v>
      </c>
      <c r="J613" s="252">
        <v>15976</v>
      </c>
      <c r="K613" s="612">
        <v>1597600</v>
      </c>
      <c r="L613" s="194" t="s">
        <v>169</v>
      </c>
      <c r="M613" s="613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3"/>
      <c r="AC613" s="782"/>
      <c r="AD613" s="782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1257</v>
      </c>
      <c r="G614" s="488" t="s">
        <v>671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3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3"/>
      <c r="AC614" s="782"/>
      <c r="AD614" s="782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769">
        <v>41027</v>
      </c>
      <c r="F615" s="189" t="s">
        <v>1255</v>
      </c>
      <c r="G615" s="488" t="s">
        <v>671</v>
      </c>
      <c r="H615" s="7" t="s">
        <v>436</v>
      </c>
      <c r="I615" s="256">
        <v>110</v>
      </c>
      <c r="J615" s="256">
        <v>24095</v>
      </c>
      <c r="K615" s="612">
        <v>2650450</v>
      </c>
      <c r="L615" s="194" t="s">
        <v>169</v>
      </c>
      <c r="M615" s="613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3"/>
      <c r="AC615" s="782"/>
      <c r="AD615" s="782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769">
        <v>41027</v>
      </c>
      <c r="F616" s="189" t="s">
        <v>541</v>
      </c>
      <c r="G616" s="488" t="s">
        <v>671</v>
      </c>
      <c r="H616" s="7" t="s">
        <v>436</v>
      </c>
      <c r="I616" s="252"/>
      <c r="J616" s="252"/>
      <c r="K616" s="612">
        <v>2175976</v>
      </c>
      <c r="L616" s="194" t="s">
        <v>9</v>
      </c>
      <c r="M616" s="613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3">
        <v>4</v>
      </c>
      <c r="AB616" s="211"/>
      <c r="AC616" s="782"/>
      <c r="AD616" s="78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769">
        <v>41027</v>
      </c>
      <c r="F617" s="189" t="s">
        <v>1374</v>
      </c>
      <c r="G617" s="488" t="s">
        <v>672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3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3"/>
      <c r="AC617" s="782"/>
      <c r="AD617" s="78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1375</v>
      </c>
      <c r="G618" s="486" t="s">
        <v>672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3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3"/>
      <c r="AC618" s="782"/>
      <c r="AD618" s="78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1376</v>
      </c>
      <c r="G619" s="486" t="s">
        <v>672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3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3"/>
      <c r="AC619" s="782"/>
      <c r="AD619" s="78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1377</v>
      </c>
      <c r="G620" s="486" t="s">
        <v>672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3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3"/>
      <c r="AC620" s="784"/>
      <c r="AD620" s="784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1378</v>
      </c>
      <c r="G621" s="486" t="s">
        <v>672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3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1258</v>
      </c>
      <c r="G622" s="614" t="s">
        <v>672</v>
      </c>
      <c r="H622" s="7" t="s">
        <v>436</v>
      </c>
      <c r="I622" s="252">
        <v>460</v>
      </c>
      <c r="J622" s="252">
        <v>11150</v>
      </c>
      <c r="K622" s="612">
        <v>5129000</v>
      </c>
      <c r="L622" s="194" t="s">
        <v>169</v>
      </c>
      <c r="M622" s="613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1259</v>
      </c>
      <c r="G623" s="614" t="s">
        <v>672</v>
      </c>
      <c r="H623" s="7" t="s">
        <v>436</v>
      </c>
      <c r="I623" s="252">
        <v>66</v>
      </c>
      <c r="J623" s="252">
        <v>19846</v>
      </c>
      <c r="K623" s="612">
        <v>1309836</v>
      </c>
      <c r="L623" s="194" t="s">
        <v>169</v>
      </c>
      <c r="M623" s="613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1260</v>
      </c>
      <c r="G624" s="614" t="s">
        <v>672</v>
      </c>
      <c r="H624" s="7" t="s">
        <v>436</v>
      </c>
      <c r="I624" s="252">
        <v>240</v>
      </c>
      <c r="J624" s="252">
        <v>21089</v>
      </c>
      <c r="K624" s="612">
        <v>5061360</v>
      </c>
      <c r="L624" s="194" t="s">
        <v>169</v>
      </c>
      <c r="M624" s="613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541</v>
      </c>
      <c r="G625" s="614" t="s">
        <v>672</v>
      </c>
      <c r="H625" s="7" t="s">
        <v>436</v>
      </c>
      <c r="I625" s="252"/>
      <c r="J625" s="252"/>
      <c r="K625" s="612">
        <v>3022372</v>
      </c>
      <c r="L625" s="613" t="s">
        <v>9</v>
      </c>
      <c r="M625" s="613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3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1379</v>
      </c>
      <c r="G626" s="614" t="s">
        <v>673</v>
      </c>
      <c r="H626" s="7" t="s">
        <v>436</v>
      </c>
      <c r="I626" s="252">
        <v>100</v>
      </c>
      <c r="J626" s="252">
        <v>5928</v>
      </c>
      <c r="K626" s="612">
        <v>592800</v>
      </c>
      <c r="L626" s="194" t="s">
        <v>169</v>
      </c>
      <c r="M626" s="613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1380</v>
      </c>
      <c r="G627" s="614" t="s">
        <v>673</v>
      </c>
      <c r="H627" s="7" t="s">
        <v>436</v>
      </c>
      <c r="I627" s="252">
        <v>100</v>
      </c>
      <c r="J627" s="252">
        <v>6413</v>
      </c>
      <c r="K627" s="612">
        <v>641300</v>
      </c>
      <c r="L627" s="194" t="s">
        <v>169</v>
      </c>
      <c r="M627" s="613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1381</v>
      </c>
      <c r="G628" s="614" t="s">
        <v>673</v>
      </c>
      <c r="H628" s="7" t="s">
        <v>436</v>
      </c>
      <c r="I628" s="252">
        <v>100</v>
      </c>
      <c r="J628" s="252">
        <v>6783</v>
      </c>
      <c r="K628" s="612">
        <v>678300</v>
      </c>
      <c r="L628" s="194" t="s">
        <v>169</v>
      </c>
      <c r="M628" s="613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1382</v>
      </c>
      <c r="G629" s="488" t="s">
        <v>673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3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3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1383</v>
      </c>
      <c r="G630" s="488" t="s">
        <v>673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3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1384</v>
      </c>
      <c r="G631" s="614" t="s">
        <v>673</v>
      </c>
      <c r="H631" s="7" t="s">
        <v>436</v>
      </c>
      <c r="I631" s="252">
        <v>250</v>
      </c>
      <c r="J631" s="252">
        <v>8505</v>
      </c>
      <c r="K631" s="612">
        <v>2126250</v>
      </c>
      <c r="L631" s="194" t="s">
        <v>169</v>
      </c>
      <c r="M631" s="613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1385</v>
      </c>
      <c r="G632" s="614" t="s">
        <v>673</v>
      </c>
      <c r="H632" s="7" t="s">
        <v>436</v>
      </c>
      <c r="I632" s="252">
        <v>195</v>
      </c>
      <c r="J632" s="252">
        <v>12241</v>
      </c>
      <c r="K632" s="612">
        <v>2386995</v>
      </c>
      <c r="L632" s="194" t="s">
        <v>169</v>
      </c>
      <c r="M632" s="613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1261</v>
      </c>
      <c r="G633" s="614" t="s">
        <v>673</v>
      </c>
      <c r="H633" s="7" t="s">
        <v>436</v>
      </c>
      <c r="I633" s="252">
        <v>100</v>
      </c>
      <c r="J633" s="252">
        <v>22361</v>
      </c>
      <c r="K633" s="612">
        <v>2236100</v>
      </c>
      <c r="L633" s="194" t="s">
        <v>169</v>
      </c>
      <c r="M633" s="613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541</v>
      </c>
      <c r="G634" s="488" t="s">
        <v>673</v>
      </c>
      <c r="H634" s="7" t="s">
        <v>436</v>
      </c>
      <c r="I634" s="252"/>
      <c r="J634" s="252"/>
      <c r="K634" s="38">
        <v>1370539</v>
      </c>
      <c r="L634" s="194" t="s">
        <v>9</v>
      </c>
      <c r="M634" s="613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3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88" t="s">
        <v>673</v>
      </c>
      <c r="H635" s="7" t="s">
        <v>436</v>
      </c>
      <c r="I635" s="252"/>
      <c r="J635" s="252"/>
      <c r="K635" s="38">
        <v>15075930</v>
      </c>
      <c r="L635" s="613" t="s">
        <v>8</v>
      </c>
      <c r="M635" s="613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3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1361</v>
      </c>
      <c r="G636" s="488" t="s">
        <v>674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3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3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769">
        <v>41027</v>
      </c>
      <c r="F637" s="189" t="s">
        <v>1386</v>
      </c>
      <c r="G637" s="488" t="s">
        <v>674</v>
      </c>
      <c r="H637" s="7" t="s">
        <v>436</v>
      </c>
      <c r="I637" s="252">
        <v>300</v>
      </c>
      <c r="J637" s="252">
        <v>13112</v>
      </c>
      <c r="K637" s="612">
        <v>3933600</v>
      </c>
      <c r="L637" s="194" t="s">
        <v>169</v>
      </c>
      <c r="M637" s="613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769">
        <v>41027</v>
      </c>
      <c r="F638" s="189" t="s">
        <v>1262</v>
      </c>
      <c r="G638" s="488" t="s">
        <v>674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3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3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769">
        <v>41027</v>
      </c>
      <c r="F639" s="192" t="s">
        <v>1263</v>
      </c>
      <c r="G639" s="488" t="s">
        <v>674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3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3"/>
      <c r="AC639" s="198"/>
      <c r="AD639" s="198"/>
    </row>
    <row r="640" spans="1:30" s="603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1264</v>
      </c>
      <c r="G640" s="614" t="s">
        <v>674</v>
      </c>
      <c r="H640" s="7" t="s">
        <v>436</v>
      </c>
      <c r="I640" s="252">
        <v>500</v>
      </c>
      <c r="J640" s="252">
        <v>23149</v>
      </c>
      <c r="K640" s="612">
        <v>11574500</v>
      </c>
      <c r="L640" s="194" t="s">
        <v>169</v>
      </c>
      <c r="M640" s="613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1265</v>
      </c>
      <c r="G641" s="488" t="s">
        <v>674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3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3"/>
      <c r="AC641" s="198"/>
      <c r="AD641" s="198"/>
    </row>
    <row r="642" spans="1:30" s="603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541</v>
      </c>
      <c r="G642" s="488" t="s">
        <v>674</v>
      </c>
      <c r="H642" s="7" t="s">
        <v>436</v>
      </c>
      <c r="I642" s="252"/>
      <c r="J642" s="252"/>
      <c r="K642" s="38">
        <v>2774860</v>
      </c>
      <c r="L642" s="194" t="s">
        <v>9</v>
      </c>
      <c r="M642" s="613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3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1575</v>
      </c>
      <c r="E643" s="831">
        <v>41028</v>
      </c>
      <c r="F643" s="192" t="s">
        <v>1521</v>
      </c>
      <c r="G643" s="830" t="s">
        <v>1543</v>
      </c>
      <c r="H643" s="7" t="s">
        <v>496</v>
      </c>
      <c r="I643" s="252">
        <v>250</v>
      </c>
      <c r="J643" s="829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1575</v>
      </c>
      <c r="E644" s="831">
        <v>41028</v>
      </c>
      <c r="F644" s="192" t="s">
        <v>1490</v>
      </c>
      <c r="G644" s="830" t="s">
        <v>1543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1575</v>
      </c>
      <c r="E645" s="831">
        <v>41028</v>
      </c>
      <c r="F645" s="192" t="s">
        <v>1515</v>
      </c>
      <c r="G645" s="830" t="s">
        <v>1543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1575</v>
      </c>
      <c r="E646" s="831">
        <v>41028</v>
      </c>
      <c r="F646" s="192" t="s">
        <v>1490</v>
      </c>
      <c r="G646" s="830" t="s">
        <v>1543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1575</v>
      </c>
      <c r="E647" s="831">
        <v>41028</v>
      </c>
      <c r="F647" s="192" t="s">
        <v>1517</v>
      </c>
      <c r="G647" s="830" t="s">
        <v>1543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1575</v>
      </c>
      <c r="E648" s="831">
        <v>41028</v>
      </c>
      <c r="F648" s="192" t="s">
        <v>1518</v>
      </c>
      <c r="G648" s="830" t="s">
        <v>1543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1575</v>
      </c>
      <c r="E649" s="831">
        <v>41028</v>
      </c>
      <c r="F649" s="192" t="s">
        <v>1519</v>
      </c>
      <c r="G649" s="830" t="s">
        <v>1543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1575</v>
      </c>
      <c r="E650" s="831">
        <v>41028</v>
      </c>
      <c r="F650" s="192" t="s">
        <v>1520</v>
      </c>
      <c r="G650" s="830" t="s">
        <v>1543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1575</v>
      </c>
      <c r="E651" s="831">
        <v>41028</v>
      </c>
      <c r="F651" s="192" t="s">
        <v>1517</v>
      </c>
      <c r="G651" s="830" t="s">
        <v>1543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1575</v>
      </c>
      <c r="E652" s="831">
        <v>41028</v>
      </c>
      <c r="F652" s="192" t="s">
        <v>1518</v>
      </c>
      <c r="G652" s="830" t="s">
        <v>1543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1575</v>
      </c>
      <c r="E653" s="831">
        <v>41028</v>
      </c>
      <c r="F653" s="192" t="s">
        <v>1519</v>
      </c>
      <c r="G653" s="830" t="s">
        <v>1543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1575</v>
      </c>
      <c r="E654" s="815">
        <v>41028</v>
      </c>
      <c r="F654" s="192" t="s">
        <v>530</v>
      </c>
      <c r="G654" s="830" t="s">
        <v>1543</v>
      </c>
      <c r="H654" s="7" t="s">
        <v>496</v>
      </c>
      <c r="I654" s="252"/>
      <c r="J654" s="252"/>
      <c r="K654" s="612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838"/>
      <c r="AC654" s="838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09">
        <f t="shared" si="46"/>
        <v>41029</v>
      </c>
      <c r="D655" s="709" t="s">
        <v>367</v>
      </c>
      <c r="E655" s="786">
        <v>41029</v>
      </c>
      <c r="F655" s="710" t="s">
        <v>1559</v>
      </c>
      <c r="G655" s="711"/>
      <c r="H655" s="626"/>
      <c r="I655" s="485"/>
      <c r="J655" s="485"/>
      <c r="K655" s="712">
        <v>9325000</v>
      </c>
      <c r="L655" s="713" t="s">
        <v>84</v>
      </c>
      <c r="M655" s="713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3"/>
      <c r="AB655" s="603"/>
      <c r="AC655" s="603"/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09">
        <f t="shared" si="46"/>
        <v>41029</v>
      </c>
      <c r="D656" s="709" t="s">
        <v>367</v>
      </c>
      <c r="E656" s="786">
        <v>41029</v>
      </c>
      <c r="F656" s="710" t="s">
        <v>511</v>
      </c>
      <c r="G656" s="711"/>
      <c r="H656" s="626"/>
      <c r="I656" s="485"/>
      <c r="J656" s="485"/>
      <c r="K656" s="712">
        <v>13450000</v>
      </c>
      <c r="L656" s="713" t="s">
        <v>175</v>
      </c>
      <c r="M656" s="713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3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09">
        <f t="shared" si="46"/>
        <v>41029</v>
      </c>
      <c r="D657" s="709" t="s">
        <v>418</v>
      </c>
      <c r="E657" s="786">
        <v>41029</v>
      </c>
      <c r="F657" s="710" t="str">
        <f>"Thanh toán tiền lương tháng "&amp;MONTH(E657)&amp;"/"&amp;YEAR(E657)</f>
        <v>Thanh toán tiền lương tháng 4/2012</v>
      </c>
      <c r="G657" s="711"/>
      <c r="H657" s="45" t="s">
        <v>659</v>
      </c>
      <c r="I657" s="485"/>
      <c r="J657" s="485"/>
      <c r="K657" s="712">
        <f>K655+K656</f>
        <v>22775000</v>
      </c>
      <c r="L657" s="713" t="s">
        <v>287</v>
      </c>
      <c r="M657" s="713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3"/>
      <c r="AB657" s="603"/>
      <c r="AC657" s="603"/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1576</v>
      </c>
      <c r="E658" s="184">
        <v>41031</v>
      </c>
      <c r="F658" s="189" t="s">
        <v>1182</v>
      </c>
      <c r="G658" s="486" t="s">
        <v>955</v>
      </c>
      <c r="H658" s="193" t="s">
        <v>956</v>
      </c>
      <c r="I658" s="252">
        <v>200</v>
      </c>
      <c r="J658" s="252">
        <v>18915</v>
      </c>
      <c r="K658" s="612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1576</v>
      </c>
      <c r="E659" s="184">
        <v>41031</v>
      </c>
      <c r="F659" s="189" t="s">
        <v>1207</v>
      </c>
      <c r="G659" s="486" t="s">
        <v>955</v>
      </c>
      <c r="H659" s="193" t="s">
        <v>956</v>
      </c>
      <c r="I659" s="252">
        <v>100</v>
      </c>
      <c r="J659" s="252">
        <v>12386</v>
      </c>
      <c r="K659" s="612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1576</v>
      </c>
      <c r="E660" s="815">
        <v>41031</v>
      </c>
      <c r="F660" s="192" t="s">
        <v>530</v>
      </c>
      <c r="G660" s="486" t="s">
        <v>955</v>
      </c>
      <c r="H660" s="805" t="s">
        <v>956</v>
      </c>
      <c r="I660" s="252"/>
      <c r="J660" s="252"/>
      <c r="K660" s="612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1618</v>
      </c>
      <c r="E661" s="815">
        <v>41031</v>
      </c>
      <c r="F661" s="192" t="s">
        <v>365</v>
      </c>
      <c r="G661" s="486" t="s">
        <v>955</v>
      </c>
      <c r="H661" s="805" t="s">
        <v>956</v>
      </c>
      <c r="I661" s="252"/>
      <c r="J661" s="252"/>
      <c r="K661" s="612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564</v>
      </c>
      <c r="G662" s="486" t="s">
        <v>1446</v>
      </c>
      <c r="H662" s="7" t="s">
        <v>566</v>
      </c>
      <c r="I662" s="252"/>
      <c r="J662" s="255"/>
      <c r="K662" s="612">
        <v>675119</v>
      </c>
      <c r="L662" s="194" t="s">
        <v>84</v>
      </c>
      <c r="M662" s="613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567</v>
      </c>
      <c r="G663" s="486" t="s">
        <v>1446</v>
      </c>
      <c r="H663" s="7" t="s">
        <v>566</v>
      </c>
      <c r="I663" s="255"/>
      <c r="J663" s="255"/>
      <c r="K663" s="38">
        <v>67511</v>
      </c>
      <c r="L663" s="194" t="s">
        <v>9</v>
      </c>
      <c r="M663" s="613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769">
        <v>41032</v>
      </c>
      <c r="F664" s="192" t="s">
        <v>365</v>
      </c>
      <c r="G664" s="488" t="s">
        <v>361</v>
      </c>
      <c r="H664" s="193" t="s">
        <v>675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769">
        <v>41032</v>
      </c>
      <c r="F665" s="192" t="s">
        <v>365</v>
      </c>
      <c r="G665" s="488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1577</v>
      </c>
      <c r="E666" s="184">
        <v>41032</v>
      </c>
      <c r="F666" s="189" t="s">
        <v>1181</v>
      </c>
      <c r="G666" s="486" t="s">
        <v>957</v>
      </c>
      <c r="H666" s="193" t="s">
        <v>571</v>
      </c>
      <c r="I666" s="252">
        <v>317</v>
      </c>
      <c r="J666" s="252">
        <v>15720</v>
      </c>
      <c r="K666" s="612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1577</v>
      </c>
      <c r="E667" s="815">
        <v>41032</v>
      </c>
      <c r="F667" s="192" t="s">
        <v>530</v>
      </c>
      <c r="G667" s="486" t="s">
        <v>957</v>
      </c>
      <c r="H667" s="193" t="s">
        <v>571</v>
      </c>
      <c r="I667" s="252"/>
      <c r="J667" s="252"/>
      <c r="K667" s="612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1619</v>
      </c>
      <c r="E668" s="815">
        <v>41032</v>
      </c>
      <c r="F668" s="192" t="s">
        <v>365</v>
      </c>
      <c r="G668" s="486"/>
      <c r="H668" s="193" t="s">
        <v>571</v>
      </c>
      <c r="I668" s="252"/>
      <c r="J668" s="252"/>
      <c r="K668" s="612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1578</v>
      </c>
      <c r="E669" s="184">
        <v>41033</v>
      </c>
      <c r="F669" s="189" t="s">
        <v>1124</v>
      </c>
      <c r="G669" s="486" t="s">
        <v>958</v>
      </c>
      <c r="H669" s="193" t="s">
        <v>1720</v>
      </c>
      <c r="I669" s="252">
        <v>305</v>
      </c>
      <c r="J669" s="252">
        <v>16380</v>
      </c>
      <c r="K669" s="612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1578</v>
      </c>
      <c r="E670" s="184">
        <v>41033</v>
      </c>
      <c r="F670" s="189" t="s">
        <v>1180</v>
      </c>
      <c r="G670" s="486" t="s">
        <v>958</v>
      </c>
      <c r="H670" s="193" t="s">
        <v>1720</v>
      </c>
      <c r="I670" s="252">
        <v>188</v>
      </c>
      <c r="J670" s="252">
        <v>13630</v>
      </c>
      <c r="K670" s="612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1578</v>
      </c>
      <c r="E671" s="815">
        <v>41033</v>
      </c>
      <c r="F671" s="192" t="s">
        <v>530</v>
      </c>
      <c r="G671" s="486" t="s">
        <v>958</v>
      </c>
      <c r="H671" s="193" t="s">
        <v>1720</v>
      </c>
      <c r="I671" s="252"/>
      <c r="J671" s="252"/>
      <c r="K671" s="612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1620</v>
      </c>
      <c r="E672" s="815">
        <v>41033</v>
      </c>
      <c r="F672" s="192" t="s">
        <v>365</v>
      </c>
      <c r="G672" s="486" t="s">
        <v>958</v>
      </c>
      <c r="H672" s="193" t="s">
        <v>1720</v>
      </c>
      <c r="I672" s="252"/>
      <c r="J672" s="252"/>
      <c r="K672" s="612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1579</v>
      </c>
      <c r="E673" s="184">
        <v>41033</v>
      </c>
      <c r="F673" s="192" t="s">
        <v>1112</v>
      </c>
      <c r="G673" s="665" t="s">
        <v>959</v>
      </c>
      <c r="H673" s="7" t="s">
        <v>607</v>
      </c>
      <c r="I673" s="252">
        <v>897</v>
      </c>
      <c r="J673" s="252">
        <v>6210</v>
      </c>
      <c r="K673" s="612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1579</v>
      </c>
      <c r="E674" s="184">
        <v>41033</v>
      </c>
      <c r="F674" s="192" t="s">
        <v>1179</v>
      </c>
      <c r="G674" s="665" t="s">
        <v>959</v>
      </c>
      <c r="H674" s="7" t="s">
        <v>607</v>
      </c>
      <c r="I674" s="252">
        <v>287</v>
      </c>
      <c r="J674" s="252">
        <v>8208</v>
      </c>
      <c r="K674" s="612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1579</v>
      </c>
      <c r="E675" s="184">
        <v>41033</v>
      </c>
      <c r="F675" s="192" t="s">
        <v>1178</v>
      </c>
      <c r="G675" s="665" t="s">
        <v>959</v>
      </c>
      <c r="H675" s="7" t="s">
        <v>607</v>
      </c>
      <c r="I675" s="252">
        <v>254</v>
      </c>
      <c r="J675" s="252">
        <v>11699</v>
      </c>
      <c r="K675" s="612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26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1579</v>
      </c>
      <c r="E676" s="184">
        <v>41033</v>
      </c>
      <c r="F676" s="192" t="s">
        <v>1111</v>
      </c>
      <c r="G676" s="665" t="s">
        <v>959</v>
      </c>
      <c r="H676" s="7" t="s">
        <v>607</v>
      </c>
      <c r="I676" s="252">
        <v>297</v>
      </c>
      <c r="J676" s="252">
        <v>9880</v>
      </c>
      <c r="K676" s="612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26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1579</v>
      </c>
      <c r="E677" s="184">
        <v>41033</v>
      </c>
      <c r="F677" s="192" t="s">
        <v>1106</v>
      </c>
      <c r="G677" s="665" t="s">
        <v>959</v>
      </c>
      <c r="H677" s="7" t="s">
        <v>607</v>
      </c>
      <c r="I677" s="252">
        <v>80</v>
      </c>
      <c r="J677" s="252">
        <v>13320</v>
      </c>
      <c r="K677" s="612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26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1579</v>
      </c>
      <c r="E678" s="815">
        <v>41033</v>
      </c>
      <c r="F678" s="192" t="s">
        <v>530</v>
      </c>
      <c r="G678" s="816" t="s">
        <v>959</v>
      </c>
      <c r="H678" s="7" t="s">
        <v>607</v>
      </c>
      <c r="I678" s="252"/>
      <c r="J678" s="252"/>
      <c r="K678" s="612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1621</v>
      </c>
      <c r="E679" s="191">
        <v>41034</v>
      </c>
      <c r="F679" s="297" t="s">
        <v>534</v>
      </c>
      <c r="G679" s="488" t="s">
        <v>361</v>
      </c>
      <c r="H679" s="7" t="s">
        <v>659</v>
      </c>
      <c r="I679" s="252"/>
      <c r="J679" s="252"/>
      <c r="K679" s="612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88" t="s">
        <v>670</v>
      </c>
      <c r="H680" s="7" t="s">
        <v>436</v>
      </c>
      <c r="I680" s="252"/>
      <c r="J680" s="252"/>
      <c r="K680" s="612">
        <v>10464171</v>
      </c>
      <c r="L680" s="613" t="s">
        <v>8</v>
      </c>
      <c r="M680" s="613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3"/>
      <c r="AB680" s="211"/>
      <c r="AC680" s="782"/>
      <c r="AD680" s="782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1580</v>
      </c>
      <c r="E681" s="191">
        <v>41036</v>
      </c>
      <c r="F681" s="192" t="s">
        <v>1177</v>
      </c>
      <c r="G681" s="488" t="s">
        <v>960</v>
      </c>
      <c r="H681" s="193" t="s">
        <v>923</v>
      </c>
      <c r="I681" s="252">
        <v>308</v>
      </c>
      <c r="J681" s="252">
        <v>5200</v>
      </c>
      <c r="K681" s="612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1580</v>
      </c>
      <c r="E682" s="191">
        <v>41036</v>
      </c>
      <c r="F682" s="192" t="s">
        <v>961</v>
      </c>
      <c r="G682" s="488" t="s">
        <v>960</v>
      </c>
      <c r="H682" s="193" t="s">
        <v>923</v>
      </c>
      <c r="I682" s="252">
        <v>500</v>
      </c>
      <c r="J682" s="252">
        <v>603</v>
      </c>
      <c r="K682" s="612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1580</v>
      </c>
      <c r="E683" s="191">
        <v>41036</v>
      </c>
      <c r="F683" s="192" t="s">
        <v>962</v>
      </c>
      <c r="G683" s="488" t="s">
        <v>960</v>
      </c>
      <c r="H683" s="193" t="s">
        <v>923</v>
      </c>
      <c r="I683" s="252">
        <v>5000</v>
      </c>
      <c r="J683" s="252">
        <v>460</v>
      </c>
      <c r="K683" s="612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1580</v>
      </c>
      <c r="E684" s="191">
        <v>41036</v>
      </c>
      <c r="F684" s="192" t="s">
        <v>530</v>
      </c>
      <c r="G684" s="488" t="s">
        <v>960</v>
      </c>
      <c r="H684" s="193" t="s">
        <v>923</v>
      </c>
      <c r="I684" s="252"/>
      <c r="J684" s="252"/>
      <c r="K684" s="612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1622</v>
      </c>
      <c r="E685" s="191">
        <v>41036</v>
      </c>
      <c r="F685" s="192" t="s">
        <v>365</v>
      </c>
      <c r="G685" s="488" t="s">
        <v>960</v>
      </c>
      <c r="H685" s="193" t="s">
        <v>923</v>
      </c>
      <c r="I685" s="252"/>
      <c r="J685" s="252"/>
      <c r="K685" s="612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1581</v>
      </c>
      <c r="E686" s="191">
        <v>41037</v>
      </c>
      <c r="F686" s="192" t="s">
        <v>1128</v>
      </c>
      <c r="G686" s="488" t="s">
        <v>963</v>
      </c>
      <c r="H686" s="193" t="s">
        <v>964</v>
      </c>
      <c r="I686" s="252">
        <v>795</v>
      </c>
      <c r="J686" s="252">
        <v>6150</v>
      </c>
      <c r="K686" s="612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1581</v>
      </c>
      <c r="E687" s="191">
        <v>41037</v>
      </c>
      <c r="F687" s="192" t="s">
        <v>530</v>
      </c>
      <c r="G687" s="488" t="s">
        <v>963</v>
      </c>
      <c r="H687" s="193" t="s">
        <v>964</v>
      </c>
      <c r="I687" s="252"/>
      <c r="J687" s="252"/>
      <c r="K687" s="612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1623</v>
      </c>
      <c r="E688" s="191">
        <v>41037</v>
      </c>
      <c r="F688" s="192" t="s">
        <v>365</v>
      </c>
      <c r="G688" s="488" t="s">
        <v>963</v>
      </c>
      <c r="H688" s="193" t="s">
        <v>964</v>
      </c>
      <c r="I688" s="252"/>
      <c r="J688" s="252"/>
      <c r="K688" s="612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1582</v>
      </c>
      <c r="E689" s="191">
        <v>41037</v>
      </c>
      <c r="F689" s="192" t="s">
        <v>1545</v>
      </c>
      <c r="G689" s="488" t="s">
        <v>1544</v>
      </c>
      <c r="H689" s="193" t="s">
        <v>497</v>
      </c>
      <c r="I689" s="252">
        <v>503</v>
      </c>
      <c r="J689" s="252">
        <v>6500</v>
      </c>
      <c r="K689" s="612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1582</v>
      </c>
      <c r="E690" s="191">
        <v>41037</v>
      </c>
      <c r="F690" s="192" t="s">
        <v>530</v>
      </c>
      <c r="G690" s="488" t="s">
        <v>1544</v>
      </c>
      <c r="H690" s="193" t="s">
        <v>497</v>
      </c>
      <c r="I690" s="252"/>
      <c r="J690" s="252"/>
      <c r="K690" s="612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88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1387</v>
      </c>
      <c r="G692" s="614" t="s">
        <v>676</v>
      </c>
      <c r="H692" s="7" t="s">
        <v>436</v>
      </c>
      <c r="I692" s="252">
        <v>350</v>
      </c>
      <c r="J692" s="252">
        <v>15429</v>
      </c>
      <c r="K692" s="612">
        <v>5400150</v>
      </c>
      <c r="L692" s="194" t="s">
        <v>169</v>
      </c>
      <c r="M692" s="613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3"/>
      <c r="AB692" s="603"/>
      <c r="AC692" s="198"/>
      <c r="AD692" s="198"/>
    </row>
    <row r="693" spans="1:30" s="603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1388</v>
      </c>
      <c r="G693" s="488" t="s">
        <v>676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3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1266</v>
      </c>
      <c r="G694" s="488" t="s">
        <v>676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3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1267</v>
      </c>
      <c r="G695" s="614" t="s">
        <v>676</v>
      </c>
      <c r="H695" s="7" t="s">
        <v>436</v>
      </c>
      <c r="I695" s="252">
        <v>100</v>
      </c>
      <c r="J695" s="252">
        <v>23250</v>
      </c>
      <c r="K695" s="612">
        <v>2325000</v>
      </c>
      <c r="L695" s="194" t="s">
        <v>169</v>
      </c>
      <c r="M695" s="613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3"/>
      <c r="AB695" s="603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1268</v>
      </c>
      <c r="G696" s="614" t="s">
        <v>676</v>
      </c>
      <c r="H696" s="7" t="s">
        <v>436</v>
      </c>
      <c r="I696" s="252">
        <v>100</v>
      </c>
      <c r="J696" s="252">
        <v>9332</v>
      </c>
      <c r="K696" s="612">
        <v>933200</v>
      </c>
      <c r="L696" s="194" t="s">
        <v>169</v>
      </c>
      <c r="M696" s="613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3"/>
      <c r="AB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1269</v>
      </c>
      <c r="G697" s="614" t="s">
        <v>676</v>
      </c>
      <c r="H697" s="7" t="s">
        <v>436</v>
      </c>
      <c r="I697" s="252">
        <v>500</v>
      </c>
      <c r="J697" s="252">
        <v>15825</v>
      </c>
      <c r="K697" s="612">
        <v>7912500</v>
      </c>
      <c r="L697" s="194" t="s">
        <v>169</v>
      </c>
      <c r="M697" s="613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3"/>
      <c r="AB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541</v>
      </c>
      <c r="G698" s="614" t="s">
        <v>676</v>
      </c>
      <c r="H698" s="7" t="s">
        <v>436</v>
      </c>
      <c r="I698" s="252"/>
      <c r="J698" s="252"/>
      <c r="K698" s="612">
        <v>2518635</v>
      </c>
      <c r="L698" s="613" t="s">
        <v>9</v>
      </c>
      <c r="M698" s="613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1270</v>
      </c>
      <c r="G699" s="614" t="s">
        <v>677</v>
      </c>
      <c r="H699" s="7" t="s">
        <v>436</v>
      </c>
      <c r="I699" s="252">
        <v>250</v>
      </c>
      <c r="J699" s="252">
        <v>22887</v>
      </c>
      <c r="K699" s="612">
        <v>5721750</v>
      </c>
      <c r="L699" s="194" t="s">
        <v>169</v>
      </c>
      <c r="M699" s="613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1271</v>
      </c>
      <c r="G700" s="488" t="s">
        <v>677</v>
      </c>
      <c r="H700" s="7" t="s">
        <v>436</v>
      </c>
      <c r="I700" s="252">
        <v>100</v>
      </c>
      <c r="J700" s="252">
        <v>17625</v>
      </c>
      <c r="K700" s="612">
        <v>1762500</v>
      </c>
      <c r="L700" s="194" t="s">
        <v>169</v>
      </c>
      <c r="M700" s="613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3"/>
      <c r="AC700" s="782"/>
      <c r="AD700" s="782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1272</v>
      </c>
      <c r="G701" s="488" t="s">
        <v>677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3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3"/>
      <c r="AC701" s="782"/>
      <c r="AD701" s="782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1273</v>
      </c>
      <c r="G702" s="614" t="s">
        <v>677</v>
      </c>
      <c r="H702" s="7" t="s">
        <v>436</v>
      </c>
      <c r="I702" s="252">
        <v>500</v>
      </c>
      <c r="J702" s="252">
        <v>18306</v>
      </c>
      <c r="K702" s="612">
        <v>9153000</v>
      </c>
      <c r="L702" s="194" t="s">
        <v>169</v>
      </c>
      <c r="M702" s="613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3"/>
      <c r="AC702" s="782"/>
      <c r="AD702" s="782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1271</v>
      </c>
      <c r="G703" s="614" t="s">
        <v>677</v>
      </c>
      <c r="H703" s="7" t="s">
        <v>436</v>
      </c>
      <c r="I703" s="252">
        <v>250</v>
      </c>
      <c r="J703" s="252">
        <v>18352</v>
      </c>
      <c r="K703" s="612">
        <v>4588000</v>
      </c>
      <c r="L703" s="194" t="s">
        <v>169</v>
      </c>
      <c r="M703" s="613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3"/>
      <c r="AC703" s="782"/>
      <c r="AD703" s="782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541</v>
      </c>
      <c r="G704" s="614" t="s">
        <v>677</v>
      </c>
      <c r="H704" s="7" t="s">
        <v>436</v>
      </c>
      <c r="I704" s="252"/>
      <c r="J704" s="252"/>
      <c r="K704" s="612">
        <v>2267155</v>
      </c>
      <c r="L704" s="613" t="s">
        <v>9</v>
      </c>
      <c r="M704" s="613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782"/>
      <c r="AD704" s="782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1583</v>
      </c>
      <c r="E705" s="191">
        <v>41039</v>
      </c>
      <c r="F705" s="192" t="s">
        <v>1176</v>
      </c>
      <c r="G705" s="488" t="s">
        <v>965</v>
      </c>
      <c r="H705" s="193" t="s">
        <v>933</v>
      </c>
      <c r="I705" s="252">
        <v>300</v>
      </c>
      <c r="J705" s="252">
        <v>6530</v>
      </c>
      <c r="K705" s="612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1583</v>
      </c>
      <c r="E706" s="191">
        <v>41039</v>
      </c>
      <c r="F706" s="192" t="s">
        <v>530</v>
      </c>
      <c r="G706" s="488" t="s">
        <v>965</v>
      </c>
      <c r="H706" s="193" t="s">
        <v>933</v>
      </c>
      <c r="I706" s="252"/>
      <c r="J706" s="252"/>
      <c r="K706" s="612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1624</v>
      </c>
      <c r="E707" s="191">
        <v>41039</v>
      </c>
      <c r="F707" s="192" t="s">
        <v>365</v>
      </c>
      <c r="G707" s="488" t="s">
        <v>965</v>
      </c>
      <c r="H707" s="193" t="s">
        <v>933</v>
      </c>
      <c r="I707" s="252"/>
      <c r="J707" s="252"/>
      <c r="K707" s="612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88" t="s">
        <v>361</v>
      </c>
      <c r="H708" s="7" t="s">
        <v>436</v>
      </c>
      <c r="I708" s="252"/>
      <c r="J708" s="252"/>
      <c r="K708" s="38">
        <v>167598000</v>
      </c>
      <c r="L708" s="613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782"/>
      <c r="AD708" s="782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88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782"/>
      <c r="AD709" s="782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678</v>
      </c>
      <c r="G710" s="614" t="s">
        <v>679</v>
      </c>
      <c r="H710" s="193" t="s">
        <v>401</v>
      </c>
      <c r="I710" s="252"/>
      <c r="J710" s="252"/>
      <c r="K710" s="612">
        <v>2580000</v>
      </c>
      <c r="L710" s="613" t="s">
        <v>175</v>
      </c>
      <c r="M710" s="613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782"/>
      <c r="AD710" s="782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4" t="s">
        <v>679</v>
      </c>
      <c r="H711" s="7" t="s">
        <v>401</v>
      </c>
      <c r="I711" s="252"/>
      <c r="J711" s="252"/>
      <c r="K711" s="612">
        <v>258000</v>
      </c>
      <c r="L711" s="613" t="s">
        <v>9</v>
      </c>
      <c r="M711" s="613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782"/>
      <c r="AD711" s="782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1389</v>
      </c>
      <c r="G712" s="614" t="s">
        <v>680</v>
      </c>
      <c r="H712" s="7" t="s">
        <v>436</v>
      </c>
      <c r="I712" s="252">
        <v>500</v>
      </c>
      <c r="J712" s="252">
        <v>7510</v>
      </c>
      <c r="K712" s="612">
        <v>3755000</v>
      </c>
      <c r="L712" s="194" t="s">
        <v>169</v>
      </c>
      <c r="M712" s="613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3"/>
      <c r="AC712" s="782"/>
      <c r="AD712" s="782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1390</v>
      </c>
      <c r="G713" s="614" t="s">
        <v>680</v>
      </c>
      <c r="H713" s="7" t="s">
        <v>436</v>
      </c>
      <c r="I713" s="252">
        <v>500</v>
      </c>
      <c r="J713" s="252">
        <v>8316</v>
      </c>
      <c r="K713" s="612">
        <v>4158000</v>
      </c>
      <c r="L713" s="194" t="s">
        <v>169</v>
      </c>
      <c r="M713" s="613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3"/>
      <c r="AC713" s="782"/>
      <c r="AD713" s="782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1391</v>
      </c>
      <c r="G714" s="614" t="s">
        <v>680</v>
      </c>
      <c r="H714" s="7" t="s">
        <v>436</v>
      </c>
      <c r="I714" s="252">
        <v>150</v>
      </c>
      <c r="J714" s="252">
        <v>4864</v>
      </c>
      <c r="K714" s="612">
        <v>729600</v>
      </c>
      <c r="L714" s="194" t="s">
        <v>169</v>
      </c>
      <c r="M714" s="613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3"/>
      <c r="AC714" s="782"/>
      <c r="AD714" s="782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1274</v>
      </c>
      <c r="G715" s="488" t="s">
        <v>680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3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3"/>
      <c r="AC715" s="782"/>
      <c r="AD715" s="782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1258</v>
      </c>
      <c r="G716" s="488" t="s">
        <v>680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3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3"/>
      <c r="AC716" s="782"/>
      <c r="AD716" s="782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541</v>
      </c>
      <c r="G717" s="488" t="s">
        <v>680</v>
      </c>
      <c r="H717" s="7" t="s">
        <v>436</v>
      </c>
      <c r="I717" s="252"/>
      <c r="J717" s="252"/>
      <c r="K717" s="612">
        <v>1514510</v>
      </c>
      <c r="L717" s="194" t="s">
        <v>9</v>
      </c>
      <c r="M717" s="613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782"/>
      <c r="AD717" s="782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88" t="s">
        <v>680</v>
      </c>
      <c r="H718" s="7" t="s">
        <v>436</v>
      </c>
      <c r="I718" s="252"/>
      <c r="J718" s="252"/>
      <c r="K718" s="612">
        <v>16659610</v>
      </c>
      <c r="L718" s="613" t="s">
        <v>8</v>
      </c>
      <c r="M718" s="613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782"/>
      <c r="AD718" s="782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1369</v>
      </c>
      <c r="G719" s="488" t="s">
        <v>681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3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3"/>
      <c r="AC719" s="782"/>
      <c r="AD719" s="782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1392</v>
      </c>
      <c r="G720" s="486" t="s">
        <v>681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3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3"/>
      <c r="AC720" s="782"/>
      <c r="AD720" s="782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1385</v>
      </c>
      <c r="G721" s="486" t="s">
        <v>681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3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3"/>
      <c r="AC721" s="782"/>
      <c r="AD721" s="782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1393</v>
      </c>
      <c r="G722" s="488" t="s">
        <v>681</v>
      </c>
      <c r="H722" s="7" t="s">
        <v>436</v>
      </c>
      <c r="I722" s="252">
        <v>200</v>
      </c>
      <c r="J722" s="252">
        <v>14000</v>
      </c>
      <c r="K722" s="612">
        <v>2800000</v>
      </c>
      <c r="L722" s="194" t="s">
        <v>169</v>
      </c>
      <c r="M722" s="613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3"/>
      <c r="AC722" s="782"/>
      <c r="AD722" s="782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1394</v>
      </c>
      <c r="G723" s="488" t="s">
        <v>681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3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3"/>
      <c r="AC723" s="782"/>
      <c r="AD723" s="782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1395</v>
      </c>
      <c r="G724" s="488" t="s">
        <v>681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3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3"/>
      <c r="AC724" s="782"/>
      <c r="AD724" s="782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541</v>
      </c>
      <c r="G725" s="488" t="s">
        <v>681</v>
      </c>
      <c r="H725" s="7" t="s">
        <v>436</v>
      </c>
      <c r="I725" s="252"/>
      <c r="J725" s="252"/>
      <c r="K725" s="38">
        <v>1292110</v>
      </c>
      <c r="L725" s="194" t="s">
        <v>9</v>
      </c>
      <c r="M725" s="613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782"/>
      <c r="AD725" s="782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88" t="s">
        <v>681</v>
      </c>
      <c r="H726" s="7" t="s">
        <v>436</v>
      </c>
      <c r="I726" s="252"/>
      <c r="J726" s="252"/>
      <c r="K726" s="38">
        <v>14213210</v>
      </c>
      <c r="L726" s="613" t="s">
        <v>8</v>
      </c>
      <c r="M726" s="613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782"/>
      <c r="AD726" s="782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1396</v>
      </c>
      <c r="G727" s="614" t="s">
        <v>682</v>
      </c>
      <c r="H727" s="7" t="s">
        <v>436</v>
      </c>
      <c r="I727" s="252">
        <v>50</v>
      </c>
      <c r="J727" s="252">
        <v>17408</v>
      </c>
      <c r="K727" s="612">
        <v>870400</v>
      </c>
      <c r="L727" s="194" t="s">
        <v>169</v>
      </c>
      <c r="M727" s="613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3"/>
      <c r="AC727" s="782"/>
      <c r="AD727" s="782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1343</v>
      </c>
      <c r="G728" s="614" t="s">
        <v>682</v>
      </c>
      <c r="H728" s="7" t="s">
        <v>436</v>
      </c>
      <c r="I728" s="252">
        <v>500</v>
      </c>
      <c r="J728" s="252">
        <v>11227</v>
      </c>
      <c r="K728" s="612">
        <v>5613500</v>
      </c>
      <c r="L728" s="194" t="s">
        <v>169</v>
      </c>
      <c r="M728" s="613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3"/>
      <c r="AC728" s="782"/>
      <c r="AD728" s="782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1397</v>
      </c>
      <c r="G729" s="614" t="s">
        <v>682</v>
      </c>
      <c r="H729" s="7" t="s">
        <v>436</v>
      </c>
      <c r="I729" s="252">
        <v>730</v>
      </c>
      <c r="J729" s="252">
        <v>9122</v>
      </c>
      <c r="K729" s="612">
        <v>6659060</v>
      </c>
      <c r="L729" s="194" t="s">
        <v>169</v>
      </c>
      <c r="M729" s="613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3"/>
      <c r="AC729" s="782"/>
      <c r="AD729" s="782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1275</v>
      </c>
      <c r="G730" s="614" t="s">
        <v>682</v>
      </c>
      <c r="H730" s="7" t="s">
        <v>436</v>
      </c>
      <c r="I730" s="252">
        <v>100</v>
      </c>
      <c r="J730" s="252">
        <v>18559</v>
      </c>
      <c r="K730" s="612">
        <v>1855900</v>
      </c>
      <c r="L730" s="194" t="s">
        <v>169</v>
      </c>
      <c r="M730" s="613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3"/>
      <c r="AC730" s="782"/>
      <c r="AD730" s="782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1276</v>
      </c>
      <c r="G731" s="488" t="s">
        <v>682</v>
      </c>
      <c r="H731" s="7" t="s">
        <v>436</v>
      </c>
      <c r="I731" s="252">
        <v>100</v>
      </c>
      <c r="J731" s="252">
        <v>25240</v>
      </c>
      <c r="K731" s="612">
        <v>2524000</v>
      </c>
      <c r="L731" s="194" t="s">
        <v>169</v>
      </c>
      <c r="M731" s="613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3"/>
      <c r="AC731" s="782"/>
      <c r="AD731" s="782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1277</v>
      </c>
      <c r="G732" s="488" t="s">
        <v>682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3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3"/>
      <c r="AC732" s="782"/>
      <c r="AD732" s="782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541</v>
      </c>
      <c r="G733" s="488" t="s">
        <v>682</v>
      </c>
      <c r="H733" s="7" t="s">
        <v>436</v>
      </c>
      <c r="I733" s="254"/>
      <c r="J733" s="254"/>
      <c r="K733" s="612">
        <v>2052406</v>
      </c>
      <c r="L733" s="194" t="s">
        <v>9</v>
      </c>
      <c r="M733" s="613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782"/>
      <c r="AD733" s="782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88" t="s">
        <v>682</v>
      </c>
      <c r="H734" s="7" t="s">
        <v>436</v>
      </c>
      <c r="I734" s="254"/>
      <c r="J734" s="254"/>
      <c r="K734" s="612">
        <v>11000000</v>
      </c>
      <c r="L734" s="613" t="s">
        <v>8</v>
      </c>
      <c r="M734" s="613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782"/>
      <c r="AD734" s="782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1584</v>
      </c>
      <c r="E735" s="191">
        <v>41041</v>
      </c>
      <c r="F735" s="192" t="s">
        <v>1149</v>
      </c>
      <c r="G735" s="488" t="s">
        <v>966</v>
      </c>
      <c r="H735" s="193" t="s">
        <v>967</v>
      </c>
      <c r="I735" s="252">
        <v>1025</v>
      </c>
      <c r="J735" s="252">
        <v>6800</v>
      </c>
      <c r="K735" s="612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1584</v>
      </c>
      <c r="E736" s="191">
        <v>41041</v>
      </c>
      <c r="F736" s="192" t="s">
        <v>530</v>
      </c>
      <c r="G736" s="488" t="s">
        <v>966</v>
      </c>
      <c r="H736" s="193" t="s">
        <v>967</v>
      </c>
      <c r="I736" s="252"/>
      <c r="J736" s="252"/>
      <c r="K736" s="612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1625</v>
      </c>
      <c r="E737" s="191">
        <v>41041</v>
      </c>
      <c r="F737" s="192" t="s">
        <v>365</v>
      </c>
      <c r="G737" s="488" t="s">
        <v>966</v>
      </c>
      <c r="H737" s="193" t="s">
        <v>967</v>
      </c>
      <c r="I737" s="252"/>
      <c r="J737" s="252"/>
      <c r="K737" s="612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1585</v>
      </c>
      <c r="E738" s="191">
        <v>41041</v>
      </c>
      <c r="F738" s="192" t="s">
        <v>1111</v>
      </c>
      <c r="G738" s="488" t="s">
        <v>968</v>
      </c>
      <c r="H738" s="7" t="s">
        <v>607</v>
      </c>
      <c r="I738" s="252">
        <v>27</v>
      </c>
      <c r="J738" s="252">
        <v>9880</v>
      </c>
      <c r="K738" s="612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1585</v>
      </c>
      <c r="E739" s="191">
        <v>41041</v>
      </c>
      <c r="F739" s="192" t="s">
        <v>1093</v>
      </c>
      <c r="G739" s="488" t="s">
        <v>968</v>
      </c>
      <c r="H739" s="7" t="s">
        <v>607</v>
      </c>
      <c r="I739" s="252">
        <v>1350</v>
      </c>
      <c r="J739" s="252">
        <v>5600</v>
      </c>
      <c r="K739" s="612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1585</v>
      </c>
      <c r="E740" s="191">
        <v>41041</v>
      </c>
      <c r="F740" s="192" t="s">
        <v>1108</v>
      </c>
      <c r="G740" s="488" t="s">
        <v>968</v>
      </c>
      <c r="H740" s="7" t="s">
        <v>607</v>
      </c>
      <c r="I740" s="252">
        <v>200</v>
      </c>
      <c r="J740" s="252">
        <v>9000</v>
      </c>
      <c r="K740" s="612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1585</v>
      </c>
      <c r="E741" s="191">
        <v>41041</v>
      </c>
      <c r="F741" s="192" t="s">
        <v>1106</v>
      </c>
      <c r="G741" s="488" t="s">
        <v>968</v>
      </c>
      <c r="H741" s="7" t="s">
        <v>607</v>
      </c>
      <c r="I741" s="252">
        <v>89</v>
      </c>
      <c r="J741" s="252">
        <v>13320</v>
      </c>
      <c r="K741" s="612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1585</v>
      </c>
      <c r="E742" s="191">
        <v>41041</v>
      </c>
      <c r="F742" s="192" t="s">
        <v>530</v>
      </c>
      <c r="G742" s="488" t="s">
        <v>968</v>
      </c>
      <c r="H742" s="7" t="s">
        <v>607</v>
      </c>
      <c r="I742" s="252"/>
      <c r="J742" s="252"/>
      <c r="K742" s="612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1397</v>
      </c>
      <c r="G743" s="488" t="s">
        <v>683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3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3"/>
      <c r="AC743" s="782"/>
      <c r="AD743" s="782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1263</v>
      </c>
      <c r="G744" s="488" t="s">
        <v>683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3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3"/>
      <c r="AC744" s="782"/>
      <c r="AD744" s="782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1278</v>
      </c>
      <c r="G745" s="614" t="s">
        <v>683</v>
      </c>
      <c r="H745" s="7" t="s">
        <v>436</v>
      </c>
      <c r="I745" s="252">
        <v>200</v>
      </c>
      <c r="J745" s="252">
        <v>23102</v>
      </c>
      <c r="K745" s="612">
        <v>4620400</v>
      </c>
      <c r="L745" s="194" t="s">
        <v>169</v>
      </c>
      <c r="M745" s="613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3"/>
      <c r="AC745" s="782"/>
      <c r="AD745" s="782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1279</v>
      </c>
      <c r="G746" s="665" t="s">
        <v>683</v>
      </c>
      <c r="H746" s="7" t="s">
        <v>436</v>
      </c>
      <c r="I746" s="252">
        <v>410</v>
      </c>
      <c r="J746" s="252">
        <v>12620</v>
      </c>
      <c r="K746" s="612">
        <v>5174200</v>
      </c>
      <c r="L746" s="194" t="s">
        <v>169</v>
      </c>
      <c r="M746" s="613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3"/>
      <c r="AC746" s="782"/>
      <c r="AD746" s="782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1280</v>
      </c>
      <c r="G747" s="665" t="s">
        <v>683</v>
      </c>
      <c r="H747" s="7" t="s">
        <v>436</v>
      </c>
      <c r="I747" s="252">
        <v>1232</v>
      </c>
      <c r="J747" s="252">
        <v>17539</v>
      </c>
      <c r="K747" s="612">
        <v>21608048</v>
      </c>
      <c r="L747" s="194" t="s">
        <v>169</v>
      </c>
      <c r="M747" s="613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3"/>
      <c r="AC747" s="782"/>
      <c r="AD747" s="782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1281</v>
      </c>
      <c r="G748" s="665" t="s">
        <v>683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3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3"/>
      <c r="AC748" s="782"/>
      <c r="AD748" s="782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769">
        <v>41043</v>
      </c>
      <c r="F749" s="192" t="s">
        <v>1279</v>
      </c>
      <c r="G749" s="488" t="s">
        <v>683</v>
      </c>
      <c r="H749" s="7" t="s">
        <v>436</v>
      </c>
      <c r="I749" s="256">
        <v>90</v>
      </c>
      <c r="J749" s="256">
        <v>12620</v>
      </c>
      <c r="K749" s="803">
        <v>1135800</v>
      </c>
      <c r="L749" s="194" t="s">
        <v>169</v>
      </c>
      <c r="M749" s="613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3"/>
      <c r="AC749" s="782"/>
      <c r="AD749" s="782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1258</v>
      </c>
      <c r="G750" s="614" t="s">
        <v>683</v>
      </c>
      <c r="H750" s="7" t="s">
        <v>436</v>
      </c>
      <c r="I750" s="252">
        <v>250</v>
      </c>
      <c r="J750" s="252">
        <v>11150</v>
      </c>
      <c r="K750" s="612">
        <v>2787500</v>
      </c>
      <c r="L750" s="194" t="s">
        <v>169</v>
      </c>
      <c r="M750" s="613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3"/>
      <c r="AC750" s="782"/>
      <c r="AD750" s="782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541</v>
      </c>
      <c r="G751" s="614" t="s">
        <v>683</v>
      </c>
      <c r="H751" s="7" t="s">
        <v>436</v>
      </c>
      <c r="I751" s="252"/>
      <c r="J751" s="252"/>
      <c r="K751" s="612">
        <v>4782239</v>
      </c>
      <c r="L751" s="613" t="s">
        <v>9</v>
      </c>
      <c r="M751" s="613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782"/>
      <c r="AD751" s="782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4" t="s">
        <v>683</v>
      </c>
      <c r="H752" s="7" t="s">
        <v>436</v>
      </c>
      <c r="I752" s="252"/>
      <c r="J752" s="252"/>
      <c r="K752" s="612">
        <v>17800000</v>
      </c>
      <c r="L752" s="613" t="s">
        <v>8</v>
      </c>
      <c r="M752" s="613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782"/>
      <c r="AD752" s="782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88" t="s">
        <v>662</v>
      </c>
      <c r="H753" s="7" t="s">
        <v>436</v>
      </c>
      <c r="I753" s="254"/>
      <c r="J753" s="254"/>
      <c r="K753" s="612">
        <v>15087530</v>
      </c>
      <c r="L753" s="194" t="s">
        <v>8</v>
      </c>
      <c r="M753" s="613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3"/>
      <c r="AB753" s="211"/>
      <c r="AC753" s="782"/>
      <c r="AD753" s="782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1361</v>
      </c>
      <c r="G754" s="614" t="s">
        <v>684</v>
      </c>
      <c r="H754" s="7" t="s">
        <v>436</v>
      </c>
      <c r="I754" s="252">
        <v>300</v>
      </c>
      <c r="J754" s="252">
        <v>11176</v>
      </c>
      <c r="K754" s="612">
        <v>3352800</v>
      </c>
      <c r="L754" s="194" t="s">
        <v>169</v>
      </c>
      <c r="M754" s="613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3"/>
      <c r="AC754" s="782"/>
      <c r="AD754" s="782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1398</v>
      </c>
      <c r="G755" s="614" t="s">
        <v>684</v>
      </c>
      <c r="H755" s="7" t="s">
        <v>436</v>
      </c>
      <c r="I755" s="252">
        <v>150</v>
      </c>
      <c r="J755" s="252">
        <v>6912</v>
      </c>
      <c r="K755" s="612">
        <v>1036800</v>
      </c>
      <c r="L755" s="194" t="s">
        <v>169</v>
      </c>
      <c r="M755" s="613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3"/>
      <c r="AC755" s="782"/>
      <c r="AD755" s="782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1396</v>
      </c>
      <c r="G756" s="614" t="s">
        <v>684</v>
      </c>
      <c r="H756" s="7" t="s">
        <v>436</v>
      </c>
      <c r="I756" s="252">
        <v>100</v>
      </c>
      <c r="J756" s="252">
        <v>13200</v>
      </c>
      <c r="K756" s="612">
        <v>1320000</v>
      </c>
      <c r="L756" s="194" t="s">
        <v>169</v>
      </c>
      <c r="M756" s="613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3"/>
      <c r="AC756" s="782"/>
      <c r="AD756" s="782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1399</v>
      </c>
      <c r="G757" s="488" t="s">
        <v>684</v>
      </c>
      <c r="H757" s="7" t="s">
        <v>436</v>
      </c>
      <c r="I757" s="252">
        <v>300</v>
      </c>
      <c r="J757" s="252">
        <v>9272</v>
      </c>
      <c r="K757" s="612">
        <v>2781600</v>
      </c>
      <c r="L757" s="194" t="s">
        <v>169</v>
      </c>
      <c r="M757" s="613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3"/>
      <c r="AC757" s="782"/>
      <c r="AD757" s="782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1400</v>
      </c>
      <c r="G758" s="488" t="s">
        <v>684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3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3"/>
      <c r="AC758" s="782"/>
      <c r="AD758" s="782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1401</v>
      </c>
      <c r="G759" s="488" t="s">
        <v>684</v>
      </c>
      <c r="H759" s="7" t="s">
        <v>436</v>
      </c>
      <c r="I759" s="252">
        <v>134</v>
      </c>
      <c r="J759" s="252">
        <v>17376</v>
      </c>
      <c r="K759" s="612">
        <v>2328384</v>
      </c>
      <c r="L759" s="194" t="s">
        <v>169</v>
      </c>
      <c r="M759" s="613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3"/>
      <c r="AC759" s="782"/>
      <c r="AD759" s="782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541</v>
      </c>
      <c r="G760" s="488" t="s">
        <v>684</v>
      </c>
      <c r="H760" s="7" t="s">
        <v>436</v>
      </c>
      <c r="I760" s="252"/>
      <c r="J760" s="252"/>
      <c r="K760" s="38">
        <v>1255957</v>
      </c>
      <c r="L760" s="194" t="s">
        <v>9</v>
      </c>
      <c r="M760" s="613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782"/>
      <c r="AD760" s="782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88" t="s">
        <v>684</v>
      </c>
      <c r="H761" s="7" t="s">
        <v>436</v>
      </c>
      <c r="I761" s="252"/>
      <c r="J761" s="252"/>
      <c r="K761" s="38">
        <v>13815531</v>
      </c>
      <c r="L761" s="613" t="s">
        <v>8</v>
      </c>
      <c r="M761" s="613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782"/>
      <c r="AD761" s="782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1282</v>
      </c>
      <c r="G762" s="488" t="s">
        <v>685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3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3"/>
      <c r="AC762" s="782"/>
      <c r="AD762" s="782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541</v>
      </c>
      <c r="G763" s="614" t="s">
        <v>685</v>
      </c>
      <c r="H763" s="7" t="s">
        <v>436</v>
      </c>
      <c r="I763" s="252"/>
      <c r="J763" s="252"/>
      <c r="K763" s="612">
        <v>1236750</v>
      </c>
      <c r="L763" s="613" t="s">
        <v>9</v>
      </c>
      <c r="M763" s="613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2"/>
      <c r="AD763" s="782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4" t="s">
        <v>685</v>
      </c>
      <c r="H764" s="7" t="s">
        <v>436</v>
      </c>
      <c r="I764" s="252"/>
      <c r="J764" s="252"/>
      <c r="K764" s="612">
        <v>13604250</v>
      </c>
      <c r="L764" s="613" t="s">
        <v>8</v>
      </c>
      <c r="M764" s="613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782"/>
      <c r="AD764" s="782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1586</v>
      </c>
      <c r="E765" s="191">
        <v>41045</v>
      </c>
      <c r="F765" s="192" t="s">
        <v>1175</v>
      </c>
      <c r="G765" s="488" t="s">
        <v>969</v>
      </c>
      <c r="H765" s="193" t="s">
        <v>923</v>
      </c>
      <c r="I765" s="252">
        <v>451</v>
      </c>
      <c r="J765" s="252">
        <v>8050</v>
      </c>
      <c r="K765" s="612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1586</v>
      </c>
      <c r="E766" s="191">
        <v>41045</v>
      </c>
      <c r="F766" s="192" t="s">
        <v>1045</v>
      </c>
      <c r="G766" s="488" t="s">
        <v>969</v>
      </c>
      <c r="H766" s="193" t="s">
        <v>923</v>
      </c>
      <c r="I766" s="252">
        <v>783</v>
      </c>
      <c r="J766" s="252">
        <v>6700</v>
      </c>
      <c r="K766" s="612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1586</v>
      </c>
      <c r="E767" s="191">
        <v>41045</v>
      </c>
      <c r="F767" s="192" t="s">
        <v>1174</v>
      </c>
      <c r="G767" s="488" t="s">
        <v>969</v>
      </c>
      <c r="H767" s="193" t="s">
        <v>923</v>
      </c>
      <c r="I767" s="252">
        <v>1200</v>
      </c>
      <c r="J767" s="252">
        <v>337</v>
      </c>
      <c r="K767" s="612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1586</v>
      </c>
      <c r="E768" s="191">
        <v>41045</v>
      </c>
      <c r="F768" s="192" t="s">
        <v>530</v>
      </c>
      <c r="G768" s="488" t="s">
        <v>969</v>
      </c>
      <c r="H768" s="193" t="s">
        <v>923</v>
      </c>
      <c r="I768" s="252"/>
      <c r="J768" s="252"/>
      <c r="K768" s="612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1626</v>
      </c>
      <c r="E769" s="191">
        <v>41045</v>
      </c>
      <c r="F769" s="192" t="s">
        <v>365</v>
      </c>
      <c r="G769" s="488" t="s">
        <v>969</v>
      </c>
      <c r="H769" s="193" t="s">
        <v>923</v>
      </c>
      <c r="I769" s="252"/>
      <c r="J769" s="252"/>
      <c r="K769" s="612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88" t="s">
        <v>682</v>
      </c>
      <c r="H770" s="7" t="s">
        <v>436</v>
      </c>
      <c r="I770" s="254"/>
      <c r="J770" s="254"/>
      <c r="K770" s="612">
        <v>11576466</v>
      </c>
      <c r="L770" s="613" t="s">
        <v>8</v>
      </c>
      <c r="M770" s="613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782"/>
      <c r="AD770" s="782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4" t="s">
        <v>361</v>
      </c>
      <c r="H771" s="7" t="s">
        <v>497</v>
      </c>
      <c r="I771" s="252"/>
      <c r="J771" s="252"/>
      <c r="K771" s="612">
        <v>20157000</v>
      </c>
      <c r="L771" s="613" t="s">
        <v>24</v>
      </c>
      <c r="M771" s="613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2"/>
      <c r="AD771" s="782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1283</v>
      </c>
      <c r="G772" s="488" t="s">
        <v>686</v>
      </c>
      <c r="H772" s="7" t="s">
        <v>436</v>
      </c>
      <c r="I772" s="252">
        <v>100</v>
      </c>
      <c r="J772" s="252">
        <v>21728</v>
      </c>
      <c r="K772" s="612">
        <v>2172800</v>
      </c>
      <c r="L772" s="194" t="s">
        <v>169</v>
      </c>
      <c r="M772" s="613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3"/>
      <c r="AC772" s="782"/>
      <c r="AD772" s="782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1284</v>
      </c>
      <c r="G773" s="488" t="s">
        <v>686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3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3"/>
      <c r="AC773" s="782"/>
      <c r="AD773" s="782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1274</v>
      </c>
      <c r="G774" s="488" t="s">
        <v>686</v>
      </c>
      <c r="H774" s="7" t="s">
        <v>436</v>
      </c>
      <c r="I774" s="252">
        <v>1000</v>
      </c>
      <c r="J774" s="252">
        <v>10775</v>
      </c>
      <c r="K774" s="612">
        <v>10775000</v>
      </c>
      <c r="L774" s="194" t="s">
        <v>169</v>
      </c>
      <c r="M774" s="613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3"/>
      <c r="AC774" s="782"/>
      <c r="AD774" s="782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541</v>
      </c>
      <c r="G775" s="488" t="s">
        <v>686</v>
      </c>
      <c r="H775" s="7" t="s">
        <v>436</v>
      </c>
      <c r="I775" s="252"/>
      <c r="J775" s="252"/>
      <c r="K775" s="38">
        <v>2053014</v>
      </c>
      <c r="L775" s="194" t="s">
        <v>9</v>
      </c>
      <c r="M775" s="613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782"/>
      <c r="AD775" s="782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1587</v>
      </c>
      <c r="E776" s="191">
        <v>41047</v>
      </c>
      <c r="F776" s="811" t="s">
        <v>1173</v>
      </c>
      <c r="G776" s="488" t="s">
        <v>970</v>
      </c>
      <c r="H776" s="193" t="s">
        <v>675</v>
      </c>
      <c r="I776" s="252">
        <v>100</v>
      </c>
      <c r="J776" s="252">
        <v>53900</v>
      </c>
      <c r="K776" s="612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1587</v>
      </c>
      <c r="E777" s="191">
        <v>41047</v>
      </c>
      <c r="F777" s="811" t="s">
        <v>1172</v>
      </c>
      <c r="G777" s="488" t="s">
        <v>970</v>
      </c>
      <c r="H777" s="193" t="s">
        <v>675</v>
      </c>
      <c r="I777" s="252">
        <v>97</v>
      </c>
      <c r="J777" s="252">
        <v>23900</v>
      </c>
      <c r="K777" s="612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1587</v>
      </c>
      <c r="E778" s="191">
        <v>41047</v>
      </c>
      <c r="F778" s="192" t="s">
        <v>530</v>
      </c>
      <c r="G778" s="488" t="s">
        <v>970</v>
      </c>
      <c r="H778" s="193" t="s">
        <v>675</v>
      </c>
      <c r="I778" s="252"/>
      <c r="J778" s="252"/>
      <c r="K778" s="612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1588</v>
      </c>
      <c r="E779" s="191">
        <v>41047</v>
      </c>
      <c r="F779" s="811" t="s">
        <v>1104</v>
      </c>
      <c r="G779" s="488" t="s">
        <v>971</v>
      </c>
      <c r="H779" s="7" t="s">
        <v>972</v>
      </c>
      <c r="I779" s="252">
        <v>100</v>
      </c>
      <c r="J779" s="252">
        <v>11210</v>
      </c>
      <c r="K779" s="612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1588</v>
      </c>
      <c r="E780" s="191">
        <v>41047</v>
      </c>
      <c r="F780" s="811" t="s">
        <v>1171</v>
      </c>
      <c r="G780" s="488" t="s">
        <v>971</v>
      </c>
      <c r="H780" s="7" t="s">
        <v>972</v>
      </c>
      <c r="I780" s="252">
        <v>230</v>
      </c>
      <c r="J780" s="252">
        <v>9070</v>
      </c>
      <c r="K780" s="612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1588</v>
      </c>
      <c r="E781" s="191">
        <v>41047</v>
      </c>
      <c r="F781" s="811" t="s">
        <v>1170</v>
      </c>
      <c r="G781" s="488" t="s">
        <v>971</v>
      </c>
      <c r="H781" s="7" t="s">
        <v>972</v>
      </c>
      <c r="I781" s="252">
        <v>328</v>
      </c>
      <c r="J781" s="252">
        <v>12650</v>
      </c>
      <c r="K781" s="612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1588</v>
      </c>
      <c r="E782" s="191">
        <v>41047</v>
      </c>
      <c r="F782" s="811" t="s">
        <v>1170</v>
      </c>
      <c r="G782" s="488" t="s">
        <v>971</v>
      </c>
      <c r="H782" s="7" t="s">
        <v>972</v>
      </c>
      <c r="I782" s="252">
        <v>505</v>
      </c>
      <c r="J782" s="252">
        <v>15600</v>
      </c>
      <c r="K782" s="612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1588</v>
      </c>
      <c r="E783" s="191">
        <v>41047</v>
      </c>
      <c r="F783" s="192" t="s">
        <v>530</v>
      </c>
      <c r="G783" s="488" t="s">
        <v>971</v>
      </c>
      <c r="H783" s="7" t="s">
        <v>972</v>
      </c>
      <c r="I783" s="252"/>
      <c r="J783" s="252"/>
      <c r="K783" s="612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1627</v>
      </c>
      <c r="E784" s="191">
        <v>41047</v>
      </c>
      <c r="F784" s="192" t="s">
        <v>365</v>
      </c>
      <c r="G784" s="488" t="s">
        <v>971</v>
      </c>
      <c r="H784" s="7" t="s">
        <v>972</v>
      </c>
      <c r="I784" s="252"/>
      <c r="J784" s="252"/>
      <c r="K784" s="612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687</v>
      </c>
      <c r="G785" s="488" t="s">
        <v>688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782"/>
      <c r="AD785" s="782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88" t="s">
        <v>688</v>
      </c>
      <c r="H786" s="193" t="s">
        <v>401</v>
      </c>
      <c r="I786" s="252"/>
      <c r="J786" s="252"/>
      <c r="K786" s="38">
        <v>620000</v>
      </c>
      <c r="L786" s="194" t="s">
        <v>9</v>
      </c>
      <c r="M786" s="613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782"/>
      <c r="AD786" s="782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1402</v>
      </c>
      <c r="G787" s="486" t="s">
        <v>689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3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3"/>
      <c r="AC787" s="782"/>
      <c r="AD787" s="782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1403</v>
      </c>
      <c r="G788" s="486" t="s">
        <v>689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3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3"/>
      <c r="AC788" s="782"/>
      <c r="AD788" s="782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1404</v>
      </c>
      <c r="G789" s="614" t="s">
        <v>689</v>
      </c>
      <c r="H789" s="7" t="s">
        <v>436</v>
      </c>
      <c r="I789" s="252">
        <v>250</v>
      </c>
      <c r="J789" s="252">
        <v>12211</v>
      </c>
      <c r="K789" s="612">
        <v>3052750</v>
      </c>
      <c r="L789" s="194" t="s">
        <v>169</v>
      </c>
      <c r="M789" s="613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3"/>
      <c r="AC789" s="782"/>
      <c r="AD789" s="782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1285</v>
      </c>
      <c r="G790" s="614" t="s">
        <v>689</v>
      </c>
      <c r="H790" s="7" t="s">
        <v>436</v>
      </c>
      <c r="I790" s="252">
        <v>225</v>
      </c>
      <c r="J790" s="252">
        <v>19584</v>
      </c>
      <c r="K790" s="612">
        <v>4406400</v>
      </c>
      <c r="L790" s="194" t="s">
        <v>169</v>
      </c>
      <c r="M790" s="613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3"/>
      <c r="AC790" s="782"/>
      <c r="AD790" s="782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1286</v>
      </c>
      <c r="G791" s="614" t="s">
        <v>689</v>
      </c>
      <c r="H791" s="7" t="s">
        <v>436</v>
      </c>
      <c r="I791" s="252">
        <v>225</v>
      </c>
      <c r="J791" s="252">
        <v>29232</v>
      </c>
      <c r="K791" s="612">
        <v>6577200</v>
      </c>
      <c r="L791" s="194" t="s">
        <v>169</v>
      </c>
      <c r="M791" s="613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3"/>
      <c r="AC791" s="782"/>
      <c r="AD791" s="782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1287</v>
      </c>
      <c r="G792" s="488" t="s">
        <v>689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3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3"/>
      <c r="AC792" s="782"/>
      <c r="AD792" s="782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541</v>
      </c>
      <c r="G793" s="488" t="s">
        <v>689</v>
      </c>
      <c r="H793" s="7" t="s">
        <v>436</v>
      </c>
      <c r="I793" s="252"/>
      <c r="J793" s="252"/>
      <c r="K793" s="38">
        <v>3214285</v>
      </c>
      <c r="L793" s="194" t="s">
        <v>9</v>
      </c>
      <c r="M793" s="613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2"/>
      <c r="AD793" s="782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4" t="s">
        <v>361</v>
      </c>
      <c r="H794" s="7" t="s">
        <v>436</v>
      </c>
      <c r="I794" s="252"/>
      <c r="J794" s="252"/>
      <c r="K794" s="612">
        <v>15000000</v>
      </c>
      <c r="L794" s="613" t="s">
        <v>8</v>
      </c>
      <c r="M794" s="613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782"/>
      <c r="AD794" s="782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4" t="s">
        <v>361</v>
      </c>
      <c r="H795" s="193"/>
      <c r="I795" s="252"/>
      <c r="J795" s="252"/>
      <c r="K795" s="612">
        <v>20000</v>
      </c>
      <c r="L795" s="613" t="s">
        <v>84</v>
      </c>
      <c r="M795" s="613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4" t="s">
        <v>361</v>
      </c>
      <c r="H796" s="7" t="s">
        <v>436</v>
      </c>
      <c r="I796" s="252"/>
      <c r="J796" s="252"/>
      <c r="K796" s="612">
        <v>4664000</v>
      </c>
      <c r="L796" s="613" t="s">
        <v>8</v>
      </c>
      <c r="M796" s="613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782"/>
      <c r="AD796" s="782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4" t="s">
        <v>361</v>
      </c>
      <c r="H797" s="7"/>
      <c r="I797" s="252"/>
      <c r="J797" s="252"/>
      <c r="K797" s="612">
        <v>10000</v>
      </c>
      <c r="L797" s="613" t="s">
        <v>84</v>
      </c>
      <c r="M797" s="613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782"/>
      <c r="AD797" s="782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1288</v>
      </c>
      <c r="G798" s="614" t="s">
        <v>690</v>
      </c>
      <c r="H798" s="7" t="s">
        <v>436</v>
      </c>
      <c r="I798" s="252">
        <v>250</v>
      </c>
      <c r="J798" s="252">
        <v>14726</v>
      </c>
      <c r="K798" s="612">
        <v>3681500</v>
      </c>
      <c r="L798" s="194" t="s">
        <v>169</v>
      </c>
      <c r="M798" s="613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3"/>
      <c r="AC798" s="782"/>
      <c r="AD798" s="782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1289</v>
      </c>
      <c r="G799" s="488" t="s">
        <v>690</v>
      </c>
      <c r="H799" s="7" t="s">
        <v>436</v>
      </c>
      <c r="I799" s="252">
        <v>215</v>
      </c>
      <c r="J799" s="252">
        <v>22361</v>
      </c>
      <c r="K799" s="612">
        <v>4807615</v>
      </c>
      <c r="L799" s="194" t="s">
        <v>169</v>
      </c>
      <c r="M799" s="613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3"/>
      <c r="AC799" s="782"/>
      <c r="AD799" s="782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541</v>
      </c>
      <c r="G800" s="488" t="s">
        <v>690</v>
      </c>
      <c r="H800" s="7" t="s">
        <v>436</v>
      </c>
      <c r="I800" s="252"/>
      <c r="J800" s="252"/>
      <c r="K800" s="38">
        <v>848912</v>
      </c>
      <c r="L800" s="194" t="s">
        <v>9</v>
      </c>
      <c r="M800" s="613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782"/>
      <c r="AD800" s="782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88" t="s">
        <v>690</v>
      </c>
      <c r="H801" s="7" t="s">
        <v>436</v>
      </c>
      <c r="I801" s="252"/>
      <c r="J801" s="252"/>
      <c r="K801" s="38">
        <v>9338027</v>
      </c>
      <c r="L801" s="613" t="s">
        <v>8</v>
      </c>
      <c r="M801" s="613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782"/>
      <c r="AD801" s="782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1589</v>
      </c>
      <c r="E802" s="191">
        <v>41051</v>
      </c>
      <c r="F802" s="811" t="s">
        <v>1169</v>
      </c>
      <c r="G802" s="488" t="s">
        <v>973</v>
      </c>
      <c r="H802" s="7" t="s">
        <v>972</v>
      </c>
      <c r="I802" s="252">
        <v>327</v>
      </c>
      <c r="J802" s="252">
        <v>3330</v>
      </c>
      <c r="K802" s="612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1589</v>
      </c>
      <c r="E803" s="191">
        <v>41051</v>
      </c>
      <c r="F803" s="811" t="s">
        <v>1168</v>
      </c>
      <c r="G803" s="488" t="s">
        <v>973</v>
      </c>
      <c r="H803" s="7" t="s">
        <v>972</v>
      </c>
      <c r="I803" s="252">
        <v>317</v>
      </c>
      <c r="J803" s="252">
        <v>5970</v>
      </c>
      <c r="K803" s="612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1589</v>
      </c>
      <c r="E804" s="191">
        <v>41051</v>
      </c>
      <c r="F804" s="811" t="s">
        <v>1167</v>
      </c>
      <c r="G804" s="488" t="s">
        <v>973</v>
      </c>
      <c r="H804" s="7" t="s">
        <v>972</v>
      </c>
      <c r="I804" s="252">
        <v>2040</v>
      </c>
      <c r="J804" s="252">
        <v>7400</v>
      </c>
      <c r="K804" s="612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1589</v>
      </c>
      <c r="E805" s="191">
        <v>41051</v>
      </c>
      <c r="F805" s="192" t="s">
        <v>530</v>
      </c>
      <c r="G805" s="488" t="s">
        <v>973</v>
      </c>
      <c r="H805" s="7" t="s">
        <v>972</v>
      </c>
      <c r="I805" s="250"/>
      <c r="J805" s="250"/>
      <c r="K805" s="612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1628</v>
      </c>
      <c r="E806" s="191">
        <v>41051</v>
      </c>
      <c r="F806" s="192" t="s">
        <v>365</v>
      </c>
      <c r="G806" s="488" t="s">
        <v>973</v>
      </c>
      <c r="H806" s="7" t="s">
        <v>972</v>
      </c>
      <c r="I806" s="250"/>
      <c r="J806" s="250"/>
      <c r="K806" s="612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1629</v>
      </c>
      <c r="E807" s="191">
        <v>41051</v>
      </c>
      <c r="F807" s="192" t="s">
        <v>1547</v>
      </c>
      <c r="G807" s="488"/>
      <c r="H807" s="193" t="s">
        <v>774</v>
      </c>
      <c r="I807" s="252"/>
      <c r="J807" s="252"/>
      <c r="K807" s="612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1590</v>
      </c>
      <c r="E808" s="191">
        <v>41051</v>
      </c>
      <c r="F808" s="192" t="s">
        <v>1166</v>
      </c>
      <c r="G808" s="488" t="s">
        <v>974</v>
      </c>
      <c r="H808" s="193" t="s">
        <v>774</v>
      </c>
      <c r="I808" s="252">
        <v>492</v>
      </c>
      <c r="J808" s="252">
        <v>8480</v>
      </c>
      <c r="K808" s="612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1590</v>
      </c>
      <c r="E809" s="191">
        <v>41051</v>
      </c>
      <c r="F809" s="192" t="s">
        <v>1165</v>
      </c>
      <c r="G809" s="488" t="s">
        <v>974</v>
      </c>
      <c r="H809" s="193" t="s">
        <v>774</v>
      </c>
      <c r="I809" s="252">
        <v>500</v>
      </c>
      <c r="J809" s="252">
        <v>9760</v>
      </c>
      <c r="K809" s="612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1590</v>
      </c>
      <c r="E810" s="191">
        <v>41051</v>
      </c>
      <c r="F810" s="192" t="s">
        <v>1164</v>
      </c>
      <c r="G810" s="488" t="s">
        <v>974</v>
      </c>
      <c r="H810" s="193" t="s">
        <v>774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1590</v>
      </c>
      <c r="E811" s="191">
        <v>41051</v>
      </c>
      <c r="F811" s="192" t="s">
        <v>975</v>
      </c>
      <c r="G811" s="488" t="s">
        <v>974</v>
      </c>
      <c r="H811" s="193" t="s">
        <v>774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88" t="s">
        <v>691</v>
      </c>
      <c r="H812" s="193" t="s">
        <v>405</v>
      </c>
      <c r="I812" s="252">
        <v>100</v>
      </c>
      <c r="J812" s="252">
        <v>25000</v>
      </c>
      <c r="K812" s="612">
        <v>2500000</v>
      </c>
      <c r="L812" s="194" t="s">
        <v>171</v>
      </c>
      <c r="M812" s="613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782"/>
      <c r="AD812" s="782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88" t="s">
        <v>691</v>
      </c>
      <c r="H813" s="193" t="s">
        <v>405</v>
      </c>
      <c r="I813" s="252"/>
      <c r="J813" s="252"/>
      <c r="K813" s="38">
        <v>250000</v>
      </c>
      <c r="L813" s="194" t="s">
        <v>9</v>
      </c>
      <c r="M813" s="613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782"/>
      <c r="AD813" s="782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88" t="s">
        <v>691</v>
      </c>
      <c r="H814" s="193" t="s">
        <v>405</v>
      </c>
      <c r="I814" s="252"/>
      <c r="J814" s="252"/>
      <c r="K814" s="612">
        <v>2750000</v>
      </c>
      <c r="L814" s="613" t="s">
        <v>8</v>
      </c>
      <c r="M814" s="613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782"/>
      <c r="AD814" s="782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664</v>
      </c>
      <c r="G815" s="488" t="s">
        <v>692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782"/>
      <c r="AD815" s="782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88" t="s">
        <v>692</v>
      </c>
      <c r="H816" s="7" t="s">
        <v>401</v>
      </c>
      <c r="I816" s="254"/>
      <c r="J816" s="254"/>
      <c r="K816" s="612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782"/>
      <c r="AD816" s="782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1405</v>
      </c>
      <c r="G817" s="488" t="s">
        <v>693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3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3"/>
      <c r="AC817" s="782"/>
      <c r="AD817" s="782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1406</v>
      </c>
      <c r="G818" s="614" t="s">
        <v>693</v>
      </c>
      <c r="H818" s="7" t="s">
        <v>436</v>
      </c>
      <c r="I818" s="252">
        <v>200</v>
      </c>
      <c r="J818" s="252">
        <v>11882</v>
      </c>
      <c r="K818" s="612">
        <v>2376400</v>
      </c>
      <c r="L818" s="194" t="s">
        <v>169</v>
      </c>
      <c r="M818" s="613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3"/>
      <c r="AC818" s="784"/>
      <c r="AD818" s="78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1407</v>
      </c>
      <c r="G819" s="488" t="s">
        <v>693</v>
      </c>
      <c r="H819" s="7" t="s">
        <v>436</v>
      </c>
      <c r="I819" s="252">
        <v>150</v>
      </c>
      <c r="J819" s="252">
        <v>10653</v>
      </c>
      <c r="K819" s="612">
        <v>1597950</v>
      </c>
      <c r="L819" s="194" t="s">
        <v>169</v>
      </c>
      <c r="M819" s="613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3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1408</v>
      </c>
      <c r="G820" s="488" t="s">
        <v>693</v>
      </c>
      <c r="H820" s="7" t="s">
        <v>436</v>
      </c>
      <c r="I820" s="252">
        <v>150</v>
      </c>
      <c r="J820" s="252">
        <v>12606</v>
      </c>
      <c r="K820" s="612">
        <v>1890900</v>
      </c>
      <c r="L820" s="194" t="s">
        <v>169</v>
      </c>
      <c r="M820" s="613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3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541</v>
      </c>
      <c r="G821" s="488" t="s">
        <v>693</v>
      </c>
      <c r="H821" s="7" t="s">
        <v>436</v>
      </c>
      <c r="I821" s="252"/>
      <c r="J821" s="252"/>
      <c r="K821" s="612">
        <v>1115725</v>
      </c>
      <c r="L821" s="194" t="s">
        <v>9</v>
      </c>
      <c r="M821" s="613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88" t="s">
        <v>693</v>
      </c>
      <c r="H822" s="7" t="s">
        <v>436</v>
      </c>
      <c r="I822" s="252"/>
      <c r="J822" s="252"/>
      <c r="K822" s="612">
        <v>12272975</v>
      </c>
      <c r="L822" s="613" t="s">
        <v>8</v>
      </c>
      <c r="M822" s="613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1409</v>
      </c>
      <c r="G823" s="488" t="s">
        <v>694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3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3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1406</v>
      </c>
      <c r="G824" s="488" t="s">
        <v>694</v>
      </c>
      <c r="H824" s="7" t="s">
        <v>436</v>
      </c>
      <c r="I824" s="252">
        <v>300</v>
      </c>
      <c r="J824" s="252">
        <v>11882</v>
      </c>
      <c r="K824" s="612">
        <v>3564600</v>
      </c>
      <c r="L824" s="194" t="s">
        <v>169</v>
      </c>
      <c r="M824" s="613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3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1410</v>
      </c>
      <c r="G825" s="488" t="s">
        <v>694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3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3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1411</v>
      </c>
      <c r="G826" s="488" t="s">
        <v>694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3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3"/>
    </row>
    <row r="827" spans="1:30" ht="15.75" customHeight="1">
      <c r="A827" s="204" t="str">
        <f>IF(B827&lt;&gt;"",IF(AND(B827&gt;=_TM1,B827&lt;=_TM2,OR(TH!L827="1111",TH!M827="1111")),TH!D827,""),"")</f>
        <v/>
      </c>
      <c r="B827" s="783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1290</v>
      </c>
      <c r="G827" s="488" t="s">
        <v>694</v>
      </c>
      <c r="H827" s="7" t="s">
        <v>436</v>
      </c>
      <c r="I827" s="252">
        <v>250</v>
      </c>
      <c r="J827" s="252">
        <v>15377</v>
      </c>
      <c r="K827" s="612">
        <v>3844250</v>
      </c>
      <c r="L827" s="194" t="s">
        <v>169</v>
      </c>
      <c r="M827" s="613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84"/>
      <c r="AB827" s="603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541</v>
      </c>
      <c r="G828" s="488" t="s">
        <v>694</v>
      </c>
      <c r="H828" s="7" t="s">
        <v>436</v>
      </c>
      <c r="I828" s="252"/>
      <c r="J828" s="252"/>
      <c r="K828" s="612">
        <v>1915732</v>
      </c>
      <c r="L828" s="194" t="s">
        <v>9</v>
      </c>
      <c r="M828" s="613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1591</v>
      </c>
      <c r="E829" s="191">
        <v>41053</v>
      </c>
      <c r="F829" s="811" t="s">
        <v>1162</v>
      </c>
      <c r="G829" s="488" t="s">
        <v>976</v>
      </c>
      <c r="H829" s="193" t="s">
        <v>951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1591</v>
      </c>
      <c r="E830" s="191">
        <v>41053</v>
      </c>
      <c r="F830" s="811" t="s">
        <v>1163</v>
      </c>
      <c r="G830" s="488" t="s">
        <v>976</v>
      </c>
      <c r="H830" s="193" t="s">
        <v>951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1591</v>
      </c>
      <c r="E831" s="191">
        <v>41053</v>
      </c>
      <c r="F831" s="192" t="s">
        <v>530</v>
      </c>
      <c r="G831" s="488" t="s">
        <v>976</v>
      </c>
      <c r="H831" s="193" t="s">
        <v>951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1630</v>
      </c>
      <c r="E832" s="191">
        <v>41053</v>
      </c>
      <c r="F832" s="192" t="s">
        <v>365</v>
      </c>
      <c r="G832" s="488" t="s">
        <v>976</v>
      </c>
      <c r="H832" s="193" t="s">
        <v>951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1592</v>
      </c>
      <c r="E833" s="191">
        <v>41053</v>
      </c>
      <c r="F833" s="192" t="s">
        <v>1161</v>
      </c>
      <c r="G833" s="488" t="s">
        <v>977</v>
      </c>
      <c r="H833" s="210" t="s">
        <v>902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1592</v>
      </c>
      <c r="E834" s="191">
        <v>41053</v>
      </c>
      <c r="F834" s="192" t="s">
        <v>530</v>
      </c>
      <c r="G834" s="488" t="s">
        <v>977</v>
      </c>
      <c r="H834" s="210" t="s">
        <v>902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1631</v>
      </c>
      <c r="E835" s="191">
        <v>41053</v>
      </c>
      <c r="F835" s="192" t="s">
        <v>365</v>
      </c>
      <c r="G835" s="488" t="s">
        <v>977</v>
      </c>
      <c r="H835" s="210" t="s">
        <v>902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1593</v>
      </c>
      <c r="E836" s="191">
        <v>41053</v>
      </c>
      <c r="F836" s="192" t="s">
        <v>1160</v>
      </c>
      <c r="G836" s="488" t="s">
        <v>978</v>
      </c>
      <c r="H836" s="193" t="s">
        <v>787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1593</v>
      </c>
      <c r="E837" s="191">
        <v>41053</v>
      </c>
      <c r="F837" s="192" t="s">
        <v>1159</v>
      </c>
      <c r="G837" s="488" t="s">
        <v>978</v>
      </c>
      <c r="H837" s="193" t="s">
        <v>787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1593</v>
      </c>
      <c r="E838" s="191">
        <v>41053</v>
      </c>
      <c r="F838" s="192" t="s">
        <v>1158</v>
      </c>
      <c r="G838" s="488" t="s">
        <v>978</v>
      </c>
      <c r="H838" s="193" t="s">
        <v>787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1593</v>
      </c>
      <c r="E839" s="191">
        <v>41053</v>
      </c>
      <c r="F839" s="192" t="s">
        <v>530</v>
      </c>
      <c r="G839" s="488" t="s">
        <v>978</v>
      </c>
      <c r="H839" s="193" t="s">
        <v>787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1594</v>
      </c>
      <c r="E840" s="191">
        <v>41053</v>
      </c>
      <c r="F840" s="192" t="s">
        <v>698</v>
      </c>
      <c r="G840" s="488" t="s">
        <v>979</v>
      </c>
      <c r="H840" s="785" t="s">
        <v>737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1594</v>
      </c>
      <c r="E841" s="191">
        <v>41053</v>
      </c>
      <c r="F841" s="192" t="s">
        <v>699</v>
      </c>
      <c r="G841" s="488" t="s">
        <v>979</v>
      </c>
      <c r="H841" s="785" t="s">
        <v>737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1594</v>
      </c>
      <c r="E842" s="191">
        <v>41053</v>
      </c>
      <c r="F842" s="192" t="s">
        <v>980</v>
      </c>
      <c r="G842" s="488" t="s">
        <v>979</v>
      </c>
      <c r="H842" s="785" t="s">
        <v>737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1632</v>
      </c>
      <c r="E843" s="191">
        <v>41053</v>
      </c>
      <c r="F843" s="192" t="s">
        <v>365</v>
      </c>
      <c r="G843" s="488" t="s">
        <v>979</v>
      </c>
      <c r="H843" s="785" t="s">
        <v>737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88" t="s">
        <v>361</v>
      </c>
      <c r="H844" s="7" t="s">
        <v>607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88" t="s">
        <v>361</v>
      </c>
      <c r="H845" s="193"/>
      <c r="I845" s="252"/>
      <c r="J845" s="252"/>
      <c r="K845" s="612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88" t="s">
        <v>695</v>
      </c>
      <c r="H846" s="193" t="s">
        <v>406</v>
      </c>
      <c r="I846" s="252">
        <v>72</v>
      </c>
      <c r="J846" s="252">
        <v>42000</v>
      </c>
      <c r="K846" s="612">
        <v>3024000</v>
      </c>
      <c r="L846" s="194" t="s">
        <v>171</v>
      </c>
      <c r="M846" s="613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88" t="s">
        <v>695</v>
      </c>
      <c r="H847" s="193" t="s">
        <v>406</v>
      </c>
      <c r="I847" s="252"/>
      <c r="J847" s="252"/>
      <c r="K847" s="612">
        <v>302400</v>
      </c>
      <c r="L847" s="194" t="s">
        <v>9</v>
      </c>
      <c r="M847" s="613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88" t="s">
        <v>695</v>
      </c>
      <c r="H848" s="193" t="s">
        <v>406</v>
      </c>
      <c r="I848" s="252"/>
      <c r="J848" s="252"/>
      <c r="K848" s="612">
        <v>3326400</v>
      </c>
      <c r="L848" s="613" t="s">
        <v>8</v>
      </c>
      <c r="M848" s="613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1291</v>
      </c>
      <c r="G849" s="488" t="s">
        <v>696</v>
      </c>
      <c r="H849" s="7" t="s">
        <v>436</v>
      </c>
      <c r="I849" s="252">
        <v>205</v>
      </c>
      <c r="J849" s="252">
        <v>21119</v>
      </c>
      <c r="K849" s="612">
        <v>4329395</v>
      </c>
      <c r="L849" s="194" t="s">
        <v>169</v>
      </c>
      <c r="M849" s="613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3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697</v>
      </c>
      <c r="G850" s="488" t="s">
        <v>696</v>
      </c>
      <c r="H850" s="7" t="s">
        <v>436</v>
      </c>
      <c r="I850" s="252">
        <v>500</v>
      </c>
      <c r="J850" s="252">
        <v>17219</v>
      </c>
      <c r="K850" s="612">
        <v>8609500</v>
      </c>
      <c r="L850" s="194" t="s">
        <v>177</v>
      </c>
      <c r="M850" s="613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3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698</v>
      </c>
      <c r="G851" s="488" t="s">
        <v>696</v>
      </c>
      <c r="H851" s="7" t="s">
        <v>436</v>
      </c>
      <c r="I851" s="252">
        <v>300</v>
      </c>
      <c r="J851" s="252">
        <v>26644</v>
      </c>
      <c r="K851" s="612">
        <v>7993200</v>
      </c>
      <c r="L851" s="194" t="s">
        <v>177</v>
      </c>
      <c r="M851" s="613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3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699</v>
      </c>
      <c r="G852" s="488" t="s">
        <v>696</v>
      </c>
      <c r="H852" s="7" t="s">
        <v>436</v>
      </c>
      <c r="I852" s="252">
        <v>500</v>
      </c>
      <c r="J852" s="252">
        <v>18923</v>
      </c>
      <c r="K852" s="612">
        <v>9461500</v>
      </c>
      <c r="L852" s="194" t="s">
        <v>177</v>
      </c>
      <c r="M852" s="613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3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700</v>
      </c>
      <c r="G853" s="488" t="s">
        <v>696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3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3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701</v>
      </c>
      <c r="G854" s="488" t="s">
        <v>696</v>
      </c>
      <c r="H854" s="7" t="s">
        <v>436</v>
      </c>
      <c r="I854" s="252">
        <v>500</v>
      </c>
      <c r="J854" s="252">
        <v>14500</v>
      </c>
      <c r="K854" s="612">
        <v>7250000</v>
      </c>
      <c r="L854" s="194" t="s">
        <v>177</v>
      </c>
      <c r="M854" s="613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3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702</v>
      </c>
      <c r="G855" s="488" t="s">
        <v>696</v>
      </c>
      <c r="H855" s="7" t="s">
        <v>436</v>
      </c>
      <c r="I855" s="252">
        <v>300</v>
      </c>
      <c r="J855" s="252">
        <v>31103</v>
      </c>
      <c r="K855" s="612">
        <v>9330900</v>
      </c>
      <c r="L855" s="194" t="s">
        <v>177</v>
      </c>
      <c r="M855" s="613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3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541</v>
      </c>
      <c r="G856" s="488" t="s">
        <v>696</v>
      </c>
      <c r="H856" s="7" t="s">
        <v>436</v>
      </c>
      <c r="I856" s="252"/>
      <c r="J856" s="252"/>
      <c r="K856" s="38">
        <v>5696150</v>
      </c>
      <c r="L856" s="194" t="s">
        <v>9</v>
      </c>
      <c r="M856" s="613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1595</v>
      </c>
      <c r="E857" s="191">
        <v>41054</v>
      </c>
      <c r="F857" s="192" t="s">
        <v>701</v>
      </c>
      <c r="G857" s="488" t="s">
        <v>981</v>
      </c>
      <c r="H857" s="785" t="s">
        <v>737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1595</v>
      </c>
      <c r="E858" s="191">
        <v>41054</v>
      </c>
      <c r="F858" s="192" t="s">
        <v>697</v>
      </c>
      <c r="G858" s="488" t="s">
        <v>981</v>
      </c>
      <c r="H858" s="785" t="s">
        <v>737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1595</v>
      </c>
      <c r="E859" s="191">
        <v>41054</v>
      </c>
      <c r="F859" s="192" t="s">
        <v>980</v>
      </c>
      <c r="G859" s="488" t="s">
        <v>981</v>
      </c>
      <c r="H859" s="785" t="s">
        <v>737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1633</v>
      </c>
      <c r="E860" s="191">
        <v>41054</v>
      </c>
      <c r="F860" s="192" t="s">
        <v>365</v>
      </c>
      <c r="G860" s="488" t="s">
        <v>981</v>
      </c>
      <c r="H860" s="785" t="s">
        <v>737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1361</v>
      </c>
      <c r="G861" s="614" t="s">
        <v>703</v>
      </c>
      <c r="H861" s="7" t="s">
        <v>436</v>
      </c>
      <c r="I861" s="252">
        <v>340</v>
      </c>
      <c r="J861" s="252">
        <v>11176</v>
      </c>
      <c r="K861" s="612">
        <v>3799840</v>
      </c>
      <c r="L861" s="194" t="s">
        <v>169</v>
      </c>
      <c r="M861" s="613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3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1412</v>
      </c>
      <c r="G862" s="614" t="s">
        <v>703</v>
      </c>
      <c r="H862" s="7" t="s">
        <v>436</v>
      </c>
      <c r="I862" s="252">
        <v>120</v>
      </c>
      <c r="J862" s="252">
        <v>11578</v>
      </c>
      <c r="K862" s="612">
        <v>1389360</v>
      </c>
      <c r="L862" s="194" t="s">
        <v>169</v>
      </c>
      <c r="M862" s="613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3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1280</v>
      </c>
      <c r="G863" s="614" t="s">
        <v>703</v>
      </c>
      <c r="H863" s="7" t="s">
        <v>436</v>
      </c>
      <c r="I863" s="252">
        <v>750</v>
      </c>
      <c r="J863" s="252">
        <v>10940</v>
      </c>
      <c r="K863" s="612">
        <v>8205000</v>
      </c>
      <c r="L863" s="194" t="s">
        <v>169</v>
      </c>
      <c r="M863" s="613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3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541</v>
      </c>
      <c r="G864" s="614" t="s">
        <v>703</v>
      </c>
      <c r="H864" s="7" t="s">
        <v>436</v>
      </c>
      <c r="I864" s="252"/>
      <c r="J864" s="252"/>
      <c r="K864" s="612">
        <v>1339420</v>
      </c>
      <c r="L864" s="613" t="s">
        <v>9</v>
      </c>
      <c r="M864" s="613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4" t="s">
        <v>703</v>
      </c>
      <c r="H865" s="7" t="s">
        <v>436</v>
      </c>
      <c r="I865" s="252"/>
      <c r="J865" s="252"/>
      <c r="K865" s="612">
        <v>14733620</v>
      </c>
      <c r="L865" s="613" t="s">
        <v>8</v>
      </c>
      <c r="M865" s="613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1596</v>
      </c>
      <c r="E866" s="191">
        <v>41055</v>
      </c>
      <c r="F866" s="192" t="s">
        <v>1157</v>
      </c>
      <c r="G866" s="488" t="s">
        <v>982</v>
      </c>
      <c r="H866" s="785" t="s">
        <v>737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1596</v>
      </c>
      <c r="E867" s="191">
        <v>41055</v>
      </c>
      <c r="F867" s="192" t="s">
        <v>980</v>
      </c>
      <c r="G867" s="488" t="s">
        <v>982</v>
      </c>
      <c r="H867" s="785" t="s">
        <v>737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1635</v>
      </c>
      <c r="E868" s="191">
        <v>41055</v>
      </c>
      <c r="F868" s="192" t="s">
        <v>365</v>
      </c>
      <c r="G868" s="488" t="s">
        <v>982</v>
      </c>
      <c r="H868" s="785" t="s">
        <v>737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4" t="s">
        <v>683</v>
      </c>
      <c r="H869" s="7" t="s">
        <v>436</v>
      </c>
      <c r="I869" s="252"/>
      <c r="J869" s="252"/>
      <c r="K869" s="612">
        <v>18500000</v>
      </c>
      <c r="L869" s="613" t="s">
        <v>8</v>
      </c>
      <c r="M869" s="613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782"/>
      <c r="AD869" s="782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1597</v>
      </c>
      <c r="E870" s="191">
        <v>41056</v>
      </c>
      <c r="F870" s="192" t="s">
        <v>702</v>
      </c>
      <c r="G870" s="488" t="s">
        <v>983</v>
      </c>
      <c r="H870" s="785" t="s">
        <v>737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1597</v>
      </c>
      <c r="E871" s="191">
        <v>41056</v>
      </c>
      <c r="F871" s="192" t="s">
        <v>980</v>
      </c>
      <c r="G871" s="488" t="s">
        <v>983</v>
      </c>
      <c r="H871" s="785" t="s">
        <v>737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1637</v>
      </c>
      <c r="E872" s="191">
        <v>41056</v>
      </c>
      <c r="F872" s="192" t="s">
        <v>365</v>
      </c>
      <c r="G872" s="488" t="s">
        <v>983</v>
      </c>
      <c r="H872" s="785" t="s">
        <v>737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1413</v>
      </c>
      <c r="G873" s="488" t="s">
        <v>704</v>
      </c>
      <c r="H873" s="7" t="s">
        <v>436</v>
      </c>
      <c r="I873" s="254">
        <v>100</v>
      </c>
      <c r="J873" s="254">
        <v>17876</v>
      </c>
      <c r="K873" s="612">
        <v>1787600</v>
      </c>
      <c r="L873" s="194" t="s">
        <v>169</v>
      </c>
      <c r="M873" s="613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3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1292</v>
      </c>
      <c r="G874" s="488" t="s">
        <v>704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3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3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541</v>
      </c>
      <c r="G875" s="614" t="s">
        <v>704</v>
      </c>
      <c r="H875" s="7" t="s">
        <v>436</v>
      </c>
      <c r="I875" s="252"/>
      <c r="J875" s="252"/>
      <c r="K875" s="612">
        <v>533270</v>
      </c>
      <c r="L875" s="613" t="s">
        <v>9</v>
      </c>
      <c r="M875" s="613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1634</v>
      </c>
      <c r="E876" s="184">
        <v>41057</v>
      </c>
      <c r="F876" s="189" t="s">
        <v>400</v>
      </c>
      <c r="G876" s="614" t="s">
        <v>704</v>
      </c>
      <c r="H876" s="7" t="s">
        <v>436</v>
      </c>
      <c r="I876" s="252"/>
      <c r="J876" s="252"/>
      <c r="K876" s="612">
        <v>5865970</v>
      </c>
      <c r="L876" s="613" t="s">
        <v>8</v>
      </c>
      <c r="M876" s="613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1636</v>
      </c>
      <c r="E877" s="191">
        <v>41059</v>
      </c>
      <c r="F877" s="192" t="s">
        <v>396</v>
      </c>
      <c r="G877" s="488" t="s">
        <v>361</v>
      </c>
      <c r="H877" s="45" t="s">
        <v>659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88" t="s">
        <v>361</v>
      </c>
      <c r="H878" s="7" t="s">
        <v>436</v>
      </c>
      <c r="I878" s="252"/>
      <c r="J878" s="252"/>
      <c r="K878" s="38">
        <v>9933000</v>
      </c>
      <c r="L878" s="613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4" t="s">
        <v>361</v>
      </c>
      <c r="H879" s="7" t="s">
        <v>436</v>
      </c>
      <c r="I879" s="252"/>
      <c r="J879" s="252"/>
      <c r="K879" s="612">
        <v>15000000</v>
      </c>
      <c r="L879" s="613" t="s">
        <v>8</v>
      </c>
      <c r="M879" s="613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88" t="s">
        <v>361</v>
      </c>
      <c r="H880" s="193"/>
      <c r="I880" s="252"/>
      <c r="J880" s="252"/>
      <c r="K880" s="612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88" t="s">
        <v>361</v>
      </c>
      <c r="H881" s="7" t="s">
        <v>436</v>
      </c>
      <c r="I881" s="252"/>
      <c r="J881" s="252"/>
      <c r="K881" s="612">
        <v>80000000</v>
      </c>
      <c r="L881" s="613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88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705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706</v>
      </c>
      <c r="G884" s="192" t="s">
        <v>707</v>
      </c>
      <c r="H884" s="193" t="s">
        <v>649</v>
      </c>
      <c r="I884" s="252">
        <v>300</v>
      </c>
      <c r="J884" s="252">
        <v>10302</v>
      </c>
      <c r="K884" s="38">
        <v>3090600</v>
      </c>
      <c r="L884" s="194" t="s">
        <v>169</v>
      </c>
      <c r="M884" s="613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708</v>
      </c>
      <c r="G885" s="192" t="s">
        <v>707</v>
      </c>
      <c r="H885" s="193" t="s">
        <v>649</v>
      </c>
      <c r="I885" s="252">
        <v>300</v>
      </c>
      <c r="J885" s="252">
        <v>8640</v>
      </c>
      <c r="K885" s="38">
        <v>2592000</v>
      </c>
      <c r="L885" s="194" t="s">
        <v>169</v>
      </c>
      <c r="M885" s="613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709</v>
      </c>
      <c r="G886" s="192" t="s">
        <v>707</v>
      </c>
      <c r="H886" s="193" t="s">
        <v>649</v>
      </c>
      <c r="I886" s="252">
        <v>450</v>
      </c>
      <c r="J886" s="252">
        <v>10626</v>
      </c>
      <c r="K886" s="38">
        <v>4781700</v>
      </c>
      <c r="L886" s="194" t="s">
        <v>169</v>
      </c>
      <c r="M886" s="613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710</v>
      </c>
      <c r="G887" s="192" t="s">
        <v>707</v>
      </c>
      <c r="H887" s="193" t="s">
        <v>649</v>
      </c>
      <c r="I887" s="252">
        <v>150</v>
      </c>
      <c r="J887" s="252">
        <v>14094</v>
      </c>
      <c r="K887" s="38">
        <v>2114100</v>
      </c>
      <c r="L887" s="194" t="s">
        <v>169</v>
      </c>
      <c r="M887" s="613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711</v>
      </c>
      <c r="G888" s="192" t="s">
        <v>707</v>
      </c>
      <c r="H888" s="193" t="s">
        <v>649</v>
      </c>
      <c r="I888" s="252">
        <v>570</v>
      </c>
      <c r="J888" s="252">
        <v>9420</v>
      </c>
      <c r="K888" s="38">
        <v>5369400</v>
      </c>
      <c r="L888" s="194" t="s">
        <v>169</v>
      </c>
      <c r="M888" s="613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652</v>
      </c>
      <c r="G889" s="192" t="s">
        <v>707</v>
      </c>
      <c r="H889" s="193" t="s">
        <v>649</v>
      </c>
      <c r="I889" s="252"/>
      <c r="J889" s="252"/>
      <c r="K889" s="38">
        <v>1794780</v>
      </c>
      <c r="L889" s="194" t="s">
        <v>9</v>
      </c>
      <c r="M889" s="613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1638</v>
      </c>
      <c r="E890" s="191">
        <v>41059</v>
      </c>
      <c r="F890" s="192" t="s">
        <v>400</v>
      </c>
      <c r="G890" s="192" t="s">
        <v>707</v>
      </c>
      <c r="H890" s="193" t="s">
        <v>649</v>
      </c>
      <c r="I890" s="252"/>
      <c r="J890" s="252"/>
      <c r="K890" s="38">
        <v>19742580</v>
      </c>
      <c r="L890" s="613" t="s">
        <v>8</v>
      </c>
      <c r="M890" s="613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712</v>
      </c>
      <c r="G891" s="192" t="s">
        <v>713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3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3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714</v>
      </c>
      <c r="G892" s="192" t="s">
        <v>713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3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3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541</v>
      </c>
      <c r="G893" s="192" t="s">
        <v>713</v>
      </c>
      <c r="H893" s="7" t="s">
        <v>436</v>
      </c>
      <c r="I893" s="252"/>
      <c r="J893" s="252"/>
      <c r="K893" s="38">
        <v>4226422</v>
      </c>
      <c r="L893" s="194" t="s">
        <v>9</v>
      </c>
      <c r="M893" s="613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1414</v>
      </c>
      <c r="G894" s="192" t="s">
        <v>715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3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3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1263</v>
      </c>
      <c r="G895" s="192" t="s">
        <v>715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3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3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716</v>
      </c>
      <c r="G896" s="192" t="s">
        <v>715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3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3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541</v>
      </c>
      <c r="G897" s="192" t="s">
        <v>715</v>
      </c>
      <c r="H897" s="7" t="s">
        <v>436</v>
      </c>
      <c r="I897" s="252"/>
      <c r="J897" s="252"/>
      <c r="K897" s="38">
        <v>1920171</v>
      </c>
      <c r="L897" s="194" t="s">
        <v>9</v>
      </c>
      <c r="M897" s="613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1598</v>
      </c>
      <c r="E898" s="191">
        <v>41059</v>
      </c>
      <c r="F898" s="192" t="s">
        <v>1145</v>
      </c>
      <c r="G898" s="488" t="s">
        <v>984</v>
      </c>
      <c r="H898" s="210" t="s">
        <v>767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1598</v>
      </c>
      <c r="E899" s="191">
        <v>41059</v>
      </c>
      <c r="F899" s="192" t="s">
        <v>1156</v>
      </c>
      <c r="G899" s="488" t="s">
        <v>984</v>
      </c>
      <c r="H899" s="210" t="s">
        <v>767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1598</v>
      </c>
      <c r="E900" s="191">
        <v>41059</v>
      </c>
      <c r="F900" s="192" t="s">
        <v>530</v>
      </c>
      <c r="G900" s="488" t="s">
        <v>984</v>
      </c>
      <c r="H900" s="210" t="s">
        <v>767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1599</v>
      </c>
      <c r="E901" s="191">
        <v>41059</v>
      </c>
      <c r="F901" s="192" t="s">
        <v>1474</v>
      </c>
      <c r="G901" s="488" t="s">
        <v>985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1599</v>
      </c>
      <c r="E902" s="191">
        <v>41059</v>
      </c>
      <c r="F902" s="192" t="s">
        <v>1508</v>
      </c>
      <c r="G902" s="488" t="s">
        <v>985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1599</v>
      </c>
      <c r="E903" s="191">
        <v>41059</v>
      </c>
      <c r="F903" s="192" t="s">
        <v>1472</v>
      </c>
      <c r="G903" s="488" t="s">
        <v>985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1599</v>
      </c>
      <c r="E904" s="191">
        <v>41059</v>
      </c>
      <c r="F904" s="192" t="s">
        <v>1476</v>
      </c>
      <c r="G904" s="488" t="s">
        <v>985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1599</v>
      </c>
      <c r="E905" s="191">
        <v>41059</v>
      </c>
      <c r="F905" s="192" t="s">
        <v>1509</v>
      </c>
      <c r="G905" s="488" t="s">
        <v>985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1599</v>
      </c>
      <c r="E906" s="191">
        <v>41059</v>
      </c>
      <c r="F906" s="192" t="s">
        <v>1511</v>
      </c>
      <c r="G906" s="488" t="s">
        <v>985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1599</v>
      </c>
      <c r="E907" s="191">
        <v>41059</v>
      </c>
      <c r="F907" s="192" t="s">
        <v>1514</v>
      </c>
      <c r="G907" s="488" t="s">
        <v>985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1599</v>
      </c>
      <c r="E908" s="191">
        <v>41059</v>
      </c>
      <c r="F908" s="192" t="s">
        <v>1502</v>
      </c>
      <c r="G908" s="488" t="s">
        <v>985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1599</v>
      </c>
      <c r="E909" s="191">
        <v>41059</v>
      </c>
      <c r="F909" s="192" t="s">
        <v>1502</v>
      </c>
      <c r="G909" s="488" t="s">
        <v>985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1599</v>
      </c>
      <c r="E910" s="191">
        <v>41059</v>
      </c>
      <c r="F910" s="192" t="s">
        <v>1478</v>
      </c>
      <c r="G910" s="488" t="s">
        <v>985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1487</v>
      </c>
      <c r="G911" s="488" t="s">
        <v>985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1600</v>
      </c>
      <c r="E912" s="191">
        <v>41059</v>
      </c>
      <c r="F912" s="192" t="s">
        <v>1490</v>
      </c>
      <c r="G912" s="488" t="s">
        <v>985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1600</v>
      </c>
      <c r="E913" s="191">
        <v>41059</v>
      </c>
      <c r="F913" s="192" t="s">
        <v>1515</v>
      </c>
      <c r="G913" s="488" t="s">
        <v>985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1600</v>
      </c>
      <c r="E914" s="191">
        <v>41059</v>
      </c>
      <c r="F914" s="192" t="s">
        <v>1477</v>
      </c>
      <c r="G914" s="488" t="s">
        <v>985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1600</v>
      </c>
      <c r="E915" s="191">
        <v>41059</v>
      </c>
      <c r="F915" s="192" t="s">
        <v>1512</v>
      </c>
      <c r="G915" s="488" t="s">
        <v>985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1600</v>
      </c>
      <c r="E916" s="191">
        <v>41059</v>
      </c>
      <c r="F916" s="192" t="s">
        <v>1489</v>
      </c>
      <c r="G916" s="488" t="s">
        <v>985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1600</v>
      </c>
      <c r="E917" s="191">
        <v>41059</v>
      </c>
      <c r="F917" s="192" t="s">
        <v>1516</v>
      </c>
      <c r="G917" s="488" t="s">
        <v>985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1600</v>
      </c>
      <c r="E918" s="191">
        <v>41059</v>
      </c>
      <c r="F918" s="192" t="s">
        <v>1479</v>
      </c>
      <c r="G918" s="488" t="s">
        <v>985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1600</v>
      </c>
      <c r="E919" s="191">
        <v>41059</v>
      </c>
      <c r="F919" s="192" t="s">
        <v>1480</v>
      </c>
      <c r="G919" s="488" t="s">
        <v>985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1600</v>
      </c>
      <c r="E920" s="191">
        <v>41059</v>
      </c>
      <c r="F920" s="192" t="s">
        <v>1475</v>
      </c>
      <c r="G920" s="488" t="s">
        <v>985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1600</v>
      </c>
      <c r="E921" s="191">
        <v>41059</v>
      </c>
      <c r="F921" s="192" t="s">
        <v>1483</v>
      </c>
      <c r="G921" s="488" t="s">
        <v>985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1600</v>
      </c>
      <c r="E922" s="191">
        <v>41059</v>
      </c>
      <c r="F922" s="192" t="s">
        <v>1481</v>
      </c>
      <c r="G922" s="488" t="s">
        <v>985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1601</v>
      </c>
      <c r="E923" s="191">
        <v>41059</v>
      </c>
      <c r="F923" s="192" t="s">
        <v>1510</v>
      </c>
      <c r="G923" s="488" t="s">
        <v>985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1601</v>
      </c>
      <c r="E924" s="191">
        <v>41059</v>
      </c>
      <c r="F924" s="192" t="s">
        <v>1471</v>
      </c>
      <c r="G924" s="488" t="s">
        <v>985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1601</v>
      </c>
      <c r="E925" s="191">
        <v>41059</v>
      </c>
      <c r="F925" s="192" t="s">
        <v>1485</v>
      </c>
      <c r="G925" s="488" t="s">
        <v>985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1601</v>
      </c>
      <c r="E926" s="191">
        <v>41059</v>
      </c>
      <c r="F926" s="192" t="s">
        <v>1501</v>
      </c>
      <c r="G926" s="488" t="s">
        <v>985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1601</v>
      </c>
      <c r="E927" s="191">
        <v>41059</v>
      </c>
      <c r="F927" s="192" t="s">
        <v>1513</v>
      </c>
      <c r="G927" s="488" t="s">
        <v>985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1601</v>
      </c>
      <c r="E928" s="191">
        <v>41059</v>
      </c>
      <c r="F928" s="192" t="s">
        <v>1488</v>
      </c>
      <c r="G928" s="488" t="s">
        <v>985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1601</v>
      </c>
      <c r="E929" s="191">
        <v>41059</v>
      </c>
      <c r="F929" s="192" t="s">
        <v>1507</v>
      </c>
      <c r="G929" s="488" t="s">
        <v>985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1601</v>
      </c>
      <c r="E930" s="191">
        <v>41059</v>
      </c>
      <c r="F930" s="192" t="s">
        <v>1491</v>
      </c>
      <c r="G930" s="488" t="s">
        <v>985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1601</v>
      </c>
      <c r="E931" s="191">
        <v>41059</v>
      </c>
      <c r="F931" s="192" t="s">
        <v>1498</v>
      </c>
      <c r="G931" s="488" t="s">
        <v>985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1601</v>
      </c>
      <c r="E932" s="191">
        <v>41059</v>
      </c>
      <c r="F932" s="192" t="s">
        <v>1499</v>
      </c>
      <c r="G932" s="488" t="s">
        <v>985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1601</v>
      </c>
      <c r="E933" s="191">
        <v>41059</v>
      </c>
      <c r="F933" s="192" t="s">
        <v>530</v>
      </c>
      <c r="G933" s="488" t="s">
        <v>985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1602</v>
      </c>
      <c r="E934" s="191">
        <v>41059</v>
      </c>
      <c r="F934" s="192" t="s">
        <v>1155</v>
      </c>
      <c r="G934" s="488" t="s">
        <v>986</v>
      </c>
      <c r="H934" s="193" t="s">
        <v>987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1602</v>
      </c>
      <c r="E935" s="191">
        <v>41059</v>
      </c>
      <c r="F935" s="192" t="s">
        <v>530</v>
      </c>
      <c r="G935" s="488" t="s">
        <v>986</v>
      </c>
      <c r="H935" s="193" t="s">
        <v>987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1641</v>
      </c>
      <c r="E936" s="191">
        <v>41059</v>
      </c>
      <c r="F936" s="192" t="s">
        <v>365</v>
      </c>
      <c r="G936" s="488" t="s">
        <v>986</v>
      </c>
      <c r="H936" s="193" t="s">
        <v>987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1603</v>
      </c>
      <c r="E937" s="191">
        <v>41059</v>
      </c>
      <c r="F937" s="192" t="s">
        <v>712</v>
      </c>
      <c r="G937" s="488" t="s">
        <v>1546</v>
      </c>
      <c r="H937" s="785" t="s">
        <v>737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1603</v>
      </c>
      <c r="E938" s="191">
        <v>41059</v>
      </c>
      <c r="F938" s="192" t="s">
        <v>714</v>
      </c>
      <c r="G938" s="488" t="s">
        <v>1546</v>
      </c>
      <c r="H938" s="785" t="s">
        <v>737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1603</v>
      </c>
      <c r="E939" s="191">
        <v>41059</v>
      </c>
      <c r="F939" s="192" t="s">
        <v>716</v>
      </c>
      <c r="G939" s="488" t="s">
        <v>1546</v>
      </c>
      <c r="H939" s="785" t="s">
        <v>737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1603</v>
      </c>
      <c r="E940" s="191">
        <v>41059</v>
      </c>
      <c r="F940" s="192" t="s">
        <v>525</v>
      </c>
      <c r="G940" s="488" t="s">
        <v>1546</v>
      </c>
      <c r="H940" s="785" t="s">
        <v>737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09">
        <f t="shared" si="60"/>
        <v>41060</v>
      </c>
      <c r="D941" s="709" t="s">
        <v>367</v>
      </c>
      <c r="E941" s="786">
        <v>41060</v>
      </c>
      <c r="F941" s="710" t="s">
        <v>1559</v>
      </c>
      <c r="G941" s="711"/>
      <c r="H941" s="626"/>
      <c r="I941" s="485"/>
      <c r="J941" s="485"/>
      <c r="K941" s="712">
        <v>9325000</v>
      </c>
      <c r="L941" s="713" t="s">
        <v>84</v>
      </c>
      <c r="M941" s="713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3"/>
      <c r="AC941" s="603"/>
      <c r="AD941" s="603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09">
        <f t="shared" si="60"/>
        <v>41060</v>
      </c>
      <c r="D942" s="709" t="s">
        <v>367</v>
      </c>
      <c r="E942" s="786">
        <v>41060</v>
      </c>
      <c r="F942" s="710" t="s">
        <v>511</v>
      </c>
      <c r="G942" s="711"/>
      <c r="H942" s="626"/>
      <c r="I942" s="485"/>
      <c r="J942" s="485"/>
      <c r="K942" s="712">
        <v>13450000</v>
      </c>
      <c r="L942" s="713" t="s">
        <v>175</v>
      </c>
      <c r="M942" s="713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3"/>
      <c r="AC942" s="603"/>
      <c r="AD942" s="603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09">
        <f t="shared" si="60"/>
        <v>41060</v>
      </c>
      <c r="D943" s="709" t="s">
        <v>1639</v>
      </c>
      <c r="E943" s="786">
        <v>41060</v>
      </c>
      <c r="F943" s="710" t="str">
        <f>"Thanh toán tiền lương tháng "&amp;MONTH(E943)&amp;"/"&amp;YEAR(E943)</f>
        <v>Thanh toán tiền lương tháng 5/2012</v>
      </c>
      <c r="G943" s="711"/>
      <c r="H943" s="45" t="s">
        <v>659</v>
      </c>
      <c r="I943" s="485"/>
      <c r="J943" s="485"/>
      <c r="K943" s="712">
        <f>K941+K942</f>
        <v>22775000</v>
      </c>
      <c r="L943" s="713" t="s">
        <v>287</v>
      </c>
      <c r="M943" s="713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3"/>
      <c r="AC943" s="603"/>
      <c r="AD943" s="603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717</v>
      </c>
      <c r="G944" s="192" t="s">
        <v>718</v>
      </c>
      <c r="H944" s="210" t="s">
        <v>719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3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720</v>
      </c>
      <c r="G945" s="192" t="s">
        <v>718</v>
      </c>
      <c r="H945" s="210" t="s">
        <v>719</v>
      </c>
      <c r="I945" s="252"/>
      <c r="J945" s="252"/>
      <c r="K945" s="38">
        <v>2603025</v>
      </c>
      <c r="L945" s="194" t="s">
        <v>9</v>
      </c>
      <c r="M945" s="613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711</v>
      </c>
      <c r="G946" s="192" t="s">
        <v>721</v>
      </c>
      <c r="H946" s="193" t="s">
        <v>649</v>
      </c>
      <c r="I946" s="252">
        <v>80</v>
      </c>
      <c r="J946" s="252">
        <v>9420</v>
      </c>
      <c r="K946" s="38">
        <v>753600</v>
      </c>
      <c r="L946" s="194" t="s">
        <v>169</v>
      </c>
      <c r="M946" s="613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3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722</v>
      </c>
      <c r="G947" s="192" t="s">
        <v>721</v>
      </c>
      <c r="H947" s="210" t="s">
        <v>649</v>
      </c>
      <c r="I947" s="254">
        <v>180</v>
      </c>
      <c r="J947" s="254">
        <v>15120</v>
      </c>
      <c r="K947" s="38">
        <v>2721600</v>
      </c>
      <c r="L947" s="194" t="s">
        <v>169</v>
      </c>
      <c r="M947" s="613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3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723</v>
      </c>
      <c r="G948" s="192" t="s">
        <v>721</v>
      </c>
      <c r="H948" s="193" t="s">
        <v>649</v>
      </c>
      <c r="I948" s="252">
        <v>100</v>
      </c>
      <c r="J948" s="252">
        <v>11730</v>
      </c>
      <c r="K948" s="38">
        <v>1173000</v>
      </c>
      <c r="L948" s="194" t="s">
        <v>169</v>
      </c>
      <c r="M948" s="613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3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724</v>
      </c>
      <c r="G949" s="192" t="s">
        <v>721</v>
      </c>
      <c r="H949" s="193" t="s">
        <v>649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3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3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725</v>
      </c>
      <c r="G950" s="192" t="s">
        <v>721</v>
      </c>
      <c r="H950" s="193" t="s">
        <v>649</v>
      </c>
      <c r="I950" s="252">
        <v>500</v>
      </c>
      <c r="J950" s="252">
        <v>6220.8</v>
      </c>
      <c r="K950" s="38">
        <v>3110400</v>
      </c>
      <c r="L950" s="194" t="s">
        <v>169</v>
      </c>
      <c r="M950" s="613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3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726</v>
      </c>
      <c r="G951" s="192" t="s">
        <v>721</v>
      </c>
      <c r="H951" s="193" t="s">
        <v>649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3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3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727</v>
      </c>
      <c r="G952" s="192" t="s">
        <v>721</v>
      </c>
      <c r="H952" s="193" t="s">
        <v>649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3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3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728</v>
      </c>
      <c r="G953" s="192" t="s">
        <v>721</v>
      </c>
      <c r="H953" s="193" t="s">
        <v>649</v>
      </c>
      <c r="I953" s="252"/>
      <c r="J953" s="252"/>
      <c r="K953" s="38">
        <v>1814247</v>
      </c>
      <c r="L953" s="194" t="s">
        <v>9</v>
      </c>
      <c r="M953" s="613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1640</v>
      </c>
      <c r="E954" s="191">
        <v>41060</v>
      </c>
      <c r="F954" s="192" t="s">
        <v>400</v>
      </c>
      <c r="G954" s="192" t="s">
        <v>721</v>
      </c>
      <c r="H954" s="193" t="s">
        <v>649</v>
      </c>
      <c r="I954" s="252"/>
      <c r="J954" s="252"/>
      <c r="K954" s="38">
        <v>19956717</v>
      </c>
      <c r="L954" s="613" t="s">
        <v>8</v>
      </c>
      <c r="M954" s="613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1604</v>
      </c>
      <c r="E955" s="191">
        <v>41060</v>
      </c>
      <c r="F955" s="189" t="s">
        <v>1096</v>
      </c>
      <c r="G955" s="488" t="s">
        <v>988</v>
      </c>
      <c r="H955" s="193" t="s">
        <v>933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1604</v>
      </c>
      <c r="E956" s="191">
        <v>41060</v>
      </c>
      <c r="F956" s="192" t="s">
        <v>530</v>
      </c>
      <c r="G956" s="488" t="s">
        <v>988</v>
      </c>
      <c r="H956" s="193" t="s">
        <v>933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1644</v>
      </c>
      <c r="E957" s="191">
        <v>41060</v>
      </c>
      <c r="F957" s="192" t="s">
        <v>365</v>
      </c>
      <c r="G957" s="488" t="s">
        <v>988</v>
      </c>
      <c r="H957" s="193" t="s">
        <v>933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1605</v>
      </c>
      <c r="E958" s="191">
        <v>41060</v>
      </c>
      <c r="F958" s="192" t="s">
        <v>526</v>
      </c>
      <c r="G958" s="488" t="s">
        <v>989</v>
      </c>
      <c r="H958" s="210" t="s">
        <v>990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1605</v>
      </c>
      <c r="E959" s="191">
        <v>41060</v>
      </c>
      <c r="F959" s="192" t="s">
        <v>530</v>
      </c>
      <c r="G959" s="488" t="s">
        <v>989</v>
      </c>
      <c r="H959" s="210" t="s">
        <v>990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1645</v>
      </c>
      <c r="E960" s="191">
        <v>41060</v>
      </c>
      <c r="F960" s="192" t="s">
        <v>365</v>
      </c>
      <c r="G960" s="488" t="s">
        <v>989</v>
      </c>
      <c r="H960" s="210" t="s">
        <v>990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1606</v>
      </c>
      <c r="E961" s="191">
        <v>41060</v>
      </c>
      <c r="F961" s="192" t="s">
        <v>527</v>
      </c>
      <c r="G961" s="488" t="s">
        <v>991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1606</v>
      </c>
      <c r="E962" s="191">
        <v>41060</v>
      </c>
      <c r="F962" s="192" t="s">
        <v>1154</v>
      </c>
      <c r="G962" s="488" t="s">
        <v>991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1607</v>
      </c>
      <c r="E963" s="191">
        <v>41061</v>
      </c>
      <c r="F963" s="192" t="s">
        <v>1153</v>
      </c>
      <c r="G963" s="488" t="s">
        <v>992</v>
      </c>
      <c r="H963" s="193" t="s">
        <v>923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1607</v>
      </c>
      <c r="E964" s="191">
        <v>41061</v>
      </c>
      <c r="F964" s="192" t="s">
        <v>1152</v>
      </c>
      <c r="G964" s="488" t="s">
        <v>992</v>
      </c>
      <c r="H964" s="193" t="s">
        <v>923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1607</v>
      </c>
      <c r="E965" s="191">
        <v>41061</v>
      </c>
      <c r="F965" s="192" t="s">
        <v>530</v>
      </c>
      <c r="G965" s="488" t="s">
        <v>992</v>
      </c>
      <c r="H965" s="193" t="s">
        <v>923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1646</v>
      </c>
      <c r="E966" s="191">
        <v>41061</v>
      </c>
      <c r="F966" s="192" t="s">
        <v>365</v>
      </c>
      <c r="G966" s="488" t="s">
        <v>992</v>
      </c>
      <c r="H966" s="193" t="s">
        <v>923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1388</v>
      </c>
      <c r="G967" s="192" t="s">
        <v>729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3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3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541</v>
      </c>
      <c r="G968" s="192" t="s">
        <v>729</v>
      </c>
      <c r="H968" s="7" t="s">
        <v>436</v>
      </c>
      <c r="I968" s="252"/>
      <c r="J968" s="252"/>
      <c r="K968" s="38">
        <v>443050</v>
      </c>
      <c r="L968" s="194" t="s">
        <v>9</v>
      </c>
      <c r="M968" s="613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1642</v>
      </c>
      <c r="E969" s="191">
        <v>41064</v>
      </c>
      <c r="F969" s="192" t="s">
        <v>400</v>
      </c>
      <c r="G969" s="192" t="s">
        <v>729</v>
      </c>
      <c r="H969" s="7" t="s">
        <v>436</v>
      </c>
      <c r="I969" s="252"/>
      <c r="J969" s="252"/>
      <c r="K969" s="38">
        <v>4873550</v>
      </c>
      <c r="L969" s="613" t="s">
        <v>8</v>
      </c>
      <c r="M969" s="613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1643</v>
      </c>
      <c r="E970" s="191">
        <v>41065</v>
      </c>
      <c r="F970" s="189" t="s">
        <v>564</v>
      </c>
      <c r="G970" s="486" t="s">
        <v>1447</v>
      </c>
      <c r="H970" s="7" t="s">
        <v>566</v>
      </c>
      <c r="I970" s="252"/>
      <c r="J970" s="255"/>
      <c r="K970" s="612">
        <v>697704</v>
      </c>
      <c r="L970" s="194" t="s">
        <v>84</v>
      </c>
      <c r="M970" s="613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1643</v>
      </c>
      <c r="E971" s="191">
        <v>41065</v>
      </c>
      <c r="F971" s="189" t="s">
        <v>567</v>
      </c>
      <c r="G971" s="486" t="s">
        <v>1447</v>
      </c>
      <c r="H971" s="7" t="s">
        <v>566</v>
      </c>
      <c r="I971" s="255"/>
      <c r="J971" s="255"/>
      <c r="K971" s="38">
        <v>69770</v>
      </c>
      <c r="L971" s="194" t="s">
        <v>9</v>
      </c>
      <c r="M971" s="613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3"/>
      <c r="AD971" s="603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730</v>
      </c>
      <c r="G972" s="192" t="s">
        <v>731</v>
      </c>
      <c r="H972" s="787" t="s">
        <v>732</v>
      </c>
      <c r="I972" s="252">
        <v>600</v>
      </c>
      <c r="J972" s="252">
        <v>8930</v>
      </c>
      <c r="K972" s="38">
        <v>5358000</v>
      </c>
      <c r="L972" s="194" t="s">
        <v>169</v>
      </c>
      <c r="M972" s="613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3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733</v>
      </c>
      <c r="G973" s="488" t="s">
        <v>731</v>
      </c>
      <c r="H973" s="193" t="s">
        <v>732</v>
      </c>
      <c r="I973" s="252">
        <v>600</v>
      </c>
      <c r="J973" s="252">
        <v>12066</v>
      </c>
      <c r="K973" s="38">
        <v>7239600</v>
      </c>
      <c r="L973" s="194" t="s">
        <v>169</v>
      </c>
      <c r="M973" s="613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3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734</v>
      </c>
      <c r="G974" s="488" t="s">
        <v>731</v>
      </c>
      <c r="H974" s="193" t="s">
        <v>732</v>
      </c>
      <c r="I974" s="252"/>
      <c r="J974" s="252"/>
      <c r="K974" s="38">
        <v>1259760</v>
      </c>
      <c r="L974" s="194" t="s">
        <v>9</v>
      </c>
      <c r="M974" s="613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1647</v>
      </c>
      <c r="E975" s="191">
        <v>41066</v>
      </c>
      <c r="F975" s="192" t="s">
        <v>400</v>
      </c>
      <c r="G975" s="488" t="s">
        <v>731</v>
      </c>
      <c r="H975" s="193" t="s">
        <v>732</v>
      </c>
      <c r="I975" s="252"/>
      <c r="J975" s="252"/>
      <c r="K975" s="38">
        <v>13857360</v>
      </c>
      <c r="L975" s="194" t="s">
        <v>8</v>
      </c>
      <c r="M975" s="613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735</v>
      </c>
      <c r="E976" s="191">
        <v>41066</v>
      </c>
      <c r="F976" s="192" t="s">
        <v>1415</v>
      </c>
      <c r="G976" s="192" t="s">
        <v>736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3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3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735</v>
      </c>
      <c r="E977" s="191">
        <v>41066</v>
      </c>
      <c r="F977" s="192" t="s">
        <v>1416</v>
      </c>
      <c r="G977" s="192" t="s">
        <v>736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3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3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735</v>
      </c>
      <c r="E978" s="191">
        <v>41066</v>
      </c>
      <c r="F978" s="192" t="s">
        <v>1291</v>
      </c>
      <c r="G978" s="192" t="s">
        <v>736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3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3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735</v>
      </c>
      <c r="E979" s="191">
        <v>41066</v>
      </c>
      <c r="F979" s="192" t="s">
        <v>1274</v>
      </c>
      <c r="G979" s="192" t="s">
        <v>736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3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3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735</v>
      </c>
      <c r="E980" s="191">
        <v>41066</v>
      </c>
      <c r="F980" s="192" t="s">
        <v>541</v>
      </c>
      <c r="G980" s="192" t="s">
        <v>736</v>
      </c>
      <c r="H980" s="7" t="s">
        <v>436</v>
      </c>
      <c r="I980" s="252"/>
      <c r="J980" s="252"/>
      <c r="K980" s="38">
        <v>2608640</v>
      </c>
      <c r="L980" s="194" t="s">
        <v>9</v>
      </c>
      <c r="M980" s="613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1648</v>
      </c>
      <c r="E981" s="191">
        <v>41066</v>
      </c>
      <c r="F981" s="192" t="s">
        <v>400</v>
      </c>
      <c r="G981" s="192" t="s">
        <v>736</v>
      </c>
      <c r="H981" s="7" t="s">
        <v>436</v>
      </c>
      <c r="I981" s="252"/>
      <c r="J981" s="252"/>
      <c r="K981" s="38">
        <v>15000000</v>
      </c>
      <c r="L981" s="613" t="s">
        <v>8</v>
      </c>
      <c r="M981" s="613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785" t="s">
        <v>737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88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675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3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738</v>
      </c>
      <c r="E987" s="191">
        <v>41068</v>
      </c>
      <c r="F987" s="192" t="s">
        <v>1293</v>
      </c>
      <c r="G987" s="192" t="s">
        <v>739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3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3"/>
    </row>
    <row r="988" spans="1:30" s="826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738</v>
      </c>
      <c r="E988" s="191">
        <v>41068</v>
      </c>
      <c r="F988" s="192" t="s">
        <v>1294</v>
      </c>
      <c r="G988" s="192" t="s">
        <v>739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3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3"/>
      <c r="AC988" s="198"/>
      <c r="AD988" s="198"/>
    </row>
    <row r="989" spans="1:30" s="826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738</v>
      </c>
      <c r="E989" s="191">
        <v>41068</v>
      </c>
      <c r="F989" s="192" t="s">
        <v>1295</v>
      </c>
      <c r="G989" s="192" t="s">
        <v>739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3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3"/>
      <c r="AC989" s="198"/>
      <c r="AD989" s="198"/>
    </row>
    <row r="990" spans="1:30" s="826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738</v>
      </c>
      <c r="E990" s="191">
        <v>41068</v>
      </c>
      <c r="F990" s="192" t="s">
        <v>1296</v>
      </c>
      <c r="G990" s="192" t="s">
        <v>739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3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3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738</v>
      </c>
      <c r="E991" s="191">
        <v>41068</v>
      </c>
      <c r="F991" s="192" t="s">
        <v>1297</v>
      </c>
      <c r="G991" s="192" t="s">
        <v>739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3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3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738</v>
      </c>
      <c r="E992" s="191">
        <v>41068</v>
      </c>
      <c r="F992" s="192" t="s">
        <v>541</v>
      </c>
      <c r="G992" s="192" t="s">
        <v>739</v>
      </c>
      <c r="H992" s="7" t="s">
        <v>436</v>
      </c>
      <c r="I992" s="252"/>
      <c r="J992" s="252"/>
      <c r="K992" s="38">
        <v>1579155</v>
      </c>
      <c r="L992" s="194" t="s">
        <v>9</v>
      </c>
      <c r="M992" s="613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1649</v>
      </c>
      <c r="E993" s="191">
        <v>41068</v>
      </c>
      <c r="F993" s="192" t="s">
        <v>400</v>
      </c>
      <c r="G993" s="192" t="s">
        <v>739</v>
      </c>
      <c r="H993" s="7" t="s">
        <v>436</v>
      </c>
      <c r="I993" s="252"/>
      <c r="J993" s="252"/>
      <c r="K993" s="38">
        <v>17370700</v>
      </c>
      <c r="L993" s="613" t="s">
        <v>8</v>
      </c>
      <c r="M993" s="613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740</v>
      </c>
      <c r="E994" s="191">
        <v>41068</v>
      </c>
      <c r="F994" s="192" t="s">
        <v>1417</v>
      </c>
      <c r="G994" s="192" t="s">
        <v>741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3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3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740</v>
      </c>
      <c r="E995" s="191">
        <v>41068</v>
      </c>
      <c r="F995" s="192" t="s">
        <v>1367</v>
      </c>
      <c r="G995" s="192" t="s">
        <v>741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3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3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740</v>
      </c>
      <c r="E996" s="191">
        <v>41068</v>
      </c>
      <c r="F996" s="192" t="s">
        <v>1298</v>
      </c>
      <c r="G996" s="192" t="s">
        <v>741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3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3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740</v>
      </c>
      <c r="E997" s="191">
        <v>41068</v>
      </c>
      <c r="F997" s="192" t="s">
        <v>742</v>
      </c>
      <c r="G997" s="192" t="s">
        <v>741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3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3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740</v>
      </c>
      <c r="E998" s="191">
        <v>41068</v>
      </c>
      <c r="F998" s="192" t="s">
        <v>541</v>
      </c>
      <c r="G998" s="192" t="s">
        <v>741</v>
      </c>
      <c r="H998" s="7" t="s">
        <v>436</v>
      </c>
      <c r="I998" s="254"/>
      <c r="J998" s="254"/>
      <c r="K998" s="38">
        <v>3454335</v>
      </c>
      <c r="L998" s="194" t="s">
        <v>9</v>
      </c>
      <c r="M998" s="613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1608</v>
      </c>
      <c r="E999" s="191">
        <v>41069</v>
      </c>
      <c r="F999" s="192" t="s">
        <v>742</v>
      </c>
      <c r="G999" s="488" t="s">
        <v>993</v>
      </c>
      <c r="H999" s="785" t="s">
        <v>737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1608</v>
      </c>
      <c r="E1000" s="191">
        <v>41069</v>
      </c>
      <c r="F1000" s="192" t="s">
        <v>525</v>
      </c>
      <c r="G1000" s="488" t="s">
        <v>993</v>
      </c>
      <c r="H1000" s="785" t="s">
        <v>737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1663</v>
      </c>
      <c r="E1001" s="191">
        <v>41071</v>
      </c>
      <c r="F1001" s="192" t="s">
        <v>743</v>
      </c>
      <c r="G1001" s="488" t="s">
        <v>744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1663</v>
      </c>
      <c r="E1002" s="191">
        <v>41071</v>
      </c>
      <c r="F1002" s="192" t="s">
        <v>372</v>
      </c>
      <c r="G1002" s="488" t="s">
        <v>744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745</v>
      </c>
      <c r="E1003" s="191">
        <v>41071</v>
      </c>
      <c r="F1003" s="192" t="s">
        <v>1418</v>
      </c>
      <c r="G1003" s="488" t="s">
        <v>746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3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3"/>
      <c r="AB1003" s="603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745</v>
      </c>
      <c r="E1004" s="191">
        <v>41071</v>
      </c>
      <c r="F1004" s="192" t="s">
        <v>1369</v>
      </c>
      <c r="G1004" s="488" t="s">
        <v>746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3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3"/>
      <c r="AB1004" s="603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745</v>
      </c>
      <c r="E1005" s="191">
        <v>41071</v>
      </c>
      <c r="F1005" s="192" t="s">
        <v>1371</v>
      </c>
      <c r="G1005" s="192" t="s">
        <v>746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3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3"/>
      <c r="AB1005" s="603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745</v>
      </c>
      <c r="E1006" s="191">
        <v>41071</v>
      </c>
      <c r="F1006" s="192" t="s">
        <v>1299</v>
      </c>
      <c r="G1006" s="192" t="s">
        <v>746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3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3"/>
      <c r="AB1006" s="603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745</v>
      </c>
      <c r="E1007" s="191">
        <v>41071</v>
      </c>
      <c r="F1007" s="192" t="s">
        <v>541</v>
      </c>
      <c r="G1007" s="488" t="s">
        <v>746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3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3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747</v>
      </c>
      <c r="E1008" s="191">
        <v>41071</v>
      </c>
      <c r="F1008" s="192" t="s">
        <v>1400</v>
      </c>
      <c r="G1008" s="488" t="s">
        <v>748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3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3"/>
      <c r="AB1008" s="603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747</v>
      </c>
      <c r="E1009" s="191">
        <v>41071</v>
      </c>
      <c r="F1009" s="192" t="s">
        <v>1419</v>
      </c>
      <c r="G1009" s="488" t="s">
        <v>748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3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3"/>
      <c r="AB1009" s="603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747</v>
      </c>
      <c r="E1010" s="191">
        <v>41071</v>
      </c>
      <c r="F1010" s="192" t="s">
        <v>1420</v>
      </c>
      <c r="G1010" s="488" t="s">
        <v>748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3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3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747</v>
      </c>
      <c r="E1011" s="191">
        <v>41071</v>
      </c>
      <c r="F1011" s="192" t="s">
        <v>1366</v>
      </c>
      <c r="G1011" s="488" t="s">
        <v>748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3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3"/>
      <c r="AB1011" s="603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747</v>
      </c>
      <c r="E1012" s="191">
        <v>41071</v>
      </c>
      <c r="F1012" s="192" t="s">
        <v>1371</v>
      </c>
      <c r="G1012" s="488" t="s">
        <v>748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3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3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747</v>
      </c>
      <c r="E1013" s="191">
        <v>41071</v>
      </c>
      <c r="F1013" s="192" t="s">
        <v>1300</v>
      </c>
      <c r="G1013" s="192" t="s">
        <v>748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3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3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747</v>
      </c>
      <c r="E1014" s="191">
        <v>41071</v>
      </c>
      <c r="F1014" s="192" t="s">
        <v>541</v>
      </c>
      <c r="G1014" s="488" t="s">
        <v>748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3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1609</v>
      </c>
      <c r="E1015" s="191">
        <v>41071</v>
      </c>
      <c r="F1015" s="189" t="s">
        <v>1120</v>
      </c>
      <c r="G1015" s="488" t="s">
        <v>994</v>
      </c>
      <c r="H1015" s="193" t="s">
        <v>885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1609</v>
      </c>
      <c r="E1016" s="191">
        <v>41071</v>
      </c>
      <c r="F1016" s="189" t="s">
        <v>1195</v>
      </c>
      <c r="G1016" s="488" t="s">
        <v>994</v>
      </c>
      <c r="H1016" s="193" t="s">
        <v>885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1609</v>
      </c>
      <c r="E1017" s="191">
        <v>41071</v>
      </c>
      <c r="F1017" s="192" t="s">
        <v>1125</v>
      </c>
      <c r="G1017" s="488" t="s">
        <v>994</v>
      </c>
      <c r="H1017" s="193" t="s">
        <v>885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1609</v>
      </c>
      <c r="E1018" s="191">
        <v>41071</v>
      </c>
      <c r="F1018" s="192" t="s">
        <v>530</v>
      </c>
      <c r="G1018" s="488" t="s">
        <v>994</v>
      </c>
      <c r="H1018" s="193" t="s">
        <v>885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1653</v>
      </c>
      <c r="E1019" s="191">
        <v>41071</v>
      </c>
      <c r="F1019" s="192" t="s">
        <v>365</v>
      </c>
      <c r="G1019" s="488" t="s">
        <v>994</v>
      </c>
      <c r="H1019" s="193" t="s">
        <v>885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1650</v>
      </c>
      <c r="E1020" s="184">
        <v>41072</v>
      </c>
      <c r="F1020" s="192" t="s">
        <v>400</v>
      </c>
      <c r="G1020" s="614" t="s">
        <v>683</v>
      </c>
      <c r="H1020" s="7" t="s">
        <v>436</v>
      </c>
      <c r="I1020" s="252"/>
      <c r="J1020" s="252"/>
      <c r="K1020" s="612">
        <v>16304627</v>
      </c>
      <c r="L1020" s="613" t="s">
        <v>8</v>
      </c>
      <c r="M1020" s="613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782"/>
      <c r="AD1020" s="782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1610</v>
      </c>
      <c r="E1021" s="191">
        <v>41072</v>
      </c>
      <c r="F1021" s="192" t="s">
        <v>1151</v>
      </c>
      <c r="G1021" s="488" t="s">
        <v>995</v>
      </c>
      <c r="H1021" s="7" t="s">
        <v>607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1610</v>
      </c>
      <c r="E1022" s="191">
        <v>41072</v>
      </c>
      <c r="F1022" s="192" t="s">
        <v>530</v>
      </c>
      <c r="G1022" s="488" t="s">
        <v>995</v>
      </c>
      <c r="H1022" s="7" t="s">
        <v>607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1611</v>
      </c>
      <c r="E1023" s="191">
        <v>41072</v>
      </c>
      <c r="F1023" s="192" t="s">
        <v>1150</v>
      </c>
      <c r="G1023" s="488" t="s">
        <v>996</v>
      </c>
      <c r="H1023" s="193" t="s">
        <v>997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1611</v>
      </c>
      <c r="E1024" s="191">
        <v>41072</v>
      </c>
      <c r="F1024" s="192" t="s">
        <v>530</v>
      </c>
      <c r="G1024" s="488" t="s">
        <v>996</v>
      </c>
      <c r="H1024" s="193" t="s">
        <v>997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1655</v>
      </c>
      <c r="E1025" s="191">
        <v>41072</v>
      </c>
      <c r="F1025" s="192" t="s">
        <v>365</v>
      </c>
      <c r="G1025" s="488" t="s">
        <v>996</v>
      </c>
      <c r="H1025" s="193" t="s">
        <v>997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88" t="s">
        <v>361</v>
      </c>
      <c r="H1026" s="7" t="s">
        <v>436</v>
      </c>
      <c r="I1026" s="252"/>
      <c r="J1026" s="252"/>
      <c r="K1026" s="38">
        <v>70000000</v>
      </c>
      <c r="L1026" s="613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88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1651</v>
      </c>
      <c r="E1028" s="191">
        <v>41073</v>
      </c>
      <c r="F1028" s="192" t="s">
        <v>749</v>
      </c>
      <c r="G1028" s="488" t="s">
        <v>750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1651</v>
      </c>
      <c r="E1029" s="191">
        <v>41073</v>
      </c>
      <c r="F1029" s="192" t="s">
        <v>372</v>
      </c>
      <c r="G1029" s="192" t="s">
        <v>750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751</v>
      </c>
      <c r="E1030" s="191">
        <v>41073</v>
      </c>
      <c r="F1030" s="192" t="s">
        <v>1301</v>
      </c>
      <c r="G1030" s="192" t="s">
        <v>752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3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3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751</v>
      </c>
      <c r="E1031" s="191">
        <v>41073</v>
      </c>
      <c r="F1031" s="192" t="s">
        <v>1302</v>
      </c>
      <c r="G1031" s="192" t="s">
        <v>752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3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3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751</v>
      </c>
      <c r="E1032" s="191">
        <v>41073</v>
      </c>
      <c r="F1032" s="192" t="s">
        <v>541</v>
      </c>
      <c r="G1032" s="488" t="s">
        <v>752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3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1652</v>
      </c>
      <c r="E1033" s="191">
        <v>41073</v>
      </c>
      <c r="F1033" s="192" t="s">
        <v>400</v>
      </c>
      <c r="G1033" s="488" t="s">
        <v>752</v>
      </c>
      <c r="H1033" s="7" t="s">
        <v>436</v>
      </c>
      <c r="I1033" s="252"/>
      <c r="J1033" s="252"/>
      <c r="K1033" s="38">
        <v>7232225</v>
      </c>
      <c r="L1033" s="613" t="s">
        <v>8</v>
      </c>
      <c r="M1033" s="613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88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753</v>
      </c>
      <c r="E1035" s="191">
        <v>41076</v>
      </c>
      <c r="F1035" s="192" t="s">
        <v>1273</v>
      </c>
      <c r="G1035" s="488" t="s">
        <v>754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3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3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753</v>
      </c>
      <c r="E1036" s="191">
        <v>41076</v>
      </c>
      <c r="F1036" s="192" t="s">
        <v>541</v>
      </c>
      <c r="G1036" s="488" t="s">
        <v>754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3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1654</v>
      </c>
      <c r="E1037" s="191">
        <v>41076</v>
      </c>
      <c r="F1037" s="192" t="s">
        <v>400</v>
      </c>
      <c r="G1037" s="488" t="s">
        <v>754</v>
      </c>
      <c r="H1037" s="7" t="s">
        <v>436</v>
      </c>
      <c r="I1037" s="252"/>
      <c r="J1037" s="252"/>
      <c r="K1037" s="38">
        <f>K1035+K1036</f>
        <v>10068300</v>
      </c>
      <c r="L1037" s="613" t="s">
        <v>8</v>
      </c>
      <c r="M1037" s="613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1656</v>
      </c>
      <c r="E1038" s="191">
        <v>41078</v>
      </c>
      <c r="F1038" s="192" t="s">
        <v>396</v>
      </c>
      <c r="G1038" s="488" t="s">
        <v>361</v>
      </c>
      <c r="H1038" s="193" t="s">
        <v>659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88" t="s">
        <v>361</v>
      </c>
      <c r="H1039" s="7" t="s">
        <v>436</v>
      </c>
      <c r="I1039" s="252"/>
      <c r="J1039" s="252"/>
      <c r="K1039" s="38">
        <v>73770000</v>
      </c>
      <c r="L1039" s="613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88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88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705</v>
      </c>
      <c r="G1042" s="488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1554</v>
      </c>
      <c r="G1043" s="488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1657</v>
      </c>
      <c r="E1044" s="191">
        <v>41080</v>
      </c>
      <c r="F1044" s="192" t="s">
        <v>755</v>
      </c>
      <c r="G1044" s="488" t="s">
        <v>756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1657</v>
      </c>
      <c r="E1045" s="191">
        <v>41080</v>
      </c>
      <c r="F1045" s="192" t="s">
        <v>372</v>
      </c>
      <c r="G1045" s="488" t="s">
        <v>756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757</v>
      </c>
      <c r="E1046" s="191">
        <v>41081</v>
      </c>
      <c r="F1046" s="192" t="s">
        <v>1303</v>
      </c>
      <c r="G1046" s="488" t="s">
        <v>758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3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3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757</v>
      </c>
      <c r="E1047" s="191">
        <v>41081</v>
      </c>
      <c r="F1047" s="192" t="s">
        <v>1284</v>
      </c>
      <c r="G1047" s="488" t="s">
        <v>758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3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3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757</v>
      </c>
      <c r="E1048" s="191">
        <v>41081</v>
      </c>
      <c r="F1048" s="192" t="s">
        <v>1304</v>
      </c>
      <c r="G1048" s="488" t="s">
        <v>758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3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3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757</v>
      </c>
      <c r="E1049" s="191">
        <v>41081</v>
      </c>
      <c r="F1049" s="192" t="s">
        <v>541</v>
      </c>
      <c r="G1049" s="488" t="s">
        <v>758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3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1659</v>
      </c>
      <c r="E1050" s="191">
        <v>41081</v>
      </c>
      <c r="F1050" s="192" t="s">
        <v>400</v>
      </c>
      <c r="G1050" s="488" t="s">
        <v>758</v>
      </c>
      <c r="H1050" s="7" t="s">
        <v>436</v>
      </c>
      <c r="I1050" s="252"/>
      <c r="J1050" s="252"/>
      <c r="K1050" s="38">
        <v>15500000</v>
      </c>
      <c r="L1050" s="613" t="s">
        <v>8</v>
      </c>
      <c r="M1050" s="613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88" t="s">
        <v>361</v>
      </c>
      <c r="H1051" s="785" t="s">
        <v>737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88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759</v>
      </c>
      <c r="E1053" s="191">
        <v>41082</v>
      </c>
      <c r="F1053" s="192" t="s">
        <v>1421</v>
      </c>
      <c r="G1053" s="192" t="s">
        <v>760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3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3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759</v>
      </c>
      <c r="E1054" s="191">
        <v>41082</v>
      </c>
      <c r="F1054" s="192" t="s">
        <v>1305</v>
      </c>
      <c r="G1054" s="192" t="s">
        <v>760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3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3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759</v>
      </c>
      <c r="E1055" s="191">
        <v>41082</v>
      </c>
      <c r="F1055" s="192" t="s">
        <v>1306</v>
      </c>
      <c r="G1055" s="192" t="s">
        <v>760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3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3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759</v>
      </c>
      <c r="E1056" s="191">
        <v>41082</v>
      </c>
      <c r="F1056" s="192" t="s">
        <v>541</v>
      </c>
      <c r="G1056" s="192" t="s">
        <v>760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3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1660</v>
      </c>
      <c r="E1057" s="191">
        <v>41082</v>
      </c>
      <c r="F1057" s="192" t="s">
        <v>400</v>
      </c>
      <c r="G1057" s="192" t="s">
        <v>760</v>
      </c>
      <c r="H1057" s="7" t="s">
        <v>436</v>
      </c>
      <c r="I1057" s="252"/>
      <c r="J1057" s="252"/>
      <c r="K1057" s="38">
        <v>9993555</v>
      </c>
      <c r="L1057" s="613" t="s">
        <v>8</v>
      </c>
      <c r="M1057" s="613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1612</v>
      </c>
      <c r="E1058" s="191">
        <v>41083</v>
      </c>
      <c r="F1058" s="192" t="s">
        <v>1149</v>
      </c>
      <c r="G1058" s="488" t="s">
        <v>998</v>
      </c>
      <c r="H1058" s="193" t="s">
        <v>997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1612</v>
      </c>
      <c r="E1059" s="191">
        <v>41083</v>
      </c>
      <c r="F1059" s="192" t="s">
        <v>530</v>
      </c>
      <c r="G1059" s="488" t="s">
        <v>998</v>
      </c>
      <c r="H1059" s="193" t="s">
        <v>997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1664</v>
      </c>
      <c r="E1060" s="191">
        <v>41083</v>
      </c>
      <c r="F1060" s="192" t="s">
        <v>365</v>
      </c>
      <c r="G1060" s="488" t="s">
        <v>998</v>
      </c>
      <c r="H1060" s="193" t="s">
        <v>997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761</v>
      </c>
      <c r="E1062" s="191">
        <v>41085</v>
      </c>
      <c r="F1062" s="192" t="s">
        <v>762</v>
      </c>
      <c r="G1062" s="192" t="s">
        <v>763</v>
      </c>
      <c r="H1062" s="193" t="s">
        <v>649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3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3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761</v>
      </c>
      <c r="E1063" s="191">
        <v>41085</v>
      </c>
      <c r="F1063" s="192" t="s">
        <v>764</v>
      </c>
      <c r="G1063" s="192" t="s">
        <v>763</v>
      </c>
      <c r="H1063" s="210" t="s">
        <v>649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3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761</v>
      </c>
      <c r="E1064" s="191">
        <v>41085</v>
      </c>
      <c r="F1064" s="192" t="s">
        <v>765</v>
      </c>
      <c r="G1064" s="192" t="s">
        <v>763</v>
      </c>
      <c r="H1064" s="210" t="s">
        <v>649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3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3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761</v>
      </c>
      <c r="E1065" s="191">
        <v>41085</v>
      </c>
      <c r="F1065" s="192" t="s">
        <v>766</v>
      </c>
      <c r="G1065" s="192" t="s">
        <v>763</v>
      </c>
      <c r="H1065" s="210" t="s">
        <v>649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3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3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761</v>
      </c>
      <c r="E1066" s="191">
        <v>41085</v>
      </c>
      <c r="F1066" s="192" t="s">
        <v>728</v>
      </c>
      <c r="G1066" s="192" t="s">
        <v>763</v>
      </c>
      <c r="H1066" s="210" t="s">
        <v>649</v>
      </c>
      <c r="I1066" s="252"/>
      <c r="J1066" s="252"/>
      <c r="K1066" s="38">
        <v>1325794</v>
      </c>
      <c r="L1066" s="194" t="s">
        <v>9</v>
      </c>
      <c r="M1066" s="613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1661</v>
      </c>
      <c r="E1067" s="191">
        <v>41085</v>
      </c>
      <c r="F1067" s="192" t="s">
        <v>400</v>
      </c>
      <c r="G1067" s="192" t="s">
        <v>763</v>
      </c>
      <c r="H1067" s="210" t="s">
        <v>649</v>
      </c>
      <c r="I1067" s="252"/>
      <c r="J1067" s="252"/>
      <c r="K1067" s="38">
        <v>14583729</v>
      </c>
      <c r="L1067" s="613" t="s">
        <v>8</v>
      </c>
      <c r="M1067" s="613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767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1658</v>
      </c>
      <c r="E1069" s="191">
        <v>41086</v>
      </c>
      <c r="F1069" s="192" t="s">
        <v>768</v>
      </c>
      <c r="G1069" s="192" t="s">
        <v>769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1658</v>
      </c>
      <c r="E1070" s="191">
        <v>41086</v>
      </c>
      <c r="F1070" s="192" t="s">
        <v>372</v>
      </c>
      <c r="G1070" s="192" t="s">
        <v>769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770</v>
      </c>
      <c r="E1071" s="191">
        <v>41086</v>
      </c>
      <c r="F1071" s="192" t="s">
        <v>1307</v>
      </c>
      <c r="G1071" s="192" t="s">
        <v>771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3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3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770</v>
      </c>
      <c r="E1072" s="191">
        <v>41086</v>
      </c>
      <c r="F1072" s="192" t="s">
        <v>1292</v>
      </c>
      <c r="G1072" s="192" t="s">
        <v>771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3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3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770</v>
      </c>
      <c r="E1073" s="191">
        <v>41086</v>
      </c>
      <c r="F1073" s="192" t="s">
        <v>541</v>
      </c>
      <c r="G1073" s="488" t="s">
        <v>771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3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1662</v>
      </c>
      <c r="E1074" s="191">
        <v>41086</v>
      </c>
      <c r="F1074" s="192" t="s">
        <v>400</v>
      </c>
      <c r="G1074" s="488" t="s">
        <v>771</v>
      </c>
      <c r="H1074" s="7" t="s">
        <v>436</v>
      </c>
      <c r="I1074" s="252"/>
      <c r="J1074" s="252"/>
      <c r="K1074" s="38">
        <v>13138268</v>
      </c>
      <c r="L1074" s="613" t="s">
        <v>8</v>
      </c>
      <c r="M1074" s="613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772</v>
      </c>
      <c r="E1075" s="191">
        <v>41086</v>
      </c>
      <c r="F1075" s="192" t="s">
        <v>1343</v>
      </c>
      <c r="G1075" s="488" t="s">
        <v>773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3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3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772</v>
      </c>
      <c r="E1076" s="191">
        <v>41086</v>
      </c>
      <c r="F1076" s="192" t="s">
        <v>1422</v>
      </c>
      <c r="G1076" s="192" t="s">
        <v>773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3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3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772</v>
      </c>
      <c r="E1077" s="191">
        <v>41086</v>
      </c>
      <c r="F1077" s="192" t="s">
        <v>1422</v>
      </c>
      <c r="G1077" s="192" t="s">
        <v>773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3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3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772</v>
      </c>
      <c r="E1078" s="191">
        <v>41086</v>
      </c>
      <c r="F1078" s="192" t="s">
        <v>1423</v>
      </c>
      <c r="G1078" s="192" t="s">
        <v>773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3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3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772</v>
      </c>
      <c r="E1079" s="191">
        <v>41086</v>
      </c>
      <c r="F1079" s="192" t="s">
        <v>1308</v>
      </c>
      <c r="G1079" s="192" t="s">
        <v>773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3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3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772</v>
      </c>
      <c r="E1080" s="191">
        <v>41086</v>
      </c>
      <c r="F1080" s="192" t="s">
        <v>1309</v>
      </c>
      <c r="G1080" s="192" t="s">
        <v>773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3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3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772</v>
      </c>
      <c r="E1081" s="191">
        <v>41086</v>
      </c>
      <c r="F1081" s="192" t="s">
        <v>1309</v>
      </c>
      <c r="G1081" s="192" t="s">
        <v>773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3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3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772</v>
      </c>
      <c r="E1082" s="191">
        <v>41086</v>
      </c>
      <c r="F1082" s="192" t="s">
        <v>1310</v>
      </c>
      <c r="G1082" s="192" t="s">
        <v>773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3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3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772</v>
      </c>
      <c r="E1083" s="191">
        <v>41086</v>
      </c>
      <c r="F1083" s="192" t="s">
        <v>541</v>
      </c>
      <c r="G1083" s="192" t="s">
        <v>773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3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1613</v>
      </c>
      <c r="E1084" s="191">
        <v>41086</v>
      </c>
      <c r="F1084" s="192" t="s">
        <v>1148</v>
      </c>
      <c r="G1084" s="488" t="s">
        <v>999</v>
      </c>
      <c r="H1084" s="193" t="s">
        <v>817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1613</v>
      </c>
      <c r="E1085" s="191">
        <v>41086</v>
      </c>
      <c r="F1085" s="192" t="s">
        <v>530</v>
      </c>
      <c r="G1085" s="488" t="s">
        <v>999</v>
      </c>
      <c r="H1085" s="193" t="s">
        <v>817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1667</v>
      </c>
      <c r="E1086" s="191">
        <v>41086</v>
      </c>
      <c r="F1086" s="192" t="s">
        <v>365</v>
      </c>
      <c r="G1086" s="488" t="s">
        <v>999</v>
      </c>
      <c r="H1086" s="193" t="s">
        <v>817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1614</v>
      </c>
      <c r="E1087" s="191">
        <v>41086</v>
      </c>
      <c r="F1087" s="192" t="s">
        <v>1147</v>
      </c>
      <c r="G1087" s="488" t="s">
        <v>1000</v>
      </c>
      <c r="H1087" s="193" t="s">
        <v>1001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1614</v>
      </c>
      <c r="E1088" s="191">
        <v>41086</v>
      </c>
      <c r="F1088" s="192" t="s">
        <v>1146</v>
      </c>
      <c r="G1088" s="488" t="s">
        <v>1000</v>
      </c>
      <c r="H1088" s="193" t="s">
        <v>1001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1614</v>
      </c>
      <c r="E1089" s="191">
        <v>41086</v>
      </c>
      <c r="F1089" s="192" t="s">
        <v>530</v>
      </c>
      <c r="G1089" s="488" t="s">
        <v>1000</v>
      </c>
      <c r="H1089" s="193" t="s">
        <v>1001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1668</v>
      </c>
      <c r="E1090" s="191">
        <v>41086</v>
      </c>
      <c r="F1090" s="192" t="s">
        <v>365</v>
      </c>
      <c r="G1090" s="488" t="s">
        <v>1000</v>
      </c>
      <c r="H1090" s="193" t="s">
        <v>1001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1715</v>
      </c>
      <c r="E1091" s="191">
        <v>41086</v>
      </c>
      <c r="F1091" s="192" t="s">
        <v>1471</v>
      </c>
      <c r="G1091" s="488" t="s">
        <v>1002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1715</v>
      </c>
      <c r="E1092" s="191">
        <v>41086</v>
      </c>
      <c r="F1092" s="192" t="s">
        <v>1485</v>
      </c>
      <c r="G1092" s="488" t="s">
        <v>1002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1715</v>
      </c>
      <c r="E1093" s="191">
        <v>41086</v>
      </c>
      <c r="F1093" s="192" t="s">
        <v>1501</v>
      </c>
      <c r="G1093" s="488" t="s">
        <v>1002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1715</v>
      </c>
      <c r="E1094" s="191">
        <v>41086</v>
      </c>
      <c r="F1094" s="192" t="s">
        <v>1513</v>
      </c>
      <c r="G1094" s="488" t="s">
        <v>1002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1715</v>
      </c>
      <c r="E1095" s="191">
        <v>41086</v>
      </c>
      <c r="F1095" s="192" t="s">
        <v>1488</v>
      </c>
      <c r="G1095" s="488" t="s">
        <v>1002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1715</v>
      </c>
      <c r="E1096" s="191">
        <v>41086</v>
      </c>
      <c r="F1096" s="192" t="s">
        <v>1507</v>
      </c>
      <c r="G1096" s="488" t="s">
        <v>1002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1715</v>
      </c>
      <c r="E1097" s="191">
        <v>41086</v>
      </c>
      <c r="F1097" s="192" t="s">
        <v>1487</v>
      </c>
      <c r="G1097" s="488" t="s">
        <v>1002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1715</v>
      </c>
      <c r="E1098" s="191">
        <v>41086</v>
      </c>
      <c r="F1098" s="192" t="s">
        <v>1491</v>
      </c>
      <c r="G1098" s="488" t="s">
        <v>1002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1715</v>
      </c>
      <c r="E1099" s="191">
        <v>41086</v>
      </c>
      <c r="F1099" s="192" t="s">
        <v>1498</v>
      </c>
      <c r="G1099" s="488" t="s">
        <v>1002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1715</v>
      </c>
      <c r="E1100" s="191">
        <v>41086</v>
      </c>
      <c r="F1100" s="192" t="s">
        <v>1499</v>
      </c>
      <c r="G1100" s="488" t="s">
        <v>1002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1715</v>
      </c>
      <c r="E1101" s="191">
        <v>41086</v>
      </c>
      <c r="F1101" s="192" t="s">
        <v>530</v>
      </c>
      <c r="G1101" s="488" t="s">
        <v>1002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838"/>
      <c r="AC1101" s="838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774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775</v>
      </c>
      <c r="E1103" s="191">
        <v>41087</v>
      </c>
      <c r="F1103" s="192" t="s">
        <v>1424</v>
      </c>
      <c r="G1103" s="192" t="s">
        <v>776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3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3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775</v>
      </c>
      <c r="E1104" s="191">
        <v>41087</v>
      </c>
      <c r="F1104" s="192" t="s">
        <v>1425</v>
      </c>
      <c r="G1104" s="192" t="s">
        <v>776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3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3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775</v>
      </c>
      <c r="E1105" s="191">
        <v>41087</v>
      </c>
      <c r="F1105" s="192" t="s">
        <v>541</v>
      </c>
      <c r="G1105" s="488" t="s">
        <v>776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3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1665</v>
      </c>
      <c r="E1106" s="191">
        <v>41087</v>
      </c>
      <c r="F1106" s="192" t="s">
        <v>400</v>
      </c>
      <c r="G1106" s="488" t="s">
        <v>776</v>
      </c>
      <c r="H1106" s="7" t="s">
        <v>436</v>
      </c>
      <c r="I1106" s="252"/>
      <c r="J1106" s="252"/>
      <c r="K1106" s="38">
        <v>13392500</v>
      </c>
      <c r="L1106" s="613" t="s">
        <v>8</v>
      </c>
      <c r="M1106" s="613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1666</v>
      </c>
      <c r="E1107" s="191">
        <v>41088</v>
      </c>
      <c r="F1107" s="189" t="s">
        <v>564</v>
      </c>
      <c r="G1107" s="486" t="s">
        <v>1448</v>
      </c>
      <c r="H1107" s="7" t="s">
        <v>566</v>
      </c>
      <c r="I1107" s="252"/>
      <c r="J1107" s="255"/>
      <c r="K1107" s="612">
        <v>369361</v>
      </c>
      <c r="L1107" s="194" t="s">
        <v>84</v>
      </c>
      <c r="M1107" s="613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1666</v>
      </c>
      <c r="E1108" s="191">
        <v>41088</v>
      </c>
      <c r="F1108" s="189" t="s">
        <v>567</v>
      </c>
      <c r="G1108" s="486" t="s">
        <v>1448</v>
      </c>
      <c r="H1108" s="7" t="s">
        <v>566</v>
      </c>
      <c r="I1108" s="255"/>
      <c r="J1108" s="255"/>
      <c r="K1108" s="38">
        <v>36936</v>
      </c>
      <c r="L1108" s="194" t="s">
        <v>84</v>
      </c>
      <c r="M1108" s="613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3"/>
      <c r="AD1108" s="603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1669</v>
      </c>
      <c r="E1109" s="191">
        <v>41089</v>
      </c>
      <c r="F1109" s="192" t="s">
        <v>400</v>
      </c>
      <c r="G1109" s="192" t="s">
        <v>736</v>
      </c>
      <c r="H1109" s="7" t="s">
        <v>436</v>
      </c>
      <c r="I1109" s="252"/>
      <c r="J1109" s="252"/>
      <c r="K1109" s="38">
        <v>13695040</v>
      </c>
      <c r="L1109" s="613" t="s">
        <v>8</v>
      </c>
      <c r="M1109" s="613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1670</v>
      </c>
      <c r="E1110" s="191">
        <v>41089</v>
      </c>
      <c r="F1110" s="189" t="s">
        <v>1551</v>
      </c>
      <c r="G1110" s="486" t="s">
        <v>915</v>
      </c>
      <c r="H1110" s="7" t="s">
        <v>1553</v>
      </c>
      <c r="I1110" s="252"/>
      <c r="J1110" s="255"/>
      <c r="K1110" s="612">
        <v>9611160</v>
      </c>
      <c r="L1110" s="194" t="s">
        <v>84</v>
      </c>
      <c r="M1110" s="613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1670</v>
      </c>
      <c r="E1111" s="191">
        <v>41089</v>
      </c>
      <c r="F1111" s="189" t="s">
        <v>1552</v>
      </c>
      <c r="G1111" s="486" t="s">
        <v>915</v>
      </c>
      <c r="H1111" s="7" t="s">
        <v>1553</v>
      </c>
      <c r="I1111" s="255"/>
      <c r="J1111" s="255"/>
      <c r="K1111" s="38">
        <v>961116</v>
      </c>
      <c r="L1111" s="194" t="s">
        <v>9</v>
      </c>
      <c r="M1111" s="613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3"/>
      <c r="AD1111" s="603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09">
        <f t="shared" si="69"/>
        <v>41090</v>
      </c>
      <c r="D1112" s="709" t="s">
        <v>367</v>
      </c>
      <c r="E1112" s="786">
        <v>41090</v>
      </c>
      <c r="F1112" s="710" t="s">
        <v>1559</v>
      </c>
      <c r="G1112" s="711"/>
      <c r="H1112" s="626"/>
      <c r="I1112" s="485"/>
      <c r="J1112" s="485"/>
      <c r="K1112" s="712">
        <v>9325000</v>
      </c>
      <c r="L1112" s="713" t="s">
        <v>84</v>
      </c>
      <c r="M1112" s="713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3"/>
      <c r="AB1112" s="603"/>
      <c r="AC1112" s="603"/>
      <c r="AD1112" s="603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09">
        <f t="shared" si="69"/>
        <v>41090</v>
      </c>
      <c r="D1113" s="709" t="s">
        <v>367</v>
      </c>
      <c r="E1113" s="786">
        <v>41090</v>
      </c>
      <c r="F1113" s="710" t="s">
        <v>511</v>
      </c>
      <c r="G1113" s="711"/>
      <c r="H1113" s="626"/>
      <c r="I1113" s="485"/>
      <c r="J1113" s="485"/>
      <c r="K1113" s="712">
        <v>13450000</v>
      </c>
      <c r="L1113" s="713" t="s">
        <v>175</v>
      </c>
      <c r="M1113" s="713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3"/>
      <c r="AB1113" s="603"/>
      <c r="AC1113" s="603"/>
      <c r="AD1113" s="603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09">
        <f t="shared" si="69"/>
        <v>41090</v>
      </c>
      <c r="D1114" s="709" t="s">
        <v>1671</v>
      </c>
      <c r="E1114" s="786">
        <v>41090</v>
      </c>
      <c r="F1114" s="710" t="str">
        <f>"Thanh toán tiền lương tháng "&amp;MONTH(E1114)&amp;"/"&amp;YEAR(E1114)</f>
        <v>Thanh toán tiền lương tháng 6/2012</v>
      </c>
      <c r="G1114" s="711"/>
      <c r="H1114" s="45" t="s">
        <v>659</v>
      </c>
      <c r="I1114" s="485"/>
      <c r="J1114" s="485"/>
      <c r="K1114" s="712">
        <f>K1112+K1113</f>
        <v>22775000</v>
      </c>
      <c r="L1114" s="713" t="s">
        <v>287</v>
      </c>
      <c r="M1114" s="713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3"/>
      <c r="AB1114" s="603"/>
      <c r="AC1114" s="603"/>
      <c r="AD1114" s="603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88" t="s">
        <v>361</v>
      </c>
      <c r="H1115" s="7" t="s">
        <v>607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1672</v>
      </c>
      <c r="E1116" s="191">
        <v>41090</v>
      </c>
      <c r="F1116" s="192" t="s">
        <v>396</v>
      </c>
      <c r="G1116" s="488" t="s">
        <v>361</v>
      </c>
      <c r="H1116" s="193" t="s">
        <v>659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777</v>
      </c>
      <c r="E1117" s="191">
        <v>41090</v>
      </c>
      <c r="F1117" s="192" t="s">
        <v>1426</v>
      </c>
      <c r="G1117" s="488" t="s">
        <v>778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3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3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777</v>
      </c>
      <c r="E1118" s="191">
        <v>41090</v>
      </c>
      <c r="F1118" s="192" t="s">
        <v>1407</v>
      </c>
      <c r="G1118" s="488" t="s">
        <v>778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3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3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777</v>
      </c>
      <c r="E1119" s="191">
        <v>41090</v>
      </c>
      <c r="F1119" s="192" t="s">
        <v>1427</v>
      </c>
      <c r="G1119" s="488" t="s">
        <v>778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3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3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777</v>
      </c>
      <c r="E1120" s="191">
        <v>41090</v>
      </c>
      <c r="F1120" s="192" t="s">
        <v>1388</v>
      </c>
      <c r="G1120" s="488" t="s">
        <v>778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3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3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777</v>
      </c>
      <c r="E1121" s="191">
        <v>41090</v>
      </c>
      <c r="F1121" s="192" t="s">
        <v>1311</v>
      </c>
      <c r="G1121" s="488" t="s">
        <v>778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3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3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777</v>
      </c>
      <c r="E1122" s="191">
        <v>41090</v>
      </c>
      <c r="F1122" s="192" t="s">
        <v>541</v>
      </c>
      <c r="G1122" s="488" t="s">
        <v>778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3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1673</v>
      </c>
      <c r="E1123" s="191">
        <v>41090</v>
      </c>
      <c r="F1123" s="192" t="s">
        <v>400</v>
      </c>
      <c r="G1123" s="488" t="s">
        <v>778</v>
      </c>
      <c r="H1123" s="7" t="s">
        <v>436</v>
      </c>
      <c r="I1123" s="252"/>
      <c r="J1123" s="252"/>
      <c r="K1123" s="38">
        <v>18468032</v>
      </c>
      <c r="L1123" s="613" t="s">
        <v>8</v>
      </c>
      <c r="M1123" s="613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1716</v>
      </c>
      <c r="E1124" s="818">
        <v>41090</v>
      </c>
      <c r="F1124" s="192" t="s">
        <v>1476</v>
      </c>
      <c r="G1124" s="820" t="s">
        <v>1003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1716</v>
      </c>
      <c r="E1125" s="818">
        <v>41090</v>
      </c>
      <c r="F1125" s="192" t="s">
        <v>1509</v>
      </c>
      <c r="G1125" s="820" t="s">
        <v>1003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1716</v>
      </c>
      <c r="E1126" s="818">
        <v>41090</v>
      </c>
      <c r="F1126" s="192" t="s">
        <v>1511</v>
      </c>
      <c r="G1126" s="820" t="s">
        <v>1003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1716</v>
      </c>
      <c r="E1127" s="818">
        <v>41090</v>
      </c>
      <c r="F1127" s="192" t="s">
        <v>1514</v>
      </c>
      <c r="G1127" s="820" t="s">
        <v>1003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1716</v>
      </c>
      <c r="E1128" s="818">
        <v>41090</v>
      </c>
      <c r="F1128" s="192" t="s">
        <v>1502</v>
      </c>
      <c r="G1128" s="820" t="s">
        <v>1003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1716</v>
      </c>
      <c r="E1129" s="818">
        <v>41090</v>
      </c>
      <c r="F1129" s="192" t="s">
        <v>1502</v>
      </c>
      <c r="G1129" s="820" t="s">
        <v>1003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1716</v>
      </c>
      <c r="E1130" s="818">
        <v>41090</v>
      </c>
      <c r="F1130" s="192" t="s">
        <v>1478</v>
      </c>
      <c r="G1130" s="820" t="s">
        <v>1003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1716</v>
      </c>
      <c r="E1131" s="818">
        <v>41090</v>
      </c>
      <c r="F1131" s="192" t="s">
        <v>1487</v>
      </c>
      <c r="G1131" s="820" t="s">
        <v>1003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1716</v>
      </c>
      <c r="E1132" s="818">
        <v>41090</v>
      </c>
      <c r="F1132" s="192" t="s">
        <v>1490</v>
      </c>
      <c r="G1132" s="820" t="s">
        <v>1003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1716</v>
      </c>
      <c r="E1133" s="818">
        <v>41090</v>
      </c>
      <c r="F1133" s="192" t="s">
        <v>1515</v>
      </c>
      <c r="G1133" s="820" t="s">
        <v>1003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1716</v>
      </c>
      <c r="E1134" s="818">
        <v>41090</v>
      </c>
      <c r="F1134" s="192" t="s">
        <v>1477</v>
      </c>
      <c r="G1134" s="820" t="s">
        <v>1003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1717</v>
      </c>
      <c r="E1135" s="818">
        <v>41090</v>
      </c>
      <c r="F1135" s="192" t="s">
        <v>1512</v>
      </c>
      <c r="G1135" s="820" t="s">
        <v>1003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1717</v>
      </c>
      <c r="E1136" s="818">
        <v>41090</v>
      </c>
      <c r="F1136" s="192" t="s">
        <v>1489</v>
      </c>
      <c r="G1136" s="820" t="s">
        <v>1003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1717</v>
      </c>
      <c r="E1137" s="818">
        <v>41090</v>
      </c>
      <c r="F1137" s="192" t="s">
        <v>1516</v>
      </c>
      <c r="G1137" s="820" t="s">
        <v>1003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1717</v>
      </c>
      <c r="E1138" s="818">
        <v>41090</v>
      </c>
      <c r="F1138" s="192" t="s">
        <v>1479</v>
      </c>
      <c r="G1138" s="820" t="s">
        <v>1003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1717</v>
      </c>
      <c r="E1139" s="818">
        <v>41090</v>
      </c>
      <c r="F1139" s="192" t="s">
        <v>1480</v>
      </c>
      <c r="G1139" s="820" t="s">
        <v>1003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1717</v>
      </c>
      <c r="E1140" s="191">
        <v>41090</v>
      </c>
      <c r="F1140" s="192" t="s">
        <v>530</v>
      </c>
      <c r="G1140" s="820" t="s">
        <v>1003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838"/>
      <c r="AC1140" s="838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88" t="s">
        <v>758</v>
      </c>
      <c r="H1141" s="7" t="s">
        <v>436</v>
      </c>
      <c r="I1141" s="252"/>
      <c r="J1141" s="252"/>
      <c r="K1141" s="38">
        <v>13000000</v>
      </c>
      <c r="L1141" s="613" t="s">
        <v>8</v>
      </c>
      <c r="M1141" s="613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09">
        <f t="shared" si="71"/>
        <v>41091</v>
      </c>
      <c r="D1142" s="709" t="s">
        <v>367</v>
      </c>
      <c r="E1142" s="786">
        <v>41091</v>
      </c>
      <c r="F1142" s="710" t="s">
        <v>509</v>
      </c>
      <c r="G1142" s="711"/>
      <c r="H1142" s="626"/>
      <c r="I1142" s="485"/>
      <c r="J1142" s="485"/>
      <c r="K1142" s="712">
        <v>18250000</v>
      </c>
      <c r="L1142" s="713" t="s">
        <v>175</v>
      </c>
      <c r="M1142" s="713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3"/>
      <c r="AB1142" s="603"/>
      <c r="AC1142" s="603"/>
      <c r="AD1142" s="603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88" t="s">
        <v>361</v>
      </c>
      <c r="H1143" s="7" t="s">
        <v>436</v>
      </c>
      <c r="I1143" s="252"/>
      <c r="J1143" s="252"/>
      <c r="K1143" s="38">
        <v>9592000</v>
      </c>
      <c r="L1143" s="613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88" t="s">
        <v>361</v>
      </c>
      <c r="H1144" s="7" t="s">
        <v>436</v>
      </c>
      <c r="I1144" s="252"/>
      <c r="J1144" s="252"/>
      <c r="K1144" s="38">
        <v>75924100</v>
      </c>
      <c r="L1144" s="613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88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705</v>
      </c>
      <c r="G1146" s="488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1343</v>
      </c>
      <c r="G1147" s="488" t="s">
        <v>779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3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3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1428</v>
      </c>
      <c r="G1148" s="488" t="s">
        <v>779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3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3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1312</v>
      </c>
      <c r="G1149" s="488" t="s">
        <v>779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3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3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1313</v>
      </c>
      <c r="G1150" s="488" t="s">
        <v>779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3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3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1291</v>
      </c>
      <c r="G1151" s="488" t="s">
        <v>779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3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3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541</v>
      </c>
      <c r="G1152" s="488" t="s">
        <v>779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3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88" t="s">
        <v>779</v>
      </c>
      <c r="H1153" s="7" t="s">
        <v>436</v>
      </c>
      <c r="I1153" s="252"/>
      <c r="J1153" s="252"/>
      <c r="K1153" s="38">
        <v>16844570</v>
      </c>
      <c r="L1153" s="613" t="s">
        <v>8</v>
      </c>
      <c r="M1153" s="613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1560</v>
      </c>
      <c r="E1154" s="191">
        <v>41092</v>
      </c>
      <c r="F1154" s="192" t="s">
        <v>1145</v>
      </c>
      <c r="G1154" s="488" t="s">
        <v>1004</v>
      </c>
      <c r="H1154" s="210" t="s">
        <v>767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1560</v>
      </c>
      <c r="E1155" s="191">
        <v>41092</v>
      </c>
      <c r="F1155" s="192" t="s">
        <v>530</v>
      </c>
      <c r="G1155" s="488" t="s">
        <v>1004</v>
      </c>
      <c r="H1155" s="210" t="s">
        <v>767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664</v>
      </c>
      <c r="G1156" s="488" t="s">
        <v>780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88" t="s">
        <v>780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1429</v>
      </c>
      <c r="G1158" s="192" t="s">
        <v>781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3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3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1314</v>
      </c>
      <c r="G1159" s="192" t="s">
        <v>781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3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3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1315</v>
      </c>
      <c r="G1160" s="488" t="s">
        <v>781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3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3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541</v>
      </c>
      <c r="G1161" s="488" t="s">
        <v>781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3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88" t="s">
        <v>781</v>
      </c>
      <c r="H1162" s="7" t="s">
        <v>436</v>
      </c>
      <c r="I1162" s="252"/>
      <c r="J1162" s="252"/>
      <c r="K1162" s="38">
        <v>13160510</v>
      </c>
      <c r="L1162" s="613" t="s">
        <v>8</v>
      </c>
      <c r="M1162" s="613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1561</v>
      </c>
      <c r="E1163" s="191">
        <v>41093</v>
      </c>
      <c r="F1163" s="192" t="s">
        <v>526</v>
      </c>
      <c r="G1163" s="488" t="s">
        <v>1005</v>
      </c>
      <c r="H1163" s="193" t="s">
        <v>809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1561</v>
      </c>
      <c r="E1164" s="191">
        <v>41093</v>
      </c>
      <c r="F1164" s="192" t="s">
        <v>530</v>
      </c>
      <c r="G1164" s="488" t="s">
        <v>1005</v>
      </c>
      <c r="H1164" s="193" t="s">
        <v>809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88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1430</v>
      </c>
      <c r="G1166" s="488" t="s">
        <v>782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3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3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1264</v>
      </c>
      <c r="G1167" s="488" t="s">
        <v>782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3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3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541</v>
      </c>
      <c r="G1168" s="488" t="s">
        <v>782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3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88" t="s">
        <v>782</v>
      </c>
      <c r="H1169" s="7" t="s">
        <v>436</v>
      </c>
      <c r="I1169" s="252"/>
      <c r="J1169" s="252"/>
      <c r="K1169" s="38">
        <v>18038207</v>
      </c>
      <c r="L1169" s="613" t="s">
        <v>8</v>
      </c>
      <c r="M1169" s="613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1562</v>
      </c>
      <c r="E1170" s="191">
        <v>41095</v>
      </c>
      <c r="F1170" s="189" t="s">
        <v>1096</v>
      </c>
      <c r="G1170" s="488" t="s">
        <v>1006</v>
      </c>
      <c r="H1170" s="193" t="s">
        <v>933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1562</v>
      </c>
      <c r="E1171" s="191">
        <v>41095</v>
      </c>
      <c r="F1171" s="192" t="s">
        <v>530</v>
      </c>
      <c r="G1171" s="488" t="s">
        <v>1006</v>
      </c>
      <c r="H1171" s="193" t="s">
        <v>933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88" t="s">
        <v>1006</v>
      </c>
      <c r="H1172" s="193" t="s">
        <v>933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1563</v>
      </c>
      <c r="E1173" s="191">
        <v>41095</v>
      </c>
      <c r="F1173" s="189" t="s">
        <v>1120</v>
      </c>
      <c r="G1173" s="488" t="s">
        <v>1007</v>
      </c>
      <c r="H1173" s="193" t="s">
        <v>885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1563</v>
      </c>
      <c r="E1174" s="191">
        <v>41095</v>
      </c>
      <c r="F1174" s="192" t="s">
        <v>530</v>
      </c>
      <c r="G1174" s="488" t="s">
        <v>1007</v>
      </c>
      <c r="H1174" s="193" t="s">
        <v>885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88" t="s">
        <v>1007</v>
      </c>
      <c r="H1175" s="193" t="s">
        <v>885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1564</v>
      </c>
      <c r="E1176" s="191">
        <v>41095</v>
      </c>
      <c r="F1176" s="192" t="s">
        <v>1008</v>
      </c>
      <c r="G1176" s="488" t="s">
        <v>1009</v>
      </c>
      <c r="H1176" s="193" t="s">
        <v>923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1564</v>
      </c>
      <c r="E1177" s="191">
        <v>41095</v>
      </c>
      <c r="F1177" s="192" t="s">
        <v>1144</v>
      </c>
      <c r="G1177" s="488" t="s">
        <v>1009</v>
      </c>
      <c r="H1177" s="193" t="s">
        <v>923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1564</v>
      </c>
      <c r="E1178" s="191">
        <v>41095</v>
      </c>
      <c r="F1178" s="192" t="s">
        <v>1143</v>
      </c>
      <c r="G1178" s="488" t="s">
        <v>1009</v>
      </c>
      <c r="H1178" s="193" t="s">
        <v>923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1564</v>
      </c>
      <c r="E1179" s="191">
        <v>41095</v>
      </c>
      <c r="F1179" s="192" t="s">
        <v>530</v>
      </c>
      <c r="G1179" s="488" t="s">
        <v>1009</v>
      </c>
      <c r="H1179" s="193" t="s">
        <v>923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88" t="s">
        <v>1009</v>
      </c>
      <c r="H1180" s="193" t="s">
        <v>923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1565</v>
      </c>
      <c r="E1181" s="191">
        <v>41096</v>
      </c>
      <c r="F1181" s="192" t="s">
        <v>1142</v>
      </c>
      <c r="G1181" s="488" t="s">
        <v>1010</v>
      </c>
      <c r="H1181" s="7" t="s">
        <v>607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1565</v>
      </c>
      <c r="E1182" s="191">
        <v>41096</v>
      </c>
      <c r="F1182" s="192" t="s">
        <v>1106</v>
      </c>
      <c r="G1182" s="488" t="s">
        <v>1010</v>
      </c>
      <c r="H1182" s="7" t="s">
        <v>607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1565</v>
      </c>
      <c r="E1183" s="191">
        <v>41096</v>
      </c>
      <c r="F1183" s="192" t="s">
        <v>1141</v>
      </c>
      <c r="G1183" s="488" t="s">
        <v>1010</v>
      </c>
      <c r="H1183" s="7" t="s">
        <v>607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1565</v>
      </c>
      <c r="E1184" s="191">
        <v>41096</v>
      </c>
      <c r="F1184" s="192" t="s">
        <v>530</v>
      </c>
      <c r="G1184" s="488" t="s">
        <v>1010</v>
      </c>
      <c r="H1184" s="7" t="s">
        <v>607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1566</v>
      </c>
      <c r="E1185" s="191">
        <v>41096</v>
      </c>
      <c r="F1185" s="192" t="s">
        <v>1140</v>
      </c>
      <c r="G1185" s="488" t="s">
        <v>1011</v>
      </c>
      <c r="H1185" s="193" t="s">
        <v>797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1566</v>
      </c>
      <c r="E1186" s="191">
        <v>41096</v>
      </c>
      <c r="F1186" s="192" t="s">
        <v>530</v>
      </c>
      <c r="G1186" s="488" t="s">
        <v>1011</v>
      </c>
      <c r="H1186" s="193" t="s">
        <v>797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88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17">
        <f t="shared" si="74"/>
        <v>7</v>
      </c>
      <c r="C1188" s="818">
        <v>41099</v>
      </c>
      <c r="D1188" s="818" t="s">
        <v>458</v>
      </c>
      <c r="E1188" s="818">
        <v>41099</v>
      </c>
      <c r="F1188" s="819" t="s">
        <v>403</v>
      </c>
      <c r="G1188" s="820" t="s">
        <v>783</v>
      </c>
      <c r="H1188" s="821" t="s">
        <v>405</v>
      </c>
      <c r="I1188" s="822">
        <v>100</v>
      </c>
      <c r="J1188" s="822">
        <v>25000</v>
      </c>
      <c r="K1188" s="823">
        <v>2500000</v>
      </c>
      <c r="L1188" s="824" t="s">
        <v>171</v>
      </c>
      <c r="M1188" s="82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26"/>
      <c r="AB1188" s="826"/>
      <c r="AC1188" s="826"/>
      <c r="AD1188" s="826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17">
        <f t="shared" si="74"/>
        <v>7</v>
      </c>
      <c r="C1189" s="818">
        <v>41099</v>
      </c>
      <c r="D1189" s="818" t="s">
        <v>458</v>
      </c>
      <c r="E1189" s="818">
        <v>41099</v>
      </c>
      <c r="F1189" s="819" t="s">
        <v>404</v>
      </c>
      <c r="G1189" s="820" t="s">
        <v>783</v>
      </c>
      <c r="H1189" s="821" t="s">
        <v>405</v>
      </c>
      <c r="I1189" s="822"/>
      <c r="J1189" s="822"/>
      <c r="K1189" s="823">
        <v>250000</v>
      </c>
      <c r="L1189" s="824" t="s">
        <v>9</v>
      </c>
      <c r="M1189" s="82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6">
        <v>7</v>
      </c>
      <c r="AB1189" s="826"/>
      <c r="AC1189" s="826"/>
      <c r="AD1189" s="826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17">
        <f t="shared" si="74"/>
        <v>7</v>
      </c>
      <c r="C1190" s="818">
        <v>41099</v>
      </c>
      <c r="D1190" s="818" t="s">
        <v>415</v>
      </c>
      <c r="E1190" s="818">
        <v>41099</v>
      </c>
      <c r="F1190" s="819" t="s">
        <v>400</v>
      </c>
      <c r="G1190" s="819" t="s">
        <v>783</v>
      </c>
      <c r="H1190" s="827" t="s">
        <v>405</v>
      </c>
      <c r="I1190" s="822"/>
      <c r="J1190" s="822"/>
      <c r="K1190" s="823">
        <v>2750000</v>
      </c>
      <c r="L1190" s="613" t="s">
        <v>8</v>
      </c>
      <c r="M1190" s="613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6"/>
      <c r="AB1190" s="826"/>
      <c r="AC1190" s="826"/>
      <c r="AD1190" s="826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784</v>
      </c>
      <c r="G1191" s="192" t="s">
        <v>785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785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1284</v>
      </c>
      <c r="G1193" s="192" t="s">
        <v>786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3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3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1316</v>
      </c>
      <c r="G1194" s="192" t="s">
        <v>786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3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3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1317</v>
      </c>
      <c r="G1195" s="192" t="s">
        <v>786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3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3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541</v>
      </c>
      <c r="G1196" s="192" t="s">
        <v>786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3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787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719</v>
      </c>
      <c r="I1198" s="252"/>
      <c r="J1198" s="252"/>
      <c r="K1198" s="38">
        <v>17000000</v>
      </c>
      <c r="L1198" s="613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3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3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564</v>
      </c>
      <c r="G1204" s="486" t="s">
        <v>1449</v>
      </c>
      <c r="H1204" s="7" t="s">
        <v>566</v>
      </c>
      <c r="I1204" s="252"/>
      <c r="J1204" s="255"/>
      <c r="K1204" s="612">
        <v>462580</v>
      </c>
      <c r="L1204" s="194" t="s">
        <v>84</v>
      </c>
      <c r="M1204" s="613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567</v>
      </c>
      <c r="G1205" s="486" t="s">
        <v>1449</v>
      </c>
      <c r="H1205" s="7" t="s">
        <v>566</v>
      </c>
      <c r="I1205" s="255"/>
      <c r="J1205" s="255"/>
      <c r="K1205" s="38">
        <v>46258</v>
      </c>
      <c r="L1205" s="194" t="s">
        <v>9</v>
      </c>
      <c r="M1205" s="613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3"/>
      <c r="AD1205" s="603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1318</v>
      </c>
      <c r="G1206" s="192" t="s">
        <v>788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3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3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541</v>
      </c>
      <c r="G1207" s="192" t="s">
        <v>788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3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88" t="s">
        <v>758</v>
      </c>
      <c r="H1208" s="7" t="s">
        <v>436</v>
      </c>
      <c r="I1208" s="252"/>
      <c r="J1208" s="252"/>
      <c r="K1208" s="38">
        <v>11582889</v>
      </c>
      <c r="L1208" s="613" t="s">
        <v>8</v>
      </c>
      <c r="M1208" s="613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1415</v>
      </c>
      <c r="G1209" s="192" t="s">
        <v>789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3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3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1431</v>
      </c>
      <c r="G1210" s="192" t="s">
        <v>789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3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3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1432</v>
      </c>
      <c r="G1211" s="192" t="s">
        <v>789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3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3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1433</v>
      </c>
      <c r="G1212" s="192" t="s">
        <v>789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3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3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541</v>
      </c>
      <c r="G1213" s="192" t="s">
        <v>789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3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789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3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790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791</v>
      </c>
      <c r="G1216" s="192" t="s">
        <v>792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792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1434</v>
      </c>
      <c r="G1218" s="192" t="s">
        <v>793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3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3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1319</v>
      </c>
      <c r="G1219" s="192" t="s">
        <v>793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3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3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541</v>
      </c>
      <c r="G1220" s="488" t="s">
        <v>793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3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88" t="s">
        <v>793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3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1567</v>
      </c>
      <c r="E1222" s="191">
        <v>41104</v>
      </c>
      <c r="F1222" s="192" t="s">
        <v>1139</v>
      </c>
      <c r="G1222" s="488" t="s">
        <v>426</v>
      </c>
      <c r="H1222" s="193" t="s">
        <v>967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1567</v>
      </c>
      <c r="E1223" s="191">
        <v>41104</v>
      </c>
      <c r="F1223" s="192" t="s">
        <v>530</v>
      </c>
      <c r="G1223" s="488" t="s">
        <v>426</v>
      </c>
      <c r="H1223" s="193" t="s">
        <v>967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88" t="s">
        <v>426</v>
      </c>
      <c r="H1224" s="193" t="s">
        <v>967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1568</v>
      </c>
      <c r="E1225" s="191">
        <v>41104</v>
      </c>
      <c r="F1225" s="192" t="s">
        <v>1122</v>
      </c>
      <c r="G1225" s="488" t="s">
        <v>731</v>
      </c>
      <c r="H1225" s="193" t="s">
        <v>675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1568</v>
      </c>
      <c r="E1226" s="191">
        <v>41104</v>
      </c>
      <c r="F1226" s="192" t="s">
        <v>1121</v>
      </c>
      <c r="G1226" s="488" t="s">
        <v>731</v>
      </c>
      <c r="H1226" s="193" t="s">
        <v>675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1568</v>
      </c>
      <c r="E1227" s="191">
        <v>41104</v>
      </c>
      <c r="F1227" s="192" t="s">
        <v>530</v>
      </c>
      <c r="G1227" s="488" t="s">
        <v>731</v>
      </c>
      <c r="H1227" s="193" t="s">
        <v>675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1569</v>
      </c>
      <c r="E1228" s="191">
        <v>41104</v>
      </c>
      <c r="F1228" s="192" t="s">
        <v>1012</v>
      </c>
      <c r="G1228" s="488" t="s">
        <v>1013</v>
      </c>
      <c r="H1228" s="193" t="s">
        <v>923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1569</v>
      </c>
      <c r="E1229" s="191">
        <v>41104</v>
      </c>
      <c r="F1229" s="192" t="s">
        <v>1202</v>
      </c>
      <c r="G1229" s="488" t="s">
        <v>1013</v>
      </c>
      <c r="H1229" s="193" t="s">
        <v>923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1569</v>
      </c>
      <c r="E1230" s="191">
        <v>41104</v>
      </c>
      <c r="F1230" s="192" t="s">
        <v>530</v>
      </c>
      <c r="G1230" s="488" t="s">
        <v>1013</v>
      </c>
      <c r="H1230" s="193" t="s">
        <v>923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517</v>
      </c>
      <c r="E1231" s="191">
        <v>41104</v>
      </c>
      <c r="F1231" s="192" t="s">
        <v>365</v>
      </c>
      <c r="G1231" s="488" t="s">
        <v>1013</v>
      </c>
      <c r="H1231" s="193" t="s">
        <v>923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1570</v>
      </c>
      <c r="E1232" s="191">
        <v>41105</v>
      </c>
      <c r="F1232" s="192" t="s">
        <v>1127</v>
      </c>
      <c r="G1232" s="488" t="s">
        <v>429</v>
      </c>
      <c r="H1232" s="193" t="s">
        <v>807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1570</v>
      </c>
      <c r="E1233" s="191">
        <v>41105</v>
      </c>
      <c r="F1233" s="192" t="s">
        <v>1138</v>
      </c>
      <c r="G1233" s="488" t="s">
        <v>429</v>
      </c>
      <c r="H1233" s="193" t="s">
        <v>807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1570</v>
      </c>
      <c r="E1234" s="191">
        <v>41105</v>
      </c>
      <c r="F1234" s="192" t="s">
        <v>1128</v>
      </c>
      <c r="G1234" s="488" t="s">
        <v>429</v>
      </c>
      <c r="H1234" s="193" t="s">
        <v>807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1570</v>
      </c>
      <c r="E1235" s="191">
        <v>41105</v>
      </c>
      <c r="F1235" s="192" t="s">
        <v>1137</v>
      </c>
      <c r="G1235" s="488" t="s">
        <v>429</v>
      </c>
      <c r="H1235" s="193" t="s">
        <v>807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1570</v>
      </c>
      <c r="E1236" s="191">
        <v>41105</v>
      </c>
      <c r="F1236" s="192" t="s">
        <v>1136</v>
      </c>
      <c r="G1236" s="488" t="s">
        <v>429</v>
      </c>
      <c r="H1236" s="193" t="s">
        <v>807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1570</v>
      </c>
      <c r="E1237" s="191">
        <v>41105</v>
      </c>
      <c r="F1237" s="192" t="s">
        <v>530</v>
      </c>
      <c r="G1237" s="488" t="s">
        <v>429</v>
      </c>
      <c r="H1237" s="193" t="s">
        <v>807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88" t="s">
        <v>361</v>
      </c>
      <c r="H1238" s="7" t="s">
        <v>436</v>
      </c>
      <c r="I1238" s="252"/>
      <c r="J1238" s="252"/>
      <c r="K1238" s="38">
        <v>20000000</v>
      </c>
      <c r="L1238" s="613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88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88" t="s">
        <v>361</v>
      </c>
      <c r="H1240" s="7" t="s">
        <v>436</v>
      </c>
      <c r="I1240" s="252"/>
      <c r="J1240" s="252"/>
      <c r="K1240" s="38">
        <v>5518000</v>
      </c>
      <c r="L1240" s="613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88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88" t="s">
        <v>361</v>
      </c>
      <c r="H1242" s="193" t="s">
        <v>719</v>
      </c>
      <c r="I1242" s="252"/>
      <c r="J1242" s="252"/>
      <c r="K1242" s="38">
        <v>11633275</v>
      </c>
      <c r="L1242" s="613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88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88" t="s">
        <v>361</v>
      </c>
      <c r="H1244" s="193" t="s">
        <v>659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1314</v>
      </c>
      <c r="G1245" s="488" t="s">
        <v>794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3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3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1288</v>
      </c>
      <c r="G1246" s="488" t="s">
        <v>794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3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3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541</v>
      </c>
      <c r="G1247" s="488" t="s">
        <v>794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3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88" t="s">
        <v>794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3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1271</v>
      </c>
      <c r="G1249" s="488" t="s">
        <v>795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3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3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541</v>
      </c>
      <c r="G1250" s="192" t="s">
        <v>795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3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795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3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659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3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3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705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1429</v>
      </c>
      <c r="G1258" s="192" t="s">
        <v>796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3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3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1435</v>
      </c>
      <c r="G1259" s="192" t="s">
        <v>796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3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3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1435</v>
      </c>
      <c r="G1260" s="488" t="s">
        <v>796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3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3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1436</v>
      </c>
      <c r="G1261" s="488" t="s">
        <v>796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3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3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1320</v>
      </c>
      <c r="G1262" s="192" t="s">
        <v>796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3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3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1273</v>
      </c>
      <c r="G1263" s="192" t="s">
        <v>796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3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3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541</v>
      </c>
      <c r="G1264" s="192" t="s">
        <v>796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3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797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798</v>
      </c>
      <c r="G1266" s="192" t="s">
        <v>799</v>
      </c>
      <c r="H1266" s="193" t="s">
        <v>800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3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3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801</v>
      </c>
      <c r="G1267" s="192" t="s">
        <v>799</v>
      </c>
      <c r="H1267" s="193" t="s">
        <v>800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3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3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802</v>
      </c>
      <c r="G1268" s="192" t="s">
        <v>799</v>
      </c>
      <c r="H1268" s="210" t="s">
        <v>800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3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3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803</v>
      </c>
      <c r="G1269" s="192" t="s">
        <v>799</v>
      </c>
      <c r="H1269" s="193" t="s">
        <v>800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3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3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804</v>
      </c>
      <c r="G1270" s="192" t="s">
        <v>799</v>
      </c>
      <c r="H1270" s="193" t="s">
        <v>800</v>
      </c>
      <c r="I1270" s="252"/>
      <c r="J1270" s="252"/>
      <c r="K1270" s="38">
        <v>788185</v>
      </c>
      <c r="L1270" s="194" t="s">
        <v>9</v>
      </c>
      <c r="M1270" s="613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799</v>
      </c>
      <c r="H1271" s="193" t="s">
        <v>800</v>
      </c>
      <c r="I1271" s="252"/>
      <c r="J1271" s="252"/>
      <c r="K1271" s="38">
        <v>8670035</v>
      </c>
      <c r="L1271" s="613" t="s">
        <v>8</v>
      </c>
      <c r="M1271" s="613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805</v>
      </c>
      <c r="G1272" s="488" t="s">
        <v>806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806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88" t="s">
        <v>361</v>
      </c>
      <c r="H1274" s="193" t="s">
        <v>807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522</v>
      </c>
      <c r="E1275" s="191">
        <v>41114</v>
      </c>
      <c r="F1275" s="192" t="s">
        <v>534</v>
      </c>
      <c r="G1275" s="488" t="s">
        <v>361</v>
      </c>
      <c r="H1275" s="210" t="s">
        <v>659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88" t="s">
        <v>361</v>
      </c>
      <c r="H1276" s="7" t="s">
        <v>607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88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1284</v>
      </c>
      <c r="G1278" s="488" t="s">
        <v>808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3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3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1321</v>
      </c>
      <c r="G1279" s="488" t="s">
        <v>808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3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3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1284</v>
      </c>
      <c r="G1280" s="488" t="s">
        <v>808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3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3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541</v>
      </c>
      <c r="G1281" s="488" t="s">
        <v>808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3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88" t="s">
        <v>361</v>
      </c>
      <c r="H1282" s="193" t="s">
        <v>809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1384</v>
      </c>
      <c r="G1283" s="192" t="s">
        <v>810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3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3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1376</v>
      </c>
      <c r="G1284" s="488" t="s">
        <v>810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3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3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1274</v>
      </c>
      <c r="G1285" s="488" t="s">
        <v>810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3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3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1322</v>
      </c>
      <c r="G1286" s="192" t="s">
        <v>810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3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3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541</v>
      </c>
      <c r="G1287" s="192" t="s">
        <v>810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3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26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1571</v>
      </c>
      <c r="E1288" s="191">
        <v>41117</v>
      </c>
      <c r="F1288" s="192" t="s">
        <v>1135</v>
      </c>
      <c r="G1288" s="488" t="s">
        <v>1014</v>
      </c>
      <c r="H1288" s="193" t="s">
        <v>933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1571</v>
      </c>
      <c r="E1289" s="191">
        <v>41117</v>
      </c>
      <c r="F1289" s="192" t="s">
        <v>1107</v>
      </c>
      <c r="G1289" s="488" t="s">
        <v>1014</v>
      </c>
      <c r="H1289" s="193" t="s">
        <v>933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1571</v>
      </c>
      <c r="E1290" s="191">
        <v>41117</v>
      </c>
      <c r="F1290" s="192" t="s">
        <v>530</v>
      </c>
      <c r="G1290" s="488" t="s">
        <v>1014</v>
      </c>
      <c r="H1290" s="193" t="s">
        <v>933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521</v>
      </c>
      <c r="E1291" s="191">
        <v>41117</v>
      </c>
      <c r="F1291" s="192" t="s">
        <v>365</v>
      </c>
      <c r="G1291" s="488" t="s">
        <v>1014</v>
      </c>
      <c r="H1291" s="193" t="s">
        <v>933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1572</v>
      </c>
      <c r="E1292" s="191">
        <v>41117</v>
      </c>
      <c r="F1292" s="192" t="s">
        <v>1133</v>
      </c>
      <c r="G1292" s="488" t="s">
        <v>1015</v>
      </c>
      <c r="H1292" s="193" t="s">
        <v>929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1572</v>
      </c>
      <c r="E1293" s="191">
        <v>41117</v>
      </c>
      <c r="F1293" s="192" t="s">
        <v>1134</v>
      </c>
      <c r="G1293" s="488" t="s">
        <v>1015</v>
      </c>
      <c r="H1293" s="193" t="s">
        <v>929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1572</v>
      </c>
      <c r="E1294" s="191">
        <v>41117</v>
      </c>
      <c r="F1294" s="192" t="s">
        <v>530</v>
      </c>
      <c r="G1294" s="488" t="s">
        <v>1015</v>
      </c>
      <c r="H1294" s="193" t="s">
        <v>929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1615</v>
      </c>
      <c r="E1295" s="191">
        <v>41117</v>
      </c>
      <c r="F1295" s="192" t="s">
        <v>365</v>
      </c>
      <c r="G1295" s="488" t="s">
        <v>1015</v>
      </c>
      <c r="H1295" s="193" t="s">
        <v>929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1573</v>
      </c>
      <c r="E1296" s="191">
        <v>41117</v>
      </c>
      <c r="F1296" s="192" t="s">
        <v>1132</v>
      </c>
      <c r="G1296" s="488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1573</v>
      </c>
      <c r="E1297" s="191">
        <v>41117</v>
      </c>
      <c r="F1297" s="192" t="s">
        <v>530</v>
      </c>
      <c r="G1297" s="488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659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1388</v>
      </c>
      <c r="G1299" s="192" t="s">
        <v>811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3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3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1323</v>
      </c>
      <c r="G1300" s="192" t="s">
        <v>811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3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3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1304</v>
      </c>
      <c r="G1301" s="192" t="s">
        <v>811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3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3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1274</v>
      </c>
      <c r="G1302" s="192" t="s">
        <v>811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3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3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1258</v>
      </c>
      <c r="G1303" s="192" t="s">
        <v>811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3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3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541</v>
      </c>
      <c r="G1304" s="192" t="s">
        <v>811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3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1574</v>
      </c>
      <c r="E1305" s="191">
        <v>41118</v>
      </c>
      <c r="F1305" s="192" t="s">
        <v>526</v>
      </c>
      <c r="G1305" s="488" t="s">
        <v>1016</v>
      </c>
      <c r="H1305" s="193" t="s">
        <v>1017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1574</v>
      </c>
      <c r="E1306" s="191">
        <v>41118</v>
      </c>
      <c r="F1306" s="192" t="s">
        <v>530</v>
      </c>
      <c r="G1306" s="488" t="s">
        <v>1016</v>
      </c>
      <c r="H1306" s="193" t="s">
        <v>1017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1616</v>
      </c>
      <c r="E1307" s="191">
        <v>41118</v>
      </c>
      <c r="F1307" s="192" t="s">
        <v>365</v>
      </c>
      <c r="G1307" s="488" t="s">
        <v>1016</v>
      </c>
      <c r="H1307" s="193" t="s">
        <v>1017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18" t="s">
        <v>1575</v>
      </c>
      <c r="E1308" s="818">
        <v>41118</v>
      </c>
      <c r="F1308" s="192" t="s">
        <v>1474</v>
      </c>
      <c r="G1308" s="820" t="s">
        <v>1018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18" t="s">
        <v>1575</v>
      </c>
      <c r="E1309" s="818">
        <v>41118</v>
      </c>
      <c r="F1309" s="192" t="s">
        <v>1508</v>
      </c>
      <c r="G1309" s="820" t="s">
        <v>1018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18" t="s">
        <v>1575</v>
      </c>
      <c r="E1310" s="818">
        <v>41118</v>
      </c>
      <c r="F1310" s="192" t="s">
        <v>1472</v>
      </c>
      <c r="G1310" s="820" t="s">
        <v>1018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18" t="s">
        <v>1575</v>
      </c>
      <c r="E1311" s="818">
        <v>41118</v>
      </c>
      <c r="F1311" s="192" t="s">
        <v>1476</v>
      </c>
      <c r="G1311" s="820" t="s">
        <v>1018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18" t="s">
        <v>1575</v>
      </c>
      <c r="E1312" s="818">
        <v>41118</v>
      </c>
      <c r="F1312" s="192" t="s">
        <v>1509</v>
      </c>
      <c r="G1312" s="820" t="s">
        <v>1018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18" t="s">
        <v>1575</v>
      </c>
      <c r="E1313" s="818">
        <v>41118</v>
      </c>
      <c r="F1313" s="192" t="s">
        <v>1502</v>
      </c>
      <c r="G1313" s="820" t="s">
        <v>1018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18" t="s">
        <v>1575</v>
      </c>
      <c r="E1314" s="818">
        <v>41118</v>
      </c>
      <c r="F1314" s="192" t="s">
        <v>1478</v>
      </c>
      <c r="G1314" s="820" t="s">
        <v>1018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18" t="s">
        <v>1575</v>
      </c>
      <c r="E1315" s="818">
        <v>41118</v>
      </c>
      <c r="F1315" s="192" t="s">
        <v>1487</v>
      </c>
      <c r="G1315" s="820" t="s">
        <v>1018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1575</v>
      </c>
      <c r="E1316" s="191">
        <v>41118</v>
      </c>
      <c r="F1316" s="192" t="s">
        <v>530</v>
      </c>
      <c r="G1316" s="488" t="s">
        <v>1018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838"/>
      <c r="AC1316" s="838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88" t="s">
        <v>361</v>
      </c>
      <c r="H1317" s="7" t="s">
        <v>436</v>
      </c>
      <c r="I1317" s="252"/>
      <c r="J1317" s="252"/>
      <c r="K1317" s="38">
        <v>70000000</v>
      </c>
      <c r="L1317" s="613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88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705</v>
      </c>
      <c r="G1319" s="488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812</v>
      </c>
      <c r="G1320" s="488" t="s">
        <v>813</v>
      </c>
      <c r="H1320" s="193" t="s">
        <v>800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3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3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804</v>
      </c>
      <c r="G1321" s="488" t="s">
        <v>813</v>
      </c>
      <c r="H1321" s="193" t="s">
        <v>800</v>
      </c>
      <c r="I1321" s="252"/>
      <c r="J1321" s="252"/>
      <c r="K1321" s="38">
        <v>674604</v>
      </c>
      <c r="L1321" s="194" t="s">
        <v>9</v>
      </c>
      <c r="M1321" s="613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88" t="s">
        <v>813</v>
      </c>
      <c r="H1322" s="193" t="s">
        <v>800</v>
      </c>
      <c r="I1322" s="252"/>
      <c r="J1322" s="252"/>
      <c r="K1322" s="38">
        <v>7420644</v>
      </c>
      <c r="L1322" s="613" t="s">
        <v>8</v>
      </c>
      <c r="M1322" s="613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1416</v>
      </c>
      <c r="G1323" s="488" t="s">
        <v>814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3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3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541</v>
      </c>
      <c r="G1324" s="488" t="s">
        <v>814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3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09">
        <f t="shared" ref="C1325:C1337" si="81">E1325</f>
        <v>41121</v>
      </c>
      <c r="D1325" s="709" t="s">
        <v>367</v>
      </c>
      <c r="E1325" s="786">
        <v>41121</v>
      </c>
      <c r="F1325" s="710" t="s">
        <v>1559</v>
      </c>
      <c r="G1325" s="711"/>
      <c r="H1325" s="626"/>
      <c r="I1325" s="485"/>
      <c r="J1325" s="485"/>
      <c r="K1325" s="712">
        <v>9325000</v>
      </c>
      <c r="L1325" s="713" t="s">
        <v>84</v>
      </c>
      <c r="M1325" s="713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3"/>
      <c r="AB1325" s="603"/>
      <c r="AC1325" s="603"/>
      <c r="AD1325" s="603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09">
        <f t="shared" si="81"/>
        <v>41121</v>
      </c>
      <c r="D1326" s="709" t="s">
        <v>367</v>
      </c>
      <c r="E1326" s="786">
        <v>41121</v>
      </c>
      <c r="F1326" s="710" t="s">
        <v>511</v>
      </c>
      <c r="G1326" s="711"/>
      <c r="H1326" s="626"/>
      <c r="I1326" s="485"/>
      <c r="J1326" s="485"/>
      <c r="K1326" s="712">
        <v>13450000</v>
      </c>
      <c r="L1326" s="713" t="s">
        <v>175</v>
      </c>
      <c r="M1326" s="713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3"/>
      <c r="AB1326" s="603"/>
      <c r="AC1326" s="603"/>
      <c r="AD1326" s="603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09">
        <f t="shared" si="81"/>
        <v>41121</v>
      </c>
      <c r="D1327" s="709" t="s">
        <v>451</v>
      </c>
      <c r="E1327" s="786">
        <v>41121</v>
      </c>
      <c r="F1327" s="710" t="str">
        <f>"Thanh toán tiền lương tháng "&amp;MONTH(E1327)&amp;"/"&amp;YEAR(E1327)</f>
        <v>Thanh toán tiền lương tháng 7/2012</v>
      </c>
      <c r="G1327" s="711"/>
      <c r="H1327" s="45" t="s">
        <v>659</v>
      </c>
      <c r="I1327" s="485"/>
      <c r="J1327" s="485"/>
      <c r="K1327" s="712">
        <f>K1325+K1326</f>
        <v>22775000</v>
      </c>
      <c r="L1327" s="713" t="s">
        <v>287</v>
      </c>
      <c r="M1327" s="713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3"/>
      <c r="AB1327" s="603"/>
      <c r="AC1327" s="603"/>
      <c r="AD1327" s="603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1576</v>
      </c>
      <c r="E1328" s="191">
        <v>41121</v>
      </c>
      <c r="F1328" s="189" t="s">
        <v>1096</v>
      </c>
      <c r="G1328" s="488" t="s">
        <v>1019</v>
      </c>
      <c r="H1328" s="193" t="s">
        <v>933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1576</v>
      </c>
      <c r="E1329" s="191">
        <v>41121</v>
      </c>
      <c r="F1329" s="192" t="s">
        <v>530</v>
      </c>
      <c r="G1329" s="488" t="s">
        <v>1019</v>
      </c>
      <c r="H1329" s="193" t="s">
        <v>933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1617</v>
      </c>
      <c r="E1330" s="191">
        <v>41121</v>
      </c>
      <c r="F1330" s="192" t="s">
        <v>365</v>
      </c>
      <c r="G1330" s="488" t="s">
        <v>1019</v>
      </c>
      <c r="H1330" s="193" t="s">
        <v>933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1577</v>
      </c>
      <c r="E1331" s="191">
        <v>41122</v>
      </c>
      <c r="F1331" s="189" t="s">
        <v>1044</v>
      </c>
      <c r="G1331" s="488" t="s">
        <v>1020</v>
      </c>
      <c r="H1331" s="193" t="s">
        <v>923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1577</v>
      </c>
      <c r="E1332" s="191">
        <v>41122</v>
      </c>
      <c r="F1332" s="192" t="s">
        <v>1045</v>
      </c>
      <c r="G1332" s="488" t="s">
        <v>1020</v>
      </c>
      <c r="H1332" s="193" t="s">
        <v>923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1577</v>
      </c>
      <c r="E1333" s="191">
        <v>41122</v>
      </c>
      <c r="F1333" s="192" t="s">
        <v>530</v>
      </c>
      <c r="G1333" s="488" t="s">
        <v>1020</v>
      </c>
      <c r="H1333" s="193" t="s">
        <v>923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1618</v>
      </c>
      <c r="E1334" s="191">
        <v>41122</v>
      </c>
      <c r="F1334" s="192" t="s">
        <v>365</v>
      </c>
      <c r="G1334" s="488" t="s">
        <v>1020</v>
      </c>
      <c r="H1334" s="193" t="s">
        <v>923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1578</v>
      </c>
      <c r="E1335" s="191">
        <v>41124</v>
      </c>
      <c r="F1335" s="192" t="s">
        <v>1130</v>
      </c>
      <c r="G1335" s="488" t="s">
        <v>1021</v>
      </c>
      <c r="H1335" s="193" t="s">
        <v>914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1578</v>
      </c>
      <c r="E1336" s="191">
        <v>41124</v>
      </c>
      <c r="F1336" s="192" t="s">
        <v>1131</v>
      </c>
      <c r="G1336" s="488" t="s">
        <v>1021</v>
      </c>
      <c r="H1336" s="193" t="s">
        <v>914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1619</v>
      </c>
      <c r="E1337" s="191">
        <v>41124</v>
      </c>
      <c r="F1337" s="192" t="s">
        <v>365</v>
      </c>
      <c r="G1337" s="488" t="s">
        <v>1021</v>
      </c>
      <c r="H1337" s="193" t="s">
        <v>914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1437</v>
      </c>
      <c r="G1338" s="488" t="s">
        <v>815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3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3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1438</v>
      </c>
      <c r="G1339" s="488" t="s">
        <v>815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3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3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1439</v>
      </c>
      <c r="G1340" s="488" t="s">
        <v>815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3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3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1440</v>
      </c>
      <c r="G1341" s="488" t="s">
        <v>815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3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3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1263</v>
      </c>
      <c r="G1342" s="488" t="s">
        <v>815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3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3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541</v>
      </c>
      <c r="G1343" s="488" t="s">
        <v>815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3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1579</v>
      </c>
      <c r="E1344" s="191">
        <v>41125</v>
      </c>
      <c r="F1344" s="192" t="s">
        <v>1130</v>
      </c>
      <c r="G1344" s="488" t="s">
        <v>1022</v>
      </c>
      <c r="H1344" s="193" t="s">
        <v>914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1579</v>
      </c>
      <c r="E1345" s="191">
        <v>41125</v>
      </c>
      <c r="F1345" s="192" t="s">
        <v>1131</v>
      </c>
      <c r="G1345" s="488" t="s">
        <v>1022</v>
      </c>
      <c r="H1345" s="193" t="s">
        <v>914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1620</v>
      </c>
      <c r="E1346" s="191">
        <v>41125</v>
      </c>
      <c r="F1346" s="192" t="s">
        <v>365</v>
      </c>
      <c r="G1346" s="488" t="s">
        <v>1022</v>
      </c>
      <c r="H1346" s="193" t="s">
        <v>914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1580</v>
      </c>
      <c r="E1347" s="191">
        <v>41125</v>
      </c>
      <c r="F1347" s="192" t="s">
        <v>1127</v>
      </c>
      <c r="G1347" s="488" t="s">
        <v>1023</v>
      </c>
      <c r="H1347" s="193" t="s">
        <v>807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1580</v>
      </c>
      <c r="E1348" s="191">
        <v>41125</v>
      </c>
      <c r="F1348" s="192" t="s">
        <v>1128</v>
      </c>
      <c r="G1348" s="488" t="s">
        <v>1023</v>
      </c>
      <c r="H1348" s="193" t="s">
        <v>807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1580</v>
      </c>
      <c r="E1349" s="191">
        <v>41125</v>
      </c>
      <c r="F1349" s="192" t="s">
        <v>1129</v>
      </c>
      <c r="G1349" s="488" t="s">
        <v>1023</v>
      </c>
      <c r="H1349" s="193" t="s">
        <v>807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1580</v>
      </c>
      <c r="E1350" s="191">
        <v>41125</v>
      </c>
      <c r="F1350" s="192" t="s">
        <v>530</v>
      </c>
      <c r="G1350" s="488" t="s">
        <v>1023</v>
      </c>
      <c r="H1350" s="193" t="s">
        <v>807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88" t="s">
        <v>361</v>
      </c>
      <c r="H1351" s="210" t="s">
        <v>659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88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664</v>
      </c>
      <c r="G1353" s="488" t="s">
        <v>816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88" t="s">
        <v>816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1581</v>
      </c>
      <c r="E1355" s="191">
        <v>41128</v>
      </c>
      <c r="F1355" s="192" t="s">
        <v>1113</v>
      </c>
      <c r="G1355" s="488" t="s">
        <v>1024</v>
      </c>
      <c r="H1355" s="193" t="s">
        <v>990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1581</v>
      </c>
      <c r="E1356" s="191">
        <v>41128</v>
      </c>
      <c r="F1356" s="192" t="s">
        <v>530</v>
      </c>
      <c r="G1356" s="488" t="s">
        <v>1024</v>
      </c>
      <c r="H1356" s="193" t="s">
        <v>990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1621</v>
      </c>
      <c r="E1357" s="191">
        <v>41128</v>
      </c>
      <c r="F1357" s="192" t="s">
        <v>365</v>
      </c>
      <c r="G1357" s="488" t="s">
        <v>1024</v>
      </c>
      <c r="H1357" s="193" t="s">
        <v>990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88" t="s">
        <v>361</v>
      </c>
      <c r="H1358" s="210" t="s">
        <v>767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1582</v>
      </c>
      <c r="E1359" s="191">
        <v>41129</v>
      </c>
      <c r="F1359" s="189" t="s">
        <v>1096</v>
      </c>
      <c r="G1359" s="488" t="s">
        <v>1025</v>
      </c>
      <c r="H1359" s="193" t="s">
        <v>933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1582</v>
      </c>
      <c r="E1360" s="191">
        <v>41129</v>
      </c>
      <c r="F1360" s="192" t="s">
        <v>1107</v>
      </c>
      <c r="G1360" s="488" t="s">
        <v>1025</v>
      </c>
      <c r="H1360" s="193" t="s">
        <v>933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1582</v>
      </c>
      <c r="E1361" s="191">
        <v>41129</v>
      </c>
      <c r="F1361" s="192" t="s">
        <v>530</v>
      </c>
      <c r="G1361" s="488" t="s">
        <v>1025</v>
      </c>
      <c r="H1361" s="193" t="s">
        <v>933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1622</v>
      </c>
      <c r="E1362" s="191">
        <v>41129</v>
      </c>
      <c r="F1362" s="192" t="s">
        <v>365</v>
      </c>
      <c r="G1362" s="488" t="s">
        <v>1025</v>
      </c>
      <c r="H1362" s="193" t="s">
        <v>933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1582</v>
      </c>
      <c r="E1363" s="191">
        <v>41129</v>
      </c>
      <c r="F1363" s="192" t="s">
        <v>1126</v>
      </c>
      <c r="G1363" s="488" t="s">
        <v>648</v>
      </c>
      <c r="H1363" s="193" t="s">
        <v>832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1582</v>
      </c>
      <c r="E1364" s="191">
        <v>41129</v>
      </c>
      <c r="F1364" s="192" t="s">
        <v>530</v>
      </c>
      <c r="G1364" s="488" t="s">
        <v>648</v>
      </c>
      <c r="H1364" s="193" t="s">
        <v>832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88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866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1674</v>
      </c>
      <c r="G1367" s="192" t="s">
        <v>361</v>
      </c>
      <c r="H1367" s="45" t="s">
        <v>866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840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564</v>
      </c>
      <c r="G1368" s="192" t="s">
        <v>818</v>
      </c>
      <c r="H1368" s="193" t="s">
        <v>566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567</v>
      </c>
      <c r="G1369" s="192" t="s">
        <v>818</v>
      </c>
      <c r="H1369" s="193" t="s">
        <v>566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1437</v>
      </c>
      <c r="G1370" s="192" t="s">
        <v>819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3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3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1324</v>
      </c>
      <c r="G1371" s="192" t="s">
        <v>819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3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3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1325</v>
      </c>
      <c r="G1372" s="192" t="s">
        <v>819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3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3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1326</v>
      </c>
      <c r="G1373" s="192" t="s">
        <v>819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3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3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1327</v>
      </c>
      <c r="G1374" s="192" t="s">
        <v>819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3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3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1314</v>
      </c>
      <c r="G1375" s="192" t="s">
        <v>819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3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3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541</v>
      </c>
      <c r="G1376" s="192" t="s">
        <v>819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3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819</v>
      </c>
      <c r="H1377" s="7" t="s">
        <v>436</v>
      </c>
      <c r="I1377" s="252"/>
      <c r="J1377" s="252"/>
      <c r="K1377" s="38">
        <v>15195455</v>
      </c>
      <c r="L1377" s="613" t="s">
        <v>8</v>
      </c>
      <c r="M1377" s="613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675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3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07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1328</v>
      </c>
      <c r="G1381" s="192" t="s">
        <v>820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3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3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541</v>
      </c>
      <c r="G1382" s="192" t="s">
        <v>820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3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1441</v>
      </c>
      <c r="G1383" s="192" t="s">
        <v>821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3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3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541</v>
      </c>
      <c r="G1384" s="192" t="s">
        <v>821</v>
      </c>
      <c r="H1384" s="7" t="s">
        <v>436</v>
      </c>
      <c r="I1384" s="252"/>
      <c r="J1384" s="252"/>
      <c r="K1384" s="38">
        <v>123444</v>
      </c>
      <c r="L1384" s="807" t="s">
        <v>9</v>
      </c>
      <c r="M1384" s="613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821</v>
      </c>
      <c r="H1385" s="7" t="s">
        <v>436</v>
      </c>
      <c r="I1385" s="252"/>
      <c r="J1385" s="252"/>
      <c r="K1385" s="38">
        <v>1357884</v>
      </c>
      <c r="L1385" s="613" t="s">
        <v>8</v>
      </c>
      <c r="M1385" s="613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1634</v>
      </c>
      <c r="E1386" s="191">
        <v>41135</v>
      </c>
      <c r="F1386" s="192" t="s">
        <v>396</v>
      </c>
      <c r="G1386" s="192" t="s">
        <v>361</v>
      </c>
      <c r="H1386" s="193" t="s">
        <v>659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1636</v>
      </c>
      <c r="E1387" s="191">
        <v>41136</v>
      </c>
      <c r="F1387" s="192" t="s">
        <v>822</v>
      </c>
      <c r="G1387" s="192" t="s">
        <v>823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1636</v>
      </c>
      <c r="E1388" s="191">
        <v>41136</v>
      </c>
      <c r="F1388" s="192" t="s">
        <v>372</v>
      </c>
      <c r="G1388" s="488" t="s">
        <v>823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1321</v>
      </c>
      <c r="G1389" s="488" t="s">
        <v>824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3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3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1329</v>
      </c>
      <c r="G1390" s="192" t="s">
        <v>824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3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3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541</v>
      </c>
      <c r="G1391" s="192" t="s">
        <v>824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3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1638</v>
      </c>
      <c r="E1392" s="191">
        <v>41136</v>
      </c>
      <c r="F1392" s="192" t="s">
        <v>400</v>
      </c>
      <c r="G1392" s="192" t="s">
        <v>824</v>
      </c>
      <c r="H1392" s="7" t="s">
        <v>436</v>
      </c>
      <c r="I1392" s="252"/>
      <c r="J1392" s="252"/>
      <c r="K1392" s="38">
        <v>13485824</v>
      </c>
      <c r="L1392" s="613" t="s">
        <v>8</v>
      </c>
      <c r="M1392" s="613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1583</v>
      </c>
      <c r="E1393" s="191">
        <v>41136</v>
      </c>
      <c r="F1393" s="297" t="s">
        <v>1132</v>
      </c>
      <c r="G1393" s="488" t="s">
        <v>1026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1583</v>
      </c>
      <c r="E1394" s="191">
        <v>41136</v>
      </c>
      <c r="F1394" s="192" t="s">
        <v>530</v>
      </c>
      <c r="G1394" s="488" t="s">
        <v>1026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825</v>
      </c>
      <c r="G1395" s="192" t="s">
        <v>528</v>
      </c>
      <c r="H1395" s="193" t="s">
        <v>826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3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3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827</v>
      </c>
      <c r="G1396" s="488" t="s">
        <v>528</v>
      </c>
      <c r="H1396" s="193" t="s">
        <v>826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3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3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828</v>
      </c>
      <c r="G1397" s="488" t="s">
        <v>528</v>
      </c>
      <c r="H1397" s="193" t="s">
        <v>826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3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3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829</v>
      </c>
      <c r="G1398" s="488" t="s">
        <v>528</v>
      </c>
      <c r="H1398" s="193" t="s">
        <v>826</v>
      </c>
      <c r="I1398" s="252"/>
      <c r="J1398" s="252"/>
      <c r="K1398" s="38">
        <v>1659400</v>
      </c>
      <c r="L1398" s="194" t="s">
        <v>9</v>
      </c>
      <c r="M1398" s="613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1639</v>
      </c>
      <c r="E1399" s="191">
        <v>41137</v>
      </c>
      <c r="F1399" s="192" t="s">
        <v>400</v>
      </c>
      <c r="G1399" s="488" t="s">
        <v>528</v>
      </c>
      <c r="H1399" s="193" t="s">
        <v>826</v>
      </c>
      <c r="I1399" s="252"/>
      <c r="J1399" s="252"/>
      <c r="K1399" s="38">
        <v>18253400</v>
      </c>
      <c r="L1399" s="613" t="s">
        <v>8</v>
      </c>
      <c r="M1399" s="613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1584</v>
      </c>
      <c r="E1400" s="191">
        <v>41137</v>
      </c>
      <c r="F1400" s="189" t="s">
        <v>1120</v>
      </c>
      <c r="G1400" s="488" t="s">
        <v>1027</v>
      </c>
      <c r="H1400" s="193" t="s">
        <v>885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1584</v>
      </c>
      <c r="E1401" s="191">
        <v>41137</v>
      </c>
      <c r="F1401" s="192" t="s">
        <v>1125</v>
      </c>
      <c r="G1401" s="488" t="s">
        <v>1027</v>
      </c>
      <c r="H1401" s="193" t="s">
        <v>885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1584</v>
      </c>
      <c r="E1402" s="191">
        <v>41137</v>
      </c>
      <c r="F1402" s="192" t="s">
        <v>530</v>
      </c>
      <c r="G1402" s="488" t="s">
        <v>1027</v>
      </c>
      <c r="H1402" s="193" t="s">
        <v>885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1623</v>
      </c>
      <c r="E1403" s="191">
        <v>41137</v>
      </c>
      <c r="F1403" s="192" t="s">
        <v>365</v>
      </c>
      <c r="G1403" s="488" t="s">
        <v>1027</v>
      </c>
      <c r="H1403" s="193" t="s">
        <v>885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1585</v>
      </c>
      <c r="E1404" s="191">
        <v>41137</v>
      </c>
      <c r="F1404" s="192" t="s">
        <v>1028</v>
      </c>
      <c r="G1404" s="488" t="s">
        <v>1029</v>
      </c>
      <c r="H1404" s="193" t="s">
        <v>848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1585</v>
      </c>
      <c r="E1405" s="191">
        <v>41137</v>
      </c>
      <c r="F1405" s="192" t="s">
        <v>1030</v>
      </c>
      <c r="G1405" s="488" t="s">
        <v>1029</v>
      </c>
      <c r="H1405" s="193" t="s">
        <v>848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1585</v>
      </c>
      <c r="E1406" s="191">
        <v>41137</v>
      </c>
      <c r="F1406" s="192" t="s">
        <v>1031</v>
      </c>
      <c r="G1406" s="488" t="s">
        <v>1029</v>
      </c>
      <c r="H1406" s="193" t="s">
        <v>848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1585</v>
      </c>
      <c r="E1407" s="191">
        <v>41137</v>
      </c>
      <c r="F1407" s="192" t="s">
        <v>1032</v>
      </c>
      <c r="G1407" s="488" t="s">
        <v>1029</v>
      </c>
      <c r="H1407" s="193" t="s">
        <v>848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1585</v>
      </c>
      <c r="E1408" s="191">
        <v>41137</v>
      </c>
      <c r="F1408" s="192" t="s">
        <v>530</v>
      </c>
      <c r="G1408" s="488" t="s">
        <v>1029</v>
      </c>
      <c r="H1408" s="193" t="s">
        <v>848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1640</v>
      </c>
      <c r="E1409" s="191">
        <v>41139</v>
      </c>
      <c r="F1409" s="192" t="s">
        <v>396</v>
      </c>
      <c r="G1409" s="488" t="s">
        <v>361</v>
      </c>
      <c r="H1409" s="193" t="s">
        <v>659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1330</v>
      </c>
      <c r="G1410" s="488" t="s">
        <v>830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3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3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1331</v>
      </c>
      <c r="G1411" s="488" t="s">
        <v>830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3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3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1264</v>
      </c>
      <c r="G1412" s="488" t="s">
        <v>830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3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3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541</v>
      </c>
      <c r="G1413" s="488" t="s">
        <v>830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3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1642</v>
      </c>
      <c r="E1414" s="191">
        <v>41141</v>
      </c>
      <c r="F1414" s="192" t="s">
        <v>396</v>
      </c>
      <c r="G1414" s="488" t="s">
        <v>361</v>
      </c>
      <c r="H1414" s="193" t="s">
        <v>659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1643</v>
      </c>
      <c r="E1415" s="191">
        <v>41141</v>
      </c>
      <c r="F1415" s="192" t="s">
        <v>546</v>
      </c>
      <c r="G1415" s="192" t="s">
        <v>831</v>
      </c>
      <c r="H1415" s="193" t="s">
        <v>548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1643</v>
      </c>
      <c r="E1416" s="191">
        <v>41141</v>
      </c>
      <c r="F1416" s="192" t="s">
        <v>549</v>
      </c>
      <c r="G1416" s="192" t="s">
        <v>831</v>
      </c>
      <c r="H1416" s="193" t="s">
        <v>548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88" t="s">
        <v>361</v>
      </c>
      <c r="H1417" s="193" t="s">
        <v>832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88" t="s">
        <v>361</v>
      </c>
      <c r="H1418" s="7" t="s">
        <v>436</v>
      </c>
      <c r="I1418" s="252"/>
      <c r="J1418" s="252"/>
      <c r="K1418" s="38">
        <v>40000000</v>
      </c>
      <c r="L1418" s="613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88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1647</v>
      </c>
      <c r="E1420" s="191">
        <v>41143</v>
      </c>
      <c r="F1420" s="192" t="s">
        <v>833</v>
      </c>
      <c r="G1420" s="488" t="s">
        <v>834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1647</v>
      </c>
      <c r="E1421" s="191">
        <v>41143</v>
      </c>
      <c r="F1421" s="192" t="s">
        <v>372</v>
      </c>
      <c r="G1421" s="488" t="s">
        <v>834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1314</v>
      </c>
      <c r="G1422" s="488" t="s">
        <v>835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3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3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1321</v>
      </c>
      <c r="G1423" s="488" t="s">
        <v>835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3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3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1273</v>
      </c>
      <c r="G1424" s="488" t="s">
        <v>835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3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3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541</v>
      </c>
      <c r="G1425" s="488" t="s">
        <v>835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3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1264</v>
      </c>
      <c r="G1426" s="488" t="s">
        <v>836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3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3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541</v>
      </c>
      <c r="G1427" s="488" t="s">
        <v>836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3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88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1266</v>
      </c>
      <c r="G1429" s="488" t="s">
        <v>837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3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3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1332</v>
      </c>
      <c r="G1430" s="488" t="s">
        <v>837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3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3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541</v>
      </c>
      <c r="G1431" s="488" t="s">
        <v>837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3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1648</v>
      </c>
      <c r="E1432" s="191">
        <v>41146</v>
      </c>
      <c r="F1432" s="192" t="s">
        <v>400</v>
      </c>
      <c r="G1432" s="488" t="s">
        <v>837</v>
      </c>
      <c r="H1432" s="7" t="s">
        <v>436</v>
      </c>
      <c r="I1432" s="252"/>
      <c r="J1432" s="252"/>
      <c r="K1432" s="38">
        <v>8365500</v>
      </c>
      <c r="L1432" s="613" t="s">
        <v>8</v>
      </c>
      <c r="M1432" s="613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1333</v>
      </c>
      <c r="G1433" s="488" t="s">
        <v>838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3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3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1316</v>
      </c>
      <c r="G1434" s="192" t="s">
        <v>838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3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3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541</v>
      </c>
      <c r="G1435" s="192" t="s">
        <v>838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3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1649</v>
      </c>
      <c r="E1436" s="191">
        <v>41148</v>
      </c>
      <c r="F1436" s="192" t="s">
        <v>400</v>
      </c>
      <c r="G1436" s="192" t="s">
        <v>838</v>
      </c>
      <c r="H1436" s="7" t="s">
        <v>436</v>
      </c>
      <c r="I1436" s="252"/>
      <c r="J1436" s="252"/>
      <c r="K1436" s="38">
        <v>13537601</v>
      </c>
      <c r="L1436" s="613" t="s">
        <v>8</v>
      </c>
      <c r="M1436" s="613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1663</v>
      </c>
      <c r="E1437" s="191">
        <v>41149</v>
      </c>
      <c r="F1437" s="192" t="s">
        <v>396</v>
      </c>
      <c r="G1437" s="192" t="s">
        <v>361</v>
      </c>
      <c r="H1437" s="193" t="s">
        <v>659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1663</v>
      </c>
      <c r="E1438" s="191">
        <v>41149</v>
      </c>
      <c r="F1438" s="192" t="s">
        <v>396</v>
      </c>
      <c r="G1438" s="192" t="s">
        <v>361</v>
      </c>
      <c r="H1438" s="193" t="s">
        <v>659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1384</v>
      </c>
      <c r="G1439" s="192" t="s">
        <v>839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3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3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1430</v>
      </c>
      <c r="G1440" s="192" t="s">
        <v>839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3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3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1442</v>
      </c>
      <c r="G1441" s="192" t="s">
        <v>839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3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3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1325</v>
      </c>
      <c r="G1442" s="192" t="s">
        <v>839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3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3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1334</v>
      </c>
      <c r="G1443" s="192" t="s">
        <v>839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3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3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1335</v>
      </c>
      <c r="G1444" s="192" t="s">
        <v>839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3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3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541</v>
      </c>
      <c r="G1445" s="192" t="s">
        <v>839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3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1586</v>
      </c>
      <c r="E1446" s="191">
        <v>41150</v>
      </c>
      <c r="F1446" s="192" t="s">
        <v>1089</v>
      </c>
      <c r="G1446" s="488" t="s">
        <v>1033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1586</v>
      </c>
      <c r="E1447" s="191">
        <v>41150</v>
      </c>
      <c r="F1447" s="192" t="s">
        <v>530</v>
      </c>
      <c r="G1447" s="488" t="s">
        <v>1033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1587</v>
      </c>
      <c r="E1448" s="191">
        <v>41150</v>
      </c>
      <c r="F1448" s="192" t="s">
        <v>1124</v>
      </c>
      <c r="G1448" s="488" t="s">
        <v>431</v>
      </c>
      <c r="H1448" s="193" t="s">
        <v>1720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1587</v>
      </c>
      <c r="E1449" s="191">
        <v>41150</v>
      </c>
      <c r="F1449" s="192" t="s">
        <v>1123</v>
      </c>
      <c r="G1449" s="488" t="s">
        <v>431</v>
      </c>
      <c r="H1449" s="193" t="s">
        <v>1720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1587</v>
      </c>
      <c r="E1450" s="191">
        <v>41150</v>
      </c>
      <c r="F1450" s="192" t="s">
        <v>530</v>
      </c>
      <c r="G1450" s="488" t="s">
        <v>431</v>
      </c>
      <c r="H1450" s="193" t="s">
        <v>1720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1624</v>
      </c>
      <c r="E1451" s="191">
        <v>41150</v>
      </c>
      <c r="F1451" s="192" t="s">
        <v>365</v>
      </c>
      <c r="G1451" s="488" t="s">
        <v>431</v>
      </c>
      <c r="H1451" s="193" t="s">
        <v>1720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1336</v>
      </c>
      <c r="G1452" s="192" t="s">
        <v>840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3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3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1322</v>
      </c>
      <c r="G1453" s="192" t="s">
        <v>840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3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3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1273</v>
      </c>
      <c r="G1454" s="192" t="s">
        <v>840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3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3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541</v>
      </c>
      <c r="G1455" s="192" t="s">
        <v>840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3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09">
        <f>E1456</f>
        <v>41152</v>
      </c>
      <c r="D1456" s="709" t="s">
        <v>367</v>
      </c>
      <c r="E1456" s="786">
        <v>41152</v>
      </c>
      <c r="F1456" s="710" t="s">
        <v>1559</v>
      </c>
      <c r="G1456" s="711"/>
      <c r="H1456" s="626"/>
      <c r="I1456" s="485"/>
      <c r="J1456" s="485"/>
      <c r="K1456" s="712">
        <v>9325000</v>
      </c>
      <c r="L1456" s="713" t="s">
        <v>84</v>
      </c>
      <c r="M1456" s="713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3"/>
      <c r="AB1456" s="603"/>
      <c r="AC1456" s="603"/>
      <c r="AD1456" s="603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09">
        <f>E1457</f>
        <v>41152</v>
      </c>
      <c r="D1457" s="709" t="s">
        <v>367</v>
      </c>
      <c r="E1457" s="786">
        <v>41152</v>
      </c>
      <c r="F1457" s="710" t="s">
        <v>511</v>
      </c>
      <c r="G1457" s="711"/>
      <c r="H1457" s="626"/>
      <c r="I1457" s="485"/>
      <c r="J1457" s="485"/>
      <c r="K1457" s="712">
        <v>13450000</v>
      </c>
      <c r="L1457" s="713" t="s">
        <v>175</v>
      </c>
      <c r="M1457" s="713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3"/>
      <c r="AB1457" s="603"/>
      <c r="AC1457" s="603"/>
      <c r="AD1457" s="603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09">
        <f>E1458</f>
        <v>41152</v>
      </c>
      <c r="D1458" s="709" t="s">
        <v>1650</v>
      </c>
      <c r="E1458" s="786">
        <v>41152</v>
      </c>
      <c r="F1458" s="710" t="str">
        <f>"Thanh toán tiền lương tháng "&amp;MONTH(E1458)&amp;"/"&amp;YEAR(E1458)</f>
        <v>Thanh toán tiền lương tháng 8/2012</v>
      </c>
      <c r="G1458" s="711"/>
      <c r="H1458" s="45" t="s">
        <v>659</v>
      </c>
      <c r="I1458" s="485"/>
      <c r="J1458" s="485"/>
      <c r="K1458" s="712">
        <f>K1456+K1457</f>
        <v>22775000</v>
      </c>
      <c r="L1458" s="713" t="s">
        <v>287</v>
      </c>
      <c r="M1458" s="713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3"/>
      <c r="AC1458" s="603"/>
      <c r="AD1458" s="603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1651</v>
      </c>
      <c r="E1459" s="191">
        <v>41152</v>
      </c>
      <c r="F1459" s="192" t="s">
        <v>396</v>
      </c>
      <c r="G1459" s="192" t="s">
        <v>361</v>
      </c>
      <c r="H1459" s="210" t="s">
        <v>659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3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3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2">
        <v>20000</v>
      </c>
      <c r="L1463" s="613" t="s">
        <v>84</v>
      </c>
      <c r="M1463" s="808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1652</v>
      </c>
      <c r="E1464" s="184">
        <v>41152</v>
      </c>
      <c r="F1464" s="189" t="s">
        <v>841</v>
      </c>
      <c r="G1464" s="614" t="s">
        <v>842</v>
      </c>
      <c r="H1464" s="193" t="s">
        <v>401</v>
      </c>
      <c r="I1464" s="252"/>
      <c r="J1464" s="252"/>
      <c r="K1464" s="612">
        <v>1340000</v>
      </c>
      <c r="L1464" s="809" t="s">
        <v>175</v>
      </c>
      <c r="M1464" s="809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1652</v>
      </c>
      <c r="E1465" s="184">
        <v>41152</v>
      </c>
      <c r="F1465" s="189" t="s">
        <v>372</v>
      </c>
      <c r="G1465" s="189" t="s">
        <v>842</v>
      </c>
      <c r="H1465" s="193" t="s">
        <v>401</v>
      </c>
      <c r="I1465" s="252"/>
      <c r="J1465" s="252"/>
      <c r="K1465" s="612">
        <v>134000</v>
      </c>
      <c r="L1465" s="809" t="s">
        <v>9</v>
      </c>
      <c r="M1465" s="809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735</v>
      </c>
      <c r="E1466" s="184">
        <v>41152</v>
      </c>
      <c r="F1466" s="189" t="s">
        <v>1273</v>
      </c>
      <c r="G1466" s="189" t="s">
        <v>843</v>
      </c>
      <c r="H1466" s="7" t="s">
        <v>436</v>
      </c>
      <c r="I1466" s="252">
        <v>440</v>
      </c>
      <c r="J1466" s="252">
        <v>18306</v>
      </c>
      <c r="K1466" s="612">
        <v>8054640</v>
      </c>
      <c r="L1466" s="194" t="s">
        <v>169</v>
      </c>
      <c r="M1466" s="613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3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735</v>
      </c>
      <c r="E1467" s="184">
        <v>41152</v>
      </c>
      <c r="F1467" s="189" t="s">
        <v>1271</v>
      </c>
      <c r="G1467" s="614" t="s">
        <v>843</v>
      </c>
      <c r="H1467" s="7" t="s">
        <v>436</v>
      </c>
      <c r="I1467" s="252">
        <v>250</v>
      </c>
      <c r="J1467" s="252">
        <v>17625</v>
      </c>
      <c r="K1467" s="612">
        <v>4406250</v>
      </c>
      <c r="L1467" s="194" t="s">
        <v>169</v>
      </c>
      <c r="M1467" s="613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3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735</v>
      </c>
      <c r="E1468" s="184">
        <v>41152</v>
      </c>
      <c r="F1468" s="189" t="s">
        <v>541</v>
      </c>
      <c r="G1468" s="189" t="s">
        <v>843</v>
      </c>
      <c r="H1468" s="7" t="s">
        <v>436</v>
      </c>
      <c r="I1468" s="252"/>
      <c r="J1468" s="252"/>
      <c r="K1468" s="612">
        <v>1246089</v>
      </c>
      <c r="L1468" s="809" t="s">
        <v>9</v>
      </c>
      <c r="M1468" s="613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1654</v>
      </c>
      <c r="E1469" s="184">
        <v>41152</v>
      </c>
      <c r="F1469" s="189" t="s">
        <v>400</v>
      </c>
      <c r="G1469" s="189" t="s">
        <v>843</v>
      </c>
      <c r="H1469" s="7" t="s">
        <v>436</v>
      </c>
      <c r="I1469" s="252"/>
      <c r="J1469" s="252"/>
      <c r="K1469" s="612">
        <v>13706979</v>
      </c>
      <c r="L1469" s="613" t="s">
        <v>8</v>
      </c>
      <c r="M1469" s="613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1588</v>
      </c>
      <c r="E1470" s="191">
        <v>41153</v>
      </c>
      <c r="F1470" s="192" t="s">
        <v>1100</v>
      </c>
      <c r="G1470" s="488" t="s">
        <v>1034</v>
      </c>
      <c r="H1470" s="193" t="s">
        <v>861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1588</v>
      </c>
      <c r="E1471" s="191">
        <v>41153</v>
      </c>
      <c r="F1471" s="192" t="s">
        <v>530</v>
      </c>
      <c r="G1471" s="488" t="s">
        <v>1034</v>
      </c>
      <c r="H1471" s="193" t="s">
        <v>861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1625</v>
      </c>
      <c r="E1472" s="191">
        <v>41153</v>
      </c>
      <c r="F1472" s="192" t="s">
        <v>365</v>
      </c>
      <c r="G1472" s="488" t="s">
        <v>1034</v>
      </c>
      <c r="H1472" s="193" t="s">
        <v>861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844</v>
      </c>
      <c r="H1473" s="193" t="s">
        <v>405</v>
      </c>
      <c r="I1473" s="252">
        <v>100</v>
      </c>
      <c r="J1473" s="252">
        <v>25000</v>
      </c>
      <c r="K1473" s="612">
        <v>2500000</v>
      </c>
      <c r="L1473" s="613" t="s">
        <v>171</v>
      </c>
      <c r="M1473" s="613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4" t="s">
        <v>844</v>
      </c>
      <c r="H1474" s="193" t="s">
        <v>405</v>
      </c>
      <c r="I1474" s="252"/>
      <c r="J1474" s="252"/>
      <c r="K1474" s="612">
        <v>250000</v>
      </c>
      <c r="L1474" s="809" t="s">
        <v>9</v>
      </c>
      <c r="M1474" s="613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1656</v>
      </c>
      <c r="E1475" s="184">
        <v>41156</v>
      </c>
      <c r="F1475" s="189" t="s">
        <v>400</v>
      </c>
      <c r="G1475" s="189" t="s">
        <v>844</v>
      </c>
      <c r="H1475" s="193" t="s">
        <v>405</v>
      </c>
      <c r="I1475" s="252"/>
      <c r="J1475" s="252"/>
      <c r="K1475" s="612">
        <v>2750000</v>
      </c>
      <c r="L1475" s="613" t="s">
        <v>8</v>
      </c>
      <c r="M1475" s="613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2">
        <v>6042960</v>
      </c>
      <c r="L1476" s="809" t="s">
        <v>24</v>
      </c>
      <c r="M1476" s="809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738</v>
      </c>
      <c r="E1477" s="184">
        <v>41157</v>
      </c>
      <c r="F1477" s="189" t="s">
        <v>1263</v>
      </c>
      <c r="G1477" s="189" t="s">
        <v>845</v>
      </c>
      <c r="H1477" s="7" t="s">
        <v>436</v>
      </c>
      <c r="I1477" s="252">
        <v>600</v>
      </c>
      <c r="J1477" s="252">
        <v>12227</v>
      </c>
      <c r="K1477" s="612">
        <v>7336200</v>
      </c>
      <c r="L1477" s="194" t="s">
        <v>169</v>
      </c>
      <c r="M1477" s="613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3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738</v>
      </c>
      <c r="E1478" s="184">
        <v>41157</v>
      </c>
      <c r="F1478" s="189" t="s">
        <v>541</v>
      </c>
      <c r="G1478" s="486" t="s">
        <v>845</v>
      </c>
      <c r="H1478" s="7" t="s">
        <v>436</v>
      </c>
      <c r="I1478" s="252"/>
      <c r="J1478" s="252"/>
      <c r="K1478" s="612">
        <v>733620</v>
      </c>
      <c r="L1478" s="809" t="s">
        <v>9</v>
      </c>
      <c r="M1478" s="613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1589</v>
      </c>
      <c r="E1479" s="191">
        <v>41158</v>
      </c>
      <c r="F1479" s="189" t="s">
        <v>1096</v>
      </c>
      <c r="G1479" s="488" t="s">
        <v>1035</v>
      </c>
      <c r="H1479" s="193" t="s">
        <v>933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1589</v>
      </c>
      <c r="E1480" s="191">
        <v>41158</v>
      </c>
      <c r="F1480" s="192" t="s">
        <v>530</v>
      </c>
      <c r="G1480" s="488" t="s">
        <v>1035</v>
      </c>
      <c r="H1480" s="193" t="s">
        <v>933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1626</v>
      </c>
      <c r="E1481" s="191">
        <v>41158</v>
      </c>
      <c r="F1481" s="192" t="s">
        <v>365</v>
      </c>
      <c r="G1481" s="488" t="s">
        <v>1035</v>
      </c>
      <c r="H1481" s="193" t="s">
        <v>933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740</v>
      </c>
      <c r="E1482" s="184">
        <v>41160</v>
      </c>
      <c r="F1482" s="189" t="s">
        <v>1399</v>
      </c>
      <c r="G1482" s="189" t="s">
        <v>846</v>
      </c>
      <c r="H1482" s="7" t="s">
        <v>436</v>
      </c>
      <c r="I1482" s="252">
        <v>300</v>
      </c>
      <c r="J1482" s="252">
        <v>8924</v>
      </c>
      <c r="K1482" s="612">
        <v>2677200</v>
      </c>
      <c r="L1482" s="194" t="s">
        <v>169</v>
      </c>
      <c r="M1482" s="613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3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740</v>
      </c>
      <c r="E1483" s="184">
        <v>41160</v>
      </c>
      <c r="F1483" s="189" t="s">
        <v>1253</v>
      </c>
      <c r="G1483" s="486" t="s">
        <v>846</v>
      </c>
      <c r="H1483" s="7" t="s">
        <v>436</v>
      </c>
      <c r="I1483" s="252">
        <v>250</v>
      </c>
      <c r="J1483" s="252">
        <v>17574</v>
      </c>
      <c r="K1483" s="612">
        <v>4393500</v>
      </c>
      <c r="L1483" s="194" t="s">
        <v>169</v>
      </c>
      <c r="M1483" s="613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3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740</v>
      </c>
      <c r="E1484" s="184">
        <v>41160</v>
      </c>
      <c r="F1484" s="189" t="s">
        <v>1331</v>
      </c>
      <c r="G1484" s="189" t="s">
        <v>846</v>
      </c>
      <c r="H1484" s="7" t="s">
        <v>436</v>
      </c>
      <c r="I1484" s="252">
        <v>100</v>
      </c>
      <c r="J1484" s="252">
        <v>12635</v>
      </c>
      <c r="K1484" s="612">
        <v>1263500</v>
      </c>
      <c r="L1484" s="194" t="s">
        <v>169</v>
      </c>
      <c r="M1484" s="613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3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740</v>
      </c>
      <c r="E1485" s="184">
        <v>41160</v>
      </c>
      <c r="F1485" s="189" t="s">
        <v>541</v>
      </c>
      <c r="G1485" s="486" t="s">
        <v>846</v>
      </c>
      <c r="H1485" s="7" t="s">
        <v>436</v>
      </c>
      <c r="I1485" s="252"/>
      <c r="J1485" s="252"/>
      <c r="K1485" s="612">
        <v>833420</v>
      </c>
      <c r="L1485" s="809" t="s">
        <v>9</v>
      </c>
      <c r="M1485" s="613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1657</v>
      </c>
      <c r="E1486" s="184">
        <v>41160</v>
      </c>
      <c r="F1486" s="189" t="s">
        <v>400</v>
      </c>
      <c r="G1486" s="486" t="s">
        <v>846</v>
      </c>
      <c r="H1486" s="7" t="s">
        <v>436</v>
      </c>
      <c r="I1486" s="252"/>
      <c r="J1486" s="252"/>
      <c r="K1486" s="612">
        <v>9167620</v>
      </c>
      <c r="L1486" s="613" t="s">
        <v>8</v>
      </c>
      <c r="M1486" s="613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745</v>
      </c>
      <c r="E1487" s="184">
        <v>41160</v>
      </c>
      <c r="F1487" s="189" t="s">
        <v>1337</v>
      </c>
      <c r="G1487" s="189" t="s">
        <v>847</v>
      </c>
      <c r="H1487" s="7" t="s">
        <v>436</v>
      </c>
      <c r="I1487" s="252">
        <v>100</v>
      </c>
      <c r="J1487" s="252">
        <v>16665</v>
      </c>
      <c r="K1487" s="612">
        <v>1666500</v>
      </c>
      <c r="L1487" s="194" t="s">
        <v>169</v>
      </c>
      <c r="M1487" s="613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3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745</v>
      </c>
      <c r="E1488" s="184">
        <v>41160</v>
      </c>
      <c r="F1488" s="189" t="s">
        <v>1338</v>
      </c>
      <c r="G1488" s="486" t="s">
        <v>847</v>
      </c>
      <c r="H1488" s="7" t="s">
        <v>436</v>
      </c>
      <c r="I1488" s="252">
        <v>1000</v>
      </c>
      <c r="J1488" s="252">
        <v>19979</v>
      </c>
      <c r="K1488" s="612">
        <v>19979000</v>
      </c>
      <c r="L1488" s="194" t="s">
        <v>169</v>
      </c>
      <c r="M1488" s="613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3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745</v>
      </c>
      <c r="E1489" s="184">
        <v>41160</v>
      </c>
      <c r="F1489" s="189" t="s">
        <v>1338</v>
      </c>
      <c r="G1489" s="189" t="s">
        <v>847</v>
      </c>
      <c r="H1489" s="7" t="s">
        <v>436</v>
      </c>
      <c r="I1489" s="252">
        <v>250</v>
      </c>
      <c r="J1489" s="252">
        <v>18628</v>
      </c>
      <c r="K1489" s="612">
        <v>4657000</v>
      </c>
      <c r="L1489" s="194" t="s">
        <v>169</v>
      </c>
      <c r="M1489" s="613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3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745</v>
      </c>
      <c r="E1490" s="184">
        <v>41160</v>
      </c>
      <c r="F1490" s="189" t="s">
        <v>541</v>
      </c>
      <c r="G1490" s="486" t="s">
        <v>847</v>
      </c>
      <c r="H1490" s="7" t="s">
        <v>436</v>
      </c>
      <c r="I1490" s="252"/>
      <c r="J1490" s="252"/>
      <c r="K1490" s="612">
        <v>2630250</v>
      </c>
      <c r="L1490" s="809" t="s">
        <v>9</v>
      </c>
      <c r="M1490" s="613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1659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2">
        <v>10000000</v>
      </c>
      <c r="L1491" s="809" t="s">
        <v>24</v>
      </c>
      <c r="M1491" s="809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6" t="s">
        <v>361</v>
      </c>
      <c r="H1492" s="7" t="s">
        <v>436</v>
      </c>
      <c r="I1492" s="252"/>
      <c r="J1492" s="252"/>
      <c r="K1492" s="612">
        <v>35000000</v>
      </c>
      <c r="L1492" s="613" t="s">
        <v>8</v>
      </c>
      <c r="M1492" s="809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2">
        <v>20000</v>
      </c>
      <c r="L1493" s="809" t="s">
        <v>84</v>
      </c>
      <c r="M1493" s="809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705</v>
      </c>
      <c r="G1494" s="189" t="s">
        <v>361</v>
      </c>
      <c r="H1494" s="193"/>
      <c r="I1494" s="252"/>
      <c r="J1494" s="252"/>
      <c r="K1494" s="612">
        <v>10000</v>
      </c>
      <c r="L1494" s="809" t="s">
        <v>84</v>
      </c>
      <c r="M1494" s="809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1590</v>
      </c>
      <c r="E1495" s="191">
        <v>41162</v>
      </c>
      <c r="F1495" s="192" t="s">
        <v>1122</v>
      </c>
      <c r="G1495" s="488" t="s">
        <v>1036</v>
      </c>
      <c r="H1495" s="193" t="s">
        <v>675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1590</v>
      </c>
      <c r="E1496" s="191">
        <v>41162</v>
      </c>
      <c r="F1496" s="192" t="s">
        <v>1121</v>
      </c>
      <c r="G1496" s="488" t="s">
        <v>1036</v>
      </c>
      <c r="H1496" s="193" t="s">
        <v>675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1590</v>
      </c>
      <c r="E1497" s="191">
        <v>41162</v>
      </c>
      <c r="F1497" s="192" t="s">
        <v>530</v>
      </c>
      <c r="G1497" s="488" t="s">
        <v>1036</v>
      </c>
      <c r="H1497" s="193" t="s">
        <v>675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1591</v>
      </c>
      <c r="E1498" s="191">
        <v>41162</v>
      </c>
      <c r="F1498" s="192" t="s">
        <v>1103</v>
      </c>
      <c r="G1498" s="488" t="s">
        <v>432</v>
      </c>
      <c r="H1498" s="193" t="s">
        <v>972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1591</v>
      </c>
      <c r="E1499" s="191">
        <v>41162</v>
      </c>
      <c r="F1499" s="811" t="s">
        <v>1104</v>
      </c>
      <c r="G1499" s="488" t="s">
        <v>432</v>
      </c>
      <c r="H1499" s="193" t="s">
        <v>972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1591</v>
      </c>
      <c r="E1500" s="191">
        <v>41162</v>
      </c>
      <c r="F1500" s="192" t="s">
        <v>1714</v>
      </c>
      <c r="G1500" s="488" t="s">
        <v>432</v>
      </c>
      <c r="H1500" s="193" t="s">
        <v>972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1591</v>
      </c>
      <c r="E1501" s="191">
        <v>41162</v>
      </c>
      <c r="F1501" s="192" t="s">
        <v>530</v>
      </c>
      <c r="G1501" s="488" t="s">
        <v>432</v>
      </c>
      <c r="H1501" s="193" t="s">
        <v>972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1627</v>
      </c>
      <c r="E1502" s="191">
        <v>41162</v>
      </c>
      <c r="F1502" s="192" t="s">
        <v>365</v>
      </c>
      <c r="G1502" s="488" t="s">
        <v>432</v>
      </c>
      <c r="H1502" s="193" t="s">
        <v>972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1592</v>
      </c>
      <c r="E1503" s="191">
        <v>41162</v>
      </c>
      <c r="F1503" s="192" t="s">
        <v>1037</v>
      </c>
      <c r="G1503" s="488" t="s">
        <v>1038</v>
      </c>
      <c r="H1503" s="193" t="s">
        <v>923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1592</v>
      </c>
      <c r="E1504" s="191">
        <v>41162</v>
      </c>
      <c r="F1504" s="192" t="s">
        <v>1204</v>
      </c>
      <c r="G1504" s="488" t="s">
        <v>1038</v>
      </c>
      <c r="H1504" s="193" t="s">
        <v>923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1592</v>
      </c>
      <c r="E1505" s="191">
        <v>41162</v>
      </c>
      <c r="F1505" s="192" t="s">
        <v>530</v>
      </c>
      <c r="G1505" s="488" t="s">
        <v>1038</v>
      </c>
      <c r="H1505" s="193" t="s">
        <v>923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1628</v>
      </c>
      <c r="E1506" s="191">
        <v>41162</v>
      </c>
      <c r="F1506" s="192" t="s">
        <v>365</v>
      </c>
      <c r="G1506" s="488" t="s">
        <v>1038</v>
      </c>
      <c r="H1506" s="193" t="s">
        <v>923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1593</v>
      </c>
      <c r="E1507" s="191">
        <v>41163</v>
      </c>
      <c r="F1507" s="192" t="s">
        <v>1204</v>
      </c>
      <c r="G1507" s="488" t="s">
        <v>1039</v>
      </c>
      <c r="H1507" s="193" t="s">
        <v>923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1593</v>
      </c>
      <c r="E1508" s="191">
        <v>41163</v>
      </c>
      <c r="F1508" s="192" t="s">
        <v>1205</v>
      </c>
      <c r="G1508" s="488" t="s">
        <v>1039</v>
      </c>
      <c r="H1508" s="193" t="s">
        <v>923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1593</v>
      </c>
      <c r="E1509" s="191">
        <v>41163</v>
      </c>
      <c r="F1509" s="192" t="s">
        <v>1206</v>
      </c>
      <c r="G1509" s="488" t="s">
        <v>1039</v>
      </c>
      <c r="H1509" s="193" t="s">
        <v>923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1593</v>
      </c>
      <c r="E1510" s="191">
        <v>41163</v>
      </c>
      <c r="F1510" s="192" t="s">
        <v>1197</v>
      </c>
      <c r="G1510" s="488" t="s">
        <v>1039</v>
      </c>
      <c r="H1510" s="193" t="s">
        <v>923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1593</v>
      </c>
      <c r="E1511" s="191">
        <v>41163</v>
      </c>
      <c r="F1511" s="192" t="s">
        <v>1203</v>
      </c>
      <c r="G1511" s="488" t="s">
        <v>1039</v>
      </c>
      <c r="H1511" s="193" t="s">
        <v>923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1593</v>
      </c>
      <c r="E1512" s="191">
        <v>41163</v>
      </c>
      <c r="F1512" s="192" t="s">
        <v>530</v>
      </c>
      <c r="G1512" s="488" t="s">
        <v>1039</v>
      </c>
      <c r="H1512" s="193" t="s">
        <v>923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1629</v>
      </c>
      <c r="E1513" s="191">
        <v>41163</v>
      </c>
      <c r="F1513" s="192" t="s">
        <v>365</v>
      </c>
      <c r="G1513" s="488" t="s">
        <v>1039</v>
      </c>
      <c r="H1513" s="193" t="s">
        <v>923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848</v>
      </c>
      <c r="I1514" s="252"/>
      <c r="J1514" s="252"/>
      <c r="K1514" s="612">
        <v>56071000</v>
      </c>
      <c r="L1514" s="809" t="s">
        <v>24</v>
      </c>
      <c r="M1514" s="809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1556</v>
      </c>
      <c r="G1515" s="189"/>
      <c r="H1515" s="193" t="s">
        <v>848</v>
      </c>
      <c r="I1515" s="252"/>
      <c r="J1515" s="252"/>
      <c r="K1515" s="612">
        <v>290</v>
      </c>
      <c r="L1515" s="809" t="s">
        <v>88</v>
      </c>
      <c r="M1515" s="809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6" t="s">
        <v>361</v>
      </c>
      <c r="H1516" s="7" t="s">
        <v>436</v>
      </c>
      <c r="I1516" s="252"/>
      <c r="J1516" s="252"/>
      <c r="K1516" s="612">
        <v>40000000</v>
      </c>
      <c r="L1516" s="613" t="s">
        <v>8</v>
      </c>
      <c r="M1516" s="809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2">
        <v>20000</v>
      </c>
      <c r="L1517" s="613" t="s">
        <v>84</v>
      </c>
      <c r="M1517" s="808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1660</v>
      </c>
      <c r="E1518" s="184">
        <v>41166</v>
      </c>
      <c r="F1518" s="189" t="s">
        <v>564</v>
      </c>
      <c r="G1518" s="486" t="s">
        <v>849</v>
      </c>
      <c r="H1518" s="193" t="s">
        <v>566</v>
      </c>
      <c r="I1518" s="252"/>
      <c r="J1518" s="252"/>
      <c r="K1518" s="612">
        <v>406427</v>
      </c>
      <c r="L1518" s="809" t="s">
        <v>84</v>
      </c>
      <c r="M1518" s="809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1660</v>
      </c>
      <c r="E1519" s="184">
        <v>41166</v>
      </c>
      <c r="F1519" s="189" t="s">
        <v>567</v>
      </c>
      <c r="G1519" s="189" t="s">
        <v>849</v>
      </c>
      <c r="H1519" s="193" t="s">
        <v>566</v>
      </c>
      <c r="I1519" s="252"/>
      <c r="J1519" s="252"/>
      <c r="K1519" s="612">
        <v>40643</v>
      </c>
      <c r="L1519" s="809" t="s">
        <v>9</v>
      </c>
      <c r="M1519" s="809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1661</v>
      </c>
      <c r="E1520" s="184">
        <v>41166</v>
      </c>
      <c r="F1520" s="189" t="s">
        <v>850</v>
      </c>
      <c r="G1520" s="486" t="s">
        <v>851</v>
      </c>
      <c r="H1520" s="193" t="s">
        <v>401</v>
      </c>
      <c r="I1520" s="252"/>
      <c r="J1520" s="252"/>
      <c r="K1520" s="612">
        <v>5240000</v>
      </c>
      <c r="L1520" s="809" t="s">
        <v>175</v>
      </c>
      <c r="M1520" s="809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1661</v>
      </c>
      <c r="E1521" s="184">
        <v>41166</v>
      </c>
      <c r="F1521" s="189" t="s">
        <v>372</v>
      </c>
      <c r="G1521" s="189" t="s">
        <v>851</v>
      </c>
      <c r="H1521" s="193" t="s">
        <v>401</v>
      </c>
      <c r="I1521" s="252"/>
      <c r="J1521" s="252"/>
      <c r="K1521" s="612">
        <v>524000</v>
      </c>
      <c r="L1521" s="809" t="s">
        <v>9</v>
      </c>
      <c r="M1521" s="809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6" t="s">
        <v>361</v>
      </c>
      <c r="H1522" s="193" t="s">
        <v>807</v>
      </c>
      <c r="I1522" s="252"/>
      <c r="J1522" s="252"/>
      <c r="K1522" s="612">
        <v>21260030</v>
      </c>
      <c r="L1522" s="809" t="s">
        <v>24</v>
      </c>
      <c r="M1522" s="809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1594</v>
      </c>
      <c r="E1523" s="191">
        <v>41169</v>
      </c>
      <c r="F1523" s="189" t="s">
        <v>1096</v>
      </c>
      <c r="G1523" s="488" t="s">
        <v>1040</v>
      </c>
      <c r="H1523" s="193" t="s">
        <v>933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1594</v>
      </c>
      <c r="E1524" s="191">
        <v>41169</v>
      </c>
      <c r="F1524" s="189" t="s">
        <v>1096</v>
      </c>
      <c r="G1524" s="488" t="s">
        <v>1040</v>
      </c>
      <c r="H1524" s="193" t="s">
        <v>933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1594</v>
      </c>
      <c r="E1525" s="191">
        <v>41169</v>
      </c>
      <c r="F1525" s="192" t="s">
        <v>530</v>
      </c>
      <c r="G1525" s="488" t="s">
        <v>1040</v>
      </c>
      <c r="H1525" s="193" t="s">
        <v>933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1630</v>
      </c>
      <c r="E1526" s="191">
        <v>41169</v>
      </c>
      <c r="F1526" s="192" t="s">
        <v>365</v>
      </c>
      <c r="G1526" s="488" t="s">
        <v>1040</v>
      </c>
      <c r="H1526" s="193" t="s">
        <v>933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1658</v>
      </c>
      <c r="E1527" s="184">
        <v>41170</v>
      </c>
      <c r="F1527" s="189" t="s">
        <v>396</v>
      </c>
      <c r="G1527" s="189" t="s">
        <v>361</v>
      </c>
      <c r="H1527" s="193" t="s">
        <v>659</v>
      </c>
      <c r="I1527" s="252"/>
      <c r="J1527" s="252"/>
      <c r="K1527" s="612">
        <v>20000000</v>
      </c>
      <c r="L1527" s="809" t="s">
        <v>24</v>
      </c>
      <c r="M1527" s="809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6" t="s">
        <v>361</v>
      </c>
      <c r="H1528" s="7" t="s">
        <v>436</v>
      </c>
      <c r="I1528" s="252"/>
      <c r="J1528" s="252"/>
      <c r="K1528" s="612">
        <v>30000000</v>
      </c>
      <c r="L1528" s="613" t="s">
        <v>8</v>
      </c>
      <c r="M1528" s="809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2">
        <v>20000</v>
      </c>
      <c r="L1529" s="809" t="s">
        <v>84</v>
      </c>
      <c r="M1529" s="809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1662</v>
      </c>
      <c r="E1530" s="184">
        <v>41173</v>
      </c>
      <c r="F1530" s="189" t="s">
        <v>396</v>
      </c>
      <c r="G1530" s="486" t="s">
        <v>361</v>
      </c>
      <c r="H1530" s="193" t="s">
        <v>659</v>
      </c>
      <c r="I1530" s="252"/>
      <c r="J1530" s="252"/>
      <c r="K1530" s="612">
        <v>17000000</v>
      </c>
      <c r="L1530" s="809" t="s">
        <v>24</v>
      </c>
      <c r="M1530" s="809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2">
        <v>10000000</v>
      </c>
      <c r="L1531" s="613" t="s">
        <v>8</v>
      </c>
      <c r="M1531" s="809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2">
        <v>20000</v>
      </c>
      <c r="L1532" s="809" t="s">
        <v>84</v>
      </c>
      <c r="M1532" s="809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2">
        <v>35000000</v>
      </c>
      <c r="L1533" s="613" t="s">
        <v>8</v>
      </c>
      <c r="M1533" s="809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6" t="s">
        <v>361</v>
      </c>
      <c r="H1534" s="193"/>
      <c r="I1534" s="252"/>
      <c r="J1534" s="252"/>
      <c r="K1534" s="612">
        <v>20000</v>
      </c>
      <c r="L1534" s="809" t="s">
        <v>84</v>
      </c>
      <c r="M1534" s="80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705</v>
      </c>
      <c r="G1535" s="189" t="s">
        <v>361</v>
      </c>
      <c r="H1535" s="193"/>
      <c r="I1535" s="252"/>
      <c r="J1535" s="252"/>
      <c r="K1535" s="612">
        <v>10000</v>
      </c>
      <c r="L1535" s="613" t="s">
        <v>84</v>
      </c>
      <c r="M1535" s="808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747</v>
      </c>
      <c r="E1536" s="184">
        <v>41173</v>
      </c>
      <c r="F1536" s="189" t="s">
        <v>1338</v>
      </c>
      <c r="G1536" s="486" t="s">
        <v>852</v>
      </c>
      <c r="H1536" s="7" t="s">
        <v>436</v>
      </c>
      <c r="I1536" s="252">
        <v>1485</v>
      </c>
      <c r="J1536" s="252">
        <v>19979</v>
      </c>
      <c r="K1536" s="612">
        <v>29668815</v>
      </c>
      <c r="L1536" s="194" t="s">
        <v>169</v>
      </c>
      <c r="M1536" s="613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3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747</v>
      </c>
      <c r="E1537" s="184">
        <v>41173</v>
      </c>
      <c r="F1537" s="189" t="s">
        <v>541</v>
      </c>
      <c r="G1537" s="189" t="s">
        <v>852</v>
      </c>
      <c r="H1537" s="7" t="s">
        <v>436</v>
      </c>
      <c r="I1537" s="252"/>
      <c r="J1537" s="252"/>
      <c r="K1537" s="612">
        <v>2966882</v>
      </c>
      <c r="L1537" s="809" t="s">
        <v>9</v>
      </c>
      <c r="M1537" s="613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6" t="s">
        <v>361</v>
      </c>
      <c r="H1538" s="193"/>
      <c r="I1538" s="252"/>
      <c r="J1538" s="252"/>
      <c r="K1538" s="612">
        <v>31990</v>
      </c>
      <c r="L1538" s="809" t="s">
        <v>24</v>
      </c>
      <c r="M1538" s="809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751</v>
      </c>
      <c r="E1539" s="184">
        <v>41179</v>
      </c>
      <c r="F1539" s="189" t="s">
        <v>1338</v>
      </c>
      <c r="G1539" s="189" t="s">
        <v>853</v>
      </c>
      <c r="H1539" s="7" t="s">
        <v>436</v>
      </c>
      <c r="I1539" s="252">
        <v>1000</v>
      </c>
      <c r="J1539" s="252">
        <v>19979</v>
      </c>
      <c r="K1539" s="612">
        <v>19979000</v>
      </c>
      <c r="L1539" s="194" t="s">
        <v>169</v>
      </c>
      <c r="M1539" s="613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3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751</v>
      </c>
      <c r="E1540" s="184">
        <v>41179</v>
      </c>
      <c r="F1540" s="189" t="s">
        <v>541</v>
      </c>
      <c r="G1540" s="486" t="s">
        <v>853</v>
      </c>
      <c r="H1540" s="7" t="s">
        <v>436</v>
      </c>
      <c r="I1540" s="252"/>
      <c r="J1540" s="252"/>
      <c r="K1540" s="612">
        <v>1997900</v>
      </c>
      <c r="L1540" s="809" t="s">
        <v>9</v>
      </c>
      <c r="M1540" s="613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1665</v>
      </c>
      <c r="E1541" s="184">
        <v>41180</v>
      </c>
      <c r="F1541" s="189" t="s">
        <v>396</v>
      </c>
      <c r="G1541" s="189" t="s">
        <v>361</v>
      </c>
      <c r="H1541" s="193" t="s">
        <v>659</v>
      </c>
      <c r="I1541" s="252"/>
      <c r="J1541" s="252"/>
      <c r="K1541" s="612">
        <v>20000000</v>
      </c>
      <c r="L1541" s="809" t="s">
        <v>24</v>
      </c>
      <c r="M1541" s="809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6" t="s">
        <v>361</v>
      </c>
      <c r="H1542" s="7" t="s">
        <v>436</v>
      </c>
      <c r="I1542" s="252"/>
      <c r="J1542" s="252"/>
      <c r="K1542" s="612">
        <v>20000000</v>
      </c>
      <c r="L1542" s="613" t="s">
        <v>8</v>
      </c>
      <c r="M1542" s="809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2">
        <v>20000</v>
      </c>
      <c r="L1543" s="809" t="s">
        <v>84</v>
      </c>
      <c r="M1543" s="809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705</v>
      </c>
      <c r="G1544" s="486" t="s">
        <v>361</v>
      </c>
      <c r="H1544" s="193"/>
      <c r="I1544" s="252"/>
      <c r="J1544" s="252"/>
      <c r="K1544" s="612">
        <v>10000</v>
      </c>
      <c r="L1544" s="809" t="s">
        <v>84</v>
      </c>
      <c r="M1544" s="809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09">
        <f t="shared" ref="C1545:C1550" si="90">E1545</f>
        <v>41182</v>
      </c>
      <c r="D1545" s="709" t="s">
        <v>367</v>
      </c>
      <c r="E1545" s="786">
        <v>41182</v>
      </c>
      <c r="F1545" s="710" t="s">
        <v>1559</v>
      </c>
      <c r="G1545" s="711"/>
      <c r="H1545" s="626"/>
      <c r="I1545" s="485"/>
      <c r="J1545" s="485"/>
      <c r="K1545" s="712">
        <v>9325000</v>
      </c>
      <c r="L1545" s="713" t="s">
        <v>84</v>
      </c>
      <c r="M1545" s="713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3"/>
      <c r="AC1545" s="603"/>
      <c r="AD1545" s="603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09">
        <f t="shared" si="90"/>
        <v>41182</v>
      </c>
      <c r="D1546" s="709" t="s">
        <v>367</v>
      </c>
      <c r="E1546" s="786">
        <v>41182</v>
      </c>
      <c r="F1546" s="710" t="s">
        <v>511</v>
      </c>
      <c r="G1546" s="711"/>
      <c r="H1546" s="626"/>
      <c r="I1546" s="485"/>
      <c r="J1546" s="485"/>
      <c r="K1546" s="712">
        <v>13450000</v>
      </c>
      <c r="L1546" s="713" t="s">
        <v>175</v>
      </c>
      <c r="M1546" s="713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3"/>
      <c r="AC1546" s="603"/>
      <c r="AD1546" s="603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09">
        <f t="shared" si="90"/>
        <v>41182</v>
      </c>
      <c r="D1547" s="709" t="s">
        <v>1666</v>
      </c>
      <c r="E1547" s="786">
        <v>41182</v>
      </c>
      <c r="F1547" s="710" t="str">
        <f>"Thanh toán tiền lương tháng "&amp;MONTH(E1547)&amp;"/"&amp;YEAR(E1547)</f>
        <v>Thanh toán tiền lương tháng 9/2012</v>
      </c>
      <c r="G1547" s="711"/>
      <c r="H1547" s="45" t="s">
        <v>659</v>
      </c>
      <c r="I1547" s="485"/>
      <c r="J1547" s="485"/>
      <c r="K1547" s="712">
        <f>K1545+K1546</f>
        <v>22775000</v>
      </c>
      <c r="L1547" s="713" t="s">
        <v>287</v>
      </c>
      <c r="M1547" s="713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3"/>
      <c r="AC1547" s="603"/>
      <c r="AD1547" s="603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09">
        <f t="shared" si="90"/>
        <v>41183</v>
      </c>
      <c r="D1548" s="709" t="s">
        <v>367</v>
      </c>
      <c r="E1548" s="786">
        <v>41183</v>
      </c>
      <c r="F1548" s="710" t="s">
        <v>509</v>
      </c>
      <c r="G1548" s="711"/>
      <c r="H1548" s="626"/>
      <c r="I1548" s="485"/>
      <c r="J1548" s="485"/>
      <c r="K1548" s="712">
        <v>18250000</v>
      </c>
      <c r="L1548" s="713" t="s">
        <v>175</v>
      </c>
      <c r="M1548" s="713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3"/>
      <c r="AB1548" s="603"/>
      <c r="AC1548" s="603"/>
      <c r="AD1548" s="603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1560</v>
      </c>
      <c r="E1549" s="191">
        <v>41183</v>
      </c>
      <c r="F1549" s="189" t="s">
        <v>1120</v>
      </c>
      <c r="G1549" s="488" t="s">
        <v>1041</v>
      </c>
      <c r="H1549" s="193" t="s">
        <v>885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1560</v>
      </c>
      <c r="E1550" s="191">
        <v>41183</v>
      </c>
      <c r="F1550" s="192" t="s">
        <v>530</v>
      </c>
      <c r="G1550" s="488" t="s">
        <v>1041</v>
      </c>
      <c r="H1550" s="193" t="s">
        <v>885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659</v>
      </c>
      <c r="I1551" s="252"/>
      <c r="J1551" s="252"/>
      <c r="K1551" s="612">
        <v>5000000</v>
      </c>
      <c r="L1551" s="809" t="s">
        <v>24</v>
      </c>
      <c r="M1551" s="809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65" t="s">
        <v>361</v>
      </c>
      <c r="H1552" s="7" t="s">
        <v>436</v>
      </c>
      <c r="I1552" s="252"/>
      <c r="J1552" s="810"/>
      <c r="K1552" s="38">
        <v>5000000</v>
      </c>
      <c r="L1552" s="613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705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1338</v>
      </c>
      <c r="G1555" s="192" t="s">
        <v>854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3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3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541</v>
      </c>
      <c r="G1556" s="192" t="s">
        <v>854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3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88" t="s">
        <v>361</v>
      </c>
      <c r="H1558" s="193" t="s">
        <v>659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88" t="s">
        <v>361</v>
      </c>
      <c r="H1559" s="193" t="s">
        <v>675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88" t="s">
        <v>361</v>
      </c>
      <c r="H1560" s="7" t="s">
        <v>436</v>
      </c>
      <c r="I1560" s="252"/>
      <c r="J1560" s="252"/>
      <c r="K1560" s="38">
        <v>50000000</v>
      </c>
      <c r="L1560" s="613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88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88" t="s">
        <v>361</v>
      </c>
      <c r="H1562" s="7" t="s">
        <v>436</v>
      </c>
      <c r="I1562" s="252"/>
      <c r="J1562" s="252"/>
      <c r="K1562" s="38">
        <v>10000000</v>
      </c>
      <c r="L1562" s="613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88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705</v>
      </c>
      <c r="G1564" s="488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1561</v>
      </c>
      <c r="E1565" s="191">
        <v>41194</v>
      </c>
      <c r="F1565" s="192" t="s">
        <v>1107</v>
      </c>
      <c r="G1565" s="488" t="s">
        <v>433</v>
      </c>
      <c r="H1565" s="193" t="s">
        <v>933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1561</v>
      </c>
      <c r="E1566" s="191">
        <v>41194</v>
      </c>
      <c r="F1566" s="189" t="s">
        <v>1096</v>
      </c>
      <c r="G1566" s="488" t="s">
        <v>433</v>
      </c>
      <c r="H1566" s="193" t="s">
        <v>933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1561</v>
      </c>
      <c r="E1567" s="191">
        <v>41194</v>
      </c>
      <c r="F1567" s="192" t="s">
        <v>530</v>
      </c>
      <c r="G1567" s="488" t="s">
        <v>433</v>
      </c>
      <c r="H1567" s="193" t="s">
        <v>933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88" t="s">
        <v>433</v>
      </c>
      <c r="H1568" s="193" t="s">
        <v>933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1562</v>
      </c>
      <c r="E1569" s="191">
        <v>41194</v>
      </c>
      <c r="F1569" s="192" t="s">
        <v>1118</v>
      </c>
      <c r="G1569" s="488" t="s">
        <v>597</v>
      </c>
      <c r="H1569" s="45" t="s">
        <v>866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1562</v>
      </c>
      <c r="E1570" s="191">
        <v>41194</v>
      </c>
      <c r="F1570" s="192" t="s">
        <v>1117</v>
      </c>
      <c r="G1570" s="488" t="s">
        <v>597</v>
      </c>
      <c r="H1570" s="45" t="s">
        <v>866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1562</v>
      </c>
      <c r="E1571" s="191">
        <v>41194</v>
      </c>
      <c r="F1571" s="192" t="s">
        <v>1119</v>
      </c>
      <c r="G1571" s="488" t="s">
        <v>597</v>
      </c>
      <c r="H1571" s="45" t="s">
        <v>866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1562</v>
      </c>
      <c r="E1572" s="191">
        <v>41194</v>
      </c>
      <c r="F1572" s="192" t="s">
        <v>530</v>
      </c>
      <c r="G1572" s="488" t="s">
        <v>597</v>
      </c>
      <c r="H1572" s="45" t="s">
        <v>866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1563</v>
      </c>
      <c r="E1573" s="191">
        <v>41195</v>
      </c>
      <c r="F1573" s="192" t="s">
        <v>1118</v>
      </c>
      <c r="G1573" s="488" t="s">
        <v>1042</v>
      </c>
      <c r="H1573" s="45" t="s">
        <v>866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1563</v>
      </c>
      <c r="E1574" s="191">
        <v>41195</v>
      </c>
      <c r="F1574" s="192" t="s">
        <v>1117</v>
      </c>
      <c r="G1574" s="488" t="s">
        <v>1042</v>
      </c>
      <c r="H1574" s="45" t="s">
        <v>866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1563</v>
      </c>
      <c r="E1575" s="191">
        <v>41195</v>
      </c>
      <c r="F1575" s="192" t="s">
        <v>1116</v>
      </c>
      <c r="G1575" s="488" t="s">
        <v>1042</v>
      </c>
      <c r="H1575" s="45" t="s">
        <v>866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1563</v>
      </c>
      <c r="E1576" s="191">
        <v>41195</v>
      </c>
      <c r="F1576" s="192" t="s">
        <v>530</v>
      </c>
      <c r="G1576" s="488" t="s">
        <v>1042</v>
      </c>
      <c r="H1576" s="45" t="s">
        <v>866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534</v>
      </c>
      <c r="G1577" s="192" t="s">
        <v>361</v>
      </c>
      <c r="H1577" s="193" t="s">
        <v>659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855</v>
      </c>
      <c r="G1578" s="488" t="s">
        <v>856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88" t="s">
        <v>856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1338</v>
      </c>
      <c r="G1580" s="488" t="s">
        <v>857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3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3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1338</v>
      </c>
      <c r="G1581" s="488" t="s">
        <v>857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3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3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541</v>
      </c>
      <c r="G1582" s="488" t="s">
        <v>857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3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1564</v>
      </c>
      <c r="E1583" s="191">
        <v>41198</v>
      </c>
      <c r="F1583" s="192" t="s">
        <v>1115</v>
      </c>
      <c r="G1583" s="488" t="s">
        <v>434</v>
      </c>
      <c r="H1583" s="193" t="s">
        <v>933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1564</v>
      </c>
      <c r="E1584" s="191">
        <v>41198</v>
      </c>
      <c r="F1584" s="192" t="s">
        <v>530</v>
      </c>
      <c r="G1584" s="488" t="s">
        <v>434</v>
      </c>
      <c r="H1584" s="193" t="s">
        <v>933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88" t="s">
        <v>434</v>
      </c>
      <c r="H1585" s="193" t="s">
        <v>933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88" t="s">
        <v>361</v>
      </c>
      <c r="H1586" s="193" t="s">
        <v>659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88" t="s">
        <v>361</v>
      </c>
      <c r="H1587" s="7" t="s">
        <v>436</v>
      </c>
      <c r="I1587" s="252"/>
      <c r="J1587" s="252"/>
      <c r="K1587" s="38">
        <v>50000000</v>
      </c>
      <c r="L1587" s="613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88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88" t="s">
        <v>361</v>
      </c>
      <c r="H1589" s="7" t="s">
        <v>436</v>
      </c>
      <c r="I1589" s="252"/>
      <c r="J1589" s="252"/>
      <c r="K1589" s="38">
        <v>5000000</v>
      </c>
      <c r="L1589" s="613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88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705</v>
      </c>
      <c r="G1591" s="488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1565</v>
      </c>
      <c r="E1592" s="191">
        <v>41199</v>
      </c>
      <c r="F1592" s="192" t="s">
        <v>1107</v>
      </c>
      <c r="G1592" s="488" t="s">
        <v>1043</v>
      </c>
      <c r="H1592" s="193" t="s">
        <v>933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1565</v>
      </c>
      <c r="E1593" s="191">
        <v>41199</v>
      </c>
      <c r="F1593" s="189" t="s">
        <v>1096</v>
      </c>
      <c r="G1593" s="488" t="s">
        <v>1043</v>
      </c>
      <c r="H1593" s="193" t="s">
        <v>933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1565</v>
      </c>
      <c r="E1594" s="191">
        <v>41199</v>
      </c>
      <c r="F1594" s="192" t="s">
        <v>530</v>
      </c>
      <c r="G1594" s="488" t="s">
        <v>1043</v>
      </c>
      <c r="H1594" s="193" t="s">
        <v>933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517</v>
      </c>
      <c r="E1595" s="191">
        <v>41199</v>
      </c>
      <c r="F1595" s="192" t="s">
        <v>365</v>
      </c>
      <c r="G1595" s="488" t="s">
        <v>1043</v>
      </c>
      <c r="H1595" s="193" t="s">
        <v>933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1566</v>
      </c>
      <c r="E1596" s="191">
        <v>41199</v>
      </c>
      <c r="F1596" s="189" t="s">
        <v>1044</v>
      </c>
      <c r="G1596" s="488" t="s">
        <v>435</v>
      </c>
      <c r="H1596" s="193" t="s">
        <v>923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1566</v>
      </c>
      <c r="E1597" s="191">
        <v>41199</v>
      </c>
      <c r="F1597" s="192" t="s">
        <v>1045</v>
      </c>
      <c r="G1597" s="488" t="s">
        <v>435</v>
      </c>
      <c r="H1597" s="193" t="s">
        <v>923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1566</v>
      </c>
      <c r="E1598" s="191">
        <v>41199</v>
      </c>
      <c r="F1598" s="192" t="s">
        <v>530</v>
      </c>
      <c r="G1598" s="488" t="s">
        <v>435</v>
      </c>
      <c r="H1598" s="193" t="s">
        <v>923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522</v>
      </c>
      <c r="E1599" s="191">
        <v>41199</v>
      </c>
      <c r="F1599" s="192" t="s">
        <v>365</v>
      </c>
      <c r="G1599" s="488" t="s">
        <v>435</v>
      </c>
      <c r="H1599" s="193" t="s">
        <v>923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1567</v>
      </c>
      <c r="E1600" s="191">
        <v>41201</v>
      </c>
      <c r="F1600" s="192" t="s">
        <v>1114</v>
      </c>
      <c r="G1600" s="488" t="s">
        <v>1046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1567</v>
      </c>
      <c r="E1601" s="191">
        <v>41201</v>
      </c>
      <c r="F1601" s="192" t="s">
        <v>530</v>
      </c>
      <c r="G1601" s="488" t="s">
        <v>1046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1568</v>
      </c>
      <c r="E1602" s="191">
        <v>41201</v>
      </c>
      <c r="F1602" s="192" t="s">
        <v>1113</v>
      </c>
      <c r="G1602" s="488" t="s">
        <v>1047</v>
      </c>
      <c r="H1602" s="193" t="s">
        <v>990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1568</v>
      </c>
      <c r="E1603" s="191">
        <v>41201</v>
      </c>
      <c r="F1603" s="192" t="s">
        <v>530</v>
      </c>
      <c r="G1603" s="488" t="s">
        <v>1047</v>
      </c>
      <c r="H1603" s="193" t="s">
        <v>990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521</v>
      </c>
      <c r="E1604" s="191">
        <v>41201</v>
      </c>
      <c r="F1604" s="192" t="s">
        <v>365</v>
      </c>
      <c r="G1604" s="488" t="s">
        <v>1047</v>
      </c>
      <c r="H1604" s="193" t="s">
        <v>990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88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11" t="s">
        <v>1442</v>
      </c>
      <c r="G1606" s="488" t="s">
        <v>858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3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3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11" t="s">
        <v>1338</v>
      </c>
      <c r="G1607" s="488" t="s">
        <v>858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3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3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11" t="s">
        <v>541</v>
      </c>
      <c r="G1608" s="488" t="s">
        <v>858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3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11" t="s">
        <v>664</v>
      </c>
      <c r="G1609" s="488" t="s">
        <v>859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11" t="s">
        <v>372</v>
      </c>
      <c r="G1610" s="488" t="s">
        <v>859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11" t="s">
        <v>1443</v>
      </c>
      <c r="G1611" s="488" t="s">
        <v>860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3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3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1269</v>
      </c>
      <c r="G1612" s="488" t="s">
        <v>860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3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3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1339</v>
      </c>
      <c r="G1613" s="488" t="s">
        <v>860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3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3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541</v>
      </c>
      <c r="G1614" s="488" t="s">
        <v>860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3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88" t="s">
        <v>860</v>
      </c>
      <c r="H1615" s="7" t="s">
        <v>436</v>
      </c>
      <c r="I1615" s="252"/>
      <c r="J1615" s="252"/>
      <c r="K1615" s="38">
        <v>11426646</v>
      </c>
      <c r="L1615" s="613" t="s">
        <v>8</v>
      </c>
      <c r="M1615" s="613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1569</v>
      </c>
      <c r="E1616" s="191">
        <v>41205</v>
      </c>
      <c r="F1616" s="192" t="s">
        <v>1100</v>
      </c>
      <c r="G1616" s="488" t="s">
        <v>1048</v>
      </c>
      <c r="H1616" s="193" t="s">
        <v>861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1569</v>
      </c>
      <c r="E1617" s="191">
        <v>41205</v>
      </c>
      <c r="F1617" s="192" t="s">
        <v>530</v>
      </c>
      <c r="G1617" s="488" t="s">
        <v>1048</v>
      </c>
      <c r="H1617" s="193" t="s">
        <v>861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1570</v>
      </c>
      <c r="E1618" s="191">
        <v>41205</v>
      </c>
      <c r="F1618" s="192" t="s">
        <v>1112</v>
      </c>
      <c r="G1618" s="488" t="s">
        <v>1049</v>
      </c>
      <c r="H1618" s="7" t="s">
        <v>607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1570</v>
      </c>
      <c r="E1619" s="191">
        <v>41205</v>
      </c>
      <c r="F1619" s="192" t="s">
        <v>1111</v>
      </c>
      <c r="G1619" s="488" t="s">
        <v>1049</v>
      </c>
      <c r="H1619" s="7" t="s">
        <v>607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1570</v>
      </c>
      <c r="E1620" s="191">
        <v>41205</v>
      </c>
      <c r="F1620" s="192" t="s">
        <v>1110</v>
      </c>
      <c r="G1620" s="488" t="s">
        <v>1049</v>
      </c>
      <c r="H1620" s="7" t="s">
        <v>607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1570</v>
      </c>
      <c r="E1621" s="191">
        <v>41205</v>
      </c>
      <c r="F1621" s="192" t="s">
        <v>1092</v>
      </c>
      <c r="G1621" s="488" t="s">
        <v>1049</v>
      </c>
      <c r="H1621" s="7" t="s">
        <v>607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1570</v>
      </c>
      <c r="E1622" s="191">
        <v>41205</v>
      </c>
      <c r="F1622" s="192" t="s">
        <v>530</v>
      </c>
      <c r="G1622" s="488" t="s">
        <v>1049</v>
      </c>
      <c r="H1622" s="7" t="s">
        <v>607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88" t="s">
        <v>361</v>
      </c>
      <c r="H1623" s="193" t="s">
        <v>659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88" t="s">
        <v>361</v>
      </c>
      <c r="H1624" s="7" t="s">
        <v>861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88" t="s">
        <v>361</v>
      </c>
      <c r="H1625" s="7" t="s">
        <v>436</v>
      </c>
      <c r="I1625" s="252"/>
      <c r="J1625" s="252"/>
      <c r="K1625" s="38">
        <v>50000000</v>
      </c>
      <c r="L1625" s="613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88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705</v>
      </c>
      <c r="G1627" s="488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1269</v>
      </c>
      <c r="G1628" s="488" t="s">
        <v>862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3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3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541</v>
      </c>
      <c r="G1629" s="488" t="s">
        <v>862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3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88" t="s">
        <v>862</v>
      </c>
      <c r="H1630" s="7" t="s">
        <v>436</v>
      </c>
      <c r="I1630" s="252"/>
      <c r="J1630" s="252"/>
      <c r="K1630" s="38">
        <v>5048175</v>
      </c>
      <c r="L1630" s="613" t="s">
        <v>8</v>
      </c>
      <c r="M1630" s="613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863</v>
      </c>
      <c r="G1632" s="192" t="s">
        <v>864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864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1571</v>
      </c>
      <c r="E1635" s="191">
        <v>41208</v>
      </c>
      <c r="F1635" s="192" t="s">
        <v>1092</v>
      </c>
      <c r="G1635" s="488" t="s">
        <v>1050</v>
      </c>
      <c r="H1635" s="7" t="s">
        <v>607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1571</v>
      </c>
      <c r="E1636" s="191">
        <v>41208</v>
      </c>
      <c r="F1636" s="192" t="s">
        <v>1093</v>
      </c>
      <c r="G1636" s="488" t="s">
        <v>1050</v>
      </c>
      <c r="H1636" s="7" t="s">
        <v>607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1571</v>
      </c>
      <c r="E1637" s="191">
        <v>41208</v>
      </c>
      <c r="F1637" s="192" t="s">
        <v>1109</v>
      </c>
      <c r="G1637" s="488" t="s">
        <v>1050</v>
      </c>
      <c r="H1637" s="7" t="s">
        <v>607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1571</v>
      </c>
      <c r="E1638" s="191">
        <v>41208</v>
      </c>
      <c r="F1638" s="192" t="s">
        <v>1108</v>
      </c>
      <c r="G1638" s="488" t="s">
        <v>1050</v>
      </c>
      <c r="H1638" s="7" t="s">
        <v>607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1571</v>
      </c>
      <c r="E1639" s="191">
        <v>41208</v>
      </c>
      <c r="F1639" s="192" t="s">
        <v>530</v>
      </c>
      <c r="G1639" s="488" t="s">
        <v>1050</v>
      </c>
      <c r="H1639" s="7" t="s">
        <v>607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659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3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88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88" t="s">
        <v>361</v>
      </c>
      <c r="H1643" s="193" t="s">
        <v>659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88" t="s">
        <v>361</v>
      </c>
      <c r="H1644" s="7" t="s">
        <v>436</v>
      </c>
      <c r="I1644" s="252"/>
      <c r="J1644" s="252"/>
      <c r="K1644" s="38">
        <v>50000000</v>
      </c>
      <c r="L1644" s="613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88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705</v>
      </c>
      <c r="G1646" s="488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09">
        <f>E1647</f>
        <v>41213</v>
      </c>
      <c r="D1647" s="709" t="s">
        <v>367</v>
      </c>
      <c r="E1647" s="786">
        <v>41213</v>
      </c>
      <c r="F1647" s="710" t="s">
        <v>1559</v>
      </c>
      <c r="G1647" s="711"/>
      <c r="H1647" s="626"/>
      <c r="I1647" s="485"/>
      <c r="J1647" s="485"/>
      <c r="K1647" s="712">
        <v>9325000</v>
      </c>
      <c r="L1647" s="713" t="s">
        <v>84</v>
      </c>
      <c r="M1647" s="713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3"/>
      <c r="AC1647" s="603"/>
      <c r="AD1647" s="603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09">
        <f>E1648</f>
        <v>41213</v>
      </c>
      <c r="D1648" s="709" t="s">
        <v>367</v>
      </c>
      <c r="E1648" s="786">
        <v>41213</v>
      </c>
      <c r="F1648" s="710" t="s">
        <v>511</v>
      </c>
      <c r="G1648" s="711"/>
      <c r="H1648" s="626"/>
      <c r="I1648" s="485"/>
      <c r="J1648" s="485"/>
      <c r="K1648" s="712">
        <v>13450000</v>
      </c>
      <c r="L1648" s="713" t="s">
        <v>175</v>
      </c>
      <c r="M1648" s="713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3"/>
      <c r="AC1648" s="603"/>
      <c r="AD1648" s="603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09">
        <f>E1649</f>
        <v>41213</v>
      </c>
      <c r="D1649" s="709" t="s">
        <v>439</v>
      </c>
      <c r="E1649" s="786">
        <v>41213</v>
      </c>
      <c r="F1649" s="710" t="str">
        <f>"Thanh toán tiền lương tháng "&amp;MONTH(E1649)&amp;"/"&amp;YEAR(E1649)</f>
        <v>Thanh toán tiền lương tháng 10/2012</v>
      </c>
      <c r="G1649" s="711"/>
      <c r="H1649" s="45" t="s">
        <v>659</v>
      </c>
      <c r="I1649" s="485"/>
      <c r="J1649" s="485"/>
      <c r="K1649" s="712">
        <f>K1647+K1648</f>
        <v>22775000</v>
      </c>
      <c r="L1649" s="713" t="s">
        <v>287</v>
      </c>
      <c r="M1649" s="713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3"/>
      <c r="AC1649" s="603"/>
      <c r="AD1649" s="603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1338</v>
      </c>
      <c r="G1650" s="488" t="s">
        <v>865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3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3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541</v>
      </c>
      <c r="G1651" s="488" t="s">
        <v>865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3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88" t="s">
        <v>865</v>
      </c>
      <c r="H1652" s="7" t="s">
        <v>436</v>
      </c>
      <c r="I1652" s="252"/>
      <c r="J1652" s="252"/>
      <c r="K1652" s="38">
        <v>4098160</v>
      </c>
      <c r="L1652" s="613" t="s">
        <v>8</v>
      </c>
      <c r="M1652" s="613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1572</v>
      </c>
      <c r="E1653" s="191">
        <v>41213</v>
      </c>
      <c r="F1653" s="189" t="s">
        <v>1096</v>
      </c>
      <c r="G1653" s="488" t="s">
        <v>1051</v>
      </c>
      <c r="H1653" s="193" t="s">
        <v>933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1572</v>
      </c>
      <c r="E1654" s="191">
        <v>41213</v>
      </c>
      <c r="F1654" s="192" t="s">
        <v>1107</v>
      </c>
      <c r="G1654" s="488" t="s">
        <v>1051</v>
      </c>
      <c r="H1654" s="193" t="s">
        <v>933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1572</v>
      </c>
      <c r="E1655" s="191">
        <v>41213</v>
      </c>
      <c r="F1655" s="192" t="s">
        <v>530</v>
      </c>
      <c r="G1655" s="488" t="s">
        <v>1051</v>
      </c>
      <c r="H1655" s="193" t="s">
        <v>933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1615</v>
      </c>
      <c r="E1656" s="191">
        <v>41213</v>
      </c>
      <c r="F1656" s="192" t="s">
        <v>365</v>
      </c>
      <c r="G1656" s="488" t="s">
        <v>1051</v>
      </c>
      <c r="H1656" s="193" t="s">
        <v>933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1573</v>
      </c>
      <c r="E1657" s="191">
        <v>41213</v>
      </c>
      <c r="F1657" s="192" t="s">
        <v>1052</v>
      </c>
      <c r="G1657" s="488" t="s">
        <v>1053</v>
      </c>
      <c r="H1657" s="193" t="s">
        <v>1054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1573</v>
      </c>
      <c r="E1658" s="191">
        <v>41213</v>
      </c>
      <c r="F1658" s="192" t="s">
        <v>1055</v>
      </c>
      <c r="G1658" s="488" t="s">
        <v>1053</v>
      </c>
      <c r="H1658" s="193" t="s">
        <v>1054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1573</v>
      </c>
      <c r="E1659" s="191">
        <v>41213</v>
      </c>
      <c r="F1659" s="192" t="s">
        <v>1056</v>
      </c>
      <c r="G1659" s="488" t="s">
        <v>1053</v>
      </c>
      <c r="H1659" s="193" t="s">
        <v>1054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1573</v>
      </c>
      <c r="E1660" s="191">
        <v>41213</v>
      </c>
      <c r="F1660" s="192" t="s">
        <v>1057</v>
      </c>
      <c r="G1660" s="488" t="s">
        <v>1053</v>
      </c>
      <c r="H1660" s="193" t="s">
        <v>1054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1573</v>
      </c>
      <c r="E1661" s="191">
        <v>41213</v>
      </c>
      <c r="F1661" s="192" t="s">
        <v>1058</v>
      </c>
      <c r="G1661" s="488" t="s">
        <v>1053</v>
      </c>
      <c r="H1661" s="193" t="s">
        <v>1054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1573</v>
      </c>
      <c r="E1662" s="191">
        <v>41213</v>
      </c>
      <c r="F1662" s="192" t="s">
        <v>1059</v>
      </c>
      <c r="G1662" s="488" t="s">
        <v>1053</v>
      </c>
      <c r="H1662" s="193" t="s">
        <v>1054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1573</v>
      </c>
      <c r="E1663" s="191">
        <v>41213</v>
      </c>
      <c r="F1663" s="192" t="s">
        <v>530</v>
      </c>
      <c r="G1663" s="488" t="s">
        <v>1053</v>
      </c>
      <c r="H1663" s="193" t="s">
        <v>1054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1616</v>
      </c>
      <c r="E1664" s="191">
        <v>41213</v>
      </c>
      <c r="F1664" s="192" t="s">
        <v>365</v>
      </c>
      <c r="G1664" s="488" t="s">
        <v>1053</v>
      </c>
      <c r="H1664" s="193" t="s">
        <v>1054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88" t="s">
        <v>361</v>
      </c>
      <c r="H1665" s="193" t="s">
        <v>659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88" t="s">
        <v>361</v>
      </c>
      <c r="H1666" s="7" t="s">
        <v>436</v>
      </c>
      <c r="I1666" s="252"/>
      <c r="J1666" s="252"/>
      <c r="K1666" s="38">
        <v>5000000</v>
      </c>
      <c r="L1666" s="613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88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88" t="s">
        <v>361</v>
      </c>
      <c r="H1668" s="7" t="s">
        <v>436</v>
      </c>
      <c r="I1668" s="252"/>
      <c r="J1668" s="252"/>
      <c r="K1668" s="38">
        <v>60000000</v>
      </c>
      <c r="L1668" s="613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88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705</v>
      </c>
      <c r="G1670" s="488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607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866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1617</v>
      </c>
      <c r="E1673" s="191">
        <v>41222</v>
      </c>
      <c r="F1673" s="192" t="s">
        <v>534</v>
      </c>
      <c r="G1673" s="192" t="s">
        <v>361</v>
      </c>
      <c r="H1673" s="193" t="s">
        <v>659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1618</v>
      </c>
      <c r="E1674" s="191">
        <v>41222</v>
      </c>
      <c r="F1674" s="192" t="s">
        <v>534</v>
      </c>
      <c r="G1674" s="192" t="s">
        <v>361</v>
      </c>
      <c r="H1674" s="193" t="s">
        <v>659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867</v>
      </c>
      <c r="G1675" s="192" t="s">
        <v>868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868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1574</v>
      </c>
      <c r="E1677" s="191">
        <v>41226</v>
      </c>
      <c r="F1677" s="192" t="s">
        <v>1093</v>
      </c>
      <c r="G1677" s="488" t="s">
        <v>1060</v>
      </c>
      <c r="H1677" s="7" t="s">
        <v>607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1574</v>
      </c>
      <c r="E1678" s="191">
        <v>41226</v>
      </c>
      <c r="F1678" s="192" t="s">
        <v>1106</v>
      </c>
      <c r="G1678" s="488" t="s">
        <v>1060</v>
      </c>
      <c r="H1678" s="7" t="s">
        <v>607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1574</v>
      </c>
      <c r="E1679" s="191">
        <v>41226</v>
      </c>
      <c r="F1679" s="192" t="s">
        <v>1092</v>
      </c>
      <c r="G1679" s="488" t="s">
        <v>1060</v>
      </c>
      <c r="H1679" s="7" t="s">
        <v>607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1574</v>
      </c>
      <c r="E1680" s="191">
        <v>41226</v>
      </c>
      <c r="F1680" s="192" t="s">
        <v>530</v>
      </c>
      <c r="G1680" s="488" t="s">
        <v>1060</v>
      </c>
      <c r="H1680" s="7" t="s">
        <v>607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1575</v>
      </c>
      <c r="E1681" s="191">
        <v>41228</v>
      </c>
      <c r="F1681" s="189" t="s">
        <v>1096</v>
      </c>
      <c r="G1681" s="488" t="s">
        <v>1061</v>
      </c>
      <c r="H1681" s="193" t="s">
        <v>933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1575</v>
      </c>
      <c r="E1682" s="191">
        <v>41228</v>
      </c>
      <c r="F1682" s="192" t="s">
        <v>1105</v>
      </c>
      <c r="G1682" s="488" t="s">
        <v>1061</v>
      </c>
      <c r="H1682" s="193" t="s">
        <v>933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1575</v>
      </c>
      <c r="E1683" s="191">
        <v>41228</v>
      </c>
      <c r="F1683" s="192" t="s">
        <v>530</v>
      </c>
      <c r="G1683" s="488" t="s">
        <v>1061</v>
      </c>
      <c r="H1683" s="193" t="s">
        <v>933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1619</v>
      </c>
      <c r="E1684" s="191">
        <v>41228</v>
      </c>
      <c r="F1684" s="192" t="s">
        <v>365</v>
      </c>
      <c r="G1684" s="488" t="s">
        <v>1061</v>
      </c>
      <c r="H1684" s="193" t="s">
        <v>933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1576</v>
      </c>
      <c r="E1685" s="191">
        <v>41228</v>
      </c>
      <c r="F1685" s="192" t="s">
        <v>1089</v>
      </c>
      <c r="G1685" s="488" t="s">
        <v>1062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1576</v>
      </c>
      <c r="E1686" s="191">
        <v>41228</v>
      </c>
      <c r="F1686" s="192" t="s">
        <v>530</v>
      </c>
      <c r="G1686" s="488" t="s">
        <v>1062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869</v>
      </c>
      <c r="G1687" s="192" t="s">
        <v>870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870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17">
        <f t="shared" si="99"/>
        <v>11</v>
      </c>
      <c r="C1689" s="818">
        <f t="shared" ref="C1689:C1697" si="100">E1689</f>
        <v>41235</v>
      </c>
      <c r="D1689" s="818" t="s">
        <v>459</v>
      </c>
      <c r="E1689" s="818">
        <v>41235</v>
      </c>
      <c r="F1689" s="819" t="s">
        <v>370</v>
      </c>
      <c r="G1689" s="820" t="s">
        <v>1450</v>
      </c>
      <c r="H1689" s="821" t="s">
        <v>406</v>
      </c>
      <c r="I1689" s="822">
        <v>72</v>
      </c>
      <c r="J1689" s="822">
        <v>42000</v>
      </c>
      <c r="K1689" s="828">
        <v>3024000</v>
      </c>
      <c r="L1689" s="824" t="s">
        <v>171</v>
      </c>
      <c r="M1689" s="825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B1689" s="826"/>
      <c r="AC1689" s="826"/>
      <c r="AD1689" s="826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17">
        <f t="shared" si="99"/>
        <v>11</v>
      </c>
      <c r="C1690" s="818">
        <f t="shared" si="100"/>
        <v>41235</v>
      </c>
      <c r="D1690" s="818" t="s">
        <v>459</v>
      </c>
      <c r="E1690" s="818">
        <v>41235</v>
      </c>
      <c r="F1690" s="819" t="s">
        <v>371</v>
      </c>
      <c r="G1690" s="820" t="s">
        <v>1450</v>
      </c>
      <c r="H1690" s="821" t="s">
        <v>406</v>
      </c>
      <c r="I1690" s="822"/>
      <c r="J1690" s="822"/>
      <c r="K1690" s="828">
        <v>302400</v>
      </c>
      <c r="L1690" s="824" t="s">
        <v>9</v>
      </c>
      <c r="M1690" s="825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>
        <v>11</v>
      </c>
      <c r="AB1690" s="826"/>
      <c r="AC1690" s="826"/>
      <c r="AD1690" s="826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17">
        <f t="shared" si="99"/>
        <v>11</v>
      </c>
      <c r="C1691" s="818">
        <f t="shared" si="100"/>
        <v>41235</v>
      </c>
      <c r="D1691" s="818" t="s">
        <v>446</v>
      </c>
      <c r="E1691" s="818">
        <v>41235</v>
      </c>
      <c r="F1691" s="819" t="s">
        <v>400</v>
      </c>
      <c r="G1691" s="820" t="s">
        <v>1450</v>
      </c>
      <c r="H1691" s="821" t="s">
        <v>406</v>
      </c>
      <c r="I1691" s="822"/>
      <c r="J1691" s="822"/>
      <c r="K1691" s="828">
        <v>3326400</v>
      </c>
      <c r="L1691" s="613" t="s">
        <v>8</v>
      </c>
      <c r="M1691" s="613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B1691" s="826"/>
      <c r="AC1691" s="826"/>
      <c r="AD1691" s="826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1577</v>
      </c>
      <c r="E1692" s="191">
        <v>41235</v>
      </c>
      <c r="F1692" s="811" t="s">
        <v>1104</v>
      </c>
      <c r="G1692" s="488" t="s">
        <v>1063</v>
      </c>
      <c r="H1692" s="193" t="s">
        <v>972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1577</v>
      </c>
      <c r="E1693" s="191">
        <v>41235</v>
      </c>
      <c r="F1693" s="192" t="s">
        <v>1103</v>
      </c>
      <c r="G1693" s="488" t="s">
        <v>1063</v>
      </c>
      <c r="H1693" s="193" t="s">
        <v>972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1577</v>
      </c>
      <c r="E1694" s="191">
        <v>41235</v>
      </c>
      <c r="F1694" s="192" t="s">
        <v>1102</v>
      </c>
      <c r="G1694" s="488" t="s">
        <v>1063</v>
      </c>
      <c r="H1694" s="193" t="s">
        <v>972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1577</v>
      </c>
      <c r="E1695" s="191">
        <v>41235</v>
      </c>
      <c r="F1695" s="192" t="s">
        <v>1101</v>
      </c>
      <c r="G1695" s="488" t="s">
        <v>1063</v>
      </c>
      <c r="H1695" s="193" t="s">
        <v>972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1577</v>
      </c>
      <c r="E1696" s="191">
        <v>41235</v>
      </c>
      <c r="F1696" s="192" t="s">
        <v>530</v>
      </c>
      <c r="G1696" s="488" t="s">
        <v>1063</v>
      </c>
      <c r="H1696" s="193" t="s">
        <v>972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1620</v>
      </c>
      <c r="E1697" s="191">
        <v>41235</v>
      </c>
      <c r="F1697" s="192" t="s">
        <v>365</v>
      </c>
      <c r="G1697" s="488" t="s">
        <v>1063</v>
      </c>
      <c r="H1697" s="193" t="s">
        <v>972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1621</v>
      </c>
      <c r="E1700" s="191">
        <v>41242</v>
      </c>
      <c r="F1700" s="192" t="s">
        <v>534</v>
      </c>
      <c r="G1700" s="192" t="s">
        <v>361</v>
      </c>
      <c r="H1700" s="193" t="s">
        <v>871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09">
        <f>E1701</f>
        <v>41243</v>
      </c>
      <c r="D1701" s="709" t="s">
        <v>367</v>
      </c>
      <c r="E1701" s="786">
        <v>41243</v>
      </c>
      <c r="F1701" s="710" t="s">
        <v>1559</v>
      </c>
      <c r="G1701" s="711"/>
      <c r="H1701" s="626"/>
      <c r="I1701" s="485"/>
      <c r="J1701" s="485"/>
      <c r="K1701" s="712">
        <v>9325000</v>
      </c>
      <c r="L1701" s="713" t="s">
        <v>84</v>
      </c>
      <c r="M1701" s="713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3"/>
      <c r="AB1701" s="603"/>
      <c r="AC1701" s="603"/>
      <c r="AD1701" s="603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09">
        <f>E1702</f>
        <v>41243</v>
      </c>
      <c r="D1702" s="709" t="s">
        <v>367</v>
      </c>
      <c r="E1702" s="786">
        <v>41243</v>
      </c>
      <c r="F1702" s="710" t="s">
        <v>511</v>
      </c>
      <c r="G1702" s="711"/>
      <c r="H1702" s="626"/>
      <c r="I1702" s="485"/>
      <c r="J1702" s="485"/>
      <c r="K1702" s="712">
        <v>13450000</v>
      </c>
      <c r="L1702" s="713" t="s">
        <v>175</v>
      </c>
      <c r="M1702" s="713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3"/>
      <c r="AB1702" s="603"/>
      <c r="AC1702" s="603"/>
      <c r="AD1702" s="603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09">
        <f>E1703</f>
        <v>41243</v>
      </c>
      <c r="D1703" s="709" t="s">
        <v>447</v>
      </c>
      <c r="E1703" s="786">
        <v>41243</v>
      </c>
      <c r="F1703" s="710" t="str">
        <f>"Thanh toán tiền lương tháng "&amp;MONTH(E1703)&amp;"/"&amp;YEAR(E1703)</f>
        <v>Thanh toán tiền lương tháng 11/2012</v>
      </c>
      <c r="G1703" s="711"/>
      <c r="H1703" s="45" t="s">
        <v>659</v>
      </c>
      <c r="I1703" s="485"/>
      <c r="J1703" s="485"/>
      <c r="K1703" s="712">
        <f>K1701+K1702</f>
        <v>22775000</v>
      </c>
      <c r="L1703" s="713" t="s">
        <v>287</v>
      </c>
      <c r="M1703" s="713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3"/>
      <c r="AB1703" s="603"/>
      <c r="AC1703" s="603"/>
      <c r="AD1703" s="603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607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1578</v>
      </c>
      <c r="E1705" s="191">
        <v>41244</v>
      </c>
      <c r="F1705" s="192" t="s">
        <v>1100</v>
      </c>
      <c r="G1705" s="488" t="s">
        <v>1064</v>
      </c>
      <c r="H1705" s="193" t="s">
        <v>861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1578</v>
      </c>
      <c r="E1706" s="191">
        <v>41244</v>
      </c>
      <c r="F1706" s="192" t="s">
        <v>530</v>
      </c>
      <c r="G1706" s="488" t="s">
        <v>1064</v>
      </c>
      <c r="H1706" s="193" t="s">
        <v>861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564</v>
      </c>
      <c r="G1707" s="192" t="s">
        <v>872</v>
      </c>
      <c r="H1707" s="210" t="s">
        <v>566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567</v>
      </c>
      <c r="G1708" s="192" t="s">
        <v>872</v>
      </c>
      <c r="H1708" s="193" t="s">
        <v>566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861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1622</v>
      </c>
      <c r="E1710" s="191">
        <v>41247</v>
      </c>
      <c r="F1710" s="192" t="s">
        <v>534</v>
      </c>
      <c r="G1710" s="488" t="s">
        <v>361</v>
      </c>
      <c r="H1710" s="193" t="s">
        <v>659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873</v>
      </c>
      <c r="G1711" s="488" t="s">
        <v>874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3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3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875</v>
      </c>
      <c r="G1712" s="192" t="s">
        <v>874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3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3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876</v>
      </c>
      <c r="G1713" s="192" t="s">
        <v>874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3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3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874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3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874</v>
      </c>
      <c r="H1715" s="193" t="s">
        <v>427</v>
      </c>
      <c r="I1715" s="252"/>
      <c r="J1715" s="252"/>
      <c r="K1715" s="38">
        <v>19950676</v>
      </c>
      <c r="L1715" s="613" t="s">
        <v>8</v>
      </c>
      <c r="M1715" s="613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876</v>
      </c>
      <c r="G1716" s="488" t="s">
        <v>877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3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3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878</v>
      </c>
      <c r="G1717" s="488" t="s">
        <v>877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3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3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879</v>
      </c>
      <c r="G1718" s="192" t="s">
        <v>877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3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3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877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3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877</v>
      </c>
      <c r="H1720" s="193" t="s">
        <v>427</v>
      </c>
      <c r="I1720" s="252"/>
      <c r="J1720" s="252"/>
      <c r="K1720" s="38">
        <v>19956365</v>
      </c>
      <c r="L1720" s="613" t="s">
        <v>8</v>
      </c>
      <c r="M1720" s="613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1579</v>
      </c>
      <c r="E1721" s="191">
        <v>41253</v>
      </c>
      <c r="F1721" s="192" t="s">
        <v>1099</v>
      </c>
      <c r="G1721" s="488" t="s">
        <v>1065</v>
      </c>
      <c r="H1721" s="193" t="s">
        <v>1066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1579</v>
      </c>
      <c r="E1722" s="191">
        <v>41253</v>
      </c>
      <c r="F1722" s="192" t="s">
        <v>1098</v>
      </c>
      <c r="G1722" s="488" t="s">
        <v>1065</v>
      </c>
      <c r="H1722" s="193" t="s">
        <v>1066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1579</v>
      </c>
      <c r="E1723" s="191">
        <v>41253</v>
      </c>
      <c r="F1723" s="192" t="s">
        <v>1097</v>
      </c>
      <c r="G1723" s="488" t="s">
        <v>1065</v>
      </c>
      <c r="H1723" s="193" t="s">
        <v>1066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1579</v>
      </c>
      <c r="E1724" s="191">
        <v>41253</v>
      </c>
      <c r="F1724" s="192" t="s">
        <v>530</v>
      </c>
      <c r="G1724" s="488" t="s">
        <v>1065</v>
      </c>
      <c r="H1724" s="193" t="s">
        <v>1066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1623</v>
      </c>
      <c r="E1725" s="191">
        <v>41253</v>
      </c>
      <c r="F1725" s="192" t="s">
        <v>365</v>
      </c>
      <c r="G1725" s="488" t="s">
        <v>1065</v>
      </c>
      <c r="H1725" s="193" t="s">
        <v>1066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878</v>
      </c>
      <c r="G1726" s="192" t="s">
        <v>880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3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3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881</v>
      </c>
      <c r="G1727" s="192" t="s">
        <v>880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3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3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882</v>
      </c>
      <c r="G1728" s="192" t="s">
        <v>880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3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3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880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3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880</v>
      </c>
      <c r="H1730" s="193" t="s">
        <v>427</v>
      </c>
      <c r="I1730" s="252"/>
      <c r="J1730" s="252"/>
      <c r="K1730" s="38">
        <v>19982065</v>
      </c>
      <c r="L1730" s="613" t="s">
        <v>8</v>
      </c>
      <c r="M1730" s="613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659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3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705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546</v>
      </c>
      <c r="G1735" s="192" t="s">
        <v>883</v>
      </c>
      <c r="H1735" s="193" t="s">
        <v>548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549</v>
      </c>
      <c r="G1736" s="192" t="s">
        <v>883</v>
      </c>
      <c r="H1736" s="193" t="s">
        <v>548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1580</v>
      </c>
      <c r="E1737" s="191">
        <v>41262</v>
      </c>
      <c r="F1737" s="189" t="s">
        <v>1096</v>
      </c>
      <c r="G1737" s="488" t="s">
        <v>1067</v>
      </c>
      <c r="H1737" s="193" t="s">
        <v>933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1580</v>
      </c>
      <c r="E1738" s="191">
        <v>41262</v>
      </c>
      <c r="F1738" s="192" t="s">
        <v>530</v>
      </c>
      <c r="G1738" s="488" t="s">
        <v>1067</v>
      </c>
      <c r="H1738" s="193" t="s">
        <v>933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1624</v>
      </c>
      <c r="E1739" s="191">
        <v>41262</v>
      </c>
      <c r="F1739" s="192" t="s">
        <v>365</v>
      </c>
      <c r="G1739" s="488" t="s">
        <v>1067</v>
      </c>
      <c r="H1739" s="193" t="s">
        <v>933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1581</v>
      </c>
      <c r="E1740" s="191">
        <v>41262</v>
      </c>
      <c r="F1740" s="192" t="s">
        <v>1068</v>
      </c>
      <c r="G1740" s="488" t="s">
        <v>1069</v>
      </c>
      <c r="H1740" s="193" t="s">
        <v>923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1581</v>
      </c>
      <c r="E1741" s="191">
        <v>41262</v>
      </c>
      <c r="F1741" s="192" t="s">
        <v>1070</v>
      </c>
      <c r="G1741" s="488" t="s">
        <v>1069</v>
      </c>
      <c r="H1741" s="193" t="s">
        <v>923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1581</v>
      </c>
      <c r="E1742" s="191">
        <v>41262</v>
      </c>
      <c r="F1742" s="192" t="s">
        <v>1153</v>
      </c>
      <c r="G1742" s="488" t="s">
        <v>1069</v>
      </c>
      <c r="H1742" s="193" t="s">
        <v>923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1581</v>
      </c>
      <c r="E1743" s="191">
        <v>41262</v>
      </c>
      <c r="F1743" s="192" t="s">
        <v>1095</v>
      </c>
      <c r="G1743" s="488" t="s">
        <v>1069</v>
      </c>
      <c r="H1743" s="193" t="s">
        <v>923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1581</v>
      </c>
      <c r="E1744" s="191">
        <v>41262</v>
      </c>
      <c r="F1744" s="192" t="s">
        <v>530</v>
      </c>
      <c r="G1744" s="488" t="s">
        <v>1069</v>
      </c>
      <c r="H1744" s="193" t="s">
        <v>923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1625</v>
      </c>
      <c r="E1745" s="191">
        <v>41262</v>
      </c>
      <c r="F1745" s="192" t="s">
        <v>365</v>
      </c>
      <c r="G1745" s="488" t="s">
        <v>1069</v>
      </c>
      <c r="H1745" s="193" t="s">
        <v>923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1582</v>
      </c>
      <c r="E1746" s="191">
        <v>41263</v>
      </c>
      <c r="F1746" s="192" t="s">
        <v>1094</v>
      </c>
      <c r="G1746" s="488" t="s">
        <v>1071</v>
      </c>
      <c r="H1746" s="193" t="s">
        <v>923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1582</v>
      </c>
      <c r="E1747" s="191">
        <v>41263</v>
      </c>
      <c r="F1747" s="192" t="s">
        <v>1045</v>
      </c>
      <c r="G1747" s="488" t="s">
        <v>1071</v>
      </c>
      <c r="H1747" s="193" t="s">
        <v>923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1582</v>
      </c>
      <c r="E1748" s="191">
        <v>41263</v>
      </c>
      <c r="F1748" s="189" t="s">
        <v>1044</v>
      </c>
      <c r="G1748" s="488" t="s">
        <v>1071</v>
      </c>
      <c r="H1748" s="193" t="s">
        <v>923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1582</v>
      </c>
      <c r="E1749" s="191">
        <v>41263</v>
      </c>
      <c r="F1749" s="192" t="s">
        <v>1153</v>
      </c>
      <c r="G1749" s="488" t="s">
        <v>1071</v>
      </c>
      <c r="H1749" s="193" t="s">
        <v>923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1582</v>
      </c>
      <c r="E1750" s="191">
        <v>41263</v>
      </c>
      <c r="F1750" s="192" t="s">
        <v>1072</v>
      </c>
      <c r="G1750" s="488" t="s">
        <v>1071</v>
      </c>
      <c r="H1750" s="193" t="s">
        <v>923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1582</v>
      </c>
      <c r="E1751" s="191">
        <v>41263</v>
      </c>
      <c r="F1751" s="192" t="s">
        <v>530</v>
      </c>
      <c r="G1751" s="488" t="s">
        <v>1071</v>
      </c>
      <c r="H1751" s="193" t="s">
        <v>923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1626</v>
      </c>
      <c r="E1752" s="191">
        <v>41263</v>
      </c>
      <c r="F1752" s="192" t="s">
        <v>365</v>
      </c>
      <c r="G1752" s="488" t="s">
        <v>1071</v>
      </c>
      <c r="H1752" s="193" t="s">
        <v>923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1583</v>
      </c>
      <c r="E1753" s="191">
        <v>41265</v>
      </c>
      <c r="F1753" s="192" t="s">
        <v>1073</v>
      </c>
      <c r="G1753" s="488" t="s">
        <v>1074</v>
      </c>
      <c r="H1753" s="193" t="s">
        <v>1054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1583</v>
      </c>
      <c r="E1754" s="191">
        <v>41265</v>
      </c>
      <c r="F1754" s="192" t="s">
        <v>530</v>
      </c>
      <c r="G1754" s="488" t="s">
        <v>1074</v>
      </c>
      <c r="H1754" s="193" t="s">
        <v>1054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1627</v>
      </c>
      <c r="E1755" s="191">
        <v>41265</v>
      </c>
      <c r="F1755" s="192" t="s">
        <v>365</v>
      </c>
      <c r="G1755" s="488" t="s">
        <v>1074</v>
      </c>
      <c r="H1755" s="193" t="s">
        <v>1054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1584</v>
      </c>
      <c r="E1756" s="191">
        <v>41265</v>
      </c>
      <c r="F1756" s="192" t="s">
        <v>1093</v>
      </c>
      <c r="G1756" s="488" t="s">
        <v>1075</v>
      </c>
      <c r="H1756" s="7" t="s">
        <v>607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1584</v>
      </c>
      <c r="E1757" s="191">
        <v>41265</v>
      </c>
      <c r="F1757" s="192" t="s">
        <v>1092</v>
      </c>
      <c r="G1757" s="488" t="s">
        <v>1075</v>
      </c>
      <c r="H1757" s="7" t="s">
        <v>607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1584</v>
      </c>
      <c r="E1758" s="191">
        <v>41265</v>
      </c>
      <c r="F1758" s="192" t="s">
        <v>530</v>
      </c>
      <c r="G1758" s="488" t="s">
        <v>1075</v>
      </c>
      <c r="H1758" s="7" t="s">
        <v>607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664</v>
      </c>
      <c r="G1760" s="192" t="s">
        <v>884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884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866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885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88" t="s">
        <v>361</v>
      </c>
      <c r="H1764" s="210" t="s">
        <v>659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88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1628</v>
      </c>
      <c r="E1766" s="191">
        <v>41268</v>
      </c>
      <c r="F1766" s="192" t="s">
        <v>534</v>
      </c>
      <c r="G1766" s="192" t="s">
        <v>361</v>
      </c>
      <c r="H1766" s="193" t="s">
        <v>659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3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886</v>
      </c>
      <c r="G1769" s="192" t="s">
        <v>887</v>
      </c>
      <c r="H1769" s="193" t="s">
        <v>888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889</v>
      </c>
      <c r="G1770" s="192" t="s">
        <v>887</v>
      </c>
      <c r="H1770" s="193" t="s">
        <v>888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890</v>
      </c>
      <c r="G1771" s="192" t="s">
        <v>891</v>
      </c>
      <c r="H1771" s="193" t="s">
        <v>581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3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3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892</v>
      </c>
      <c r="G1772" s="192" t="s">
        <v>891</v>
      </c>
      <c r="H1772" s="193" t="s">
        <v>581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3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3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595</v>
      </c>
      <c r="G1773" s="192" t="s">
        <v>891</v>
      </c>
      <c r="H1773" s="193" t="s">
        <v>581</v>
      </c>
      <c r="I1773" s="252"/>
      <c r="J1773" s="252"/>
      <c r="K1773" s="38">
        <v>1630169</v>
      </c>
      <c r="L1773" s="194" t="s">
        <v>9</v>
      </c>
      <c r="M1773" s="613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891</v>
      </c>
      <c r="H1774" s="193" t="s">
        <v>581</v>
      </c>
      <c r="I1774" s="252"/>
      <c r="J1774" s="252"/>
      <c r="K1774" s="38">
        <v>17931859</v>
      </c>
      <c r="L1774" s="613" t="s">
        <v>8</v>
      </c>
      <c r="M1774" s="613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893</v>
      </c>
      <c r="G1775" s="192" t="s">
        <v>894</v>
      </c>
      <c r="H1775" s="193" t="s">
        <v>581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3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3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595</v>
      </c>
      <c r="G1776" s="488" t="s">
        <v>894</v>
      </c>
      <c r="H1776" s="193" t="s">
        <v>581</v>
      </c>
      <c r="I1776" s="252"/>
      <c r="J1776" s="252"/>
      <c r="K1776" s="38">
        <v>1033069</v>
      </c>
      <c r="L1776" s="194" t="s">
        <v>9</v>
      </c>
      <c r="M1776" s="613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1634</v>
      </c>
      <c r="E1777" s="191">
        <v>41268</v>
      </c>
      <c r="F1777" s="192" t="s">
        <v>400</v>
      </c>
      <c r="G1777" s="488" t="s">
        <v>894</v>
      </c>
      <c r="H1777" s="193" t="s">
        <v>581</v>
      </c>
      <c r="I1777" s="252"/>
      <c r="J1777" s="252"/>
      <c r="K1777" s="38">
        <v>11363763</v>
      </c>
      <c r="L1777" s="613" t="s">
        <v>8</v>
      </c>
      <c r="M1777" s="613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705</v>
      </c>
      <c r="G1778" s="488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892</v>
      </c>
      <c r="G1779" s="488" t="s">
        <v>895</v>
      </c>
      <c r="H1779" s="193" t="s">
        <v>581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3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3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595</v>
      </c>
      <c r="G1780" s="488" t="s">
        <v>895</v>
      </c>
      <c r="H1780" s="193" t="s">
        <v>581</v>
      </c>
      <c r="I1780" s="252"/>
      <c r="J1780" s="252"/>
      <c r="K1780" s="38">
        <v>766009</v>
      </c>
      <c r="L1780" s="194" t="s">
        <v>9</v>
      </c>
      <c r="M1780" s="613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1636</v>
      </c>
      <c r="E1781" s="191">
        <v>41270</v>
      </c>
      <c r="F1781" s="192" t="s">
        <v>400</v>
      </c>
      <c r="G1781" s="488" t="s">
        <v>895</v>
      </c>
      <c r="H1781" s="193" t="s">
        <v>581</v>
      </c>
      <c r="I1781" s="252"/>
      <c r="J1781" s="252"/>
      <c r="K1781" s="38">
        <v>8426103</v>
      </c>
      <c r="L1781" s="613" t="s">
        <v>8</v>
      </c>
      <c r="M1781" s="613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896</v>
      </c>
      <c r="G1782" s="488" t="s">
        <v>897</v>
      </c>
      <c r="H1782" s="193" t="s">
        <v>581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3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3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898</v>
      </c>
      <c r="G1783" s="488" t="s">
        <v>897</v>
      </c>
      <c r="H1783" s="193" t="s">
        <v>581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3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3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595</v>
      </c>
      <c r="G1784" s="488" t="s">
        <v>897</v>
      </c>
      <c r="H1784" s="193" t="s">
        <v>581</v>
      </c>
      <c r="I1784" s="252"/>
      <c r="J1784" s="252"/>
      <c r="K1784" s="38">
        <v>914692</v>
      </c>
      <c r="L1784" s="194" t="s">
        <v>9</v>
      </c>
      <c r="M1784" s="613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1638</v>
      </c>
      <c r="E1785" s="191">
        <v>41271</v>
      </c>
      <c r="F1785" s="192" t="s">
        <v>400</v>
      </c>
      <c r="G1785" s="488" t="s">
        <v>897</v>
      </c>
      <c r="H1785" s="193" t="s">
        <v>581</v>
      </c>
      <c r="I1785" s="252"/>
      <c r="J1785" s="252"/>
      <c r="K1785" s="38">
        <v>10061611</v>
      </c>
      <c r="L1785" s="613" t="s">
        <v>8</v>
      </c>
      <c r="M1785" s="613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1585</v>
      </c>
      <c r="E1786" s="191">
        <v>41272</v>
      </c>
      <c r="F1786" s="192" t="s">
        <v>1090</v>
      </c>
      <c r="G1786" s="488" t="s">
        <v>1076</v>
      </c>
      <c r="H1786" s="193" t="s">
        <v>1077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1585</v>
      </c>
      <c r="E1787" s="191">
        <v>41272</v>
      </c>
      <c r="F1787" s="192" t="s">
        <v>1091</v>
      </c>
      <c r="G1787" s="488" t="s">
        <v>1076</v>
      </c>
      <c r="H1787" s="193" t="s">
        <v>1077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1585</v>
      </c>
      <c r="E1788" s="191">
        <v>41272</v>
      </c>
      <c r="F1788" s="192" t="s">
        <v>530</v>
      </c>
      <c r="G1788" s="488" t="s">
        <v>1076</v>
      </c>
      <c r="H1788" s="193" t="s">
        <v>1077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1629</v>
      </c>
      <c r="E1789" s="191">
        <v>41272</v>
      </c>
      <c r="F1789" s="192" t="s">
        <v>365</v>
      </c>
      <c r="G1789" s="488" t="s">
        <v>1076</v>
      </c>
      <c r="H1789" s="193" t="s">
        <v>1077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1586</v>
      </c>
      <c r="E1790" s="191">
        <v>41272</v>
      </c>
      <c r="F1790" s="192" t="s">
        <v>1089</v>
      </c>
      <c r="G1790" s="488" t="s">
        <v>1078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1586</v>
      </c>
      <c r="E1791" s="191">
        <v>41272</v>
      </c>
      <c r="F1791" s="192" t="s">
        <v>530</v>
      </c>
      <c r="G1791" s="488" t="s">
        <v>1078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1548</v>
      </c>
      <c r="G1792" s="40"/>
      <c r="H1792" s="7" t="s">
        <v>496</v>
      </c>
      <c r="I1792" s="252"/>
      <c r="J1792" s="252"/>
      <c r="K1792" s="612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1630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2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1548</v>
      </c>
      <c r="G1794" s="40"/>
      <c r="H1794" s="193" t="s">
        <v>885</v>
      </c>
      <c r="I1794" s="252"/>
      <c r="J1794" s="252"/>
      <c r="K1794" s="612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09">
        <f t="shared" si="103"/>
        <v>41274</v>
      </c>
      <c r="D1795" s="709" t="s">
        <v>367</v>
      </c>
      <c r="E1795" s="786">
        <v>41274</v>
      </c>
      <c r="F1795" s="710" t="s">
        <v>1559</v>
      </c>
      <c r="G1795" s="711"/>
      <c r="H1795" s="626"/>
      <c r="I1795" s="485"/>
      <c r="J1795" s="485"/>
      <c r="K1795" s="712">
        <v>9325000</v>
      </c>
      <c r="L1795" s="713" t="s">
        <v>84</v>
      </c>
      <c r="M1795" s="713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3"/>
      <c r="AB1795" s="603"/>
      <c r="AC1795" s="603"/>
      <c r="AD1795" s="603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09">
        <f t="shared" si="103"/>
        <v>41274</v>
      </c>
      <c r="D1796" s="709" t="s">
        <v>367</v>
      </c>
      <c r="E1796" s="786">
        <v>41274</v>
      </c>
      <c r="F1796" s="710" t="s">
        <v>511</v>
      </c>
      <c r="G1796" s="711"/>
      <c r="H1796" s="626"/>
      <c r="I1796" s="485"/>
      <c r="J1796" s="485"/>
      <c r="K1796" s="712">
        <v>13450000</v>
      </c>
      <c r="L1796" s="713" t="s">
        <v>175</v>
      </c>
      <c r="M1796" s="713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3"/>
      <c r="AB1796" s="603"/>
      <c r="AC1796" s="603"/>
      <c r="AD1796" s="603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09">
        <f t="shared" si="103"/>
        <v>41274</v>
      </c>
      <c r="D1797" s="709" t="s">
        <v>1639</v>
      </c>
      <c r="E1797" s="786">
        <v>41274</v>
      </c>
      <c r="F1797" s="710" t="str">
        <f>"Thanh toán tiền lương tháng "&amp;MONTH(E1797)&amp;"/"&amp;YEAR(E1797)</f>
        <v>Thanh toán tiền lương tháng 12/2012</v>
      </c>
      <c r="G1797" s="711"/>
      <c r="H1797" s="45" t="s">
        <v>659</v>
      </c>
      <c r="I1797" s="485"/>
      <c r="J1797" s="485"/>
      <c r="K1797" s="712">
        <f>K1795+K1796</f>
        <v>22775000</v>
      </c>
      <c r="L1797" s="713" t="s">
        <v>287</v>
      </c>
      <c r="M1797" s="713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3"/>
      <c r="AC1797" s="603"/>
      <c r="AD1797" s="603"/>
    </row>
    <row r="1798" spans="1:30" s="782" customFormat="1" ht="15.75" customHeight="1">
      <c r="A1798" s="204" t="str">
        <f>IF(B1798&lt;&gt;"",IF(AND(B1798&gt;=_TM1,B1798&lt;=_TM2,OR(TH!L1798="1111",TH!M1798="1111")),TH!D1798,""),"")</f>
        <v/>
      </c>
      <c r="B1798" s="701">
        <f t="shared" ref="B1798:B1841" si="104">IF(C1798&lt;&gt;"",MONTH(C1798),"")</f>
        <v>1</v>
      </c>
      <c r="C1798" s="48">
        <f t="shared" si="103"/>
        <v>40910</v>
      </c>
      <c r="D1798" s="48" t="s">
        <v>1676</v>
      </c>
      <c r="E1798" s="48">
        <v>40910</v>
      </c>
      <c r="F1798" s="49" t="s">
        <v>403</v>
      </c>
      <c r="G1798" s="49"/>
      <c r="H1798" s="841" t="s">
        <v>1675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782" customFormat="1" ht="15.75" customHeight="1">
      <c r="A1799" s="204" t="str">
        <f>IF(B1799&lt;&gt;"",IF(AND(B1799&gt;=_TM1,B1799&lt;=_TM2,OR(TH!L1799="1111",TH!M1799="1111")),TH!D1799,""),"")</f>
        <v/>
      </c>
      <c r="B1799" s="701">
        <f t="shared" si="104"/>
        <v>1</v>
      </c>
      <c r="C1799" s="48">
        <f t="shared" ref="C1799:C1814" si="105">E1799</f>
        <v>40924</v>
      </c>
      <c r="D1799" s="48" t="s">
        <v>1677</v>
      </c>
      <c r="E1799" s="48">
        <v>40924</v>
      </c>
      <c r="F1799" s="49" t="s">
        <v>403</v>
      </c>
      <c r="G1799" s="49"/>
      <c r="H1799" s="841" t="s">
        <v>1675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782" customFormat="1" ht="15.75" customHeight="1">
      <c r="A1800" s="204" t="str">
        <f>IF(B1800&lt;&gt;"",IF(AND(B1800&gt;=_TM1,B1800&lt;=_TM2,OR(TH!L1800="1111",TH!M1800="1111")),TH!D1800,""),"")</f>
        <v/>
      </c>
      <c r="B1800" s="701">
        <f t="shared" si="104"/>
        <v>2</v>
      </c>
      <c r="C1800" s="48">
        <f t="shared" si="105"/>
        <v>40941</v>
      </c>
      <c r="D1800" s="48" t="s">
        <v>1678</v>
      </c>
      <c r="E1800" s="48">
        <v>40941</v>
      </c>
      <c r="F1800" s="49" t="s">
        <v>370</v>
      </c>
      <c r="G1800" s="49"/>
      <c r="H1800" s="841" t="s">
        <v>1675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782" customFormat="1" ht="15.75" customHeight="1">
      <c r="A1801" s="204" t="str">
        <f>IF(B1801&lt;&gt;"",IF(AND(B1801&gt;=_TM1,B1801&lt;=_TM2,OR(TH!L1801="1111",TH!M1801="1111")),TH!D1801,""),"")</f>
        <v/>
      </c>
      <c r="B1801" s="701">
        <f t="shared" si="104"/>
        <v>2</v>
      </c>
      <c r="C1801" s="48">
        <f t="shared" si="105"/>
        <v>40941</v>
      </c>
      <c r="D1801" s="48" t="s">
        <v>1678</v>
      </c>
      <c r="E1801" s="48">
        <v>40941</v>
      </c>
      <c r="F1801" s="49" t="s">
        <v>553</v>
      </c>
      <c r="G1801" s="49"/>
      <c r="H1801" s="841" t="s">
        <v>1675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782" customFormat="1" ht="15.75" customHeight="1">
      <c r="A1802" s="204" t="str">
        <f>IF(B1802&lt;&gt;"",IF(AND(B1802&gt;=_TM1,B1802&lt;=_TM2,OR(TH!L1802="1111",TH!M1802="1111")),TH!D1802,""),"")</f>
        <v/>
      </c>
      <c r="B1802" s="701">
        <f t="shared" si="104"/>
        <v>4</v>
      </c>
      <c r="C1802" s="48">
        <f t="shared" si="105"/>
        <v>41000</v>
      </c>
      <c r="D1802" s="48" t="s">
        <v>1676</v>
      </c>
      <c r="E1802" s="48">
        <v>41000</v>
      </c>
      <c r="F1802" s="49" t="s">
        <v>403</v>
      </c>
      <c r="G1802" s="49"/>
      <c r="H1802" s="841" t="s">
        <v>1675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782" customFormat="1" ht="15.75" customHeight="1">
      <c r="A1803" s="204" t="str">
        <f>IF(B1803&lt;&gt;"",IF(AND(B1803&gt;=_TM1,B1803&lt;=_TM2,OR(TH!L1803="1111",TH!M1803="1111")),TH!D1803,""),"")</f>
        <v/>
      </c>
      <c r="B1803" s="701">
        <f t="shared" si="104"/>
        <v>5</v>
      </c>
      <c r="C1803" s="48">
        <f t="shared" si="105"/>
        <v>41052</v>
      </c>
      <c r="D1803" s="48" t="s">
        <v>1677</v>
      </c>
      <c r="E1803" s="48">
        <v>41052</v>
      </c>
      <c r="F1803" s="49" t="s">
        <v>403</v>
      </c>
      <c r="G1803" s="49"/>
      <c r="H1803" s="841" t="s">
        <v>1675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782" customFormat="1" ht="15.75" customHeight="1">
      <c r="A1804" s="204" t="str">
        <f>IF(B1804&lt;&gt;"",IF(AND(B1804&gt;=_TM1,B1804&lt;=_TM2,OR(TH!L1804="1111",TH!M1804="1111")),TH!D1804,""),"")</f>
        <v/>
      </c>
      <c r="B1804" s="701">
        <f t="shared" si="104"/>
        <v>5</v>
      </c>
      <c r="C1804" s="48">
        <f t="shared" si="105"/>
        <v>41054</v>
      </c>
      <c r="D1804" s="48" t="s">
        <v>1678</v>
      </c>
      <c r="E1804" s="48">
        <v>41054</v>
      </c>
      <c r="F1804" s="49" t="s">
        <v>370</v>
      </c>
      <c r="G1804" s="49"/>
      <c r="H1804" s="841" t="s">
        <v>1675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782" customFormat="1" ht="15.75" customHeight="1">
      <c r="A1805" s="204" t="str">
        <f>IF(B1805&lt;&gt;"",IF(AND(B1805&gt;=_TM1,B1805&lt;=_TM2,OR(TH!L1805="1111",TH!M1805="1111")),TH!D1805,""),"")</f>
        <v/>
      </c>
      <c r="B1805" s="701">
        <f t="shared" si="104"/>
        <v>5</v>
      </c>
      <c r="C1805" s="48">
        <f t="shared" si="105"/>
        <v>41060</v>
      </c>
      <c r="D1805" s="48" t="s">
        <v>1679</v>
      </c>
      <c r="E1805" s="48">
        <v>41060</v>
      </c>
      <c r="F1805" s="49" t="s">
        <v>717</v>
      </c>
      <c r="G1805" s="49"/>
      <c r="H1805" s="841" t="s">
        <v>1675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782" customFormat="1" ht="15.75" customHeight="1">
      <c r="A1806" s="204" t="str">
        <f>IF(B1806&lt;&gt;"",IF(AND(B1806&gt;=_TM1,B1806&lt;=_TM2,OR(TH!L1806="1111",TH!M1806="1111")),TH!D1806,""),"")</f>
        <v/>
      </c>
      <c r="B1806" s="701">
        <f t="shared" si="104"/>
        <v>4</v>
      </c>
      <c r="C1806" s="48">
        <f t="shared" si="105"/>
        <v>41000</v>
      </c>
      <c r="D1806" s="48" t="s">
        <v>1676</v>
      </c>
      <c r="E1806" s="48">
        <v>41000</v>
      </c>
      <c r="F1806" s="49" t="s">
        <v>553</v>
      </c>
      <c r="G1806" s="49"/>
      <c r="H1806" s="841" t="s">
        <v>1675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782" customFormat="1" ht="15.75" customHeight="1">
      <c r="A1807" s="204" t="str">
        <f>IF(B1807&lt;&gt;"",IF(AND(B1807&gt;=_TM1,B1807&lt;=_TM2,OR(TH!L1807="1111",TH!M1807="1111")),TH!D1807,""),"")</f>
        <v/>
      </c>
      <c r="B1807" s="701">
        <f t="shared" si="104"/>
        <v>7</v>
      </c>
      <c r="C1807" s="48">
        <f t="shared" si="105"/>
        <v>41099</v>
      </c>
      <c r="D1807" s="48" t="s">
        <v>1676</v>
      </c>
      <c r="E1807" s="48">
        <v>41099</v>
      </c>
      <c r="F1807" s="49" t="s">
        <v>403</v>
      </c>
      <c r="G1807" s="49"/>
      <c r="H1807" s="841" t="s">
        <v>1675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782" customFormat="1" ht="15.75" customHeight="1">
      <c r="A1808" s="204" t="str">
        <f>IF(B1808&lt;&gt;"",IF(AND(B1808&gt;=_TM1,B1808&lt;=_TM2,OR(TH!L1808="1111",TH!M1808="1111")),TH!D1808,""),"")</f>
        <v/>
      </c>
      <c r="B1808" s="701">
        <f t="shared" si="104"/>
        <v>7</v>
      </c>
      <c r="C1808" s="48">
        <f t="shared" si="105"/>
        <v>41099</v>
      </c>
      <c r="D1808" s="48" t="s">
        <v>1676</v>
      </c>
      <c r="E1808" s="48">
        <v>41099</v>
      </c>
      <c r="F1808" s="49" t="s">
        <v>370</v>
      </c>
      <c r="G1808" s="49"/>
      <c r="H1808" s="841" t="s">
        <v>1675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782" customFormat="1" ht="15.75" customHeight="1">
      <c r="A1809" s="204" t="str">
        <f>IF(B1809&lt;&gt;"",IF(AND(B1809&gt;=_TM1,B1809&lt;=_TM2,OR(TH!L1809="1111",TH!M1809="1111")),TH!D1809,""),"")</f>
        <v/>
      </c>
      <c r="B1809" s="701">
        <f t="shared" si="104"/>
        <v>8</v>
      </c>
      <c r="C1809" s="48">
        <f t="shared" si="105"/>
        <v>42583</v>
      </c>
      <c r="D1809" s="48" t="s">
        <v>1677</v>
      </c>
      <c r="E1809" s="48">
        <v>42583</v>
      </c>
      <c r="F1809" s="49" t="s">
        <v>717</v>
      </c>
      <c r="G1809" s="49"/>
      <c r="H1809" s="841" t="s">
        <v>1675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782" customFormat="1" ht="15.75" customHeight="1">
      <c r="A1810" s="204" t="str">
        <f>IF(B1810&lt;&gt;"",IF(AND(B1810&gt;=_TM1,B1810&lt;=_TM2,OR(TH!L1810="1111",TH!M1810="1111")),TH!D1810,""),"")</f>
        <v/>
      </c>
      <c r="B1810" s="701">
        <f t="shared" si="104"/>
        <v>8</v>
      </c>
      <c r="C1810" s="48">
        <f t="shared" si="105"/>
        <v>42583</v>
      </c>
      <c r="D1810" s="48" t="s">
        <v>1677</v>
      </c>
      <c r="E1810" s="48">
        <v>42583</v>
      </c>
      <c r="F1810" s="49" t="s">
        <v>553</v>
      </c>
      <c r="G1810" s="49"/>
      <c r="H1810" s="841" t="s">
        <v>1675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782" customFormat="1" ht="15.75" customHeight="1">
      <c r="A1811" s="204" t="str">
        <f>IF(B1811&lt;&gt;"",IF(AND(B1811&gt;=_TM1,B1811&lt;=_TM2,OR(TH!L1811="1111",TH!M1811="1111")),TH!D1811,""),"")</f>
        <v/>
      </c>
      <c r="B1811" s="701">
        <f t="shared" si="104"/>
        <v>10</v>
      </c>
      <c r="C1811" s="48">
        <f t="shared" si="105"/>
        <v>41183</v>
      </c>
      <c r="D1811" s="48" t="s">
        <v>1676</v>
      </c>
      <c r="E1811" s="48">
        <v>41183</v>
      </c>
      <c r="F1811" s="49" t="s">
        <v>403</v>
      </c>
      <c r="G1811" s="49"/>
      <c r="H1811" s="841" t="s">
        <v>1675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782" customFormat="1" ht="15.75" customHeight="1">
      <c r="A1812" s="204" t="str">
        <f>IF(B1812&lt;&gt;"",IF(AND(B1812&gt;=_TM1,B1812&lt;=_TM2,OR(TH!L1812="1111",TH!M1812="1111")),TH!D1812,""),"")</f>
        <v/>
      </c>
      <c r="B1812" s="701">
        <f t="shared" si="104"/>
        <v>11</v>
      </c>
      <c r="C1812" s="48">
        <f t="shared" si="105"/>
        <v>41235</v>
      </c>
      <c r="D1812" s="48" t="s">
        <v>1677</v>
      </c>
      <c r="E1812" s="48">
        <v>41235</v>
      </c>
      <c r="F1812" s="49" t="s">
        <v>370</v>
      </c>
      <c r="G1812" s="49"/>
      <c r="H1812" s="841" t="s">
        <v>1675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782" customFormat="1" ht="15.75" customHeight="1">
      <c r="A1813" s="204" t="str">
        <f>IF(B1813&lt;&gt;"",IF(AND(B1813&gt;=_TM1,B1813&lt;=_TM2,OR(TH!L1813="1111",TH!M1813="1111")),TH!D1813,""),"")</f>
        <v/>
      </c>
      <c r="B1813" s="701">
        <f t="shared" si="104"/>
        <v>10</v>
      </c>
      <c r="C1813" s="48">
        <f t="shared" si="105"/>
        <v>41183</v>
      </c>
      <c r="D1813" s="48" t="s">
        <v>1676</v>
      </c>
      <c r="E1813" s="48">
        <v>41183</v>
      </c>
      <c r="F1813" s="49" t="s">
        <v>717</v>
      </c>
      <c r="G1813" s="49"/>
      <c r="H1813" s="841" t="s">
        <v>1675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782" customFormat="1" ht="15.75" customHeight="1">
      <c r="A1814" s="204" t="str">
        <f>IF(B1814&lt;&gt;"",IF(AND(B1814&gt;=_TM1,B1814&lt;=_TM2,OR(TH!L1814="1111",TH!M1814="1111")),TH!D1814,""),"")</f>
        <v/>
      </c>
      <c r="B1814" s="701">
        <f t="shared" si="104"/>
        <v>10</v>
      </c>
      <c r="C1814" s="48">
        <f t="shared" si="105"/>
        <v>41183</v>
      </c>
      <c r="D1814" s="48" t="s">
        <v>1676</v>
      </c>
      <c r="E1814" s="48">
        <v>41183</v>
      </c>
      <c r="F1814" s="49" t="s">
        <v>553</v>
      </c>
      <c r="G1814" s="49"/>
      <c r="H1814" s="841" t="s">
        <v>1675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1682</v>
      </c>
      <c r="E1815" s="37">
        <v>40912</v>
      </c>
      <c r="F1815" s="189" t="s">
        <v>1232</v>
      </c>
      <c r="G1815" s="40" t="s">
        <v>1452</v>
      </c>
      <c r="H1815" s="7" t="s">
        <v>1675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1682</v>
      </c>
      <c r="E1816" s="37">
        <v>40912</v>
      </c>
      <c r="F1816" s="297" t="s">
        <v>1224</v>
      </c>
      <c r="G1816" s="40" t="s">
        <v>1452</v>
      </c>
      <c r="H1816" s="7" t="s">
        <v>1675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1682</v>
      </c>
      <c r="E1817" s="37">
        <v>40912</v>
      </c>
      <c r="F1817" s="189" t="s">
        <v>1232</v>
      </c>
      <c r="G1817" s="40" t="s">
        <v>1452</v>
      </c>
      <c r="H1817" s="7" t="s">
        <v>1675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1682</v>
      </c>
      <c r="E1818" s="37">
        <v>40912</v>
      </c>
      <c r="F1818" s="189" t="s">
        <v>1232</v>
      </c>
      <c r="G1818" s="40" t="s">
        <v>1452</v>
      </c>
      <c r="H1818" s="7" t="s">
        <v>1675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1682</v>
      </c>
      <c r="E1819" s="37">
        <v>40912</v>
      </c>
      <c r="F1819" s="189" t="s">
        <v>1220</v>
      </c>
      <c r="G1819" s="40" t="s">
        <v>1452</v>
      </c>
      <c r="H1819" s="7" t="s">
        <v>1675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1682</v>
      </c>
      <c r="E1820" s="37">
        <v>40912</v>
      </c>
      <c r="F1820" s="189" t="s">
        <v>1228</v>
      </c>
      <c r="G1820" s="40" t="s">
        <v>899</v>
      </c>
      <c r="H1820" s="7" t="s">
        <v>1675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1682</v>
      </c>
      <c r="E1821" s="37">
        <v>40912</v>
      </c>
      <c r="F1821" s="192" t="s">
        <v>645</v>
      </c>
      <c r="G1821" s="40" t="s">
        <v>899</v>
      </c>
      <c r="H1821" s="7" t="s">
        <v>1675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1682</v>
      </c>
      <c r="E1822" s="37">
        <v>40912</v>
      </c>
      <c r="F1822" s="189" t="s">
        <v>1232</v>
      </c>
      <c r="G1822" s="40" t="s">
        <v>899</v>
      </c>
      <c r="H1822" s="7" t="s">
        <v>1675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1682</v>
      </c>
      <c r="E1823" s="37">
        <v>40912</v>
      </c>
      <c r="F1823" s="297" t="s">
        <v>1341</v>
      </c>
      <c r="G1823" s="40" t="s">
        <v>899</v>
      </c>
      <c r="H1823" s="7" t="s">
        <v>1675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1682</v>
      </c>
      <c r="E1824" s="37">
        <v>40912</v>
      </c>
      <c r="F1824" s="189" t="s">
        <v>628</v>
      </c>
      <c r="G1824" s="40" t="s">
        <v>899</v>
      </c>
      <c r="H1824" s="7" t="s">
        <v>1675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1683</v>
      </c>
      <c r="E1825" s="37">
        <v>40914</v>
      </c>
      <c r="F1825" s="189" t="s">
        <v>1227</v>
      </c>
      <c r="G1825" s="40" t="s">
        <v>901</v>
      </c>
      <c r="H1825" s="7" t="s">
        <v>1675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1683</v>
      </c>
      <c r="E1826" s="37">
        <v>40914</v>
      </c>
      <c r="F1826" s="189" t="s">
        <v>605</v>
      </c>
      <c r="G1826" s="40" t="s">
        <v>903</v>
      </c>
      <c r="H1826" s="7" t="s">
        <v>1675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1684</v>
      </c>
      <c r="E1827" s="37">
        <v>40915</v>
      </c>
      <c r="F1827" s="189" t="s">
        <v>1235</v>
      </c>
      <c r="G1827" s="40" t="s">
        <v>904</v>
      </c>
      <c r="H1827" s="7" t="s">
        <v>1675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1685</v>
      </c>
      <c r="E1828" s="37">
        <v>40919</v>
      </c>
      <c r="F1828" s="189" t="s">
        <v>1354</v>
      </c>
      <c r="G1828" s="40" t="s">
        <v>905</v>
      </c>
      <c r="H1828" s="7" t="s">
        <v>1675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1685</v>
      </c>
      <c r="E1829" s="37">
        <v>40919</v>
      </c>
      <c r="F1829" s="297" t="s">
        <v>1341</v>
      </c>
      <c r="G1829" s="40" t="s">
        <v>905</v>
      </c>
      <c r="H1829" s="7" t="s">
        <v>1675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1685</v>
      </c>
      <c r="E1830" s="37">
        <v>40919</v>
      </c>
      <c r="F1830" s="189" t="s">
        <v>1219</v>
      </c>
      <c r="G1830" s="40" t="s">
        <v>905</v>
      </c>
      <c r="H1830" s="7" t="s">
        <v>1675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1685</v>
      </c>
      <c r="E1831" s="37">
        <v>40919</v>
      </c>
      <c r="F1831" s="192" t="s">
        <v>632</v>
      </c>
      <c r="G1831" s="40" t="s">
        <v>905</v>
      </c>
      <c r="H1831" s="7" t="s">
        <v>1675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1686</v>
      </c>
      <c r="E1832" s="37">
        <v>40921</v>
      </c>
      <c r="F1832" s="297" t="s">
        <v>1224</v>
      </c>
      <c r="G1832" s="40" t="s">
        <v>906</v>
      </c>
      <c r="H1832" s="7" t="s">
        <v>1675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1686</v>
      </c>
      <c r="E1833" s="37">
        <v>40921</v>
      </c>
      <c r="F1833" s="189" t="s">
        <v>592</v>
      </c>
      <c r="G1833" s="40" t="s">
        <v>906</v>
      </c>
      <c r="H1833" s="7" t="s">
        <v>1675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1686</v>
      </c>
      <c r="E1834" s="37">
        <v>40921</v>
      </c>
      <c r="F1834" s="189" t="s">
        <v>1235</v>
      </c>
      <c r="G1834" s="40" t="s">
        <v>906</v>
      </c>
      <c r="H1834" s="7" t="s">
        <v>1675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1686</v>
      </c>
      <c r="E1835" s="37">
        <v>40921</v>
      </c>
      <c r="F1835" s="189" t="s">
        <v>1227</v>
      </c>
      <c r="G1835" s="40" t="s">
        <v>906</v>
      </c>
      <c r="H1835" s="7" t="s">
        <v>1675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1686</v>
      </c>
      <c r="E1836" s="37">
        <v>40921</v>
      </c>
      <c r="F1836" s="297" t="s">
        <v>1341</v>
      </c>
      <c r="G1836" s="40" t="s">
        <v>906</v>
      </c>
      <c r="H1836" s="7" t="s">
        <v>1675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1686</v>
      </c>
      <c r="E1837" s="37">
        <v>40921</v>
      </c>
      <c r="F1837" s="297" t="s">
        <v>1341</v>
      </c>
      <c r="G1837" s="40" t="s">
        <v>906</v>
      </c>
      <c r="H1837" s="7" t="s">
        <v>1675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1687</v>
      </c>
      <c r="E1838" s="37">
        <v>40922</v>
      </c>
      <c r="F1838" s="189" t="s">
        <v>1348</v>
      </c>
      <c r="G1838" s="40" t="s">
        <v>1522</v>
      </c>
      <c r="H1838" s="7" t="s">
        <v>1675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1687</v>
      </c>
      <c r="E1839" s="37">
        <v>40922</v>
      </c>
      <c r="F1839" s="189" t="s">
        <v>1346</v>
      </c>
      <c r="G1839" s="40" t="s">
        <v>1522</v>
      </c>
      <c r="H1839" s="7" t="s">
        <v>1675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1687</v>
      </c>
      <c r="E1840" s="37">
        <v>40922</v>
      </c>
      <c r="F1840" s="192" t="s">
        <v>645</v>
      </c>
      <c r="G1840" s="40" t="s">
        <v>1522</v>
      </c>
      <c r="H1840" s="7" t="s">
        <v>1675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1687</v>
      </c>
      <c r="E1841" s="37">
        <v>40922</v>
      </c>
      <c r="F1841" s="189" t="s">
        <v>1347</v>
      </c>
      <c r="G1841" s="40" t="s">
        <v>1522</v>
      </c>
      <c r="H1841" s="7" t="s">
        <v>1675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1687</v>
      </c>
      <c r="E1842" s="37">
        <v>40922</v>
      </c>
      <c r="F1842" s="192" t="s">
        <v>645</v>
      </c>
      <c r="G1842" s="40" t="s">
        <v>1522</v>
      </c>
      <c r="H1842" s="7" t="s">
        <v>1675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1687</v>
      </c>
      <c r="E1843" s="37">
        <v>40922</v>
      </c>
      <c r="F1843" s="189" t="s">
        <v>1346</v>
      </c>
      <c r="G1843" s="40" t="s">
        <v>1522</v>
      </c>
      <c r="H1843" s="7" t="s">
        <v>1675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1687</v>
      </c>
      <c r="E1844" s="37">
        <v>40922</v>
      </c>
      <c r="F1844" s="189" t="s">
        <v>1346</v>
      </c>
      <c r="G1844" s="40" t="s">
        <v>1522</v>
      </c>
      <c r="H1844" s="7" t="s">
        <v>1675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1687</v>
      </c>
      <c r="E1845" s="37">
        <v>40922</v>
      </c>
      <c r="F1845" s="189" t="s">
        <v>1348</v>
      </c>
      <c r="G1845" s="40" t="s">
        <v>1522</v>
      </c>
      <c r="H1845" s="7" t="s">
        <v>1675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1687</v>
      </c>
      <c r="E1846" s="37">
        <v>40922</v>
      </c>
      <c r="F1846" s="192" t="s">
        <v>603</v>
      </c>
      <c r="G1846" s="40" t="s">
        <v>1522</v>
      </c>
      <c r="H1846" s="7" t="s">
        <v>1675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1687</v>
      </c>
      <c r="E1847" s="37">
        <v>40922</v>
      </c>
      <c r="F1847" s="189" t="s">
        <v>1230</v>
      </c>
      <c r="G1847" s="40" t="s">
        <v>1522</v>
      </c>
      <c r="H1847" s="7" t="s">
        <v>1675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1688</v>
      </c>
      <c r="E1848" s="37">
        <v>40923</v>
      </c>
      <c r="F1848" s="189" t="s">
        <v>624</v>
      </c>
      <c r="G1848" s="40" t="s">
        <v>1524</v>
      </c>
      <c r="H1848" s="7" t="s">
        <v>1675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1688</v>
      </c>
      <c r="E1849" s="37">
        <v>40923</v>
      </c>
      <c r="F1849" s="192" t="s">
        <v>635</v>
      </c>
      <c r="G1849" s="40" t="s">
        <v>1524</v>
      </c>
      <c r="H1849" s="7" t="s">
        <v>1675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1688</v>
      </c>
      <c r="E1850" s="37">
        <v>40923</v>
      </c>
      <c r="F1850" s="189" t="s">
        <v>1348</v>
      </c>
      <c r="G1850" s="40" t="s">
        <v>1524</v>
      </c>
      <c r="H1850" s="7" t="s">
        <v>1675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1688</v>
      </c>
      <c r="E1851" s="37">
        <v>40923</v>
      </c>
      <c r="F1851" s="189" t="s">
        <v>1348</v>
      </c>
      <c r="G1851" s="40" t="s">
        <v>1524</v>
      </c>
      <c r="H1851" s="7" t="s">
        <v>1675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1688</v>
      </c>
      <c r="E1852" s="37">
        <v>40923</v>
      </c>
      <c r="F1852" s="189" t="s">
        <v>585</v>
      </c>
      <c r="G1852" s="40" t="s">
        <v>1524</v>
      </c>
      <c r="H1852" s="7" t="s">
        <v>1675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1688</v>
      </c>
      <c r="E1853" s="37">
        <v>40923</v>
      </c>
      <c r="F1853" s="189" t="s">
        <v>613</v>
      </c>
      <c r="G1853" s="40" t="s">
        <v>1524</v>
      </c>
      <c r="H1853" s="7" t="s">
        <v>1675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1688</v>
      </c>
      <c r="E1854" s="37">
        <v>40923</v>
      </c>
      <c r="F1854" s="192" t="s">
        <v>637</v>
      </c>
      <c r="G1854" s="40" t="s">
        <v>1524</v>
      </c>
      <c r="H1854" s="7" t="s">
        <v>1675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1688</v>
      </c>
      <c r="E1855" s="37">
        <v>40923</v>
      </c>
      <c r="F1855" s="189" t="s">
        <v>584</v>
      </c>
      <c r="G1855" s="40" t="s">
        <v>1524</v>
      </c>
      <c r="H1855" s="7" t="s">
        <v>1675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1688</v>
      </c>
      <c r="E1856" s="37">
        <v>40923</v>
      </c>
      <c r="F1856" s="192" t="s">
        <v>631</v>
      </c>
      <c r="G1856" s="40" t="s">
        <v>1524</v>
      </c>
      <c r="H1856" s="7" t="s">
        <v>1675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1688</v>
      </c>
      <c r="E1857" s="37">
        <v>40923</v>
      </c>
      <c r="F1857" s="189" t="s">
        <v>1348</v>
      </c>
      <c r="G1857" s="40" t="s">
        <v>1524</v>
      </c>
      <c r="H1857" s="7" t="s">
        <v>1675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1689</v>
      </c>
      <c r="E1858" s="37">
        <v>40935</v>
      </c>
      <c r="F1858" s="189" t="s">
        <v>626</v>
      </c>
      <c r="G1858" s="40" t="s">
        <v>1526</v>
      </c>
      <c r="H1858" s="7" t="s">
        <v>1675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1689</v>
      </c>
      <c r="E1859" s="191">
        <v>40935</v>
      </c>
      <c r="F1859" s="189" t="s">
        <v>593</v>
      </c>
      <c r="G1859" s="614" t="s">
        <v>1526</v>
      </c>
      <c r="H1859" s="7" t="s">
        <v>1675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1689</v>
      </c>
      <c r="E1860" s="191">
        <v>40935</v>
      </c>
      <c r="F1860" s="297" t="s">
        <v>1217</v>
      </c>
      <c r="G1860" s="614" t="s">
        <v>1526</v>
      </c>
      <c r="H1860" s="7" t="s">
        <v>1675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1689</v>
      </c>
      <c r="E1861" s="191">
        <v>40935</v>
      </c>
      <c r="F1861" s="189" t="s">
        <v>612</v>
      </c>
      <c r="G1861" s="488" t="s">
        <v>1526</v>
      </c>
      <c r="H1861" s="7" t="s">
        <v>1675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1689</v>
      </c>
      <c r="E1862" s="191">
        <v>40935</v>
      </c>
      <c r="F1862" s="297" t="s">
        <v>1344</v>
      </c>
      <c r="G1862" s="488" t="s">
        <v>1526</v>
      </c>
      <c r="H1862" s="7" t="s">
        <v>1675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1689</v>
      </c>
      <c r="E1863" s="191">
        <v>40935</v>
      </c>
      <c r="F1863" s="192" t="s">
        <v>647</v>
      </c>
      <c r="G1863" s="488" t="s">
        <v>1526</v>
      </c>
      <c r="H1863" s="7" t="s">
        <v>1675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1689</v>
      </c>
      <c r="E1864" s="191">
        <v>40935</v>
      </c>
      <c r="F1864" s="189" t="s">
        <v>1351</v>
      </c>
      <c r="G1864" s="488" t="s">
        <v>1526</v>
      </c>
      <c r="H1864" s="7" t="s">
        <v>1675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1689</v>
      </c>
      <c r="E1865" s="191">
        <v>40935</v>
      </c>
      <c r="F1865" s="189" t="s">
        <v>1350</v>
      </c>
      <c r="G1865" s="488" t="s">
        <v>1526</v>
      </c>
      <c r="H1865" s="7" t="s">
        <v>1675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1689</v>
      </c>
      <c r="E1866" s="191">
        <v>40935</v>
      </c>
      <c r="F1866" s="189" t="s">
        <v>1233</v>
      </c>
      <c r="G1866" s="488" t="s">
        <v>1526</v>
      </c>
      <c r="H1866" s="7" t="s">
        <v>1675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1689</v>
      </c>
      <c r="E1867" s="184">
        <v>40935</v>
      </c>
      <c r="F1867" s="192" t="s">
        <v>637</v>
      </c>
      <c r="G1867" s="614" t="s">
        <v>1526</v>
      </c>
      <c r="H1867" s="7" t="s">
        <v>1675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1690</v>
      </c>
      <c r="E1868" s="191">
        <v>40936</v>
      </c>
      <c r="F1868" s="189" t="s">
        <v>1348</v>
      </c>
      <c r="G1868" s="665" t="s">
        <v>1527</v>
      </c>
      <c r="H1868" s="7" t="s">
        <v>1675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1690</v>
      </c>
      <c r="E1869" s="191">
        <v>40936</v>
      </c>
      <c r="F1869" s="189" t="s">
        <v>1346</v>
      </c>
      <c r="G1869" s="665" t="s">
        <v>1527</v>
      </c>
      <c r="H1869" s="7" t="s">
        <v>1675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1690</v>
      </c>
      <c r="E1870" s="191">
        <v>40936</v>
      </c>
      <c r="F1870" s="192" t="s">
        <v>634</v>
      </c>
      <c r="G1870" s="665" t="s">
        <v>1527</v>
      </c>
      <c r="H1870" s="7" t="s">
        <v>1675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1690</v>
      </c>
      <c r="E1871" s="769">
        <v>40936</v>
      </c>
      <c r="F1871" s="192" t="s">
        <v>637</v>
      </c>
      <c r="G1871" s="488" t="s">
        <v>1527</v>
      </c>
      <c r="H1871" s="7" t="s">
        <v>1675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1690</v>
      </c>
      <c r="E1872" s="184">
        <v>40936</v>
      </c>
      <c r="F1872" s="189" t="s">
        <v>1229</v>
      </c>
      <c r="G1872" s="614" t="s">
        <v>1527</v>
      </c>
      <c r="H1872" s="7" t="s">
        <v>1675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1690</v>
      </c>
      <c r="E1873" s="191">
        <v>40936</v>
      </c>
      <c r="F1873" s="192" t="s">
        <v>650</v>
      </c>
      <c r="G1873" s="488" t="s">
        <v>1527</v>
      </c>
      <c r="H1873" s="7" t="s">
        <v>1675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1690</v>
      </c>
      <c r="E1874" s="191">
        <v>40936</v>
      </c>
      <c r="F1874" s="189" t="s">
        <v>625</v>
      </c>
      <c r="G1874" s="488" t="s">
        <v>1527</v>
      </c>
      <c r="H1874" s="7" t="s">
        <v>1675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1690</v>
      </c>
      <c r="E1875" s="191">
        <v>40936</v>
      </c>
      <c r="F1875" s="297" t="s">
        <v>1343</v>
      </c>
      <c r="G1875" s="488" t="s">
        <v>1527</v>
      </c>
      <c r="H1875" s="7" t="s">
        <v>1675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1690</v>
      </c>
      <c r="E1876" s="191">
        <v>40936</v>
      </c>
      <c r="F1876" s="189" t="s">
        <v>591</v>
      </c>
      <c r="G1876" s="488" t="s">
        <v>1527</v>
      </c>
      <c r="H1876" s="7" t="s">
        <v>1675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1690</v>
      </c>
      <c r="E1877" s="191">
        <v>40936</v>
      </c>
      <c r="F1877" s="189" t="s">
        <v>1348</v>
      </c>
      <c r="G1877" s="488" t="s">
        <v>1527</v>
      </c>
      <c r="H1877" s="7" t="s">
        <v>1675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1691</v>
      </c>
      <c r="E1878" s="191">
        <v>40943</v>
      </c>
      <c r="F1878" s="189" t="s">
        <v>611</v>
      </c>
      <c r="G1878" s="488" t="s">
        <v>907</v>
      </c>
      <c r="H1878" s="7" t="s">
        <v>1675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1691</v>
      </c>
      <c r="E1879" s="191">
        <v>40943</v>
      </c>
      <c r="F1879" s="189" t="s">
        <v>1340</v>
      </c>
      <c r="G1879" s="488" t="s">
        <v>907</v>
      </c>
      <c r="H1879" s="7" t="s">
        <v>1675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1691</v>
      </c>
      <c r="E1880" s="191">
        <v>40943</v>
      </c>
      <c r="F1880" s="189" t="s">
        <v>1226</v>
      </c>
      <c r="G1880" s="488" t="s">
        <v>907</v>
      </c>
      <c r="H1880" s="7" t="s">
        <v>1675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1691</v>
      </c>
      <c r="E1881" s="191">
        <v>40943</v>
      </c>
      <c r="F1881" s="297" t="s">
        <v>1341</v>
      </c>
      <c r="G1881" s="488" t="s">
        <v>907</v>
      </c>
      <c r="H1881" s="7" t="s">
        <v>1675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1691</v>
      </c>
      <c r="E1882" s="191">
        <v>40943</v>
      </c>
      <c r="F1882" s="297" t="s">
        <v>1341</v>
      </c>
      <c r="G1882" s="488" t="s">
        <v>907</v>
      </c>
      <c r="H1882" s="7" t="s">
        <v>1675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1692</v>
      </c>
      <c r="E1883" s="191">
        <v>40950</v>
      </c>
      <c r="F1883" s="189" t="s">
        <v>1223</v>
      </c>
      <c r="G1883" s="488" t="s">
        <v>911</v>
      </c>
      <c r="H1883" s="7" t="s">
        <v>1675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1692</v>
      </c>
      <c r="E1884" s="191">
        <v>40950</v>
      </c>
      <c r="F1884" s="189" t="s">
        <v>579</v>
      </c>
      <c r="G1884" s="488" t="s">
        <v>1528</v>
      </c>
      <c r="H1884" s="7" t="s">
        <v>1675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1693</v>
      </c>
      <c r="E1885" s="191">
        <v>40953</v>
      </c>
      <c r="F1885" s="192" t="s">
        <v>642</v>
      </c>
      <c r="G1885" s="488" t="s">
        <v>912</v>
      </c>
      <c r="H1885" s="7" t="s">
        <v>1675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1694</v>
      </c>
      <c r="E1886" s="191">
        <v>40956</v>
      </c>
      <c r="F1886" s="189" t="s">
        <v>606</v>
      </c>
      <c r="G1886" s="488" t="s">
        <v>1529</v>
      </c>
      <c r="H1886" s="7" t="s">
        <v>1675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1694</v>
      </c>
      <c r="E1887" s="191">
        <v>40956</v>
      </c>
      <c r="F1887" s="297" t="s">
        <v>1225</v>
      </c>
      <c r="G1887" s="488" t="s">
        <v>1529</v>
      </c>
      <c r="H1887" s="7" t="s">
        <v>1675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1695</v>
      </c>
      <c r="E1888" s="184">
        <v>40959</v>
      </c>
      <c r="F1888" s="189" t="s">
        <v>1348</v>
      </c>
      <c r="G1888" s="614" t="s">
        <v>913</v>
      </c>
      <c r="H1888" s="7" t="s">
        <v>1675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1696</v>
      </c>
      <c r="E1889" s="184">
        <v>40960</v>
      </c>
      <c r="F1889" s="189" t="s">
        <v>627</v>
      </c>
      <c r="G1889" s="614" t="s">
        <v>1533</v>
      </c>
      <c r="H1889" s="7" t="s">
        <v>1675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1696</v>
      </c>
      <c r="E1890" s="184">
        <v>40960</v>
      </c>
      <c r="F1890" s="189" t="s">
        <v>628</v>
      </c>
      <c r="G1890" s="614" t="s">
        <v>1533</v>
      </c>
      <c r="H1890" s="7" t="s">
        <v>1675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1697</v>
      </c>
      <c r="E1891" s="184">
        <v>40962</v>
      </c>
      <c r="F1891" s="189" t="s">
        <v>1346</v>
      </c>
      <c r="G1891" s="614" t="s">
        <v>1470</v>
      </c>
      <c r="H1891" s="7" t="s">
        <v>1675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1697</v>
      </c>
      <c r="E1892" s="191">
        <v>40962</v>
      </c>
      <c r="F1892" s="192" t="s">
        <v>645</v>
      </c>
      <c r="G1892" s="488" t="s">
        <v>1470</v>
      </c>
      <c r="H1892" s="7" t="s">
        <v>1675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1697</v>
      </c>
      <c r="E1893" s="191">
        <v>40962</v>
      </c>
      <c r="F1893" s="192" t="s">
        <v>645</v>
      </c>
      <c r="G1893" s="488" t="s">
        <v>1470</v>
      </c>
      <c r="H1893" s="7" t="s">
        <v>1675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1697</v>
      </c>
      <c r="E1894" s="191">
        <v>40962</v>
      </c>
      <c r="F1894" s="192" t="s">
        <v>645</v>
      </c>
      <c r="G1894" s="488" t="s">
        <v>1470</v>
      </c>
      <c r="H1894" s="7" t="s">
        <v>1675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1697</v>
      </c>
      <c r="E1895" s="191">
        <v>40962</v>
      </c>
      <c r="F1895" s="192" t="s">
        <v>645</v>
      </c>
      <c r="G1895" s="488" t="s">
        <v>1470</v>
      </c>
      <c r="H1895" s="7" t="s">
        <v>1675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1697</v>
      </c>
      <c r="E1896" s="191">
        <v>40962</v>
      </c>
      <c r="F1896" s="192" t="s">
        <v>645</v>
      </c>
      <c r="G1896" s="488" t="s">
        <v>1470</v>
      </c>
      <c r="H1896" s="7" t="s">
        <v>1675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1697</v>
      </c>
      <c r="E1897" s="191">
        <v>40962</v>
      </c>
      <c r="F1897" s="192" t="s">
        <v>645</v>
      </c>
      <c r="G1897" s="488" t="s">
        <v>1470</v>
      </c>
      <c r="H1897" s="7" t="s">
        <v>1675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1697</v>
      </c>
      <c r="E1898" s="191">
        <v>40962</v>
      </c>
      <c r="F1898" s="192" t="s">
        <v>645</v>
      </c>
      <c r="G1898" s="488" t="s">
        <v>1470</v>
      </c>
      <c r="H1898" s="7" t="s">
        <v>1675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1697</v>
      </c>
      <c r="E1899" s="191">
        <v>40962</v>
      </c>
      <c r="F1899" s="189" t="s">
        <v>1348</v>
      </c>
      <c r="G1899" s="488" t="s">
        <v>1470</v>
      </c>
      <c r="H1899" s="7" t="s">
        <v>1675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1697</v>
      </c>
      <c r="E1900" s="191">
        <v>40962</v>
      </c>
      <c r="F1900" s="297" t="s">
        <v>1218</v>
      </c>
      <c r="G1900" s="488" t="s">
        <v>1470</v>
      </c>
      <c r="H1900" s="7" t="s">
        <v>1675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1697</v>
      </c>
      <c r="E1901" s="191">
        <v>40962</v>
      </c>
      <c r="F1901" s="189" t="s">
        <v>1349</v>
      </c>
      <c r="G1901" s="488" t="s">
        <v>1470</v>
      </c>
      <c r="H1901" s="7" t="s">
        <v>1675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1697</v>
      </c>
      <c r="E1902" s="191">
        <v>40962</v>
      </c>
      <c r="F1902" s="192" t="s">
        <v>1215</v>
      </c>
      <c r="G1902" s="488" t="s">
        <v>1470</v>
      </c>
      <c r="H1902" s="7" t="s">
        <v>1675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1697</v>
      </c>
      <c r="E1903" s="191">
        <v>40962</v>
      </c>
      <c r="F1903" s="192" t="s">
        <v>645</v>
      </c>
      <c r="G1903" s="488" t="s">
        <v>1470</v>
      </c>
      <c r="H1903" s="7" t="s">
        <v>1675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1697</v>
      </c>
      <c r="E1904" s="191">
        <v>40962</v>
      </c>
      <c r="F1904" s="189" t="s">
        <v>1231</v>
      </c>
      <c r="G1904" s="488" t="s">
        <v>1470</v>
      </c>
      <c r="H1904" s="7" t="s">
        <v>1675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1697</v>
      </c>
      <c r="E1905" s="191">
        <v>40962</v>
      </c>
      <c r="F1905" s="189" t="s">
        <v>1348</v>
      </c>
      <c r="G1905" s="488" t="s">
        <v>1470</v>
      </c>
      <c r="H1905" s="7" t="s">
        <v>1675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1697</v>
      </c>
      <c r="E1906" s="191">
        <v>40962</v>
      </c>
      <c r="F1906" s="192" t="s">
        <v>645</v>
      </c>
      <c r="G1906" s="488" t="s">
        <v>1470</v>
      </c>
      <c r="H1906" s="7" t="s">
        <v>1675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01">
        <f t="shared" si="112"/>
        <v>2</v>
      </c>
      <c r="C1907" s="37">
        <f t="shared" si="113"/>
        <v>40962</v>
      </c>
      <c r="D1907" s="37" t="s">
        <v>1697</v>
      </c>
      <c r="E1907" s="191">
        <v>40962</v>
      </c>
      <c r="F1907" s="189" t="s">
        <v>1221</v>
      </c>
      <c r="G1907" s="488" t="s">
        <v>1470</v>
      </c>
      <c r="H1907" s="7" t="s">
        <v>1675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82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01">
        <f t="shared" si="112"/>
        <v>2</v>
      </c>
      <c r="C1908" s="37">
        <f t="shared" si="113"/>
        <v>40962</v>
      </c>
      <c r="D1908" s="37" t="s">
        <v>1697</v>
      </c>
      <c r="E1908" s="191">
        <v>40962</v>
      </c>
      <c r="F1908" s="189" t="s">
        <v>1346</v>
      </c>
      <c r="G1908" s="488" t="s">
        <v>1470</v>
      </c>
      <c r="H1908" s="7" t="s">
        <v>1675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82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01">
        <f t="shared" si="112"/>
        <v>2</v>
      </c>
      <c r="C1909" s="37">
        <f t="shared" si="113"/>
        <v>40962</v>
      </c>
      <c r="D1909" s="37" t="s">
        <v>1697</v>
      </c>
      <c r="E1909" s="191">
        <v>40962</v>
      </c>
      <c r="F1909" s="192" t="s">
        <v>645</v>
      </c>
      <c r="G1909" s="488" t="s">
        <v>1470</v>
      </c>
      <c r="H1909" s="7" t="s">
        <v>1675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82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01">
        <f t="shared" si="112"/>
        <v>2</v>
      </c>
      <c r="C1910" s="37">
        <f t="shared" si="113"/>
        <v>40962</v>
      </c>
      <c r="D1910" s="37" t="s">
        <v>1697</v>
      </c>
      <c r="E1910" s="191">
        <v>40962</v>
      </c>
      <c r="F1910" s="192" t="s">
        <v>645</v>
      </c>
      <c r="G1910" s="488" t="s">
        <v>1470</v>
      </c>
      <c r="H1910" s="7" t="s">
        <v>1675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82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01">
        <f t="shared" si="112"/>
        <v>2</v>
      </c>
      <c r="C1911" s="37">
        <f t="shared" si="113"/>
        <v>40962</v>
      </c>
      <c r="D1911" s="37" t="s">
        <v>1697</v>
      </c>
      <c r="E1911" s="191">
        <v>40962</v>
      </c>
      <c r="F1911" s="192" t="s">
        <v>1215</v>
      </c>
      <c r="G1911" s="488" t="s">
        <v>1470</v>
      </c>
      <c r="H1911" s="7" t="s">
        <v>1675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82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01">
        <f t="shared" si="112"/>
        <v>2</v>
      </c>
      <c r="C1912" s="37">
        <f t="shared" si="113"/>
        <v>40962</v>
      </c>
      <c r="D1912" s="37" t="s">
        <v>1697</v>
      </c>
      <c r="E1912" s="191">
        <v>40962</v>
      </c>
      <c r="F1912" s="192" t="s">
        <v>645</v>
      </c>
      <c r="G1912" s="488" t="s">
        <v>1470</v>
      </c>
      <c r="H1912" s="7" t="s">
        <v>1675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82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01">
        <f t="shared" si="112"/>
        <v>2</v>
      </c>
      <c r="C1913" s="37">
        <f t="shared" si="113"/>
        <v>40962</v>
      </c>
      <c r="D1913" s="37" t="s">
        <v>1697</v>
      </c>
      <c r="E1913" s="191">
        <v>40962</v>
      </c>
      <c r="F1913" s="189" t="s">
        <v>592</v>
      </c>
      <c r="G1913" s="488" t="s">
        <v>1470</v>
      </c>
      <c r="H1913" s="7" t="s">
        <v>1675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82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01">
        <f t="shared" si="112"/>
        <v>2</v>
      </c>
      <c r="C1914" s="37">
        <f t="shared" si="113"/>
        <v>40962</v>
      </c>
      <c r="D1914" s="37" t="s">
        <v>1697</v>
      </c>
      <c r="E1914" s="191">
        <v>40962</v>
      </c>
      <c r="F1914" s="189" t="s">
        <v>592</v>
      </c>
      <c r="G1914" s="488" t="s">
        <v>1470</v>
      </c>
      <c r="H1914" s="7" t="s">
        <v>1675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82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01">
        <f t="shared" si="112"/>
        <v>2</v>
      </c>
      <c r="C1915" s="37">
        <f t="shared" si="113"/>
        <v>40962</v>
      </c>
      <c r="D1915" s="37" t="s">
        <v>1697</v>
      </c>
      <c r="E1915" s="191">
        <v>40962</v>
      </c>
      <c r="F1915" s="189" t="s">
        <v>592</v>
      </c>
      <c r="G1915" s="488" t="s">
        <v>1470</v>
      </c>
      <c r="H1915" s="7" t="s">
        <v>1675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82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01">
        <f t="shared" si="112"/>
        <v>2</v>
      </c>
      <c r="C1916" s="37">
        <f t="shared" si="113"/>
        <v>40962</v>
      </c>
      <c r="D1916" s="37" t="s">
        <v>1697</v>
      </c>
      <c r="E1916" s="191">
        <v>40962</v>
      </c>
      <c r="F1916" s="192" t="s">
        <v>638</v>
      </c>
      <c r="G1916" s="488" t="s">
        <v>1470</v>
      </c>
      <c r="H1916" s="7" t="s">
        <v>1675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82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01">
        <f t="shared" si="112"/>
        <v>2</v>
      </c>
      <c r="C1917" s="37">
        <f t="shared" si="113"/>
        <v>40962</v>
      </c>
      <c r="D1917" s="37" t="s">
        <v>1697</v>
      </c>
      <c r="E1917" s="191">
        <v>40962</v>
      </c>
      <c r="F1917" s="189" t="s">
        <v>620</v>
      </c>
      <c r="G1917" s="488" t="s">
        <v>1470</v>
      </c>
      <c r="H1917" s="7" t="s">
        <v>1675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82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01">
        <f t="shared" si="112"/>
        <v>2</v>
      </c>
      <c r="C1918" s="37">
        <f t="shared" si="113"/>
        <v>40962</v>
      </c>
      <c r="D1918" s="37" t="s">
        <v>1697</v>
      </c>
      <c r="E1918" s="191">
        <v>40962</v>
      </c>
      <c r="F1918" s="189" t="s">
        <v>592</v>
      </c>
      <c r="G1918" s="488" t="s">
        <v>1470</v>
      </c>
      <c r="H1918" s="7" t="s">
        <v>1675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82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01">
        <f t="shared" si="112"/>
        <v>2</v>
      </c>
      <c r="C1919" s="37">
        <f t="shared" si="113"/>
        <v>40965</v>
      </c>
      <c r="D1919" s="37" t="s">
        <v>1698</v>
      </c>
      <c r="E1919" s="191">
        <v>40965</v>
      </c>
      <c r="F1919" s="189" t="s">
        <v>592</v>
      </c>
      <c r="G1919" s="488" t="s">
        <v>1496</v>
      </c>
      <c r="H1919" s="7" t="s">
        <v>1675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82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01">
        <f t="shared" si="112"/>
        <v>2</v>
      </c>
      <c r="C1920" s="37">
        <f t="shared" si="113"/>
        <v>40965</v>
      </c>
      <c r="D1920" s="37" t="s">
        <v>1698</v>
      </c>
      <c r="E1920" s="191">
        <v>40965</v>
      </c>
      <c r="F1920" s="192" t="s">
        <v>645</v>
      </c>
      <c r="G1920" s="488" t="s">
        <v>1496</v>
      </c>
      <c r="H1920" s="7" t="s">
        <v>1675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82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01">
        <f t="shared" si="112"/>
        <v>2</v>
      </c>
      <c r="C1921" s="37">
        <f t="shared" si="113"/>
        <v>40965</v>
      </c>
      <c r="D1921" s="37" t="s">
        <v>1698</v>
      </c>
      <c r="E1921" s="191">
        <v>40965</v>
      </c>
      <c r="F1921" s="192" t="s">
        <v>645</v>
      </c>
      <c r="G1921" s="488" t="s">
        <v>1496</v>
      </c>
      <c r="H1921" s="7" t="s">
        <v>1675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82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01">
        <f t="shared" si="112"/>
        <v>2</v>
      </c>
      <c r="C1922" s="37">
        <f t="shared" si="113"/>
        <v>40965</v>
      </c>
      <c r="D1922" s="37" t="s">
        <v>1698</v>
      </c>
      <c r="E1922" s="191">
        <v>40965</v>
      </c>
      <c r="F1922" s="192" t="s">
        <v>645</v>
      </c>
      <c r="G1922" s="488" t="s">
        <v>1496</v>
      </c>
      <c r="H1922" s="7" t="s">
        <v>1675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82"/>
      <c r="AB1922" s="211"/>
    </row>
    <row r="1923" spans="1:28" s="782" customFormat="1" ht="15.75" customHeight="1">
      <c r="A1923" s="204" t="str">
        <f>IF(B1923&lt;&gt;"",IF(AND(B1923&gt;=_TM1,B1923&lt;=_TM2,OR(TH!L1923="1111",TH!M1923="1111")),TH!D1923,""),"")</f>
        <v/>
      </c>
      <c r="B1923" s="701">
        <f t="shared" ref="B1923:B1986" si="115">IF(C1923&lt;&gt;"",MONTH(C1923),"")</f>
        <v>2</v>
      </c>
      <c r="C1923" s="37">
        <f t="shared" si="113"/>
        <v>40965</v>
      </c>
      <c r="D1923" s="37" t="s">
        <v>1698</v>
      </c>
      <c r="E1923" s="191">
        <v>40965</v>
      </c>
      <c r="F1923" s="192" t="s">
        <v>645</v>
      </c>
      <c r="G1923" s="488" t="s">
        <v>1496</v>
      </c>
      <c r="H1923" s="7" t="s">
        <v>1675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782" customFormat="1" ht="15.75" customHeight="1">
      <c r="A1924" s="204" t="str">
        <f>IF(B1924&lt;&gt;"",IF(AND(B1924&gt;=_TM1,B1924&lt;=_TM2,OR(TH!L1924="1111",TH!M1924="1111")),TH!D1924,""),"")</f>
        <v/>
      </c>
      <c r="B1924" s="701">
        <f t="shared" si="115"/>
        <v>2</v>
      </c>
      <c r="C1924" s="37">
        <f t="shared" si="113"/>
        <v>40965</v>
      </c>
      <c r="D1924" s="37" t="s">
        <v>1698</v>
      </c>
      <c r="E1924" s="191">
        <v>40965</v>
      </c>
      <c r="F1924" s="192" t="s">
        <v>645</v>
      </c>
      <c r="G1924" s="488" t="s">
        <v>1496</v>
      </c>
      <c r="H1924" s="7" t="s">
        <v>1675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782" customFormat="1" ht="15.75" customHeight="1">
      <c r="A1925" s="204" t="str">
        <f>IF(B1925&lt;&gt;"",IF(AND(B1925&gt;=_TM1,B1925&lt;=_TM2,OR(TH!L1925="1111",TH!M1925="1111")),TH!D1925,""),"")</f>
        <v/>
      </c>
      <c r="B1925" s="701">
        <f t="shared" si="115"/>
        <v>2</v>
      </c>
      <c r="C1925" s="37">
        <f t="shared" si="113"/>
        <v>40965</v>
      </c>
      <c r="D1925" s="37" t="s">
        <v>1698</v>
      </c>
      <c r="E1925" s="191">
        <v>40965</v>
      </c>
      <c r="F1925" s="192" t="s">
        <v>645</v>
      </c>
      <c r="G1925" s="488" t="s">
        <v>1496</v>
      </c>
      <c r="H1925" s="7" t="s">
        <v>1675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782" customFormat="1" ht="15.75" customHeight="1">
      <c r="A1926" s="204" t="str">
        <f>IF(B1926&lt;&gt;"",IF(AND(B1926&gt;=_TM1,B1926&lt;=_TM2,OR(TH!L1926="1111",TH!M1926="1111")),TH!D1926,""),"")</f>
        <v/>
      </c>
      <c r="B1926" s="701">
        <f t="shared" si="115"/>
        <v>2</v>
      </c>
      <c r="C1926" s="37">
        <f t="shared" si="113"/>
        <v>40965</v>
      </c>
      <c r="D1926" s="37" t="s">
        <v>1698</v>
      </c>
      <c r="E1926" s="191">
        <v>40965</v>
      </c>
      <c r="F1926" s="189" t="s">
        <v>582</v>
      </c>
      <c r="G1926" s="488" t="s">
        <v>1496</v>
      </c>
      <c r="H1926" s="7" t="s">
        <v>1675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782" customFormat="1" ht="15.75" customHeight="1">
      <c r="A1927" s="204" t="str">
        <f>IF(B1927&lt;&gt;"",IF(AND(B1927&gt;=_TM1,B1927&lt;=_TM2,OR(TH!L1927="1111",TH!M1927="1111")),TH!D1927,""),"")</f>
        <v/>
      </c>
      <c r="B1927" s="701">
        <f t="shared" si="115"/>
        <v>2</v>
      </c>
      <c r="C1927" s="37">
        <f t="shared" si="113"/>
        <v>40965</v>
      </c>
      <c r="D1927" s="37" t="s">
        <v>1698</v>
      </c>
      <c r="E1927" s="191">
        <v>40965</v>
      </c>
      <c r="F1927" s="192" t="s">
        <v>645</v>
      </c>
      <c r="G1927" s="488" t="s">
        <v>1496</v>
      </c>
      <c r="H1927" s="7" t="s">
        <v>1675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782" customFormat="1" ht="15.75" customHeight="1">
      <c r="A1928" s="204" t="str">
        <f>IF(B1928&lt;&gt;"",IF(AND(B1928&gt;=_TM1,B1928&lt;=_TM2,OR(TH!L1928="1111",TH!M1928="1111")),TH!D1928,""),"")</f>
        <v/>
      </c>
      <c r="B1928" s="701">
        <f t="shared" si="115"/>
        <v>2</v>
      </c>
      <c r="C1928" s="37">
        <f t="shared" si="113"/>
        <v>40965</v>
      </c>
      <c r="D1928" s="37" t="s">
        <v>1698</v>
      </c>
      <c r="E1928" s="191">
        <v>40965</v>
      </c>
      <c r="F1928" s="189" t="s">
        <v>615</v>
      </c>
      <c r="G1928" s="488" t="s">
        <v>1496</v>
      </c>
      <c r="H1928" s="7" t="s">
        <v>1675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782" customFormat="1" ht="15.75" customHeight="1">
      <c r="A1929" s="204" t="str">
        <f>IF(B1929&lt;&gt;"",IF(AND(B1929&gt;=_TM1,B1929&lt;=_TM2,OR(TH!L1929="1111",TH!M1929="1111")),TH!D1929,""),"")</f>
        <v/>
      </c>
      <c r="B1929" s="701">
        <f t="shared" si="115"/>
        <v>2</v>
      </c>
      <c r="C1929" s="37">
        <f t="shared" si="113"/>
        <v>40965</v>
      </c>
      <c r="D1929" s="37" t="s">
        <v>1698</v>
      </c>
      <c r="E1929" s="191">
        <v>40965</v>
      </c>
      <c r="F1929" s="189" t="s">
        <v>1348</v>
      </c>
      <c r="G1929" s="488" t="s">
        <v>1496</v>
      </c>
      <c r="H1929" s="7" t="s">
        <v>1675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782" customFormat="1" ht="15.75" customHeight="1">
      <c r="A1930" s="204" t="str">
        <f>IF(B1930&lt;&gt;"",IF(AND(B1930&gt;=_TM1,B1930&lt;=_TM2,OR(TH!L1930="1111",TH!M1930="1111")),TH!D1930,""),"")</f>
        <v/>
      </c>
      <c r="B1930" s="701">
        <f t="shared" si="115"/>
        <v>2</v>
      </c>
      <c r="C1930" s="37">
        <f t="shared" si="113"/>
        <v>40965</v>
      </c>
      <c r="D1930" s="37" t="s">
        <v>1698</v>
      </c>
      <c r="E1930" s="191">
        <v>40965</v>
      </c>
      <c r="F1930" s="189" t="s">
        <v>1348</v>
      </c>
      <c r="G1930" s="488" t="s">
        <v>1496</v>
      </c>
      <c r="H1930" s="7" t="s">
        <v>1675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782" customFormat="1" ht="15.75" customHeight="1">
      <c r="A1931" s="204" t="str">
        <f>IF(B1931&lt;&gt;"",IF(AND(B1931&gt;=_TM1,B1931&lt;=_TM2,OR(TH!L1931="1111",TH!M1931="1111")),TH!D1931,""),"")</f>
        <v/>
      </c>
      <c r="B1931" s="701">
        <f t="shared" si="115"/>
        <v>2</v>
      </c>
      <c r="C1931" s="37">
        <f t="shared" si="113"/>
        <v>40965</v>
      </c>
      <c r="D1931" s="37" t="s">
        <v>1698</v>
      </c>
      <c r="E1931" s="191">
        <v>40965</v>
      </c>
      <c r="F1931" s="189" t="s">
        <v>617</v>
      </c>
      <c r="G1931" s="488" t="s">
        <v>1496</v>
      </c>
      <c r="H1931" s="7" t="s">
        <v>1675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782" customFormat="1" ht="15.75" customHeight="1">
      <c r="A1932" s="204" t="str">
        <f>IF(B1932&lt;&gt;"",IF(AND(B1932&gt;=_TM1,B1932&lt;=_TM2,OR(TH!L1932="1111",TH!M1932="1111")),TH!D1932,""),"")</f>
        <v/>
      </c>
      <c r="B1932" s="701">
        <f t="shared" si="115"/>
        <v>2</v>
      </c>
      <c r="C1932" s="37">
        <f t="shared" si="113"/>
        <v>40965</v>
      </c>
      <c r="D1932" s="37" t="s">
        <v>1698</v>
      </c>
      <c r="E1932" s="191">
        <v>40965</v>
      </c>
      <c r="F1932" s="189" t="s">
        <v>616</v>
      </c>
      <c r="G1932" s="488" t="s">
        <v>1496</v>
      </c>
      <c r="H1932" s="7" t="s">
        <v>1675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782" customFormat="1" ht="15.75" customHeight="1">
      <c r="A1933" s="204" t="str">
        <f>IF(B1933&lt;&gt;"",IF(AND(B1933&gt;=_TM1,B1933&lt;=_TM2,OR(TH!L1933="1111",TH!M1933="1111")),TH!D1933,""),"")</f>
        <v/>
      </c>
      <c r="B1933" s="701">
        <f t="shared" si="115"/>
        <v>2</v>
      </c>
      <c r="C1933" s="37">
        <f t="shared" si="113"/>
        <v>40965</v>
      </c>
      <c r="D1933" s="37" t="s">
        <v>1698</v>
      </c>
      <c r="E1933" s="191">
        <v>40965</v>
      </c>
      <c r="F1933" s="192" t="s">
        <v>1215</v>
      </c>
      <c r="G1933" s="488" t="s">
        <v>1496</v>
      </c>
      <c r="H1933" s="7" t="s">
        <v>1675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782" customFormat="1" ht="15.75" customHeight="1">
      <c r="A1934" s="204" t="str">
        <f>IF(B1934&lt;&gt;"",IF(AND(B1934&gt;=_TM1,B1934&lt;=_TM2,OR(TH!L1934="1111",TH!M1934="1111")),TH!D1934,""),"")</f>
        <v/>
      </c>
      <c r="B1934" s="701">
        <f t="shared" si="115"/>
        <v>2</v>
      </c>
      <c r="C1934" s="37">
        <f t="shared" si="113"/>
        <v>40965</v>
      </c>
      <c r="D1934" s="37" t="s">
        <v>1698</v>
      </c>
      <c r="E1934" s="191">
        <v>40965</v>
      </c>
      <c r="F1934" s="192" t="s">
        <v>633</v>
      </c>
      <c r="G1934" s="488" t="s">
        <v>1496</v>
      </c>
      <c r="H1934" s="7" t="s">
        <v>1675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782" customFormat="1" ht="15.75" customHeight="1">
      <c r="A1935" s="204" t="str">
        <f>IF(B1935&lt;&gt;"",IF(AND(B1935&gt;=_TM1,B1935&lt;=_TM2,OR(TH!L1935="1111",TH!M1935="1111")),TH!D1935,""),"")</f>
        <v/>
      </c>
      <c r="B1935" s="701">
        <f t="shared" si="115"/>
        <v>2</v>
      </c>
      <c r="C1935" s="37">
        <f t="shared" si="113"/>
        <v>40965</v>
      </c>
      <c r="D1935" s="37" t="s">
        <v>1698</v>
      </c>
      <c r="E1935" s="191">
        <v>40965</v>
      </c>
      <c r="F1935" s="189" t="s">
        <v>618</v>
      </c>
      <c r="G1935" s="488" t="s">
        <v>1496</v>
      </c>
      <c r="H1935" s="7" t="s">
        <v>1675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782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1698</v>
      </c>
      <c r="E1936" s="184">
        <v>40965</v>
      </c>
      <c r="F1936" s="189" t="s">
        <v>1348</v>
      </c>
      <c r="G1936" s="614" t="s">
        <v>1496</v>
      </c>
      <c r="H1936" s="7" t="s">
        <v>1675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782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1698</v>
      </c>
      <c r="E1937" s="184">
        <v>40965</v>
      </c>
      <c r="F1937" s="297" t="s">
        <v>1343</v>
      </c>
      <c r="G1937" s="614" t="s">
        <v>1496</v>
      </c>
      <c r="H1937" s="7" t="s">
        <v>1675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782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1698</v>
      </c>
      <c r="E1938" s="191">
        <v>40965</v>
      </c>
      <c r="F1938" s="189" t="s">
        <v>1348</v>
      </c>
      <c r="G1938" s="488" t="s">
        <v>1496</v>
      </c>
      <c r="H1938" s="7" t="s">
        <v>1675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782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1698</v>
      </c>
      <c r="E1939" s="191">
        <v>40965</v>
      </c>
      <c r="F1939" s="192" t="s">
        <v>646</v>
      </c>
      <c r="G1939" s="488" t="s">
        <v>1496</v>
      </c>
      <c r="H1939" s="7" t="s">
        <v>1675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782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1698</v>
      </c>
      <c r="E1940" s="191">
        <v>40965</v>
      </c>
      <c r="F1940" s="192" t="s">
        <v>1215</v>
      </c>
      <c r="G1940" s="614" t="s">
        <v>1496</v>
      </c>
      <c r="H1940" s="7" t="s">
        <v>1675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782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1698</v>
      </c>
      <c r="E1941" s="191">
        <v>40965</v>
      </c>
      <c r="F1941" s="189" t="s">
        <v>622</v>
      </c>
      <c r="G1941" s="614" t="s">
        <v>1496</v>
      </c>
      <c r="H1941" s="7" t="s">
        <v>1675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782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1699</v>
      </c>
      <c r="E1942" s="191">
        <v>40968</v>
      </c>
      <c r="F1942" s="189" t="s">
        <v>1236</v>
      </c>
      <c r="G1942" s="614" t="s">
        <v>915</v>
      </c>
      <c r="H1942" s="7" t="s">
        <v>1675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782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1699</v>
      </c>
      <c r="E1943" s="191">
        <v>40968</v>
      </c>
      <c r="F1943" s="189" t="s">
        <v>1235</v>
      </c>
      <c r="G1943" s="488" t="s">
        <v>916</v>
      </c>
      <c r="H1943" s="7" t="s">
        <v>1675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782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1699</v>
      </c>
      <c r="E1944" s="191">
        <v>40968</v>
      </c>
      <c r="F1944" s="189" t="s">
        <v>1346</v>
      </c>
      <c r="G1944" s="488" t="s">
        <v>916</v>
      </c>
      <c r="H1944" s="7" t="s">
        <v>1675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782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1699</v>
      </c>
      <c r="E1945" s="191">
        <v>40968</v>
      </c>
      <c r="F1945" s="189" t="s">
        <v>1232</v>
      </c>
      <c r="G1945" s="488" t="s">
        <v>916</v>
      </c>
      <c r="H1945" s="7" t="s">
        <v>1675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782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1699</v>
      </c>
      <c r="E1946" s="191">
        <v>40968</v>
      </c>
      <c r="F1946" s="297" t="s">
        <v>1224</v>
      </c>
      <c r="G1946" s="488" t="s">
        <v>916</v>
      </c>
      <c r="H1946" s="7" t="s">
        <v>1675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782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1699</v>
      </c>
      <c r="E1947" s="191">
        <v>40968</v>
      </c>
      <c r="F1947" s="189" t="s">
        <v>1222</v>
      </c>
      <c r="G1947" s="488" t="s">
        <v>916</v>
      </c>
      <c r="H1947" s="7" t="s">
        <v>1675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782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1699</v>
      </c>
      <c r="E1948" s="191">
        <v>40968</v>
      </c>
      <c r="F1948" s="189" t="s">
        <v>590</v>
      </c>
      <c r="G1948" s="488" t="s">
        <v>916</v>
      </c>
      <c r="H1948" s="7" t="s">
        <v>1675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782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1699</v>
      </c>
      <c r="E1949" s="191">
        <v>40968</v>
      </c>
      <c r="F1949" s="192" t="s">
        <v>645</v>
      </c>
      <c r="G1949" s="488" t="s">
        <v>916</v>
      </c>
      <c r="H1949" s="7" t="s">
        <v>1675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782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1699</v>
      </c>
      <c r="E1950" s="191">
        <v>40968</v>
      </c>
      <c r="F1950" s="189" t="s">
        <v>1235</v>
      </c>
      <c r="G1950" s="486" t="s">
        <v>916</v>
      </c>
      <c r="H1950" s="7" t="s">
        <v>1675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782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1699</v>
      </c>
      <c r="E1951" s="191">
        <v>40968</v>
      </c>
      <c r="F1951" s="297" t="s">
        <v>1341</v>
      </c>
      <c r="G1951" s="486" t="s">
        <v>916</v>
      </c>
      <c r="H1951" s="7" t="s">
        <v>1675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782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1700</v>
      </c>
      <c r="E1952" s="184">
        <v>40971</v>
      </c>
      <c r="F1952" s="189" t="s">
        <v>586</v>
      </c>
      <c r="G1952" s="614" t="s">
        <v>917</v>
      </c>
      <c r="H1952" s="7" t="s">
        <v>1675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1700</v>
      </c>
      <c r="E1953" s="184">
        <v>40971</v>
      </c>
      <c r="F1953" s="189" t="s">
        <v>1352</v>
      </c>
      <c r="G1953" s="614" t="s">
        <v>918</v>
      </c>
      <c r="H1953" s="7" t="s">
        <v>1675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1701</v>
      </c>
      <c r="E1954" s="191">
        <v>40974</v>
      </c>
      <c r="F1954" s="189" t="s">
        <v>621</v>
      </c>
      <c r="G1954" s="488" t="s">
        <v>919</v>
      </c>
      <c r="H1954" s="7" t="s">
        <v>1675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1702</v>
      </c>
      <c r="E1955" s="191">
        <v>40975</v>
      </c>
      <c r="F1955" s="297" t="s">
        <v>1341</v>
      </c>
      <c r="G1955" s="488" t="s">
        <v>887</v>
      </c>
      <c r="H1955" s="7" t="s">
        <v>1675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1702</v>
      </c>
      <c r="E1956" s="191">
        <v>40975</v>
      </c>
      <c r="F1956" s="192" t="s">
        <v>638</v>
      </c>
      <c r="G1956" s="488" t="s">
        <v>887</v>
      </c>
      <c r="H1956" s="7" t="s">
        <v>1675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1702</v>
      </c>
      <c r="E1957" s="191">
        <v>40975</v>
      </c>
      <c r="F1957" s="189" t="s">
        <v>1346</v>
      </c>
      <c r="G1957" s="488" t="s">
        <v>887</v>
      </c>
      <c r="H1957" s="7" t="s">
        <v>1675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1702</v>
      </c>
      <c r="E1958" s="191">
        <v>40975</v>
      </c>
      <c r="F1958" s="189" t="s">
        <v>623</v>
      </c>
      <c r="G1958" s="488" t="s">
        <v>887</v>
      </c>
      <c r="H1958" s="7" t="s">
        <v>1675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1703</v>
      </c>
      <c r="E1959" s="191">
        <v>40977</v>
      </c>
      <c r="F1959" s="189" t="s">
        <v>1345</v>
      </c>
      <c r="G1959" s="488" t="s">
        <v>921</v>
      </c>
      <c r="H1959" s="7" t="s">
        <v>1675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1703</v>
      </c>
      <c r="E1960" s="191">
        <v>40977</v>
      </c>
      <c r="F1960" s="192" t="s">
        <v>636</v>
      </c>
      <c r="G1960" s="488" t="s">
        <v>922</v>
      </c>
      <c r="H1960" s="7" t="s">
        <v>1675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1703</v>
      </c>
      <c r="E1961" s="191">
        <v>40977</v>
      </c>
      <c r="F1961" s="189" t="s">
        <v>614</v>
      </c>
      <c r="G1961" s="488" t="s">
        <v>922</v>
      </c>
      <c r="H1961" s="7" t="s">
        <v>1675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1703</v>
      </c>
      <c r="E1962" s="191">
        <v>40977</v>
      </c>
      <c r="F1962" s="189" t="s">
        <v>1221</v>
      </c>
      <c r="G1962" s="488" t="s">
        <v>922</v>
      </c>
      <c r="H1962" s="7" t="s">
        <v>1675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1703</v>
      </c>
      <c r="E1963" s="191">
        <v>40977</v>
      </c>
      <c r="F1963" s="189" t="s">
        <v>1221</v>
      </c>
      <c r="G1963" s="488" t="s">
        <v>922</v>
      </c>
      <c r="H1963" s="7" t="s">
        <v>1675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1703</v>
      </c>
      <c r="E1964" s="191">
        <v>40977</v>
      </c>
      <c r="F1964" s="192" t="s">
        <v>629</v>
      </c>
      <c r="G1964" s="488" t="s">
        <v>922</v>
      </c>
      <c r="H1964" s="7" t="s">
        <v>1675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1704</v>
      </c>
      <c r="E1965" s="191">
        <v>40985</v>
      </c>
      <c r="F1965" s="192" t="s">
        <v>651</v>
      </c>
      <c r="G1965" s="488" t="s">
        <v>924</v>
      </c>
      <c r="H1965" s="7" t="s">
        <v>1675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1704</v>
      </c>
      <c r="E1966" s="191">
        <v>40985</v>
      </c>
      <c r="F1966" s="297" t="s">
        <v>1550</v>
      </c>
      <c r="G1966" s="488" t="s">
        <v>924</v>
      </c>
      <c r="H1966" s="7" t="s">
        <v>1675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1705</v>
      </c>
      <c r="E1967" s="191">
        <v>40986</v>
      </c>
      <c r="F1967" s="192" t="s">
        <v>644</v>
      </c>
      <c r="G1967" s="488" t="s">
        <v>925</v>
      </c>
      <c r="H1967" s="7" t="s">
        <v>1675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1705</v>
      </c>
      <c r="E1968" s="191">
        <v>40986</v>
      </c>
      <c r="F1968" s="189" t="s">
        <v>1348</v>
      </c>
      <c r="G1968" s="488" t="s">
        <v>928</v>
      </c>
      <c r="H1968" s="7" t="s">
        <v>1675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1705</v>
      </c>
      <c r="E1969" s="191">
        <v>40986</v>
      </c>
      <c r="F1969" s="297" t="s">
        <v>1341</v>
      </c>
      <c r="G1969" s="488" t="s">
        <v>928</v>
      </c>
      <c r="H1969" s="7" t="s">
        <v>1675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1705</v>
      </c>
      <c r="E1970" s="191">
        <v>40986</v>
      </c>
      <c r="F1970" s="189" t="s">
        <v>583</v>
      </c>
      <c r="G1970" s="488" t="s">
        <v>930</v>
      </c>
      <c r="H1970" s="7" t="s">
        <v>1675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1706</v>
      </c>
      <c r="E1971" s="191">
        <v>40992</v>
      </c>
      <c r="F1971" s="297" t="s">
        <v>1341</v>
      </c>
      <c r="G1971" s="488" t="s">
        <v>931</v>
      </c>
      <c r="H1971" s="7" t="s">
        <v>1675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1706</v>
      </c>
      <c r="E1972" s="191">
        <v>40992</v>
      </c>
      <c r="F1972" s="189" t="s">
        <v>588</v>
      </c>
      <c r="G1972" s="488" t="s">
        <v>931</v>
      </c>
      <c r="H1972" s="7" t="s">
        <v>1675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1706</v>
      </c>
      <c r="E1973" s="191">
        <v>40992</v>
      </c>
      <c r="F1973" s="189" t="s">
        <v>628</v>
      </c>
      <c r="G1973" s="488" t="s">
        <v>931</v>
      </c>
      <c r="H1973" s="7" t="s">
        <v>1675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1707</v>
      </c>
      <c r="E1974" s="191">
        <v>40993</v>
      </c>
      <c r="F1974" s="192" t="s">
        <v>638</v>
      </c>
      <c r="G1974" s="488" t="s">
        <v>932</v>
      </c>
      <c r="H1974" s="7" t="s">
        <v>1675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1708</v>
      </c>
      <c r="E1975" s="191">
        <v>40995</v>
      </c>
      <c r="F1975" s="189" t="s">
        <v>1348</v>
      </c>
      <c r="G1975" s="488" t="s">
        <v>934</v>
      </c>
      <c r="H1975" s="7" t="s">
        <v>1675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1708</v>
      </c>
      <c r="E1976" s="191">
        <v>40995</v>
      </c>
      <c r="F1976" s="297" t="s">
        <v>1341</v>
      </c>
      <c r="G1976" s="488" t="s">
        <v>936</v>
      </c>
      <c r="H1976" s="7" t="s">
        <v>1675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1708</v>
      </c>
      <c r="E1977" s="191">
        <v>40995</v>
      </c>
      <c r="F1977" s="189" t="s">
        <v>1346</v>
      </c>
      <c r="G1977" s="488" t="s">
        <v>936</v>
      </c>
      <c r="H1977" s="7" t="s">
        <v>1675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1708</v>
      </c>
      <c r="E1978" s="191">
        <v>40995</v>
      </c>
      <c r="F1978" s="297" t="s">
        <v>1341</v>
      </c>
      <c r="G1978" s="488" t="s">
        <v>936</v>
      </c>
      <c r="H1978" s="7" t="s">
        <v>1675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1708</v>
      </c>
      <c r="E1979" s="191">
        <v>40995</v>
      </c>
      <c r="F1979" s="192" t="s">
        <v>641</v>
      </c>
      <c r="G1979" s="488" t="s">
        <v>937</v>
      </c>
      <c r="H1979" s="7" t="s">
        <v>1675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1708</v>
      </c>
      <c r="E1980" s="191">
        <v>40995</v>
      </c>
      <c r="F1980" s="297" t="s">
        <v>1216</v>
      </c>
      <c r="G1980" s="488" t="s">
        <v>937</v>
      </c>
      <c r="H1980" s="7" t="s">
        <v>1675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1708</v>
      </c>
      <c r="E1981" s="191">
        <v>40995</v>
      </c>
      <c r="F1981" s="192" t="s">
        <v>539</v>
      </c>
      <c r="G1981" s="488" t="s">
        <v>937</v>
      </c>
      <c r="H1981" s="7" t="s">
        <v>1675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1708</v>
      </c>
      <c r="E1982" s="191">
        <v>40995</v>
      </c>
      <c r="F1982" s="189" t="s">
        <v>1348</v>
      </c>
      <c r="G1982" s="488" t="s">
        <v>937</v>
      </c>
      <c r="H1982" s="7" t="s">
        <v>1675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1708</v>
      </c>
      <c r="E1983" s="191">
        <v>40995</v>
      </c>
      <c r="F1983" s="189" t="s">
        <v>609</v>
      </c>
      <c r="G1983" s="488" t="s">
        <v>937</v>
      </c>
      <c r="H1983" s="7" t="s">
        <v>1675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1708</v>
      </c>
      <c r="E1984" s="191">
        <v>40995</v>
      </c>
      <c r="F1984" s="189" t="s">
        <v>1346</v>
      </c>
      <c r="G1984" s="488" t="s">
        <v>937</v>
      </c>
      <c r="H1984" s="7" t="s">
        <v>1675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1708</v>
      </c>
      <c r="E1985" s="191">
        <v>40995</v>
      </c>
      <c r="F1985" s="189" t="s">
        <v>589</v>
      </c>
      <c r="G1985" s="488" t="s">
        <v>937</v>
      </c>
      <c r="H1985" s="7" t="s">
        <v>1675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1708</v>
      </c>
      <c r="E1986" s="191">
        <v>40995</v>
      </c>
      <c r="F1986" s="297" t="s">
        <v>630</v>
      </c>
      <c r="G1986" s="488" t="s">
        <v>937</v>
      </c>
      <c r="H1986" s="7" t="s">
        <v>1675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1708</v>
      </c>
      <c r="E1987" s="191">
        <v>40995</v>
      </c>
      <c r="F1987" s="189" t="s">
        <v>1348</v>
      </c>
      <c r="G1987" s="488" t="s">
        <v>937</v>
      </c>
      <c r="H1987" s="7" t="s">
        <v>1675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1708</v>
      </c>
      <c r="E1988" s="191">
        <v>40995</v>
      </c>
      <c r="F1988" s="189" t="s">
        <v>619</v>
      </c>
      <c r="G1988" s="488" t="s">
        <v>937</v>
      </c>
      <c r="H1988" s="7" t="s">
        <v>1675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1708</v>
      </c>
      <c r="E1989" s="191">
        <v>40995</v>
      </c>
      <c r="F1989" s="189" t="s">
        <v>1348</v>
      </c>
      <c r="G1989" s="488" t="s">
        <v>937</v>
      </c>
      <c r="H1989" s="7" t="s">
        <v>1675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1708</v>
      </c>
      <c r="E1990" s="184">
        <v>40995</v>
      </c>
      <c r="F1990" s="189" t="s">
        <v>587</v>
      </c>
      <c r="G1990" s="614" t="s">
        <v>938</v>
      </c>
      <c r="H1990" s="7" t="s">
        <v>1675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1708</v>
      </c>
      <c r="E1991" s="191">
        <v>40995</v>
      </c>
      <c r="F1991" s="189" t="s">
        <v>1353</v>
      </c>
      <c r="G1991" s="488" t="s">
        <v>938</v>
      </c>
      <c r="H1991" s="7" t="s">
        <v>1675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1708</v>
      </c>
      <c r="E1992" s="191">
        <v>40995</v>
      </c>
      <c r="F1992" s="192" t="s">
        <v>639</v>
      </c>
      <c r="G1992" s="488" t="s">
        <v>938</v>
      </c>
      <c r="H1992" s="7" t="s">
        <v>1675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1708</v>
      </c>
      <c r="E1993" s="184">
        <v>40995</v>
      </c>
      <c r="F1993" s="189" t="s">
        <v>1234</v>
      </c>
      <c r="G1993" s="614" t="s">
        <v>939</v>
      </c>
      <c r="H1993" s="7" t="s">
        <v>1675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1708</v>
      </c>
      <c r="E1994" s="191">
        <v>40995</v>
      </c>
      <c r="F1994" s="297" t="s">
        <v>1224</v>
      </c>
      <c r="G1994" s="488" t="s">
        <v>1536</v>
      </c>
      <c r="H1994" s="7" t="s">
        <v>1675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1708</v>
      </c>
      <c r="E1995" s="191">
        <v>40995</v>
      </c>
      <c r="F1995" s="192" t="s">
        <v>594</v>
      </c>
      <c r="G1995" s="488" t="s">
        <v>1536</v>
      </c>
      <c r="H1995" s="7" t="s">
        <v>1675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1708</v>
      </c>
      <c r="E1996" s="191">
        <v>40995</v>
      </c>
      <c r="F1996" s="189" t="s">
        <v>1235</v>
      </c>
      <c r="G1996" s="488" t="s">
        <v>1536</v>
      </c>
      <c r="H1996" s="7" t="s">
        <v>1675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1708</v>
      </c>
      <c r="E1997" s="191">
        <v>40995</v>
      </c>
      <c r="F1997" s="297" t="s">
        <v>1342</v>
      </c>
      <c r="G1997" s="488" t="s">
        <v>1536</v>
      </c>
      <c r="H1997" s="7" t="s">
        <v>1675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1708</v>
      </c>
      <c r="E1998" s="191">
        <v>40995</v>
      </c>
      <c r="F1998" s="297" t="s">
        <v>1341</v>
      </c>
      <c r="G1998" s="488" t="s">
        <v>1536</v>
      </c>
      <c r="H1998" s="7" t="s">
        <v>1675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1708</v>
      </c>
      <c r="E1999" s="191">
        <v>40995</v>
      </c>
      <c r="F1999" s="297" t="s">
        <v>1341</v>
      </c>
      <c r="G1999" s="488" t="s">
        <v>1536</v>
      </c>
      <c r="H1999" s="7" t="s">
        <v>1675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26" customFormat="1" ht="15.75" customHeight="1">
      <c r="A2000" s="204" t="str">
        <f>IF(B2000&lt;&gt;"",IF(AND(B2000&gt;=_TM1,B2000&lt;=_TM2,OR(TH!L2000="1111",TH!M2000="1111")),TH!D2000,""),"")</f>
        <v/>
      </c>
      <c r="B2000" s="817">
        <f t="shared" si="118"/>
        <v>4</v>
      </c>
      <c r="C2000" s="843">
        <f t="shared" si="116"/>
        <v>41000</v>
      </c>
      <c r="D2000" s="818" t="s">
        <v>1682</v>
      </c>
      <c r="E2000" s="818">
        <v>41000</v>
      </c>
      <c r="F2000" s="819" t="s">
        <v>1273</v>
      </c>
      <c r="G2000" s="820" t="s">
        <v>940</v>
      </c>
      <c r="H2000" s="846" t="s">
        <v>1675</v>
      </c>
      <c r="I2000" s="822">
        <v>260</v>
      </c>
      <c r="J2000" s="822">
        <v>18306</v>
      </c>
      <c r="K2000" s="823">
        <f t="shared" ref="K2000:K2063" si="119">ROUND(I2000*J2000,0)</f>
        <v>4759560</v>
      </c>
      <c r="L2000" s="844" t="s">
        <v>175</v>
      </c>
      <c r="M2000" s="844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1682</v>
      </c>
      <c r="E2001" s="191">
        <v>41000</v>
      </c>
      <c r="F2001" s="192" t="s">
        <v>1369</v>
      </c>
      <c r="G2001" s="488" t="s">
        <v>940</v>
      </c>
      <c r="H2001" s="7" t="s">
        <v>1675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1682</v>
      </c>
      <c r="E2002" s="191">
        <v>41000</v>
      </c>
      <c r="F2002" s="192" t="s">
        <v>1369</v>
      </c>
      <c r="G2002" s="488" t="s">
        <v>941</v>
      </c>
      <c r="H2002" s="7" t="s">
        <v>1675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1683</v>
      </c>
      <c r="E2003" s="191">
        <v>41001</v>
      </c>
      <c r="F2003" s="192" t="s">
        <v>1282</v>
      </c>
      <c r="G2003" s="488" t="s">
        <v>942</v>
      </c>
      <c r="H2003" s="7" t="s">
        <v>1675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1684</v>
      </c>
      <c r="E2004" s="191">
        <v>41006</v>
      </c>
      <c r="F2004" s="192" t="s">
        <v>1406</v>
      </c>
      <c r="G2004" s="488" t="s">
        <v>943</v>
      </c>
      <c r="H2004" s="7" t="s">
        <v>1675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1684</v>
      </c>
      <c r="E2005" s="191">
        <v>41006</v>
      </c>
      <c r="F2005" s="192" t="s">
        <v>1421</v>
      </c>
      <c r="G2005" s="488" t="s">
        <v>943</v>
      </c>
      <c r="H2005" s="7" t="s">
        <v>1675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1684</v>
      </c>
      <c r="E2006" s="191">
        <v>41006</v>
      </c>
      <c r="F2006" s="189" t="s">
        <v>1392</v>
      </c>
      <c r="G2006" s="488" t="s">
        <v>944</v>
      </c>
      <c r="H2006" s="7" t="s">
        <v>1675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1684</v>
      </c>
      <c r="E2007" s="191">
        <v>41006</v>
      </c>
      <c r="F2007" s="192" t="s">
        <v>1263</v>
      </c>
      <c r="G2007" s="488" t="s">
        <v>944</v>
      </c>
      <c r="H2007" s="7" t="s">
        <v>1675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1685</v>
      </c>
      <c r="E2008" s="191">
        <v>41007</v>
      </c>
      <c r="F2008" s="192" t="s">
        <v>1366</v>
      </c>
      <c r="G2008" s="488" t="s">
        <v>945</v>
      </c>
      <c r="H2008" s="7" t="s">
        <v>1675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1686</v>
      </c>
      <c r="E2009" s="191">
        <v>41013</v>
      </c>
      <c r="F2009" s="192" t="s">
        <v>1345</v>
      </c>
      <c r="G2009" s="488" t="s">
        <v>946</v>
      </c>
      <c r="H2009" s="7" t="s">
        <v>1675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1686</v>
      </c>
      <c r="E2010" s="191">
        <v>41013</v>
      </c>
      <c r="F2010" s="192" t="s">
        <v>1387</v>
      </c>
      <c r="G2010" s="488" t="s">
        <v>1537</v>
      </c>
      <c r="H2010" s="7" t="s">
        <v>1675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1686</v>
      </c>
      <c r="E2011" s="191">
        <v>41013</v>
      </c>
      <c r="F2011" s="192" t="s">
        <v>1294</v>
      </c>
      <c r="G2011" s="488" t="s">
        <v>1537</v>
      </c>
      <c r="H2011" s="7" t="s">
        <v>1675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1686</v>
      </c>
      <c r="E2012" s="191">
        <v>41013</v>
      </c>
      <c r="F2012" s="192" t="s">
        <v>1387</v>
      </c>
      <c r="G2012" s="488" t="s">
        <v>1537</v>
      </c>
      <c r="H2012" s="7" t="s">
        <v>1675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1686</v>
      </c>
      <c r="E2013" s="191">
        <v>41013</v>
      </c>
      <c r="F2013" s="192" t="s">
        <v>1295</v>
      </c>
      <c r="G2013" s="488" t="s">
        <v>947</v>
      </c>
      <c r="H2013" s="7" t="s">
        <v>1675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1686</v>
      </c>
      <c r="E2014" s="191">
        <v>41013</v>
      </c>
      <c r="F2014" s="192" t="s">
        <v>1308</v>
      </c>
      <c r="G2014" s="488" t="s">
        <v>947</v>
      </c>
      <c r="H2014" s="7" t="s">
        <v>1675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1686</v>
      </c>
      <c r="E2015" s="191">
        <v>41013</v>
      </c>
      <c r="F2015" s="192" t="s">
        <v>1280</v>
      </c>
      <c r="G2015" s="488" t="s">
        <v>947</v>
      </c>
      <c r="H2015" s="7" t="s">
        <v>1675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1686</v>
      </c>
      <c r="E2016" s="191">
        <v>41013</v>
      </c>
      <c r="F2016" s="192" t="s">
        <v>1420</v>
      </c>
      <c r="G2016" s="488" t="s">
        <v>947</v>
      </c>
      <c r="H2016" s="7" t="s">
        <v>1675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1687</v>
      </c>
      <c r="E2017" s="191">
        <v>41017</v>
      </c>
      <c r="F2017" s="192" t="s">
        <v>1382</v>
      </c>
      <c r="G2017" s="488" t="s">
        <v>949</v>
      </c>
      <c r="H2017" s="7" t="s">
        <v>1675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1688</v>
      </c>
      <c r="E2018" s="191">
        <v>41020</v>
      </c>
      <c r="F2018" s="192" t="s">
        <v>764</v>
      </c>
      <c r="G2018" s="488" t="s">
        <v>950</v>
      </c>
      <c r="H2018" s="7" t="s">
        <v>1675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1688</v>
      </c>
      <c r="E2019" s="191">
        <v>41020</v>
      </c>
      <c r="F2019" s="192" t="s">
        <v>1302</v>
      </c>
      <c r="G2019" s="488" t="s">
        <v>950</v>
      </c>
      <c r="H2019" s="7" t="s">
        <v>1675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1688</v>
      </c>
      <c r="E2020" s="191">
        <v>41020</v>
      </c>
      <c r="F2020" s="192" t="s">
        <v>1261</v>
      </c>
      <c r="G2020" s="488" t="s">
        <v>953</v>
      </c>
      <c r="H2020" s="7" t="s">
        <v>1675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1689</v>
      </c>
      <c r="E2021" s="191">
        <v>41022</v>
      </c>
      <c r="F2021" s="192" t="s">
        <v>1364</v>
      </c>
      <c r="G2021" s="488" t="s">
        <v>954</v>
      </c>
      <c r="H2021" s="7" t="s">
        <v>1675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1689</v>
      </c>
      <c r="E2022" s="191">
        <v>41022</v>
      </c>
      <c r="F2022" s="192" t="s">
        <v>1239</v>
      </c>
      <c r="G2022" s="488" t="s">
        <v>954</v>
      </c>
      <c r="H2022" s="7" t="s">
        <v>1675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1689</v>
      </c>
      <c r="E2023" s="191">
        <v>41022</v>
      </c>
      <c r="F2023" s="192" t="s">
        <v>1277</v>
      </c>
      <c r="G2023" s="488" t="s">
        <v>1541</v>
      </c>
      <c r="H2023" s="7" t="s">
        <v>1675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1689</v>
      </c>
      <c r="E2024" s="191">
        <v>41022</v>
      </c>
      <c r="F2024" s="192" t="s">
        <v>1347</v>
      </c>
      <c r="G2024" s="488" t="s">
        <v>1541</v>
      </c>
      <c r="H2024" s="7" t="s">
        <v>1675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1689</v>
      </c>
      <c r="E2025" s="191">
        <v>41022</v>
      </c>
      <c r="F2025" s="192" t="s">
        <v>1265</v>
      </c>
      <c r="G2025" s="488" t="s">
        <v>1541</v>
      </c>
      <c r="H2025" s="7" t="s">
        <v>1675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1689</v>
      </c>
      <c r="E2026" s="191">
        <v>41022</v>
      </c>
      <c r="F2026" s="192" t="s">
        <v>1286</v>
      </c>
      <c r="G2026" s="488" t="s">
        <v>1541</v>
      </c>
      <c r="H2026" s="7" t="s">
        <v>1675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1689</v>
      </c>
      <c r="E2027" s="191">
        <v>41022</v>
      </c>
      <c r="F2027" s="192" t="s">
        <v>1255</v>
      </c>
      <c r="G2027" s="488" t="s">
        <v>1541</v>
      </c>
      <c r="H2027" s="7" t="s">
        <v>1675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1689</v>
      </c>
      <c r="E2028" s="191">
        <v>41022</v>
      </c>
      <c r="F2028" s="192" t="s">
        <v>1427</v>
      </c>
      <c r="G2028" s="488" t="s">
        <v>1541</v>
      </c>
      <c r="H2028" s="7" t="s">
        <v>1675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1689</v>
      </c>
      <c r="E2029" s="191">
        <v>41022</v>
      </c>
      <c r="F2029" s="192" t="s">
        <v>742</v>
      </c>
      <c r="G2029" s="488" t="s">
        <v>1541</v>
      </c>
      <c r="H2029" s="7" t="s">
        <v>1675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1689</v>
      </c>
      <c r="E2030" s="191">
        <v>41022</v>
      </c>
      <c r="F2030" s="192" t="s">
        <v>1266</v>
      </c>
      <c r="G2030" s="488" t="s">
        <v>1541</v>
      </c>
      <c r="H2030" s="7" t="s">
        <v>1675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1689</v>
      </c>
      <c r="E2031" s="191">
        <v>41022</v>
      </c>
      <c r="F2031" s="192" t="s">
        <v>1379</v>
      </c>
      <c r="G2031" s="488" t="s">
        <v>1541</v>
      </c>
      <c r="H2031" s="7" t="s">
        <v>1675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1689</v>
      </c>
      <c r="E2032" s="191">
        <v>41022</v>
      </c>
      <c r="F2032" s="192" t="s">
        <v>742</v>
      </c>
      <c r="G2032" s="488" t="s">
        <v>1541</v>
      </c>
      <c r="H2032" s="7" t="s">
        <v>1675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1689</v>
      </c>
      <c r="E2033" s="191">
        <v>41022</v>
      </c>
      <c r="F2033" s="192" t="s">
        <v>1242</v>
      </c>
      <c r="G2033" s="488" t="s">
        <v>985</v>
      </c>
      <c r="H2033" s="7" t="s">
        <v>1675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1689</v>
      </c>
      <c r="E2034" s="191">
        <v>41022</v>
      </c>
      <c r="F2034" s="192" t="s">
        <v>1258</v>
      </c>
      <c r="G2034" s="488" t="s">
        <v>985</v>
      </c>
      <c r="H2034" s="7" t="s">
        <v>1675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1689</v>
      </c>
      <c r="E2035" s="191">
        <v>41022</v>
      </c>
      <c r="F2035" s="192" t="s">
        <v>1344</v>
      </c>
      <c r="G2035" s="488" t="s">
        <v>985</v>
      </c>
      <c r="H2035" s="7" t="s">
        <v>1675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1689</v>
      </c>
      <c r="E2036" s="191">
        <v>41022</v>
      </c>
      <c r="F2036" s="192" t="s">
        <v>1366</v>
      </c>
      <c r="G2036" s="488" t="s">
        <v>985</v>
      </c>
      <c r="H2036" s="7" t="s">
        <v>1675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1689</v>
      </c>
      <c r="E2037" s="191">
        <v>41022</v>
      </c>
      <c r="F2037" s="192" t="s">
        <v>1422</v>
      </c>
      <c r="G2037" s="488" t="s">
        <v>985</v>
      </c>
      <c r="H2037" s="7" t="s">
        <v>1675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1689</v>
      </c>
      <c r="E2038" s="191">
        <v>41022</v>
      </c>
      <c r="F2038" s="192" t="s">
        <v>1304</v>
      </c>
      <c r="G2038" s="488" t="s">
        <v>985</v>
      </c>
      <c r="H2038" s="7" t="s">
        <v>1675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1689</v>
      </c>
      <c r="E2039" s="191">
        <v>41022</v>
      </c>
      <c r="F2039" s="192" t="s">
        <v>1420</v>
      </c>
      <c r="G2039" s="488" t="s">
        <v>985</v>
      </c>
      <c r="H2039" s="7" t="s">
        <v>1675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1689</v>
      </c>
      <c r="E2040" s="191">
        <v>41022</v>
      </c>
      <c r="F2040" s="192" t="s">
        <v>1388</v>
      </c>
      <c r="G2040" s="488" t="s">
        <v>985</v>
      </c>
      <c r="H2040" s="7" t="s">
        <v>1675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1689</v>
      </c>
      <c r="E2041" s="191">
        <v>41022</v>
      </c>
      <c r="F2041" s="192" t="s">
        <v>766</v>
      </c>
      <c r="G2041" s="488" t="s">
        <v>985</v>
      </c>
      <c r="H2041" s="7" t="s">
        <v>1675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1689</v>
      </c>
      <c r="E2042" s="191">
        <v>41022</v>
      </c>
      <c r="F2042" s="192" t="s">
        <v>1346</v>
      </c>
      <c r="G2042" s="488" t="s">
        <v>985</v>
      </c>
      <c r="H2042" s="7" t="s">
        <v>1675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1690</v>
      </c>
      <c r="E2043" s="191">
        <v>41025</v>
      </c>
      <c r="F2043" s="192" t="s">
        <v>1305</v>
      </c>
      <c r="G2043" s="488" t="s">
        <v>1543</v>
      </c>
      <c r="H2043" s="7" t="s">
        <v>1675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1690</v>
      </c>
      <c r="E2044" s="191">
        <v>41025</v>
      </c>
      <c r="F2044" s="192" t="s">
        <v>711</v>
      </c>
      <c r="G2044" s="488" t="s">
        <v>1543</v>
      </c>
      <c r="H2044" s="7" t="s">
        <v>1675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1690</v>
      </c>
      <c r="E2045" s="191">
        <v>41025</v>
      </c>
      <c r="F2045" s="192" t="s">
        <v>711</v>
      </c>
      <c r="G2045" s="488" t="s">
        <v>1543</v>
      </c>
      <c r="H2045" s="7" t="s">
        <v>1675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1690</v>
      </c>
      <c r="E2046" s="191">
        <v>41025</v>
      </c>
      <c r="F2046" s="192" t="s">
        <v>1274</v>
      </c>
      <c r="G2046" s="488" t="s">
        <v>1543</v>
      </c>
      <c r="H2046" s="7" t="s">
        <v>1675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1690</v>
      </c>
      <c r="E2047" s="191">
        <v>41025</v>
      </c>
      <c r="F2047" s="192" t="s">
        <v>1274</v>
      </c>
      <c r="G2047" s="488" t="s">
        <v>1543</v>
      </c>
      <c r="H2047" s="7" t="s">
        <v>1675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1690</v>
      </c>
      <c r="E2048" s="191">
        <v>41025</v>
      </c>
      <c r="F2048" s="192" t="s">
        <v>1343</v>
      </c>
      <c r="G2048" s="488" t="s">
        <v>1543</v>
      </c>
      <c r="H2048" s="7" t="s">
        <v>1675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1690</v>
      </c>
      <c r="E2049" s="191">
        <v>41025</v>
      </c>
      <c r="F2049" s="192" t="s">
        <v>1280</v>
      </c>
      <c r="G2049" s="488" t="s">
        <v>1543</v>
      </c>
      <c r="H2049" s="7" t="s">
        <v>1675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1690</v>
      </c>
      <c r="E2050" s="191">
        <v>41025</v>
      </c>
      <c r="F2050" s="192" t="s">
        <v>1423</v>
      </c>
      <c r="G2050" s="488" t="s">
        <v>1543</v>
      </c>
      <c r="H2050" s="7" t="s">
        <v>1675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1690</v>
      </c>
      <c r="E2051" s="191">
        <v>41025</v>
      </c>
      <c r="F2051" s="192" t="s">
        <v>1274</v>
      </c>
      <c r="G2051" s="488" t="s">
        <v>1543</v>
      </c>
      <c r="H2051" s="7" t="s">
        <v>1675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1690</v>
      </c>
      <c r="E2052" s="191">
        <v>41025</v>
      </c>
      <c r="F2052" s="192" t="s">
        <v>1343</v>
      </c>
      <c r="G2052" s="488" t="s">
        <v>1543</v>
      </c>
      <c r="H2052" s="7" t="s">
        <v>1675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1690</v>
      </c>
      <c r="E2053" s="184">
        <v>41025</v>
      </c>
      <c r="F2053" s="189" t="s">
        <v>1280</v>
      </c>
      <c r="G2053" s="614" t="s">
        <v>1543</v>
      </c>
      <c r="H2053" s="7" t="s">
        <v>1675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1691</v>
      </c>
      <c r="E2054" s="184">
        <v>41028</v>
      </c>
      <c r="F2054" s="189" t="s">
        <v>1247</v>
      </c>
      <c r="G2054" s="614" t="s">
        <v>955</v>
      </c>
      <c r="H2054" s="7" t="s">
        <v>1675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1691</v>
      </c>
      <c r="E2055" s="184">
        <v>41028</v>
      </c>
      <c r="F2055" s="189" t="s">
        <v>1263</v>
      </c>
      <c r="G2055" s="614" t="s">
        <v>955</v>
      </c>
      <c r="H2055" s="7" t="s">
        <v>1675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1692</v>
      </c>
      <c r="E2056" s="184">
        <v>41029</v>
      </c>
      <c r="F2056" s="189" t="s">
        <v>1418</v>
      </c>
      <c r="G2056" s="614" t="s">
        <v>957</v>
      </c>
      <c r="H2056" s="7" t="s">
        <v>1675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1693</v>
      </c>
      <c r="E2057" s="191">
        <v>41030</v>
      </c>
      <c r="F2057" s="192" t="s">
        <v>742</v>
      </c>
      <c r="G2057" s="488" t="s">
        <v>958</v>
      </c>
      <c r="H2057" s="7" t="s">
        <v>1675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1693</v>
      </c>
      <c r="E2058" s="191">
        <v>41030</v>
      </c>
      <c r="F2058" s="192" t="s">
        <v>1359</v>
      </c>
      <c r="G2058" s="488" t="s">
        <v>958</v>
      </c>
      <c r="H2058" s="7" t="s">
        <v>1675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1693</v>
      </c>
      <c r="E2059" s="191">
        <v>41030</v>
      </c>
      <c r="F2059" s="192" t="s">
        <v>1386</v>
      </c>
      <c r="G2059" s="488" t="s">
        <v>959</v>
      </c>
      <c r="H2059" s="7" t="s">
        <v>1675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1693</v>
      </c>
      <c r="E2060" s="191">
        <v>41030</v>
      </c>
      <c r="F2060" s="192" t="s">
        <v>733</v>
      </c>
      <c r="G2060" s="488" t="s">
        <v>959</v>
      </c>
      <c r="H2060" s="7" t="s">
        <v>1675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1693</v>
      </c>
      <c r="E2061" s="191">
        <v>41030</v>
      </c>
      <c r="F2061" s="192" t="s">
        <v>1423</v>
      </c>
      <c r="G2061" s="488" t="s">
        <v>959</v>
      </c>
      <c r="H2061" s="7" t="s">
        <v>1675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1693</v>
      </c>
      <c r="E2062" s="191">
        <v>41030</v>
      </c>
      <c r="F2062" s="192" t="s">
        <v>1292</v>
      </c>
      <c r="G2062" s="488" t="s">
        <v>959</v>
      </c>
      <c r="H2062" s="7" t="s">
        <v>1675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1693</v>
      </c>
      <c r="E2063" s="191">
        <v>41030</v>
      </c>
      <c r="F2063" s="192" t="s">
        <v>1263</v>
      </c>
      <c r="G2063" s="488" t="s">
        <v>959</v>
      </c>
      <c r="H2063" s="7" t="s">
        <v>1675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1694</v>
      </c>
      <c r="E2064" s="191">
        <v>41033</v>
      </c>
      <c r="F2064" s="192" t="s">
        <v>1398</v>
      </c>
      <c r="G2064" s="488" t="s">
        <v>960</v>
      </c>
      <c r="H2064" s="7" t="s">
        <v>1675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1694</v>
      </c>
      <c r="E2065" s="191">
        <v>41033</v>
      </c>
      <c r="F2065" s="192" t="s">
        <v>1360</v>
      </c>
      <c r="G2065" s="488" t="s">
        <v>960</v>
      </c>
      <c r="H2065" s="7" t="s">
        <v>1675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1694</v>
      </c>
      <c r="E2066" s="191">
        <v>41033</v>
      </c>
      <c r="F2066" s="192" t="s">
        <v>742</v>
      </c>
      <c r="G2066" s="488" t="s">
        <v>960</v>
      </c>
      <c r="H2066" s="7" t="s">
        <v>1675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1695</v>
      </c>
      <c r="E2067" s="191">
        <v>41034</v>
      </c>
      <c r="F2067" s="192" t="s">
        <v>1400</v>
      </c>
      <c r="G2067" s="488" t="s">
        <v>963</v>
      </c>
      <c r="H2067" s="7" t="s">
        <v>1675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1695</v>
      </c>
      <c r="E2068" s="191">
        <v>41034</v>
      </c>
      <c r="F2068" s="192" t="s">
        <v>1374</v>
      </c>
      <c r="G2068" s="488" t="s">
        <v>1544</v>
      </c>
      <c r="H2068" s="7" t="s">
        <v>1675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1696</v>
      </c>
      <c r="E2069" s="191">
        <v>41036</v>
      </c>
      <c r="F2069" s="192" t="s">
        <v>1394</v>
      </c>
      <c r="G2069" s="488" t="s">
        <v>965</v>
      </c>
      <c r="H2069" s="7" t="s">
        <v>1675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1697</v>
      </c>
      <c r="E2070" s="191">
        <v>41038</v>
      </c>
      <c r="F2070" s="192" t="s">
        <v>1402</v>
      </c>
      <c r="G2070" s="488" t="s">
        <v>966</v>
      </c>
      <c r="H2070" s="7" t="s">
        <v>1675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1697</v>
      </c>
      <c r="E2071" s="191">
        <v>41038</v>
      </c>
      <c r="F2071" s="192" t="s">
        <v>1292</v>
      </c>
      <c r="G2071" s="488" t="s">
        <v>968</v>
      </c>
      <c r="H2071" s="7" t="s">
        <v>1675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1697</v>
      </c>
      <c r="E2072" s="191">
        <v>41038</v>
      </c>
      <c r="F2072" s="192" t="s">
        <v>709</v>
      </c>
      <c r="G2072" s="488" t="s">
        <v>968</v>
      </c>
      <c r="H2072" s="7" t="s">
        <v>1675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1697</v>
      </c>
      <c r="E2073" s="184">
        <v>41038</v>
      </c>
      <c r="F2073" s="189" t="s">
        <v>1355</v>
      </c>
      <c r="G2073" s="614" t="s">
        <v>968</v>
      </c>
      <c r="H2073" s="7" t="s">
        <v>1675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1697</v>
      </c>
      <c r="E2074" s="191">
        <v>41038</v>
      </c>
      <c r="F2074" s="192" t="s">
        <v>1263</v>
      </c>
      <c r="G2074" s="488" t="s">
        <v>968</v>
      </c>
      <c r="H2074" s="7" t="s">
        <v>1675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1698</v>
      </c>
      <c r="E2075" s="191">
        <v>41042</v>
      </c>
      <c r="F2075" s="192" t="s">
        <v>733</v>
      </c>
      <c r="G2075" s="488" t="s">
        <v>969</v>
      </c>
      <c r="H2075" s="7" t="s">
        <v>1675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1698</v>
      </c>
      <c r="E2076" s="191">
        <v>41042</v>
      </c>
      <c r="F2076" s="192" t="s">
        <v>1239</v>
      </c>
      <c r="G2076" s="488" t="s">
        <v>969</v>
      </c>
      <c r="H2076" s="7" t="s">
        <v>1675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1698</v>
      </c>
      <c r="E2077" s="191">
        <v>41042</v>
      </c>
      <c r="F2077" s="192" t="s">
        <v>742</v>
      </c>
      <c r="G2077" s="488" t="s">
        <v>969</v>
      </c>
      <c r="H2077" s="7" t="s">
        <v>1675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1699</v>
      </c>
      <c r="E2078" s="191">
        <v>41044</v>
      </c>
      <c r="F2078" s="192" t="s">
        <v>1296</v>
      </c>
      <c r="G2078" s="488" t="s">
        <v>970</v>
      </c>
      <c r="H2078" s="7" t="s">
        <v>1675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1699</v>
      </c>
      <c r="E2079" s="191">
        <v>41044</v>
      </c>
      <c r="F2079" s="192" t="s">
        <v>1283</v>
      </c>
      <c r="G2079" s="488" t="s">
        <v>970</v>
      </c>
      <c r="H2079" s="7" t="s">
        <v>1675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1699</v>
      </c>
      <c r="E2080" s="191">
        <v>41044</v>
      </c>
      <c r="F2080" s="192" t="s">
        <v>1268</v>
      </c>
      <c r="G2080" s="488" t="s">
        <v>971</v>
      </c>
      <c r="H2080" s="7" t="s">
        <v>1675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1699</v>
      </c>
      <c r="E2081" s="191">
        <v>41044</v>
      </c>
      <c r="F2081" s="192" t="s">
        <v>1388</v>
      </c>
      <c r="G2081" s="488" t="s">
        <v>971</v>
      </c>
      <c r="H2081" s="7" t="s">
        <v>1675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1699</v>
      </c>
      <c r="E2082" s="191">
        <v>41044</v>
      </c>
      <c r="F2082" s="192" t="s">
        <v>1274</v>
      </c>
      <c r="G2082" s="488" t="s">
        <v>971</v>
      </c>
      <c r="H2082" s="7" t="s">
        <v>1675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1699</v>
      </c>
      <c r="E2083" s="191">
        <v>41044</v>
      </c>
      <c r="F2083" s="192" t="s">
        <v>1367</v>
      </c>
      <c r="G2083" s="488" t="s">
        <v>971</v>
      </c>
      <c r="H2083" s="7" t="s">
        <v>1675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1700</v>
      </c>
      <c r="E2084" s="191">
        <v>41048</v>
      </c>
      <c r="F2084" s="189" t="s">
        <v>1368</v>
      </c>
      <c r="G2084" s="614" t="s">
        <v>973</v>
      </c>
      <c r="H2084" s="7" t="s">
        <v>1675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1700</v>
      </c>
      <c r="E2085" s="191">
        <v>41048</v>
      </c>
      <c r="F2085" s="189" t="s">
        <v>1358</v>
      </c>
      <c r="G2085" s="614" t="s">
        <v>973</v>
      </c>
      <c r="H2085" s="7" t="s">
        <v>1675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1700</v>
      </c>
      <c r="E2086" s="191">
        <v>41048</v>
      </c>
      <c r="F2086" s="189" t="s">
        <v>1369</v>
      </c>
      <c r="G2086" s="614" t="s">
        <v>973</v>
      </c>
      <c r="H2086" s="7" t="s">
        <v>1675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1700</v>
      </c>
      <c r="E2087" s="191">
        <v>41048</v>
      </c>
      <c r="F2087" s="192" t="s">
        <v>1288</v>
      </c>
      <c r="G2087" s="488" t="s">
        <v>974</v>
      </c>
      <c r="H2087" s="7" t="s">
        <v>1675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1700</v>
      </c>
      <c r="E2088" s="191">
        <v>41048</v>
      </c>
      <c r="F2088" s="192" t="s">
        <v>1390</v>
      </c>
      <c r="G2088" s="488" t="s">
        <v>974</v>
      </c>
      <c r="H2088" s="7" t="s">
        <v>1675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1700</v>
      </c>
      <c r="E2089" s="191">
        <v>41048</v>
      </c>
      <c r="F2089" s="192" t="s">
        <v>1273</v>
      </c>
      <c r="G2089" s="488" t="s">
        <v>974</v>
      </c>
      <c r="H2089" s="7" t="s">
        <v>1675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1701</v>
      </c>
      <c r="E2090" s="191">
        <v>41050</v>
      </c>
      <c r="F2090" s="192" t="s">
        <v>1412</v>
      </c>
      <c r="G2090" s="488" t="s">
        <v>976</v>
      </c>
      <c r="H2090" s="7" t="s">
        <v>1675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1701</v>
      </c>
      <c r="E2091" s="191">
        <v>41050</v>
      </c>
      <c r="F2091" s="192" t="s">
        <v>1378</v>
      </c>
      <c r="G2091" s="488" t="s">
        <v>976</v>
      </c>
      <c r="H2091" s="7" t="s">
        <v>1675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1701</v>
      </c>
      <c r="E2092" s="191">
        <v>41050</v>
      </c>
      <c r="F2092" s="192" t="s">
        <v>1269</v>
      </c>
      <c r="G2092" s="488" t="s">
        <v>977</v>
      </c>
      <c r="H2092" s="7" t="s">
        <v>1675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1701</v>
      </c>
      <c r="E2093" s="191">
        <v>41050</v>
      </c>
      <c r="F2093" s="192" t="s">
        <v>1371</v>
      </c>
      <c r="G2093" s="488" t="s">
        <v>978</v>
      </c>
      <c r="H2093" s="7" t="s">
        <v>1675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1701</v>
      </c>
      <c r="E2094" s="191">
        <v>41050</v>
      </c>
      <c r="F2094" s="192" t="s">
        <v>1263</v>
      </c>
      <c r="G2094" s="488" t="s">
        <v>978</v>
      </c>
      <c r="H2094" s="7" t="s">
        <v>1675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1701</v>
      </c>
      <c r="E2095" s="191">
        <v>41050</v>
      </c>
      <c r="F2095" s="192" t="s">
        <v>1346</v>
      </c>
      <c r="G2095" s="488" t="s">
        <v>978</v>
      </c>
      <c r="H2095" s="7" t="s">
        <v>1675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1702</v>
      </c>
      <c r="E2096" s="191">
        <v>41056</v>
      </c>
      <c r="F2096" s="192" t="s">
        <v>1424</v>
      </c>
      <c r="G2096" s="488" t="s">
        <v>984</v>
      </c>
      <c r="H2096" s="7" t="s">
        <v>1675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1702</v>
      </c>
      <c r="E2097" s="191">
        <v>41056</v>
      </c>
      <c r="F2097" s="192" t="s">
        <v>1405</v>
      </c>
      <c r="G2097" s="488" t="s">
        <v>984</v>
      </c>
      <c r="H2097" s="7" t="s">
        <v>1675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1702</v>
      </c>
      <c r="E2098" s="191">
        <v>41056</v>
      </c>
      <c r="F2098" s="192" t="s">
        <v>1360</v>
      </c>
      <c r="G2098" s="488" t="s">
        <v>985</v>
      </c>
      <c r="H2098" s="7" t="s">
        <v>1675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1702</v>
      </c>
      <c r="E2099" s="191">
        <v>41056</v>
      </c>
      <c r="F2099" s="192" t="s">
        <v>1360</v>
      </c>
      <c r="G2099" s="488" t="s">
        <v>985</v>
      </c>
      <c r="H2099" s="7" t="s">
        <v>1675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1702</v>
      </c>
      <c r="E2100" s="191">
        <v>41056</v>
      </c>
      <c r="F2100" s="192" t="s">
        <v>1360</v>
      </c>
      <c r="G2100" s="488" t="s">
        <v>985</v>
      </c>
      <c r="H2100" s="7" t="s">
        <v>1675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1702</v>
      </c>
      <c r="E2101" s="191">
        <v>41056</v>
      </c>
      <c r="F2101" s="192" t="s">
        <v>1360</v>
      </c>
      <c r="G2101" s="488" t="s">
        <v>985</v>
      </c>
      <c r="H2101" s="7" t="s">
        <v>1675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1702</v>
      </c>
      <c r="E2102" s="191">
        <v>41056</v>
      </c>
      <c r="F2102" s="192" t="s">
        <v>1360</v>
      </c>
      <c r="G2102" s="488" t="s">
        <v>985</v>
      </c>
      <c r="H2102" s="7" t="s">
        <v>1675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1702</v>
      </c>
      <c r="E2103" s="191">
        <v>41056</v>
      </c>
      <c r="F2103" s="192" t="s">
        <v>1360</v>
      </c>
      <c r="G2103" s="488" t="s">
        <v>985</v>
      </c>
      <c r="H2103" s="7" t="s">
        <v>1675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1702</v>
      </c>
      <c r="E2104" s="191">
        <v>41056</v>
      </c>
      <c r="F2104" s="192" t="s">
        <v>1360</v>
      </c>
      <c r="G2104" s="488" t="s">
        <v>985</v>
      </c>
      <c r="H2104" s="7" t="s">
        <v>1675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1702</v>
      </c>
      <c r="E2105" s="191">
        <v>41056</v>
      </c>
      <c r="F2105" s="192" t="s">
        <v>1360</v>
      </c>
      <c r="G2105" s="488" t="s">
        <v>985</v>
      </c>
      <c r="H2105" s="7" t="s">
        <v>1675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1702</v>
      </c>
      <c r="E2106" s="184">
        <v>41056</v>
      </c>
      <c r="F2106" s="189" t="s">
        <v>730</v>
      </c>
      <c r="G2106" s="614" t="s">
        <v>985</v>
      </c>
      <c r="H2106" s="7" t="s">
        <v>1675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1702</v>
      </c>
      <c r="E2107" s="184">
        <v>41056</v>
      </c>
      <c r="F2107" s="189" t="s">
        <v>1360</v>
      </c>
      <c r="G2107" s="614" t="s">
        <v>985</v>
      </c>
      <c r="H2107" s="7" t="s">
        <v>1675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1702</v>
      </c>
      <c r="E2108" s="184">
        <v>41056</v>
      </c>
      <c r="F2108" s="189" t="s">
        <v>1396</v>
      </c>
      <c r="G2108" s="614" t="s">
        <v>985</v>
      </c>
      <c r="H2108" s="7" t="s">
        <v>1675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1702</v>
      </c>
      <c r="E2109" s="191">
        <v>41056</v>
      </c>
      <c r="F2109" s="192" t="s">
        <v>1274</v>
      </c>
      <c r="G2109" s="488" t="s">
        <v>985</v>
      </c>
      <c r="H2109" s="7" t="s">
        <v>1675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1702</v>
      </c>
      <c r="E2110" s="191">
        <v>41056</v>
      </c>
      <c r="F2110" s="192" t="s">
        <v>711</v>
      </c>
      <c r="G2110" s="488" t="s">
        <v>985</v>
      </c>
      <c r="H2110" s="7" t="s">
        <v>1675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1702</v>
      </c>
      <c r="E2111" s="184">
        <v>41056</v>
      </c>
      <c r="F2111" s="189" t="s">
        <v>1360</v>
      </c>
      <c r="G2111" s="614" t="s">
        <v>985</v>
      </c>
      <c r="H2111" s="7" t="s">
        <v>1675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1702</v>
      </c>
      <c r="E2112" s="191">
        <v>41056</v>
      </c>
      <c r="F2112" s="192" t="s">
        <v>1360</v>
      </c>
      <c r="G2112" s="488" t="s">
        <v>985</v>
      </c>
      <c r="H2112" s="7" t="s">
        <v>1675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1702</v>
      </c>
      <c r="E2113" s="191">
        <v>41056</v>
      </c>
      <c r="F2113" s="192" t="s">
        <v>1263</v>
      </c>
      <c r="G2113" s="488" t="s">
        <v>985</v>
      </c>
      <c r="H2113" s="7" t="s">
        <v>1675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1702</v>
      </c>
      <c r="E2114" s="184">
        <v>41056</v>
      </c>
      <c r="F2114" s="189" t="s">
        <v>711</v>
      </c>
      <c r="G2114" s="614" t="s">
        <v>985</v>
      </c>
      <c r="H2114" s="7" t="s">
        <v>1675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1702</v>
      </c>
      <c r="E2115" s="191">
        <v>41056</v>
      </c>
      <c r="F2115" s="192" t="s">
        <v>1253</v>
      </c>
      <c r="G2115" s="488" t="s">
        <v>985</v>
      </c>
      <c r="H2115" s="7" t="s">
        <v>1675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1702</v>
      </c>
      <c r="E2116" s="191">
        <v>41056</v>
      </c>
      <c r="F2116" s="192" t="s">
        <v>1383</v>
      </c>
      <c r="G2116" s="488" t="s">
        <v>985</v>
      </c>
      <c r="H2116" s="7" t="s">
        <v>1675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1702</v>
      </c>
      <c r="E2117" s="191">
        <v>41056</v>
      </c>
      <c r="F2117" s="192" t="s">
        <v>1360</v>
      </c>
      <c r="G2117" s="488" t="s">
        <v>985</v>
      </c>
      <c r="H2117" s="7" t="s">
        <v>1675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1702</v>
      </c>
      <c r="E2118" s="191">
        <v>41056</v>
      </c>
      <c r="F2118" s="192" t="s">
        <v>711</v>
      </c>
      <c r="G2118" s="488" t="s">
        <v>985</v>
      </c>
      <c r="H2118" s="7" t="s">
        <v>1675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782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1702</v>
      </c>
      <c r="E2119" s="191">
        <v>41056</v>
      </c>
      <c r="F2119" s="192" t="s">
        <v>1359</v>
      </c>
      <c r="G2119" s="488" t="s">
        <v>985</v>
      </c>
      <c r="H2119" s="7" t="s">
        <v>1675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782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1702</v>
      </c>
      <c r="E2120" s="191">
        <v>41056</v>
      </c>
      <c r="F2120" s="192" t="s">
        <v>1242</v>
      </c>
      <c r="G2120" s="488" t="s">
        <v>985</v>
      </c>
      <c r="H2120" s="7" t="s">
        <v>1675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1702</v>
      </c>
      <c r="E2121" s="191">
        <v>41056</v>
      </c>
      <c r="F2121" s="192" t="s">
        <v>1258</v>
      </c>
      <c r="G2121" s="488" t="s">
        <v>985</v>
      </c>
      <c r="H2121" s="7" t="s">
        <v>1675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1702</v>
      </c>
      <c r="E2122" s="191">
        <v>41056</v>
      </c>
      <c r="F2122" s="192" t="s">
        <v>1303</v>
      </c>
      <c r="G2122" s="488" t="s">
        <v>985</v>
      </c>
      <c r="H2122" s="7" t="s">
        <v>1675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1702</v>
      </c>
      <c r="E2123" s="191">
        <v>41056</v>
      </c>
      <c r="F2123" s="192" t="s">
        <v>762</v>
      </c>
      <c r="G2123" s="488" t="s">
        <v>985</v>
      </c>
      <c r="H2123" s="7" t="s">
        <v>1675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1702</v>
      </c>
      <c r="E2124" s="191">
        <v>41056</v>
      </c>
      <c r="F2124" s="192" t="s">
        <v>1422</v>
      </c>
      <c r="G2124" s="488" t="s">
        <v>985</v>
      </c>
      <c r="H2124" s="7" t="s">
        <v>1675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1702</v>
      </c>
      <c r="E2125" s="191">
        <v>41056</v>
      </c>
      <c r="F2125" s="192" t="s">
        <v>1304</v>
      </c>
      <c r="G2125" s="488" t="s">
        <v>985</v>
      </c>
      <c r="H2125" s="7" t="s">
        <v>1675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1702</v>
      </c>
      <c r="E2126" s="191">
        <v>41056</v>
      </c>
      <c r="F2126" s="192" t="s">
        <v>1264</v>
      </c>
      <c r="G2126" s="488" t="s">
        <v>985</v>
      </c>
      <c r="H2126" s="7" t="s">
        <v>1675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1702</v>
      </c>
      <c r="E2127" s="191">
        <v>41056</v>
      </c>
      <c r="F2127" s="192" t="s">
        <v>1388</v>
      </c>
      <c r="G2127" s="488" t="s">
        <v>985</v>
      </c>
      <c r="H2127" s="7" t="s">
        <v>1675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1702</v>
      </c>
      <c r="E2128" s="191">
        <v>41056</v>
      </c>
      <c r="F2128" s="192" t="s">
        <v>766</v>
      </c>
      <c r="G2128" s="488" t="s">
        <v>985</v>
      </c>
      <c r="H2128" s="7" t="s">
        <v>1675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1702</v>
      </c>
      <c r="E2129" s="191">
        <v>41056</v>
      </c>
      <c r="F2129" s="192" t="s">
        <v>1346</v>
      </c>
      <c r="G2129" s="488" t="s">
        <v>985</v>
      </c>
      <c r="H2129" s="7" t="s">
        <v>1675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1702</v>
      </c>
      <c r="E2130" s="191">
        <v>41056</v>
      </c>
      <c r="F2130" s="192" t="s">
        <v>1383</v>
      </c>
      <c r="G2130" s="488" t="s">
        <v>986</v>
      </c>
      <c r="H2130" s="7" t="s">
        <v>1675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1703</v>
      </c>
      <c r="E2131" s="191">
        <v>41057</v>
      </c>
      <c r="F2131" s="192" t="s">
        <v>1406</v>
      </c>
      <c r="G2131" s="488" t="s">
        <v>988</v>
      </c>
      <c r="H2131" s="7" t="s">
        <v>1675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1703</v>
      </c>
      <c r="E2132" s="191">
        <v>41057</v>
      </c>
      <c r="F2132" s="192" t="s">
        <v>1397</v>
      </c>
      <c r="G2132" s="488" t="s">
        <v>989</v>
      </c>
      <c r="H2132" s="7" t="s">
        <v>1675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1703</v>
      </c>
      <c r="E2133" s="191">
        <v>41057</v>
      </c>
      <c r="F2133" s="192" t="s">
        <v>1300</v>
      </c>
      <c r="G2133" s="488" t="s">
        <v>991</v>
      </c>
      <c r="H2133" s="7" t="s">
        <v>1675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1704</v>
      </c>
      <c r="E2134" s="191">
        <v>41058</v>
      </c>
      <c r="F2134" s="192" t="s">
        <v>1369</v>
      </c>
      <c r="G2134" s="488" t="s">
        <v>992</v>
      </c>
      <c r="H2134" s="7" t="s">
        <v>1675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1704</v>
      </c>
      <c r="E2135" s="191">
        <v>41058</v>
      </c>
      <c r="F2135" s="192" t="s">
        <v>1365</v>
      </c>
      <c r="G2135" s="488" t="s">
        <v>992</v>
      </c>
      <c r="H2135" s="7" t="s">
        <v>1675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1705</v>
      </c>
      <c r="E2136" s="191">
        <v>41068</v>
      </c>
      <c r="F2136" s="192" t="s">
        <v>1273</v>
      </c>
      <c r="G2136" s="488" t="s">
        <v>994</v>
      </c>
      <c r="H2136" s="7" t="s">
        <v>1675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1705</v>
      </c>
      <c r="E2137" s="191">
        <v>41068</v>
      </c>
      <c r="F2137" s="192" t="s">
        <v>1369</v>
      </c>
      <c r="G2137" s="488" t="s">
        <v>994</v>
      </c>
      <c r="H2137" s="7" t="s">
        <v>1675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1705</v>
      </c>
      <c r="E2138" s="191">
        <v>41068</v>
      </c>
      <c r="F2138" s="192" t="s">
        <v>1369</v>
      </c>
      <c r="G2138" s="488" t="s">
        <v>994</v>
      </c>
      <c r="H2138" s="7" t="s">
        <v>1675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1706</v>
      </c>
      <c r="E2139" s="191">
        <v>41069</v>
      </c>
      <c r="F2139" s="192" t="s">
        <v>1291</v>
      </c>
      <c r="G2139" s="488" t="s">
        <v>995</v>
      </c>
      <c r="H2139" s="7" t="s">
        <v>1675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1706</v>
      </c>
      <c r="E2140" s="191">
        <v>41069</v>
      </c>
      <c r="F2140" s="192" t="s">
        <v>1414</v>
      </c>
      <c r="G2140" s="488" t="s">
        <v>996</v>
      </c>
      <c r="H2140" s="7" t="s">
        <v>1675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1707</v>
      </c>
      <c r="E2141" s="191">
        <v>41080</v>
      </c>
      <c r="F2141" s="192" t="s">
        <v>1402</v>
      </c>
      <c r="G2141" s="488" t="s">
        <v>998</v>
      </c>
      <c r="H2141" s="7" t="s">
        <v>1675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1708</v>
      </c>
      <c r="E2142" s="191">
        <v>41083</v>
      </c>
      <c r="F2142" s="192" t="s">
        <v>1309</v>
      </c>
      <c r="G2142" s="488" t="s">
        <v>999</v>
      </c>
      <c r="H2142" s="7" t="s">
        <v>1675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1708</v>
      </c>
      <c r="E2143" s="191">
        <v>41083</v>
      </c>
      <c r="F2143" s="192" t="s">
        <v>1360</v>
      </c>
      <c r="G2143" s="488" t="s">
        <v>1000</v>
      </c>
      <c r="H2143" s="7" t="s">
        <v>1675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1708</v>
      </c>
      <c r="E2144" s="191">
        <v>41083</v>
      </c>
      <c r="F2144" s="192" t="s">
        <v>1244</v>
      </c>
      <c r="G2144" s="488" t="s">
        <v>1000</v>
      </c>
      <c r="H2144" s="7" t="s">
        <v>1675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1708</v>
      </c>
      <c r="E2145" s="191">
        <v>41083</v>
      </c>
      <c r="F2145" s="192" t="s">
        <v>1258</v>
      </c>
      <c r="G2145" s="488" t="s">
        <v>1002</v>
      </c>
      <c r="H2145" s="7" t="s">
        <v>1675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1708</v>
      </c>
      <c r="E2146" s="191">
        <v>41083</v>
      </c>
      <c r="F2146" s="192" t="s">
        <v>1303</v>
      </c>
      <c r="G2146" s="488" t="s">
        <v>1002</v>
      </c>
      <c r="H2146" s="7" t="s">
        <v>1675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1708</v>
      </c>
      <c r="E2147" s="191">
        <v>41083</v>
      </c>
      <c r="F2147" s="192" t="s">
        <v>762</v>
      </c>
      <c r="G2147" s="488" t="s">
        <v>1002</v>
      </c>
      <c r="H2147" s="7" t="s">
        <v>1675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1708</v>
      </c>
      <c r="E2148" s="191">
        <v>41083</v>
      </c>
      <c r="F2148" s="192" t="s">
        <v>1422</v>
      </c>
      <c r="G2148" s="488" t="s">
        <v>1002</v>
      </c>
      <c r="H2148" s="7" t="s">
        <v>1675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1708</v>
      </c>
      <c r="E2149" s="191">
        <v>41083</v>
      </c>
      <c r="F2149" s="192" t="s">
        <v>1304</v>
      </c>
      <c r="G2149" s="488" t="s">
        <v>1002</v>
      </c>
      <c r="H2149" s="7" t="s">
        <v>1675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1708</v>
      </c>
      <c r="E2150" s="191">
        <v>41083</v>
      </c>
      <c r="F2150" s="192" t="s">
        <v>1264</v>
      </c>
      <c r="G2150" s="488" t="s">
        <v>1002</v>
      </c>
      <c r="H2150" s="7" t="s">
        <v>1675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1708</v>
      </c>
      <c r="E2151" s="191">
        <v>41083</v>
      </c>
      <c r="F2151" s="192" t="s">
        <v>1360</v>
      </c>
      <c r="G2151" s="488" t="s">
        <v>1002</v>
      </c>
      <c r="H2151" s="7" t="s">
        <v>1675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1708</v>
      </c>
      <c r="E2152" s="191">
        <v>41083</v>
      </c>
      <c r="F2152" s="192" t="s">
        <v>1388</v>
      </c>
      <c r="G2152" s="488" t="s">
        <v>1002</v>
      </c>
      <c r="H2152" s="7" t="s">
        <v>1675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1708</v>
      </c>
      <c r="E2153" s="191">
        <v>41083</v>
      </c>
      <c r="F2153" s="192" t="s">
        <v>766</v>
      </c>
      <c r="G2153" s="488" t="s">
        <v>1002</v>
      </c>
      <c r="H2153" s="7" t="s">
        <v>1675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1708</v>
      </c>
      <c r="E2154" s="191">
        <v>41083</v>
      </c>
      <c r="F2154" s="192" t="s">
        <v>1346</v>
      </c>
      <c r="G2154" s="488" t="s">
        <v>1002</v>
      </c>
      <c r="H2154" s="7" t="s">
        <v>1675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1709</v>
      </c>
      <c r="E2155" s="191">
        <v>41087</v>
      </c>
      <c r="F2155" s="192" t="s">
        <v>1404</v>
      </c>
      <c r="G2155" s="488" t="s">
        <v>1003</v>
      </c>
      <c r="H2155" s="7" t="s">
        <v>1675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1709</v>
      </c>
      <c r="E2156" s="191">
        <v>41087</v>
      </c>
      <c r="F2156" s="192" t="s">
        <v>1410</v>
      </c>
      <c r="G2156" s="488" t="s">
        <v>1003</v>
      </c>
      <c r="H2156" s="7" t="s">
        <v>1675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1709</v>
      </c>
      <c r="E2157" s="191">
        <v>41087</v>
      </c>
      <c r="F2157" s="192" t="s">
        <v>724</v>
      </c>
      <c r="G2157" s="488" t="s">
        <v>1003</v>
      </c>
      <c r="H2157" s="7" t="s">
        <v>1675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1709</v>
      </c>
      <c r="E2158" s="191">
        <v>41087</v>
      </c>
      <c r="F2158" s="192" t="s">
        <v>733</v>
      </c>
      <c r="G2158" s="488" t="s">
        <v>1003</v>
      </c>
      <c r="H2158" s="7" t="s">
        <v>1675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1709</v>
      </c>
      <c r="E2159" s="191">
        <v>41087</v>
      </c>
      <c r="F2159" s="192" t="s">
        <v>1252</v>
      </c>
      <c r="G2159" s="488" t="s">
        <v>1003</v>
      </c>
      <c r="H2159" s="7" t="s">
        <v>1675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1709</v>
      </c>
      <c r="E2160" s="191">
        <v>41087</v>
      </c>
      <c r="F2160" s="192" t="s">
        <v>730</v>
      </c>
      <c r="G2160" s="488" t="s">
        <v>1003</v>
      </c>
      <c r="H2160" s="7" t="s">
        <v>1675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1709</v>
      </c>
      <c r="E2161" s="191">
        <v>41087</v>
      </c>
      <c r="F2161" s="192" t="s">
        <v>1372</v>
      </c>
      <c r="G2161" s="488" t="s">
        <v>1003</v>
      </c>
      <c r="H2161" s="7" t="s">
        <v>1675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1709</v>
      </c>
      <c r="E2162" s="191">
        <v>41087</v>
      </c>
      <c r="F2162" s="192" t="s">
        <v>1396</v>
      </c>
      <c r="G2162" s="488" t="s">
        <v>1003</v>
      </c>
      <c r="H2162" s="7" t="s">
        <v>1675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1709</v>
      </c>
      <c r="E2163" s="191">
        <v>41087</v>
      </c>
      <c r="F2163" s="192" t="s">
        <v>1274</v>
      </c>
      <c r="G2163" s="488" t="s">
        <v>1003</v>
      </c>
      <c r="H2163" s="7" t="s">
        <v>1675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1709</v>
      </c>
      <c r="E2164" s="191">
        <v>41087</v>
      </c>
      <c r="F2164" s="192" t="s">
        <v>1274</v>
      </c>
      <c r="G2164" s="488" t="s">
        <v>1003</v>
      </c>
      <c r="H2164" s="7" t="s">
        <v>1675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1709</v>
      </c>
      <c r="E2165" s="191">
        <v>41087</v>
      </c>
      <c r="F2165" s="192" t="s">
        <v>1403</v>
      </c>
      <c r="G2165" s="488" t="s">
        <v>1003</v>
      </c>
      <c r="H2165" s="7" t="s">
        <v>1675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1709</v>
      </c>
      <c r="E2166" s="191">
        <v>41087</v>
      </c>
      <c r="F2166" s="192" t="s">
        <v>1292</v>
      </c>
      <c r="G2166" s="488" t="s">
        <v>1003</v>
      </c>
      <c r="H2166" s="7" t="s">
        <v>1675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1709</v>
      </c>
      <c r="E2167" s="191">
        <v>41087</v>
      </c>
      <c r="F2167" s="192" t="s">
        <v>1263</v>
      </c>
      <c r="G2167" s="488" t="s">
        <v>1003</v>
      </c>
      <c r="H2167" s="7" t="s">
        <v>1675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1709</v>
      </c>
      <c r="E2168" s="191">
        <v>41087</v>
      </c>
      <c r="F2168" s="192" t="s">
        <v>1274</v>
      </c>
      <c r="G2168" s="488" t="s">
        <v>1003</v>
      </c>
      <c r="H2168" s="7" t="s">
        <v>1675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1709</v>
      </c>
      <c r="E2169" s="191">
        <v>41087</v>
      </c>
      <c r="F2169" s="192" t="s">
        <v>1384</v>
      </c>
      <c r="G2169" s="488" t="s">
        <v>1003</v>
      </c>
      <c r="H2169" s="7" t="s">
        <v>1675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1709</v>
      </c>
      <c r="E2170" s="191">
        <v>41087</v>
      </c>
      <c r="F2170" s="192" t="s">
        <v>1383</v>
      </c>
      <c r="G2170" s="488" t="s">
        <v>1003</v>
      </c>
      <c r="H2170" s="7" t="s">
        <v>1675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26" customFormat="1" ht="15.75" customHeight="1">
      <c r="A2171" s="204" t="str">
        <f>IF(B2171&lt;&gt;"",IF(AND(B2171&gt;=_TM1,B2171&lt;=_TM2,OR(TH!L2171="1111",TH!M2171="1111")),TH!D2171,""),"")</f>
        <v/>
      </c>
      <c r="B2171" s="817">
        <f t="shared" ref="B2171:B2216" si="127">IF(C2171&lt;&gt;"",MONTH(C2171),"")</f>
        <v>6</v>
      </c>
      <c r="C2171" s="843">
        <f t="shared" si="126"/>
        <v>41089</v>
      </c>
      <c r="D2171" s="818" t="s">
        <v>1710</v>
      </c>
      <c r="E2171" s="818">
        <v>41089</v>
      </c>
      <c r="F2171" s="819" t="s">
        <v>725</v>
      </c>
      <c r="G2171" s="820" t="s">
        <v>1004</v>
      </c>
      <c r="H2171" s="846" t="s">
        <v>1675</v>
      </c>
      <c r="I2171" s="822">
        <v>500</v>
      </c>
      <c r="J2171" s="822">
        <v>6220.8</v>
      </c>
      <c r="K2171" s="823">
        <f t="shared" si="125"/>
        <v>3110400</v>
      </c>
      <c r="L2171" s="844" t="s">
        <v>175</v>
      </c>
      <c r="M2171" s="844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1711</v>
      </c>
      <c r="E2172" s="191">
        <v>41090</v>
      </c>
      <c r="F2172" s="192" t="s">
        <v>765</v>
      </c>
      <c r="G2172" s="488" t="s">
        <v>1005</v>
      </c>
      <c r="H2172" s="7" t="s">
        <v>1675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1682</v>
      </c>
      <c r="E2173" s="191">
        <v>41092</v>
      </c>
      <c r="F2173" s="192" t="s">
        <v>1244</v>
      </c>
      <c r="G2173" s="488" t="s">
        <v>1006</v>
      </c>
      <c r="H2173" s="7" t="s">
        <v>1675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1682</v>
      </c>
      <c r="E2174" s="191">
        <v>41092</v>
      </c>
      <c r="F2174" s="192" t="s">
        <v>1290</v>
      </c>
      <c r="G2174" s="488" t="s">
        <v>1007</v>
      </c>
      <c r="H2174" s="7" t="s">
        <v>1675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1682</v>
      </c>
      <c r="E2175" s="191">
        <v>41092</v>
      </c>
      <c r="F2175" s="192" t="s">
        <v>1389</v>
      </c>
      <c r="G2175" s="488" t="s">
        <v>1009</v>
      </c>
      <c r="H2175" s="7" t="s">
        <v>1675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1682</v>
      </c>
      <c r="E2176" s="191">
        <v>41092</v>
      </c>
      <c r="F2176" s="192" t="s">
        <v>1307</v>
      </c>
      <c r="G2176" s="488" t="s">
        <v>1009</v>
      </c>
      <c r="H2176" s="7" t="s">
        <v>1675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1682</v>
      </c>
      <c r="E2177" s="191">
        <v>41092</v>
      </c>
      <c r="F2177" s="192" t="s">
        <v>1311</v>
      </c>
      <c r="G2177" s="488" t="s">
        <v>1009</v>
      </c>
      <c r="H2177" s="7" t="s">
        <v>1675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1683</v>
      </c>
      <c r="E2178" s="191">
        <v>41093</v>
      </c>
      <c r="F2178" s="192" t="s">
        <v>1425</v>
      </c>
      <c r="G2178" s="488" t="s">
        <v>1010</v>
      </c>
      <c r="H2178" s="7" t="s">
        <v>1675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1683</v>
      </c>
      <c r="E2179" s="191">
        <v>41093</v>
      </c>
      <c r="F2179" s="192" t="s">
        <v>1361</v>
      </c>
      <c r="G2179" s="488" t="s">
        <v>1010</v>
      </c>
      <c r="H2179" s="7" t="s">
        <v>1675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1683</v>
      </c>
      <c r="E2180" s="191">
        <v>41093</v>
      </c>
      <c r="F2180" s="192" t="s">
        <v>1376</v>
      </c>
      <c r="G2180" s="488" t="s">
        <v>1010</v>
      </c>
      <c r="H2180" s="7" t="s">
        <v>1675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1683</v>
      </c>
      <c r="E2181" s="191">
        <v>41093</v>
      </c>
      <c r="F2181" s="192" t="s">
        <v>1425</v>
      </c>
      <c r="G2181" s="488" t="s">
        <v>1011</v>
      </c>
      <c r="H2181" s="7" t="s">
        <v>1675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1684</v>
      </c>
      <c r="E2182" s="191">
        <v>41101</v>
      </c>
      <c r="F2182" s="192" t="s">
        <v>1409</v>
      </c>
      <c r="G2182" s="488" t="s">
        <v>426</v>
      </c>
      <c r="H2182" s="7" t="s">
        <v>1675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1684</v>
      </c>
      <c r="E2183" s="191">
        <v>41101</v>
      </c>
      <c r="F2183" s="192" t="s">
        <v>1321</v>
      </c>
      <c r="G2183" s="488" t="s">
        <v>731</v>
      </c>
      <c r="H2183" s="7" t="s">
        <v>1675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1684</v>
      </c>
      <c r="E2184" s="191">
        <v>41101</v>
      </c>
      <c r="F2184" s="192" t="s">
        <v>1297</v>
      </c>
      <c r="G2184" s="488" t="s">
        <v>731</v>
      </c>
      <c r="H2184" s="7" t="s">
        <v>1675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1684</v>
      </c>
      <c r="E2185" s="191">
        <v>41101</v>
      </c>
      <c r="F2185" s="192" t="s">
        <v>1259</v>
      </c>
      <c r="G2185" s="488" t="s">
        <v>1013</v>
      </c>
      <c r="H2185" s="7" t="s">
        <v>1675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1684</v>
      </c>
      <c r="E2186" s="191">
        <v>41101</v>
      </c>
      <c r="F2186" s="192" t="s">
        <v>1311</v>
      </c>
      <c r="G2186" s="488" t="s">
        <v>1013</v>
      </c>
      <c r="H2186" s="7" t="s">
        <v>1675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1685</v>
      </c>
      <c r="E2187" s="191">
        <v>41102</v>
      </c>
      <c r="F2187" s="192" t="s">
        <v>1348</v>
      </c>
      <c r="G2187" s="488" t="s">
        <v>429</v>
      </c>
      <c r="H2187" s="7" t="s">
        <v>1675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1685</v>
      </c>
      <c r="E2188" s="191">
        <v>41102</v>
      </c>
      <c r="F2188" s="192" t="s">
        <v>1385</v>
      </c>
      <c r="G2188" s="488" t="s">
        <v>429</v>
      </c>
      <c r="H2188" s="7" t="s">
        <v>1675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1685</v>
      </c>
      <c r="E2189" s="191">
        <v>41102</v>
      </c>
      <c r="F2189" s="192" t="s">
        <v>1375</v>
      </c>
      <c r="G2189" s="488" t="s">
        <v>429</v>
      </c>
      <c r="H2189" s="7" t="s">
        <v>1675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1685</v>
      </c>
      <c r="E2190" s="191">
        <v>41102</v>
      </c>
      <c r="F2190" s="192" t="s">
        <v>1407</v>
      </c>
      <c r="G2190" s="488" t="s">
        <v>429</v>
      </c>
      <c r="H2190" s="7" t="s">
        <v>1675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1685</v>
      </c>
      <c r="E2191" s="191">
        <v>41102</v>
      </c>
      <c r="F2191" s="192" t="s">
        <v>1348</v>
      </c>
      <c r="G2191" s="488" t="s">
        <v>429</v>
      </c>
      <c r="H2191" s="7" t="s">
        <v>1675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1686</v>
      </c>
      <c r="E2192" s="191">
        <v>41114</v>
      </c>
      <c r="F2192" s="192" t="s">
        <v>1307</v>
      </c>
      <c r="G2192" s="488" t="s">
        <v>1014</v>
      </c>
      <c r="H2192" s="7" t="s">
        <v>1675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1686</v>
      </c>
      <c r="E2193" s="191">
        <v>41114</v>
      </c>
      <c r="F2193" s="192" t="s">
        <v>1243</v>
      </c>
      <c r="G2193" s="488" t="s">
        <v>1014</v>
      </c>
      <c r="H2193" s="7" t="s">
        <v>1675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1686</v>
      </c>
      <c r="E2194" s="191">
        <v>41114</v>
      </c>
      <c r="F2194" s="192" t="s">
        <v>1310</v>
      </c>
      <c r="G2194" s="488" t="s">
        <v>1015</v>
      </c>
      <c r="H2194" s="7" t="s">
        <v>1675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1686</v>
      </c>
      <c r="E2195" s="191">
        <v>41114</v>
      </c>
      <c r="F2195" s="192" t="s">
        <v>1348</v>
      </c>
      <c r="G2195" s="488" t="s">
        <v>1015</v>
      </c>
      <c r="H2195" s="7" t="s">
        <v>1675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1686</v>
      </c>
      <c r="E2196" s="191">
        <v>41114</v>
      </c>
      <c r="F2196" s="192" t="s">
        <v>1284</v>
      </c>
      <c r="G2196" s="488" t="s">
        <v>430</v>
      </c>
      <c r="H2196" s="7" t="s">
        <v>1675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1687</v>
      </c>
      <c r="E2197" s="191">
        <v>41115</v>
      </c>
      <c r="F2197" s="192" t="s">
        <v>1253</v>
      </c>
      <c r="G2197" s="488" t="s">
        <v>1016</v>
      </c>
      <c r="H2197" s="7" t="s">
        <v>1675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1687</v>
      </c>
      <c r="E2198" s="191">
        <v>41115</v>
      </c>
      <c r="F2198" s="192" t="s">
        <v>1376</v>
      </c>
      <c r="G2198" s="488" t="s">
        <v>1018</v>
      </c>
      <c r="H2198" s="7" t="s">
        <v>1675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1687</v>
      </c>
      <c r="E2199" s="191">
        <v>41115</v>
      </c>
      <c r="F2199" s="192" t="s">
        <v>1389</v>
      </c>
      <c r="G2199" s="488" t="s">
        <v>1018</v>
      </c>
      <c r="H2199" s="7" t="s">
        <v>1675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1687</v>
      </c>
      <c r="E2200" s="191">
        <v>41115</v>
      </c>
      <c r="F2200" s="192" t="s">
        <v>1417</v>
      </c>
      <c r="G2200" s="488" t="s">
        <v>1018</v>
      </c>
      <c r="H2200" s="7" t="s">
        <v>1675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1687</v>
      </c>
      <c r="E2201" s="191">
        <v>41115</v>
      </c>
      <c r="F2201" s="192" t="s">
        <v>1423</v>
      </c>
      <c r="G2201" s="488" t="s">
        <v>1018</v>
      </c>
      <c r="H2201" s="7" t="s">
        <v>1675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1687</v>
      </c>
      <c r="E2202" s="191">
        <v>41115</v>
      </c>
      <c r="F2202" s="192" t="s">
        <v>1311</v>
      </c>
      <c r="G2202" s="488" t="s">
        <v>1018</v>
      </c>
      <c r="H2202" s="7" t="s">
        <v>1675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1687</v>
      </c>
      <c r="E2203" s="191">
        <v>41115</v>
      </c>
      <c r="F2203" s="192" t="s">
        <v>1311</v>
      </c>
      <c r="G2203" s="488" t="s">
        <v>1018</v>
      </c>
      <c r="H2203" s="7" t="s">
        <v>1675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1687</v>
      </c>
      <c r="E2204" s="191">
        <v>41115</v>
      </c>
      <c r="F2204" s="192" t="s">
        <v>1423</v>
      </c>
      <c r="G2204" s="488" t="s">
        <v>1018</v>
      </c>
      <c r="H2204" s="7" t="s">
        <v>1675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1687</v>
      </c>
      <c r="E2205" s="191">
        <v>41115</v>
      </c>
      <c r="F2205" s="192" t="s">
        <v>1311</v>
      </c>
      <c r="G2205" s="488" t="s">
        <v>1018</v>
      </c>
      <c r="H2205" s="7" t="s">
        <v>1675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1688</v>
      </c>
      <c r="E2206" s="191">
        <v>41118</v>
      </c>
      <c r="F2206" s="192" t="s">
        <v>1244</v>
      </c>
      <c r="G2206" s="488" t="s">
        <v>1019</v>
      </c>
      <c r="H2206" s="7" t="s">
        <v>1675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1689</v>
      </c>
      <c r="E2207" s="191">
        <v>41119</v>
      </c>
      <c r="F2207" s="189" t="s">
        <v>1253</v>
      </c>
      <c r="G2207" s="614" t="s">
        <v>1020</v>
      </c>
      <c r="H2207" s="7" t="s">
        <v>1675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1689</v>
      </c>
      <c r="E2208" s="191">
        <v>41119</v>
      </c>
      <c r="F2208" s="189" t="s">
        <v>1389</v>
      </c>
      <c r="G2208" s="614" t="s">
        <v>1020</v>
      </c>
      <c r="H2208" s="7" t="s">
        <v>1675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1690</v>
      </c>
      <c r="E2209" s="191">
        <v>41121</v>
      </c>
      <c r="F2209" s="189" t="s">
        <v>1429</v>
      </c>
      <c r="G2209" s="614" t="s">
        <v>1021</v>
      </c>
      <c r="H2209" s="7" t="s">
        <v>1675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1691</v>
      </c>
      <c r="E2210" s="191">
        <v>41122</v>
      </c>
      <c r="F2210" s="192" t="s">
        <v>1361</v>
      </c>
      <c r="G2210" s="488" t="s">
        <v>1022</v>
      </c>
      <c r="H2210" s="7" t="s">
        <v>1675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1691</v>
      </c>
      <c r="E2211" s="191">
        <v>41122</v>
      </c>
      <c r="F2211" s="192" t="s">
        <v>1348</v>
      </c>
      <c r="G2211" s="488" t="s">
        <v>1023</v>
      </c>
      <c r="H2211" s="7" t="s">
        <v>1675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1691</v>
      </c>
      <c r="E2212" s="191">
        <v>41122</v>
      </c>
      <c r="F2212" s="192" t="s">
        <v>1375</v>
      </c>
      <c r="G2212" s="488" t="s">
        <v>1023</v>
      </c>
      <c r="H2212" s="7" t="s">
        <v>1675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1691</v>
      </c>
      <c r="E2213" s="746">
        <v>41122</v>
      </c>
      <c r="F2213" s="449" t="s">
        <v>1417</v>
      </c>
      <c r="G2213" s="40" t="s">
        <v>1023</v>
      </c>
      <c r="H2213" s="7" t="s">
        <v>1675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1692</v>
      </c>
      <c r="E2214" s="746">
        <v>41125</v>
      </c>
      <c r="F2214" s="449" t="s">
        <v>1285</v>
      </c>
      <c r="G2214" s="40" t="s">
        <v>1024</v>
      </c>
      <c r="H2214" s="7" t="s">
        <v>1675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1693</v>
      </c>
      <c r="E2215" s="746">
        <v>41126</v>
      </c>
      <c r="F2215" s="450" t="s">
        <v>1423</v>
      </c>
      <c r="G2215" s="40" t="s">
        <v>1025</v>
      </c>
      <c r="H2215" s="7" t="s">
        <v>1675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1693</v>
      </c>
      <c r="E2216" s="746">
        <v>41126</v>
      </c>
      <c r="F2216" s="450" t="s">
        <v>1243</v>
      </c>
      <c r="G2216" s="40" t="s">
        <v>1025</v>
      </c>
      <c r="H2216" s="7" t="s">
        <v>1675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2" customFormat="1" ht="15.75" customHeight="1">
      <c r="A2217" s="204" t="str">
        <f>IF(B2217&lt;&gt;"",IF(AND(B2217&gt;=_TM1,B2217&lt;=_TM2,OR(TH!L2217="1111",TH!M2217="1111")),TH!D2217,""),"")</f>
        <v/>
      </c>
      <c r="B2217" s="701">
        <f t="shared" ref="B2217:B2280" si="130">IF(C2217&lt;&gt;"",MONTH(C2217),"")</f>
        <v>8</v>
      </c>
      <c r="C2217" s="37">
        <f t="shared" si="129"/>
        <v>41126</v>
      </c>
      <c r="D2217" s="191" t="s">
        <v>1693</v>
      </c>
      <c r="E2217" s="191">
        <v>41126</v>
      </c>
      <c r="F2217" s="40" t="s">
        <v>1376</v>
      </c>
      <c r="G2217" s="488" t="s">
        <v>648</v>
      </c>
      <c r="H2217" s="7" t="s">
        <v>1675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2" customFormat="1" ht="15.75" customHeight="1">
      <c r="A2218" s="204" t="str">
        <f>IF(B2218&lt;&gt;"",IF(AND(B2218&gt;=_TM1,B2218&lt;=_TM2,OR(TH!L2218="1111",TH!M2218="1111")),TH!D2218,""),"")</f>
        <v/>
      </c>
      <c r="B2218" s="701">
        <f t="shared" si="130"/>
        <v>8</v>
      </c>
      <c r="C2218" s="37">
        <f t="shared" si="129"/>
        <v>41133</v>
      </c>
      <c r="D2218" s="191" t="s">
        <v>1694</v>
      </c>
      <c r="E2218" s="191">
        <v>41133</v>
      </c>
      <c r="F2218" s="40" t="s">
        <v>1284</v>
      </c>
      <c r="G2218" s="488" t="s">
        <v>1026</v>
      </c>
      <c r="H2218" s="7" t="s">
        <v>1675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2" customFormat="1" ht="15.75" customHeight="1">
      <c r="A2219" s="204" t="str">
        <f>IF(B2219&lt;&gt;"",IF(AND(B2219&gt;=_TM1,B2219&lt;=_TM2,OR(TH!L2219="1111",TH!M2219="1111")),TH!D2219,""),"")</f>
        <v/>
      </c>
      <c r="B2219" s="701">
        <f t="shared" si="130"/>
        <v>8</v>
      </c>
      <c r="C2219" s="37">
        <f t="shared" si="129"/>
        <v>41134</v>
      </c>
      <c r="D2219" s="191" t="s">
        <v>1695</v>
      </c>
      <c r="E2219" s="191">
        <v>41134</v>
      </c>
      <c r="F2219" s="189" t="s">
        <v>1281</v>
      </c>
      <c r="G2219" s="488" t="s">
        <v>1027</v>
      </c>
      <c r="H2219" s="7" t="s">
        <v>1675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2" customFormat="1" ht="15.75" customHeight="1">
      <c r="A2220" s="204" t="str">
        <f>IF(B2220&lt;&gt;"",IF(AND(B2220&gt;=_TM1,B2220&lt;=_TM2,OR(TH!L2220="1111",TH!M2220="1111")),TH!D2220,""),"")</f>
        <v/>
      </c>
      <c r="B2220" s="701">
        <f t="shared" si="130"/>
        <v>8</v>
      </c>
      <c r="C2220" s="37">
        <f t="shared" si="129"/>
        <v>41134</v>
      </c>
      <c r="D2220" s="191" t="s">
        <v>1695</v>
      </c>
      <c r="E2220" s="191">
        <v>41134</v>
      </c>
      <c r="F2220" s="189" t="s">
        <v>1242</v>
      </c>
      <c r="G2220" s="488" t="s">
        <v>1027</v>
      </c>
      <c r="H2220" s="7" t="s">
        <v>1675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2" customFormat="1" ht="15.75" customHeight="1">
      <c r="A2221" s="204" t="str">
        <f>IF(B2221&lt;&gt;"",IF(AND(B2221&gt;=_TM1,B2221&lt;=_TM2,OR(TH!L2221="1111",TH!M2221="1111")),TH!D2221,""),"")</f>
        <v/>
      </c>
      <c r="B2221" s="701">
        <f t="shared" si="130"/>
        <v>8</v>
      </c>
      <c r="C2221" s="37">
        <f t="shared" si="129"/>
        <v>41134</v>
      </c>
      <c r="D2221" s="191" t="s">
        <v>1695</v>
      </c>
      <c r="E2221" s="191">
        <v>41134</v>
      </c>
      <c r="F2221" s="295" t="s">
        <v>1348</v>
      </c>
      <c r="G2221" s="488" t="s">
        <v>1029</v>
      </c>
      <c r="H2221" s="7" t="s">
        <v>1675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1695</v>
      </c>
      <c r="E2222" s="191">
        <v>41134</v>
      </c>
      <c r="F2222" s="189" t="s">
        <v>1264</v>
      </c>
      <c r="G2222" s="488" t="s">
        <v>1029</v>
      </c>
      <c r="H2222" s="7" t="s">
        <v>1675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1695</v>
      </c>
      <c r="E2223" s="191">
        <v>41134</v>
      </c>
      <c r="F2223" s="40" t="s">
        <v>1250</v>
      </c>
      <c r="G2223" s="488" t="s">
        <v>1029</v>
      </c>
      <c r="H2223" s="7" t="s">
        <v>1675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1695</v>
      </c>
      <c r="E2224" s="191">
        <v>41134</v>
      </c>
      <c r="F2224" s="40" t="s">
        <v>1240</v>
      </c>
      <c r="G2224" s="488" t="s">
        <v>1029</v>
      </c>
      <c r="H2224" s="7" t="s">
        <v>1675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1696</v>
      </c>
      <c r="E2225" s="191">
        <v>41147</v>
      </c>
      <c r="F2225" s="40" t="s">
        <v>1264</v>
      </c>
      <c r="G2225" s="40" t="s">
        <v>1033</v>
      </c>
      <c r="H2225" s="7" t="s">
        <v>1675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1696</v>
      </c>
      <c r="E2226" s="191">
        <v>41147</v>
      </c>
      <c r="F2226" s="40" t="s">
        <v>1418</v>
      </c>
      <c r="G2226" s="40" t="s">
        <v>431</v>
      </c>
      <c r="H2226" s="7" t="s">
        <v>1675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1696</v>
      </c>
      <c r="E2227" s="191">
        <v>41147</v>
      </c>
      <c r="F2227" s="40" t="s">
        <v>1238</v>
      </c>
      <c r="G2227" s="40" t="s">
        <v>431</v>
      </c>
      <c r="H2227" s="7" t="s">
        <v>1675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1697</v>
      </c>
      <c r="E2228" s="37">
        <v>41150</v>
      </c>
      <c r="F2228" s="40" t="s">
        <v>1307</v>
      </c>
      <c r="G2228" s="40" t="s">
        <v>1034</v>
      </c>
      <c r="H2228" s="7" t="s">
        <v>1675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1698</v>
      </c>
      <c r="E2229" s="37">
        <v>41155</v>
      </c>
      <c r="F2229" s="40" t="s">
        <v>1299</v>
      </c>
      <c r="G2229" s="40" t="s">
        <v>1035</v>
      </c>
      <c r="H2229" s="7" t="s">
        <v>1675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1699</v>
      </c>
      <c r="E2230" s="37">
        <v>41159</v>
      </c>
      <c r="F2230" s="189" t="s">
        <v>1321</v>
      </c>
      <c r="G2230" s="40" t="s">
        <v>1036</v>
      </c>
      <c r="H2230" s="7" t="s">
        <v>1675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1699</v>
      </c>
      <c r="E2231" s="37">
        <v>41159</v>
      </c>
      <c r="F2231" s="189" t="s">
        <v>1286</v>
      </c>
      <c r="G2231" s="40" t="s">
        <v>1036</v>
      </c>
      <c r="H2231" s="7" t="s">
        <v>1675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1699</v>
      </c>
      <c r="E2232" s="37">
        <v>41159</v>
      </c>
      <c r="F2232" s="189" t="s">
        <v>1271</v>
      </c>
      <c r="G2232" s="40" t="s">
        <v>432</v>
      </c>
      <c r="H2232" s="7" t="s">
        <v>1675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1699</v>
      </c>
      <c r="E2233" s="37">
        <v>41159</v>
      </c>
      <c r="F2233" s="189" t="s">
        <v>1272</v>
      </c>
      <c r="G2233" s="40" t="s">
        <v>432</v>
      </c>
      <c r="H2233" s="7" t="s">
        <v>1675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1699</v>
      </c>
      <c r="E2234" s="37">
        <v>41159</v>
      </c>
      <c r="F2234" s="40" t="s">
        <v>1287</v>
      </c>
      <c r="G2234" s="40" t="s">
        <v>432</v>
      </c>
      <c r="H2234" s="7" t="s">
        <v>1675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1699</v>
      </c>
      <c r="E2235" s="37">
        <v>41159</v>
      </c>
      <c r="F2235" s="189" t="s">
        <v>1249</v>
      </c>
      <c r="G2235" s="40" t="s">
        <v>1038</v>
      </c>
      <c r="H2235" s="7" t="s">
        <v>1675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1699</v>
      </c>
      <c r="E2236" s="37">
        <v>41159</v>
      </c>
      <c r="F2236" s="189" t="s">
        <v>1393</v>
      </c>
      <c r="G2236" s="40" t="s">
        <v>1038</v>
      </c>
      <c r="H2236" s="7" t="s">
        <v>1675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1700</v>
      </c>
      <c r="E2237" s="37">
        <v>41160</v>
      </c>
      <c r="F2237" s="40" t="s">
        <v>1393</v>
      </c>
      <c r="G2237" s="40" t="s">
        <v>1039</v>
      </c>
      <c r="H2237" s="7" t="s">
        <v>1675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1700</v>
      </c>
      <c r="E2238" s="37">
        <v>41160</v>
      </c>
      <c r="F2238" s="189" t="s">
        <v>1249</v>
      </c>
      <c r="G2238" s="40" t="s">
        <v>1039</v>
      </c>
      <c r="H2238" s="7" t="s">
        <v>1675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1700</v>
      </c>
      <c r="E2239" s="37">
        <v>41160</v>
      </c>
      <c r="F2239" s="189" t="s">
        <v>1376</v>
      </c>
      <c r="G2239" s="40" t="s">
        <v>1039</v>
      </c>
      <c r="H2239" s="7" t="s">
        <v>1675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1700</v>
      </c>
      <c r="E2240" s="37">
        <v>41160</v>
      </c>
      <c r="F2240" s="189" t="s">
        <v>1253</v>
      </c>
      <c r="G2240" s="40" t="s">
        <v>1039</v>
      </c>
      <c r="H2240" s="7" t="s">
        <v>1675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1700</v>
      </c>
      <c r="E2241" s="37">
        <v>41160</v>
      </c>
      <c r="F2241" s="189" t="s">
        <v>1253</v>
      </c>
      <c r="G2241" s="40" t="s">
        <v>1039</v>
      </c>
      <c r="H2241" s="7" t="s">
        <v>1675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1701</v>
      </c>
      <c r="E2242" s="37">
        <v>41166</v>
      </c>
      <c r="F2242" s="40" t="s">
        <v>1327</v>
      </c>
      <c r="G2242" s="40" t="s">
        <v>1040</v>
      </c>
      <c r="H2242" s="7" t="s">
        <v>1675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1701</v>
      </c>
      <c r="E2243" s="37">
        <v>41166</v>
      </c>
      <c r="F2243" s="189" t="s">
        <v>1244</v>
      </c>
      <c r="G2243" s="40" t="s">
        <v>1040</v>
      </c>
      <c r="H2243" s="7" t="s">
        <v>1675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26" customFormat="1" ht="15.75" customHeight="1">
      <c r="A2244" s="204" t="str">
        <f>IF(B2244&lt;&gt;"",IF(AND(B2244&gt;=_TM1,B2244&lt;=_TM2,OR(TH!L2244="1111",TH!M2244="1111")),TH!D2244,""),"")</f>
        <v/>
      </c>
      <c r="B2244" s="817">
        <f t="shared" si="130"/>
        <v>9</v>
      </c>
      <c r="C2244" s="843">
        <f t="shared" si="129"/>
        <v>41180</v>
      </c>
      <c r="D2244" s="818" t="s">
        <v>1702</v>
      </c>
      <c r="E2244" s="843">
        <v>41180</v>
      </c>
      <c r="F2244" s="847" t="s">
        <v>1437</v>
      </c>
      <c r="G2244" s="848" t="s">
        <v>1041</v>
      </c>
      <c r="H2244" s="846" t="s">
        <v>1675</v>
      </c>
      <c r="I2244" s="822">
        <v>258</v>
      </c>
      <c r="J2244" s="822">
        <v>15288</v>
      </c>
      <c r="K2244" s="823">
        <f t="shared" si="128"/>
        <v>3944304</v>
      </c>
      <c r="L2244" s="844" t="s">
        <v>175</v>
      </c>
      <c r="M2244" s="844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1682</v>
      </c>
      <c r="E2245" s="37">
        <v>41191</v>
      </c>
      <c r="F2245" s="189" t="s">
        <v>1437</v>
      </c>
      <c r="G2245" s="40" t="s">
        <v>433</v>
      </c>
      <c r="H2245" s="7" t="s">
        <v>1675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1682</v>
      </c>
      <c r="E2246" s="37">
        <v>41191</v>
      </c>
      <c r="F2246" s="40" t="s">
        <v>1273</v>
      </c>
      <c r="G2246" s="40" t="s">
        <v>433</v>
      </c>
      <c r="H2246" s="7" t="s">
        <v>1675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1682</v>
      </c>
      <c r="E2247" s="37">
        <v>41191</v>
      </c>
      <c r="F2247" s="40" t="s">
        <v>1318</v>
      </c>
      <c r="G2247" s="40" t="s">
        <v>597</v>
      </c>
      <c r="H2247" s="7" t="s">
        <v>1675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1682</v>
      </c>
      <c r="E2248" s="37">
        <v>41191</v>
      </c>
      <c r="F2248" s="40" t="s">
        <v>1241</v>
      </c>
      <c r="G2248" s="40" t="s">
        <v>597</v>
      </c>
      <c r="H2248" s="7" t="s">
        <v>1675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1682</v>
      </c>
      <c r="E2249" s="37">
        <v>41191</v>
      </c>
      <c r="F2249" s="189" t="s">
        <v>1330</v>
      </c>
      <c r="G2249" s="40" t="s">
        <v>597</v>
      </c>
      <c r="H2249" s="7" t="s">
        <v>1675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1683</v>
      </c>
      <c r="E2250" s="37">
        <v>41192</v>
      </c>
      <c r="F2250" s="40" t="s">
        <v>1318</v>
      </c>
      <c r="G2250" s="40" t="s">
        <v>1042</v>
      </c>
      <c r="H2250" s="7" t="s">
        <v>1675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1683</v>
      </c>
      <c r="E2251" s="37">
        <v>41192</v>
      </c>
      <c r="F2251" s="189" t="s">
        <v>1241</v>
      </c>
      <c r="G2251" s="40" t="s">
        <v>1042</v>
      </c>
      <c r="H2251" s="7" t="s">
        <v>1675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1683</v>
      </c>
      <c r="E2252" s="37">
        <v>41192</v>
      </c>
      <c r="F2252" s="189" t="s">
        <v>1437</v>
      </c>
      <c r="G2252" s="40" t="s">
        <v>1042</v>
      </c>
      <c r="H2252" s="7" t="s">
        <v>1675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1684</v>
      </c>
      <c r="E2253" s="37">
        <v>41195</v>
      </c>
      <c r="F2253" s="40" t="s">
        <v>1273</v>
      </c>
      <c r="G2253" s="40" t="s">
        <v>434</v>
      </c>
      <c r="H2253" s="7" t="s">
        <v>1675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1685</v>
      </c>
      <c r="E2254" s="37">
        <v>41196</v>
      </c>
      <c r="F2254" s="40" t="s">
        <v>1437</v>
      </c>
      <c r="G2254" s="40" t="s">
        <v>1043</v>
      </c>
      <c r="H2254" s="7" t="s">
        <v>1675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1685</v>
      </c>
      <c r="E2255" s="37">
        <v>41196</v>
      </c>
      <c r="F2255" s="40" t="s">
        <v>1273</v>
      </c>
      <c r="G2255" s="40" t="s">
        <v>1043</v>
      </c>
      <c r="H2255" s="7" t="s">
        <v>1675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1685</v>
      </c>
      <c r="E2256" s="37">
        <v>41196</v>
      </c>
      <c r="F2256" s="297" t="s">
        <v>1312</v>
      </c>
      <c r="G2256" s="40" t="s">
        <v>435</v>
      </c>
      <c r="H2256" s="7" t="s">
        <v>1675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1685</v>
      </c>
      <c r="E2257" s="37">
        <v>41196</v>
      </c>
      <c r="F2257" s="189" t="s">
        <v>1429</v>
      </c>
      <c r="G2257" s="40" t="s">
        <v>435</v>
      </c>
      <c r="H2257" s="7" t="s">
        <v>1675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1686</v>
      </c>
      <c r="E2258" s="37">
        <v>41198</v>
      </c>
      <c r="F2258" s="189" t="s">
        <v>1273</v>
      </c>
      <c r="G2258" s="40" t="s">
        <v>1046</v>
      </c>
      <c r="H2258" s="7" t="s">
        <v>1675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1686</v>
      </c>
      <c r="E2259" s="37">
        <v>41198</v>
      </c>
      <c r="F2259" s="189" t="s">
        <v>1429</v>
      </c>
      <c r="G2259" s="40" t="s">
        <v>1047</v>
      </c>
      <c r="H2259" s="7" t="s">
        <v>1675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1687</v>
      </c>
      <c r="E2260" s="37">
        <v>41202</v>
      </c>
      <c r="F2260" s="189" t="s">
        <v>1435</v>
      </c>
      <c r="G2260" s="40" t="s">
        <v>1048</v>
      </c>
      <c r="H2260" s="7" t="s">
        <v>1675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1687</v>
      </c>
      <c r="E2261" s="37">
        <v>41202</v>
      </c>
      <c r="F2261" s="189" t="s">
        <v>1415</v>
      </c>
      <c r="G2261" s="40" t="s">
        <v>1049</v>
      </c>
      <c r="H2261" s="7" t="s">
        <v>1675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1687</v>
      </c>
      <c r="E2262" s="37">
        <v>41202</v>
      </c>
      <c r="F2262" s="189" t="s">
        <v>1263</v>
      </c>
      <c r="G2262" s="40" t="s">
        <v>1049</v>
      </c>
      <c r="H2262" s="7" t="s">
        <v>1675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1687</v>
      </c>
      <c r="E2263" s="37">
        <v>41202</v>
      </c>
      <c r="F2263" s="40" t="s">
        <v>1415</v>
      </c>
      <c r="G2263" s="40" t="s">
        <v>1049</v>
      </c>
      <c r="H2263" s="7" t="s">
        <v>1675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1687</v>
      </c>
      <c r="E2264" s="37">
        <v>41202</v>
      </c>
      <c r="F2264" s="40" t="s">
        <v>1333</v>
      </c>
      <c r="G2264" s="40" t="s">
        <v>1049</v>
      </c>
      <c r="H2264" s="7" t="s">
        <v>1675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782" customFormat="1" ht="15.75" customHeight="1">
      <c r="A2265" s="204" t="str">
        <f>IF(B2265&lt;&gt;"",IF(AND(B2265&gt;=_TM1,B2265&lt;=_TM2,OR(TH!L2265="1111",TH!M2265="1111")),TH!D2265,""),"")</f>
        <v/>
      </c>
      <c r="B2265" s="701">
        <f t="shared" si="130"/>
        <v>10</v>
      </c>
      <c r="C2265" s="37">
        <f t="shared" si="132"/>
        <v>41205</v>
      </c>
      <c r="D2265" s="191" t="s">
        <v>1688</v>
      </c>
      <c r="E2265" s="191">
        <v>41205</v>
      </c>
      <c r="F2265" s="297" t="s">
        <v>1333</v>
      </c>
      <c r="G2265" s="40" t="s">
        <v>1050</v>
      </c>
      <c r="H2265" s="7" t="s">
        <v>1675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782" customFormat="1" ht="15.75" customHeight="1">
      <c r="A2266" s="204" t="str">
        <f>IF(B2266&lt;&gt;"",IF(AND(B2266&gt;=_TM1,B2266&lt;=_TM2,OR(TH!L2266="1111",TH!M2266="1111")),TH!D2266,""),"")</f>
        <v/>
      </c>
      <c r="B2266" s="701">
        <f t="shared" si="130"/>
        <v>10</v>
      </c>
      <c r="C2266" s="37">
        <f t="shared" si="132"/>
        <v>41205</v>
      </c>
      <c r="D2266" s="191" t="s">
        <v>1688</v>
      </c>
      <c r="E2266" s="191">
        <v>41205</v>
      </c>
      <c r="F2266" s="297" t="s">
        <v>873</v>
      </c>
      <c r="G2266" s="40" t="s">
        <v>1050</v>
      </c>
      <c r="H2266" s="7" t="s">
        <v>1675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782" customFormat="1" ht="15.75" customHeight="1">
      <c r="A2267" s="204" t="str">
        <f>IF(B2267&lt;&gt;"",IF(AND(B2267&gt;=_TM1,B2267&lt;=_TM2,OR(TH!L2267="1111",TH!M2267="1111")),TH!D2267,""),"")</f>
        <v/>
      </c>
      <c r="B2267" s="701">
        <f t="shared" si="130"/>
        <v>10</v>
      </c>
      <c r="C2267" s="37">
        <f t="shared" si="132"/>
        <v>41205</v>
      </c>
      <c r="D2267" s="191" t="s">
        <v>1688</v>
      </c>
      <c r="E2267" s="191">
        <v>41205</v>
      </c>
      <c r="F2267" s="297" t="s">
        <v>1432</v>
      </c>
      <c r="G2267" s="40" t="s">
        <v>1050</v>
      </c>
      <c r="H2267" s="7" t="s">
        <v>1675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782" customFormat="1" ht="15.75" customHeight="1">
      <c r="A2268" s="204" t="str">
        <f>IF(B2268&lt;&gt;"",IF(AND(B2268&gt;=_TM1,B2268&lt;=_TM2,OR(TH!L2268="1111",TH!M2268="1111")),TH!D2268,""),"")</f>
        <v/>
      </c>
      <c r="B2268" s="701">
        <f t="shared" si="130"/>
        <v>10</v>
      </c>
      <c r="C2268" s="37">
        <f t="shared" si="132"/>
        <v>41205</v>
      </c>
      <c r="D2268" s="191" t="s">
        <v>1688</v>
      </c>
      <c r="E2268" s="191">
        <v>41205</v>
      </c>
      <c r="F2268" s="297" t="s">
        <v>1435</v>
      </c>
      <c r="G2268" s="40" t="s">
        <v>1050</v>
      </c>
      <c r="H2268" s="7" t="s">
        <v>1675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782" customFormat="1" ht="15.75" customHeight="1">
      <c r="A2269" s="204" t="str">
        <f>IF(B2269&lt;&gt;"",IF(AND(B2269&gt;=_TM1,B2269&lt;=_TM2,OR(TH!L2269="1111",TH!M2269="1111")),TH!D2269,""),"")</f>
        <v/>
      </c>
      <c r="B2269" s="701">
        <f t="shared" si="130"/>
        <v>10</v>
      </c>
      <c r="C2269" s="37">
        <f t="shared" si="132"/>
        <v>41210</v>
      </c>
      <c r="D2269" s="191" t="s">
        <v>1689</v>
      </c>
      <c r="E2269" s="191">
        <v>41210</v>
      </c>
      <c r="F2269" s="297" t="s">
        <v>1273</v>
      </c>
      <c r="G2269" s="40" t="s">
        <v>1051</v>
      </c>
      <c r="H2269" s="7" t="s">
        <v>1675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782" customFormat="1" ht="15.75" customHeight="1">
      <c r="A2270" s="204" t="str">
        <f>IF(B2270&lt;&gt;"",IF(AND(B2270&gt;=_TM1,B2270&lt;=_TM2,OR(TH!L2270="1111",TH!M2270="1111")),TH!D2270,""),"")</f>
        <v/>
      </c>
      <c r="B2270" s="701">
        <f t="shared" si="130"/>
        <v>10</v>
      </c>
      <c r="C2270" s="37">
        <f t="shared" si="132"/>
        <v>41210</v>
      </c>
      <c r="D2270" s="191" t="s">
        <v>1689</v>
      </c>
      <c r="E2270" s="191">
        <v>41210</v>
      </c>
      <c r="F2270" s="297" t="s">
        <v>1437</v>
      </c>
      <c r="G2270" s="40" t="s">
        <v>1051</v>
      </c>
      <c r="H2270" s="7" t="s">
        <v>1675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782" customFormat="1" ht="15.75" customHeight="1">
      <c r="A2271" s="204" t="str">
        <f>IF(B2271&lt;&gt;"",IF(AND(B2271&gt;=_TM1,B2271&lt;=_TM2,OR(TH!L2271="1111",TH!M2271="1111")),TH!D2271,""),"")</f>
        <v/>
      </c>
      <c r="B2271" s="701">
        <f t="shared" si="130"/>
        <v>10</v>
      </c>
      <c r="C2271" s="37">
        <f t="shared" si="132"/>
        <v>41210</v>
      </c>
      <c r="D2271" s="191" t="s">
        <v>1689</v>
      </c>
      <c r="E2271" s="191">
        <v>41210</v>
      </c>
      <c r="F2271" s="297" t="s">
        <v>1330</v>
      </c>
      <c r="G2271" s="40" t="s">
        <v>1053</v>
      </c>
      <c r="H2271" s="7" t="s">
        <v>1675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782" customFormat="1" ht="15.75" customHeight="1">
      <c r="A2272" s="204" t="str">
        <f>IF(B2272&lt;&gt;"",IF(AND(B2272&gt;=_TM1,B2272&lt;=_TM2,OR(TH!L2272="1111",TH!M2272="1111")),TH!D2272,""),"")</f>
        <v/>
      </c>
      <c r="B2272" s="701">
        <f t="shared" si="130"/>
        <v>10</v>
      </c>
      <c r="C2272" s="37">
        <f t="shared" si="132"/>
        <v>41210</v>
      </c>
      <c r="D2272" s="191" t="s">
        <v>1689</v>
      </c>
      <c r="E2272" s="191">
        <v>41210</v>
      </c>
      <c r="F2272" s="297" t="s">
        <v>1330</v>
      </c>
      <c r="G2272" s="40" t="s">
        <v>1053</v>
      </c>
      <c r="H2272" s="7" t="s">
        <v>1675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782" customFormat="1" ht="15.75" customHeight="1">
      <c r="A2273" s="204" t="str">
        <f>IF(B2273&lt;&gt;"",IF(AND(B2273&gt;=_TM1,B2273&lt;=_TM2,OR(TH!L2273="1111",TH!M2273="1111")),TH!D2273,""),"")</f>
        <v/>
      </c>
      <c r="B2273" s="701">
        <f t="shared" si="130"/>
        <v>10</v>
      </c>
      <c r="C2273" s="37">
        <f t="shared" si="132"/>
        <v>41210</v>
      </c>
      <c r="D2273" s="191" t="s">
        <v>1689</v>
      </c>
      <c r="E2273" s="37">
        <v>41210</v>
      </c>
      <c r="F2273" s="297" t="s">
        <v>1330</v>
      </c>
      <c r="G2273" s="40" t="s">
        <v>1053</v>
      </c>
      <c r="H2273" s="7" t="s">
        <v>1675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782" customFormat="1" ht="15.75" customHeight="1">
      <c r="A2274" s="204" t="str">
        <f>IF(B2274&lt;&gt;"",IF(AND(B2274&gt;=_TM1,B2274&lt;=_TM2,OR(TH!L2274="1111",TH!M2274="1111")),TH!D2274,""),"")</f>
        <v/>
      </c>
      <c r="B2274" s="701">
        <f t="shared" si="130"/>
        <v>10</v>
      </c>
      <c r="C2274" s="37">
        <f t="shared" si="132"/>
        <v>41210</v>
      </c>
      <c r="D2274" s="191" t="s">
        <v>1689</v>
      </c>
      <c r="E2274" s="37">
        <v>41210</v>
      </c>
      <c r="F2274" s="297" t="s">
        <v>1241</v>
      </c>
      <c r="G2274" s="40" t="s">
        <v>1053</v>
      </c>
      <c r="H2274" s="7" t="s">
        <v>1675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782" customFormat="1" ht="15.75" customHeight="1">
      <c r="A2275" s="204" t="str">
        <f>IF(B2275&lt;&gt;"",IF(AND(B2275&gt;=_TM1,B2275&lt;=_TM2,OR(TH!L2275="1111",TH!M2275="1111")),TH!D2275,""),"")</f>
        <v/>
      </c>
      <c r="B2275" s="701">
        <f t="shared" si="130"/>
        <v>10</v>
      </c>
      <c r="C2275" s="37">
        <f t="shared" si="132"/>
        <v>41210</v>
      </c>
      <c r="D2275" s="191" t="s">
        <v>1689</v>
      </c>
      <c r="E2275" s="37">
        <v>41210</v>
      </c>
      <c r="F2275" s="297" t="s">
        <v>1317</v>
      </c>
      <c r="G2275" s="40" t="s">
        <v>1053</v>
      </c>
      <c r="H2275" s="7" t="s">
        <v>1675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782" customFormat="1" ht="15.75" customHeight="1">
      <c r="A2276" s="204" t="str">
        <f>IF(B2276&lt;&gt;"",IF(AND(B2276&gt;=_TM1,B2276&lt;=_TM2,OR(TH!L2276="1111",TH!M2276="1111")),TH!D2276,""),"")</f>
        <v/>
      </c>
      <c r="B2276" s="701">
        <f t="shared" si="130"/>
        <v>10</v>
      </c>
      <c r="C2276" s="37">
        <f t="shared" si="132"/>
        <v>41210</v>
      </c>
      <c r="D2276" s="191" t="s">
        <v>1689</v>
      </c>
      <c r="E2276" s="37">
        <v>41210</v>
      </c>
      <c r="F2276" s="297" t="s">
        <v>1306</v>
      </c>
      <c r="G2276" s="40" t="s">
        <v>1053</v>
      </c>
      <c r="H2276" s="7" t="s">
        <v>1675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782" customFormat="1" ht="15.75" customHeight="1">
      <c r="A2277" s="204" t="str">
        <f>IF(B2277&lt;&gt;"",IF(AND(B2277&gt;=_TM1,B2277&lt;=_TM2,OR(TH!L2277="1111",TH!M2277="1111")),TH!D2277,""),"")</f>
        <v/>
      </c>
      <c r="B2277" s="701">
        <f t="shared" si="130"/>
        <v>11</v>
      </c>
      <c r="C2277" s="37">
        <f t="shared" si="132"/>
        <v>41223</v>
      </c>
      <c r="D2277" s="191" t="s">
        <v>1690</v>
      </c>
      <c r="E2277" s="37">
        <v>41223</v>
      </c>
      <c r="F2277" s="297" t="s">
        <v>873</v>
      </c>
      <c r="G2277" s="40" t="s">
        <v>1060</v>
      </c>
      <c r="H2277" s="7" t="s">
        <v>1675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782" customFormat="1" ht="15.75" customHeight="1">
      <c r="A2278" s="204" t="str">
        <f>IF(B2278&lt;&gt;"",IF(AND(B2278&gt;=_TM1,B2278&lt;=_TM2,OR(TH!L2278="1111",TH!M2278="1111")),TH!D2278,""),"")</f>
        <v/>
      </c>
      <c r="B2278" s="701">
        <f t="shared" si="130"/>
        <v>11</v>
      </c>
      <c r="C2278" s="37">
        <f t="shared" si="132"/>
        <v>41223</v>
      </c>
      <c r="D2278" s="191" t="s">
        <v>1690</v>
      </c>
      <c r="E2278" s="37">
        <v>41223</v>
      </c>
      <c r="F2278" s="297" t="s">
        <v>1273</v>
      </c>
      <c r="G2278" s="40" t="s">
        <v>1060</v>
      </c>
      <c r="H2278" s="7" t="s">
        <v>1675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782" customFormat="1" ht="15.75" customHeight="1">
      <c r="A2279" s="204" t="str">
        <f>IF(B2279&lt;&gt;"",IF(AND(B2279&gt;=_TM1,B2279&lt;=_TM2,OR(TH!L2279="1111",TH!M2279="1111")),TH!D2279,""),"")</f>
        <v/>
      </c>
      <c r="B2279" s="701">
        <f t="shared" si="130"/>
        <v>11</v>
      </c>
      <c r="C2279" s="37">
        <f t="shared" si="132"/>
        <v>41223</v>
      </c>
      <c r="D2279" s="191" t="s">
        <v>1690</v>
      </c>
      <c r="E2279" s="37">
        <v>41223</v>
      </c>
      <c r="F2279" s="297" t="s">
        <v>1333</v>
      </c>
      <c r="G2279" s="40" t="s">
        <v>1060</v>
      </c>
      <c r="H2279" s="7" t="s">
        <v>1675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782" customFormat="1" ht="15.75" customHeight="1">
      <c r="A2280" s="204" t="str">
        <f>IF(B2280&lt;&gt;"",IF(AND(B2280&gt;=_TM1,B2280&lt;=_TM2,OR(TH!L2280="1111",TH!M2280="1111")),TH!D2280,""),"")</f>
        <v/>
      </c>
      <c r="B2280" s="701">
        <f t="shared" si="130"/>
        <v>11</v>
      </c>
      <c r="C2280" s="37">
        <f t="shared" si="132"/>
        <v>41225</v>
      </c>
      <c r="D2280" s="191" t="s">
        <v>1691</v>
      </c>
      <c r="E2280" s="37">
        <v>41225</v>
      </c>
      <c r="F2280" s="297" t="s">
        <v>1273</v>
      </c>
      <c r="G2280" s="40" t="s">
        <v>1061</v>
      </c>
      <c r="H2280" s="7" t="s">
        <v>1675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782" customFormat="1" ht="15.75" customHeight="1">
      <c r="A2281" s="204" t="str">
        <f>IF(B2281&lt;&gt;"",IF(AND(B2281&gt;=_TM1,B2281&lt;=_TM2,OR(TH!L2281="1111",TH!M2281="1111")),TH!D2281,""),"")</f>
        <v/>
      </c>
      <c r="B2281" s="701">
        <f t="shared" ref="B2281:B2344" si="133">IF(C2281&lt;&gt;"",MONTH(C2281),"")</f>
        <v>11</v>
      </c>
      <c r="C2281" s="37">
        <f t="shared" si="132"/>
        <v>41225</v>
      </c>
      <c r="D2281" s="191" t="s">
        <v>1691</v>
      </c>
      <c r="E2281" s="37">
        <v>41225</v>
      </c>
      <c r="F2281" s="297" t="s">
        <v>1312</v>
      </c>
      <c r="G2281" s="40" t="s">
        <v>1061</v>
      </c>
      <c r="H2281" s="7" t="s">
        <v>1675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782" customFormat="1" ht="15.75" customHeight="1">
      <c r="A2282" s="204" t="str">
        <f>IF(B2282&lt;&gt;"",IF(AND(B2282&gt;=_TM1,B2282&lt;=_TM2,OR(TH!L2282="1111",TH!M2282="1111")),TH!D2282,""),"")</f>
        <v/>
      </c>
      <c r="B2282" s="701">
        <f t="shared" si="133"/>
        <v>11</v>
      </c>
      <c r="C2282" s="37">
        <f t="shared" si="132"/>
        <v>41225</v>
      </c>
      <c r="D2282" s="191" t="s">
        <v>1691</v>
      </c>
      <c r="E2282" s="37">
        <v>41225</v>
      </c>
      <c r="F2282" s="297" t="s">
        <v>1338</v>
      </c>
      <c r="G2282" s="40" t="s">
        <v>1062</v>
      </c>
      <c r="H2282" s="7" t="s">
        <v>1675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782" customFormat="1" ht="15.75" customHeight="1">
      <c r="A2283" s="204" t="str">
        <f>IF(B2283&lt;&gt;"",IF(AND(B2283&gt;=_TM1,B2283&lt;=_TM2,OR(TH!L2283="1111",TH!M2283="1111")),TH!D2283,""),"")</f>
        <v/>
      </c>
      <c r="B2283" s="701">
        <f t="shared" si="133"/>
        <v>11</v>
      </c>
      <c r="C2283" s="37">
        <f t="shared" si="132"/>
        <v>41232</v>
      </c>
      <c r="D2283" s="191" t="s">
        <v>1692</v>
      </c>
      <c r="E2283" s="37">
        <v>41232</v>
      </c>
      <c r="F2283" s="297" t="s">
        <v>1437</v>
      </c>
      <c r="G2283" s="40" t="s">
        <v>1063</v>
      </c>
      <c r="H2283" s="7" t="s">
        <v>1675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782" customFormat="1" ht="15.75" customHeight="1">
      <c r="A2284" s="204" t="str">
        <f>IF(B2284&lt;&gt;"",IF(AND(B2284&gt;=_TM1,B2284&lt;=_TM2,OR(TH!L2284="1111",TH!M2284="1111")),TH!D2284,""),"")</f>
        <v/>
      </c>
      <c r="B2284" s="701">
        <f t="shared" si="133"/>
        <v>11</v>
      </c>
      <c r="C2284" s="37">
        <f t="shared" si="132"/>
        <v>41232</v>
      </c>
      <c r="D2284" s="191" t="s">
        <v>1692</v>
      </c>
      <c r="E2284" s="37">
        <v>41232</v>
      </c>
      <c r="F2284" s="297" t="s">
        <v>1276</v>
      </c>
      <c r="G2284" s="40" t="s">
        <v>1063</v>
      </c>
      <c r="H2284" s="7" t="s">
        <v>1675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782" customFormat="1" ht="15.75" customHeight="1">
      <c r="A2285" s="204" t="str">
        <f>IF(B2285&lt;&gt;"",IF(AND(B2285&gt;=_TM1,B2285&lt;=_TM2,OR(TH!L2285="1111",TH!M2285="1111")),TH!D2285,""),"")</f>
        <v/>
      </c>
      <c r="B2285" s="701">
        <f t="shared" si="133"/>
        <v>11</v>
      </c>
      <c r="C2285" s="37">
        <f t="shared" si="132"/>
        <v>41232</v>
      </c>
      <c r="D2285" s="191" t="s">
        <v>1692</v>
      </c>
      <c r="E2285" s="37">
        <v>41232</v>
      </c>
      <c r="F2285" s="297" t="s">
        <v>1318</v>
      </c>
      <c r="G2285" s="40" t="s">
        <v>1063</v>
      </c>
      <c r="H2285" s="7" t="s">
        <v>1675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782" customFormat="1" ht="15.75" customHeight="1">
      <c r="A2286" s="204" t="str">
        <f>IF(B2286&lt;&gt;"",IF(AND(B2286&gt;=_TM1,B2286&lt;=_TM2,OR(TH!L2286="1111",TH!M2286="1111")),TH!D2286,""),"")</f>
        <v/>
      </c>
      <c r="B2286" s="701">
        <f t="shared" si="133"/>
        <v>11</v>
      </c>
      <c r="C2286" s="37">
        <f t="shared" si="132"/>
        <v>41232</v>
      </c>
      <c r="D2286" s="191" t="s">
        <v>1692</v>
      </c>
      <c r="E2286" s="37">
        <v>41232</v>
      </c>
      <c r="F2286" s="297" t="s">
        <v>708</v>
      </c>
      <c r="G2286" s="40" t="s">
        <v>1063</v>
      </c>
      <c r="H2286" s="7" t="s">
        <v>1675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782" customFormat="1" ht="15.75" customHeight="1">
      <c r="A2287" s="204" t="str">
        <f>IF(B2287&lt;&gt;"",IF(AND(B2287&gt;=_TM1,B2287&lt;=_TM2,OR(TH!L2287="1111",TH!M2287="1111")),TH!D2287,""),"")</f>
        <v/>
      </c>
      <c r="B2287" s="701">
        <f t="shared" si="133"/>
        <v>11</v>
      </c>
      <c r="C2287" s="37">
        <f t="shared" si="132"/>
        <v>41241</v>
      </c>
      <c r="D2287" s="191" t="s">
        <v>1693</v>
      </c>
      <c r="E2287" s="37">
        <v>41241</v>
      </c>
      <c r="F2287" s="297" t="s">
        <v>1435</v>
      </c>
      <c r="G2287" s="40" t="s">
        <v>1064</v>
      </c>
      <c r="H2287" s="7" t="s">
        <v>1675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782" customFormat="1" ht="15.75" customHeight="1">
      <c r="A2288" s="204" t="str">
        <f>IF(B2288&lt;&gt;"",IF(AND(B2288&gt;=_TM1,B2288&lt;=_TM2,OR(TH!L2288="1111",TH!M2288="1111")),TH!D2288,""),"")</f>
        <v/>
      </c>
      <c r="B2288" s="701">
        <f t="shared" si="133"/>
        <v>12</v>
      </c>
      <c r="C2288" s="37">
        <f t="shared" si="132"/>
        <v>41250</v>
      </c>
      <c r="D2288" s="191" t="s">
        <v>1694</v>
      </c>
      <c r="E2288" s="37">
        <v>41250</v>
      </c>
      <c r="F2288" s="297" t="s">
        <v>1263</v>
      </c>
      <c r="G2288" s="40" t="s">
        <v>1065</v>
      </c>
      <c r="H2288" s="7" t="s">
        <v>1675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782" customFormat="1" ht="15.75" customHeight="1">
      <c r="A2289" s="204" t="str">
        <f>IF(B2289&lt;&gt;"",IF(AND(B2289&gt;=_TM1,B2289&lt;=_TM2,OR(TH!L2289="1111",TH!M2289="1111")),TH!D2289,""),"")</f>
        <v/>
      </c>
      <c r="B2289" s="701">
        <f t="shared" si="133"/>
        <v>12</v>
      </c>
      <c r="C2289" s="37">
        <f t="shared" si="132"/>
        <v>41250</v>
      </c>
      <c r="D2289" s="191" t="s">
        <v>1694</v>
      </c>
      <c r="E2289" s="37">
        <v>41250</v>
      </c>
      <c r="F2289" s="297" t="s">
        <v>1335</v>
      </c>
      <c r="G2289" s="40" t="s">
        <v>1065</v>
      </c>
      <c r="H2289" s="7" t="s">
        <v>1675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782" customFormat="1" ht="15.75" customHeight="1">
      <c r="A2290" s="204" t="str">
        <f>IF(B2290&lt;&gt;"",IF(AND(B2290&gt;=_TM1,B2290&lt;=_TM2,OR(TH!L2290="1111",TH!M2290="1111")),TH!D2290,""),"")</f>
        <v/>
      </c>
      <c r="B2290" s="701">
        <f t="shared" si="133"/>
        <v>12</v>
      </c>
      <c r="C2290" s="37">
        <f t="shared" si="132"/>
        <v>41250</v>
      </c>
      <c r="D2290" s="191" t="s">
        <v>1694</v>
      </c>
      <c r="E2290" s="37">
        <v>41250</v>
      </c>
      <c r="F2290" s="297" t="s">
        <v>1416</v>
      </c>
      <c r="G2290" s="40" t="s">
        <v>1065</v>
      </c>
      <c r="H2290" s="7" t="s">
        <v>1675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782" customFormat="1" ht="15.75" customHeight="1">
      <c r="A2291" s="204" t="str">
        <f>IF(B2291&lt;&gt;"",IF(AND(B2291&gt;=_TM1,B2291&lt;=_TM2,OR(TH!L2291="1111",TH!M2291="1111")),TH!D2291,""),"")</f>
        <v/>
      </c>
      <c r="B2291" s="701">
        <f t="shared" si="133"/>
        <v>12</v>
      </c>
      <c r="C2291" s="37">
        <f t="shared" si="132"/>
        <v>41259</v>
      </c>
      <c r="D2291" s="191" t="s">
        <v>1695</v>
      </c>
      <c r="E2291" s="37">
        <v>41259</v>
      </c>
      <c r="F2291" s="297" t="s">
        <v>1273</v>
      </c>
      <c r="G2291" s="40" t="s">
        <v>1067</v>
      </c>
      <c r="H2291" s="7" t="s">
        <v>1675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782" customFormat="1" ht="15.75" customHeight="1">
      <c r="A2292" s="204" t="str">
        <f>IF(B2292&lt;&gt;"",IF(AND(B2292&gt;=_TM1,B2292&lt;=_TM2,OR(TH!L2292="1111",TH!M2292="1111")),TH!D2292,""),"")</f>
        <v/>
      </c>
      <c r="B2292" s="701">
        <f t="shared" si="133"/>
        <v>12</v>
      </c>
      <c r="C2292" s="37">
        <f t="shared" si="132"/>
        <v>41259</v>
      </c>
      <c r="D2292" s="191" t="s">
        <v>1695</v>
      </c>
      <c r="E2292" s="37">
        <v>41259</v>
      </c>
      <c r="F2292" s="297" t="s">
        <v>1432</v>
      </c>
      <c r="G2292" s="40" t="s">
        <v>1069</v>
      </c>
      <c r="H2292" s="7" t="s">
        <v>1675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782" customFormat="1" ht="15.75" customHeight="1">
      <c r="A2293" s="204" t="str">
        <f>IF(B2293&lt;&gt;"",IF(AND(B2293&gt;=_TM1,B2293&lt;=_TM2,OR(TH!L2293="1111",TH!M2293="1111")),TH!D2293,""),"")</f>
        <v/>
      </c>
      <c r="B2293" s="701">
        <f t="shared" si="133"/>
        <v>12</v>
      </c>
      <c r="C2293" s="37">
        <f t="shared" si="132"/>
        <v>41259</v>
      </c>
      <c r="D2293" s="191" t="s">
        <v>1695</v>
      </c>
      <c r="E2293" s="37">
        <v>41259</v>
      </c>
      <c r="F2293" s="297" t="s">
        <v>1432</v>
      </c>
      <c r="G2293" s="40" t="s">
        <v>1069</v>
      </c>
      <c r="H2293" s="7" t="s">
        <v>1675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782" customFormat="1" ht="15.75" customHeight="1">
      <c r="A2294" s="204" t="str">
        <f>IF(B2294&lt;&gt;"",IF(AND(B2294&gt;=_TM1,B2294&lt;=_TM2,OR(TH!L2294="1111",TH!M2294="1111")),TH!D2294,""),"")</f>
        <v/>
      </c>
      <c r="B2294" s="701">
        <f t="shared" si="133"/>
        <v>12</v>
      </c>
      <c r="C2294" s="37">
        <f t="shared" si="132"/>
        <v>41259</v>
      </c>
      <c r="D2294" s="191" t="s">
        <v>1695</v>
      </c>
      <c r="E2294" s="37">
        <v>41259</v>
      </c>
      <c r="F2294" s="297" t="s">
        <v>1416</v>
      </c>
      <c r="G2294" s="40" t="s">
        <v>1069</v>
      </c>
      <c r="H2294" s="7" t="s">
        <v>1675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782" customFormat="1" ht="15.75" customHeight="1">
      <c r="A2295" s="204" t="str">
        <f>IF(B2295&lt;&gt;"",IF(AND(B2295&gt;=_TM1,B2295&lt;=_TM2,OR(TH!L2295="1111",TH!M2295="1111")),TH!D2295,""),"")</f>
        <v/>
      </c>
      <c r="B2295" s="701">
        <f t="shared" si="133"/>
        <v>12</v>
      </c>
      <c r="C2295" s="37">
        <f t="shared" si="132"/>
        <v>41259</v>
      </c>
      <c r="D2295" s="191" t="s">
        <v>1695</v>
      </c>
      <c r="E2295" s="37">
        <v>41259</v>
      </c>
      <c r="F2295" s="297" t="s">
        <v>1391</v>
      </c>
      <c r="G2295" s="40" t="s">
        <v>1069</v>
      </c>
      <c r="H2295" s="7" t="s">
        <v>1675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782" customFormat="1" ht="15.75" customHeight="1">
      <c r="A2296" s="204" t="str">
        <f>IF(B2296&lt;&gt;"",IF(AND(B2296&gt;=_TM1,B2296&lt;=_TM2,OR(TH!L2296="1111",TH!M2296="1111")),TH!D2296,""),"")</f>
        <v/>
      </c>
      <c r="B2296" s="701">
        <f t="shared" si="133"/>
        <v>12</v>
      </c>
      <c r="C2296" s="37">
        <f t="shared" si="132"/>
        <v>41260</v>
      </c>
      <c r="D2296" s="191" t="s">
        <v>1696</v>
      </c>
      <c r="E2296" s="37">
        <v>41260</v>
      </c>
      <c r="F2296" s="297" t="s">
        <v>1312</v>
      </c>
      <c r="G2296" s="40" t="s">
        <v>1071</v>
      </c>
      <c r="H2296" s="7" t="s">
        <v>1675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782" customFormat="1" ht="15.75" customHeight="1">
      <c r="A2297" s="204" t="str">
        <f>IF(B2297&lt;&gt;"",IF(AND(B2297&gt;=_TM1,B2297&lt;=_TM2,OR(TH!L2297="1111",TH!M2297="1111")),TH!D2297,""),"")</f>
        <v/>
      </c>
      <c r="B2297" s="701">
        <f t="shared" si="133"/>
        <v>12</v>
      </c>
      <c r="C2297" s="37">
        <f t="shared" si="132"/>
        <v>41260</v>
      </c>
      <c r="D2297" s="191" t="s">
        <v>1696</v>
      </c>
      <c r="E2297" s="37">
        <v>41260</v>
      </c>
      <c r="F2297" s="192" t="s">
        <v>1429</v>
      </c>
      <c r="G2297" s="40" t="s">
        <v>1071</v>
      </c>
      <c r="H2297" s="7" t="s">
        <v>1675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782" customFormat="1" ht="15.75" customHeight="1">
      <c r="A2298" s="204" t="str">
        <f>IF(B2298&lt;&gt;"",IF(AND(B2298&gt;=_TM1,B2298&lt;=_TM2,OR(TH!L2298="1111",TH!M2298="1111")),TH!D2298,""),"")</f>
        <v/>
      </c>
      <c r="B2298" s="701">
        <f t="shared" si="133"/>
        <v>12</v>
      </c>
      <c r="C2298" s="37">
        <f t="shared" si="132"/>
        <v>41260</v>
      </c>
      <c r="D2298" s="191" t="s">
        <v>1696</v>
      </c>
      <c r="E2298" s="37">
        <v>41260</v>
      </c>
      <c r="F2298" s="297" t="s">
        <v>1312</v>
      </c>
      <c r="G2298" s="40" t="s">
        <v>1071</v>
      </c>
      <c r="H2298" s="7" t="s">
        <v>1675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782" customFormat="1" ht="15.75" customHeight="1">
      <c r="A2299" s="204" t="str">
        <f>IF(B2299&lt;&gt;"",IF(AND(B2299&gt;=_TM1,B2299&lt;=_TM2,OR(TH!L2299="1111",TH!M2299="1111")),TH!D2299,""),"")</f>
        <v/>
      </c>
      <c r="B2299" s="701">
        <f t="shared" si="133"/>
        <v>12</v>
      </c>
      <c r="C2299" s="37">
        <f t="shared" si="132"/>
        <v>41260</v>
      </c>
      <c r="D2299" s="191" t="s">
        <v>1696</v>
      </c>
      <c r="E2299" s="37">
        <v>41260</v>
      </c>
      <c r="F2299" s="297" t="s">
        <v>1429</v>
      </c>
      <c r="G2299" s="40" t="s">
        <v>1071</v>
      </c>
      <c r="H2299" s="7" t="s">
        <v>1675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782" customFormat="1" ht="15.75" customHeight="1">
      <c r="A2300" s="204" t="str">
        <f>IF(B2300&lt;&gt;"",IF(AND(B2300&gt;=_TM1,B2300&lt;=_TM2,OR(TH!L2300="1111",TH!M2300="1111")),TH!D2300,""),"")</f>
        <v/>
      </c>
      <c r="B2300" s="701">
        <f t="shared" si="133"/>
        <v>12</v>
      </c>
      <c r="C2300" s="37">
        <f t="shared" si="132"/>
        <v>41260</v>
      </c>
      <c r="D2300" s="191" t="s">
        <v>1696</v>
      </c>
      <c r="E2300" s="37">
        <v>41260</v>
      </c>
      <c r="F2300" s="297" t="s">
        <v>1298</v>
      </c>
      <c r="G2300" s="40" t="s">
        <v>1071</v>
      </c>
      <c r="H2300" s="7" t="s">
        <v>1675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782" customFormat="1" ht="15.75" customHeight="1">
      <c r="A2301" s="204" t="str">
        <f>IF(B2301&lt;&gt;"",IF(AND(B2301&gt;=_TM1,B2301&lt;=_TM2,OR(TH!L2301="1111",TH!M2301="1111")),TH!D2301,""),"")</f>
        <v/>
      </c>
      <c r="B2301" s="701">
        <f t="shared" si="133"/>
        <v>12</v>
      </c>
      <c r="C2301" s="37">
        <f t="shared" si="132"/>
        <v>41262</v>
      </c>
      <c r="D2301" s="191" t="s">
        <v>1697</v>
      </c>
      <c r="E2301" s="37">
        <v>41262</v>
      </c>
      <c r="F2301" s="297" t="s">
        <v>1275</v>
      </c>
      <c r="G2301" s="40" t="s">
        <v>1074</v>
      </c>
      <c r="H2301" s="7" t="s">
        <v>1675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782" customFormat="1" ht="15.75" customHeight="1">
      <c r="A2302" s="204" t="str">
        <f>IF(B2302&lt;&gt;"",IF(AND(B2302&gt;=_TM1,B2302&lt;=_TM2,OR(TH!L2302="1111",TH!M2302="1111")),TH!D2302,""),"")</f>
        <v/>
      </c>
      <c r="B2302" s="701">
        <f t="shared" si="133"/>
        <v>12</v>
      </c>
      <c r="C2302" s="37">
        <f t="shared" si="132"/>
        <v>41262</v>
      </c>
      <c r="D2302" s="191" t="s">
        <v>1697</v>
      </c>
      <c r="E2302" s="37">
        <v>41262</v>
      </c>
      <c r="F2302" s="297" t="s">
        <v>873</v>
      </c>
      <c r="G2302" s="40" t="s">
        <v>1075</v>
      </c>
      <c r="H2302" s="7" t="s">
        <v>1675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782" customFormat="1" ht="15.75" customHeight="1">
      <c r="A2303" s="204" t="str">
        <f>IF(B2303&lt;&gt;"",IF(AND(B2303&gt;=_TM1,B2303&lt;=_TM2,OR(TH!L2303="1111",TH!M2303="1111")),TH!D2303,""),"")</f>
        <v/>
      </c>
      <c r="B2303" s="701">
        <f t="shared" si="133"/>
        <v>12</v>
      </c>
      <c r="C2303" s="37">
        <f t="shared" si="132"/>
        <v>41262</v>
      </c>
      <c r="D2303" s="191" t="s">
        <v>1697</v>
      </c>
      <c r="E2303" s="37">
        <v>41262</v>
      </c>
      <c r="F2303" s="297" t="s">
        <v>1333</v>
      </c>
      <c r="G2303" s="40" t="s">
        <v>1075</v>
      </c>
      <c r="H2303" s="7" t="s">
        <v>1675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782" customFormat="1" ht="15.75" customHeight="1">
      <c r="A2304" s="204" t="str">
        <f>IF(B2304&lt;&gt;"",IF(AND(B2304&gt;=_TM1,B2304&lt;=_TM2,OR(TH!L2304="1111",TH!M2304="1111")),TH!D2304,""),"")</f>
        <v/>
      </c>
      <c r="B2304" s="701">
        <f t="shared" si="133"/>
        <v>12</v>
      </c>
      <c r="C2304" s="37">
        <f t="shared" si="132"/>
        <v>41269</v>
      </c>
      <c r="D2304" s="191" t="s">
        <v>1698</v>
      </c>
      <c r="E2304" s="37">
        <v>41269</v>
      </c>
      <c r="F2304" s="297" t="s">
        <v>1301</v>
      </c>
      <c r="G2304" s="40" t="s">
        <v>1076</v>
      </c>
      <c r="H2304" s="7" t="s">
        <v>1675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782" customFormat="1" ht="15.75" customHeight="1">
      <c r="A2305" s="204" t="str">
        <f>IF(B2305&lt;&gt;"",IF(AND(B2305&gt;=_TM1,B2305&lt;=_TM2,OR(TH!L2305="1111",TH!M2305="1111")),TH!D2305,""),"")</f>
        <v/>
      </c>
      <c r="B2305" s="701">
        <f t="shared" si="133"/>
        <v>12</v>
      </c>
      <c r="C2305" s="37">
        <f t="shared" si="132"/>
        <v>41269</v>
      </c>
      <c r="D2305" s="191" t="s">
        <v>1698</v>
      </c>
      <c r="E2305" s="37">
        <v>41269</v>
      </c>
      <c r="F2305" s="297" t="s">
        <v>1321</v>
      </c>
      <c r="G2305" s="40" t="s">
        <v>1076</v>
      </c>
      <c r="H2305" s="7" t="s">
        <v>1675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782" customFormat="1" ht="15.75" customHeight="1">
      <c r="A2306" s="204" t="str">
        <f>IF(B2306&lt;&gt;"",IF(AND(B2306&gt;=_TM1,B2306&lt;=_TM2,OR(TH!L2306="1111",TH!M2306="1111")),TH!D2306,""),"")</f>
        <v/>
      </c>
      <c r="B2306" s="701">
        <f t="shared" si="133"/>
        <v>12</v>
      </c>
      <c r="C2306" s="37">
        <f t="shared" si="132"/>
        <v>41269</v>
      </c>
      <c r="D2306" s="191" t="s">
        <v>1698</v>
      </c>
      <c r="E2306" s="37">
        <v>41269</v>
      </c>
      <c r="F2306" s="297" t="s">
        <v>1338</v>
      </c>
      <c r="G2306" s="40" t="s">
        <v>1078</v>
      </c>
      <c r="H2306" s="7" t="s">
        <v>1675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26" customFormat="1" ht="15.75" customHeight="1">
      <c r="A2307" s="204" t="str">
        <f>IF(B2307&lt;&gt;"",IF(AND(B2307&gt;=_TM1,B2307&lt;=_TM2,OR(TH!L2307="1111",TH!M2307="1111")),TH!D2307,""),"")</f>
        <v/>
      </c>
      <c r="B2307" s="817">
        <f t="shared" si="133"/>
        <v>1</v>
      </c>
      <c r="C2307" s="843">
        <f t="shared" si="132"/>
        <v>40915</v>
      </c>
      <c r="D2307" s="843" t="s">
        <v>1712</v>
      </c>
      <c r="E2307" s="843">
        <v>40915</v>
      </c>
      <c r="F2307" s="847" t="s">
        <v>1453</v>
      </c>
      <c r="G2307" s="848" t="s">
        <v>1452</v>
      </c>
      <c r="H2307" s="846" t="s">
        <v>1680</v>
      </c>
      <c r="I2307" s="822">
        <v>25</v>
      </c>
      <c r="J2307" s="822">
        <v>43569.858268409291</v>
      </c>
      <c r="K2307" s="823">
        <f t="shared" si="131"/>
        <v>1089246</v>
      </c>
      <c r="L2307" s="844" t="s">
        <v>177</v>
      </c>
      <c r="M2307" s="844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782" customFormat="1" ht="15.75" customHeight="1">
      <c r="A2308" s="204" t="str">
        <f>IF(B2308&lt;&gt;"",IF(AND(B2308&gt;=_TM1,B2308&lt;=_TM2,OR(TH!L2308="1111",TH!M2308="1111")),TH!D2308,""),"")</f>
        <v/>
      </c>
      <c r="B2308" s="701">
        <f t="shared" si="133"/>
        <v>1</v>
      </c>
      <c r="C2308" s="48">
        <f t="shared" si="132"/>
        <v>40915</v>
      </c>
      <c r="D2308" s="48" t="s">
        <v>1712</v>
      </c>
      <c r="E2308" s="48">
        <v>40915</v>
      </c>
      <c r="F2308" s="849" t="s">
        <v>1454</v>
      </c>
      <c r="G2308" s="49" t="s">
        <v>1452</v>
      </c>
      <c r="H2308" s="841" t="s">
        <v>1680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782" customFormat="1" ht="15.75" customHeight="1">
      <c r="A2309" s="204" t="str">
        <f>IF(B2309&lt;&gt;"",IF(AND(B2309&gt;=_TM1,B2309&lt;=_TM2,OR(TH!L2309="1111",TH!M2309="1111")),TH!D2309,""),"")</f>
        <v/>
      </c>
      <c r="B2309" s="701">
        <f t="shared" si="133"/>
        <v>1</v>
      </c>
      <c r="C2309" s="48">
        <f t="shared" si="132"/>
        <v>40915</v>
      </c>
      <c r="D2309" s="48" t="s">
        <v>1712</v>
      </c>
      <c r="E2309" s="48">
        <v>40915</v>
      </c>
      <c r="F2309" s="849" t="s">
        <v>1455</v>
      </c>
      <c r="G2309" s="49" t="s">
        <v>1452</v>
      </c>
      <c r="H2309" s="841" t="s">
        <v>1680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782" customFormat="1" ht="15.75" customHeight="1">
      <c r="A2310" s="204" t="str">
        <f>IF(B2310&lt;&gt;"",IF(AND(B2310&gt;=_TM1,B2310&lt;=_TM2,OR(TH!L2310="1111",TH!M2310="1111")),TH!D2310,""),"")</f>
        <v/>
      </c>
      <c r="B2310" s="701">
        <f t="shared" si="133"/>
        <v>1</v>
      </c>
      <c r="C2310" s="48">
        <f t="shared" si="132"/>
        <v>40915</v>
      </c>
      <c r="D2310" s="48" t="s">
        <v>1712</v>
      </c>
      <c r="E2310" s="48">
        <v>40915</v>
      </c>
      <c r="F2310" s="849" t="s">
        <v>1456</v>
      </c>
      <c r="G2310" s="49" t="s">
        <v>1452</v>
      </c>
      <c r="H2310" s="841" t="s">
        <v>1680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782" customFormat="1" ht="15.75" customHeight="1">
      <c r="A2311" s="204" t="str">
        <f>IF(B2311&lt;&gt;"",IF(AND(B2311&gt;=_TM1,B2311&lt;=_TM2,OR(TH!L2311="1111",TH!M2311="1111")),TH!D2311,""),"")</f>
        <v/>
      </c>
      <c r="B2311" s="701">
        <f t="shared" si="133"/>
        <v>1</v>
      </c>
      <c r="C2311" s="48">
        <f t="shared" si="132"/>
        <v>40915</v>
      </c>
      <c r="D2311" s="48" t="s">
        <v>1712</v>
      </c>
      <c r="E2311" s="48">
        <v>40915</v>
      </c>
      <c r="F2311" s="849" t="s">
        <v>1457</v>
      </c>
      <c r="G2311" s="49" t="s">
        <v>1452</v>
      </c>
      <c r="H2311" s="841" t="s">
        <v>1680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782" customFormat="1" ht="15.75" customHeight="1">
      <c r="A2312" s="204" t="str">
        <f>IF(B2312&lt;&gt;"",IF(AND(B2312&gt;=_TM1,B2312&lt;=_TM2,OR(TH!L2312="1111",TH!M2312="1111")),TH!D2312,""),"")</f>
        <v/>
      </c>
      <c r="B2312" s="701">
        <f t="shared" si="133"/>
        <v>1</v>
      </c>
      <c r="C2312" s="48">
        <f t="shared" si="132"/>
        <v>40915</v>
      </c>
      <c r="D2312" s="48" t="s">
        <v>1712</v>
      </c>
      <c r="E2312" s="48">
        <v>40915</v>
      </c>
      <c r="F2312" s="849" t="s">
        <v>1458</v>
      </c>
      <c r="G2312" s="49" t="s">
        <v>899</v>
      </c>
      <c r="H2312" s="841" t="s">
        <v>1680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1712</v>
      </c>
      <c r="E2313" s="850">
        <v>40915</v>
      </c>
      <c r="F2313" s="851" t="s">
        <v>1086</v>
      </c>
      <c r="G2313" s="804" t="s">
        <v>899</v>
      </c>
      <c r="H2313" s="841" t="s">
        <v>1680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1712</v>
      </c>
      <c r="E2314" s="850">
        <v>40915</v>
      </c>
      <c r="F2314" s="851" t="s">
        <v>1459</v>
      </c>
      <c r="G2314" s="804" t="s">
        <v>899</v>
      </c>
      <c r="H2314" s="841" t="s">
        <v>1680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1712</v>
      </c>
      <c r="E2315" s="850">
        <v>40915</v>
      </c>
      <c r="F2315" s="851" t="s">
        <v>1460</v>
      </c>
      <c r="G2315" s="804" t="s">
        <v>899</v>
      </c>
      <c r="H2315" s="841" t="s">
        <v>1680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1712</v>
      </c>
      <c r="E2316" s="850">
        <v>40915</v>
      </c>
      <c r="F2316" s="851" t="s">
        <v>1087</v>
      </c>
      <c r="G2316" s="804" t="s">
        <v>899</v>
      </c>
      <c r="H2316" s="841" t="s">
        <v>1680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1712</v>
      </c>
      <c r="E2317" s="850">
        <v>40917</v>
      </c>
      <c r="F2317" s="851" t="s">
        <v>1161</v>
      </c>
      <c r="G2317" s="804" t="s">
        <v>901</v>
      </c>
      <c r="H2317" s="841" t="s">
        <v>1680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1712</v>
      </c>
      <c r="E2318" s="850">
        <v>40917</v>
      </c>
      <c r="F2318" s="851" t="s">
        <v>900</v>
      </c>
      <c r="G2318" s="804" t="s">
        <v>903</v>
      </c>
      <c r="H2318" s="841" t="s">
        <v>1680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1712</v>
      </c>
      <c r="E2319" s="850">
        <v>40918</v>
      </c>
      <c r="F2319" s="851" t="s">
        <v>900</v>
      </c>
      <c r="G2319" s="804" t="s">
        <v>904</v>
      </c>
      <c r="H2319" s="841" t="s">
        <v>1680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1712</v>
      </c>
      <c r="E2320" s="850">
        <v>40922</v>
      </c>
      <c r="F2320" s="851" t="s">
        <v>1088</v>
      </c>
      <c r="G2320" s="804" t="s">
        <v>905</v>
      </c>
      <c r="H2320" s="841" t="s">
        <v>1680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1712</v>
      </c>
      <c r="E2321" s="48">
        <v>40922</v>
      </c>
      <c r="F2321" s="851" t="s">
        <v>1461</v>
      </c>
      <c r="G2321" s="804" t="s">
        <v>905</v>
      </c>
      <c r="H2321" s="841" t="s">
        <v>1680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1712</v>
      </c>
      <c r="E2322" s="48">
        <v>40922</v>
      </c>
      <c r="F2322" s="851" t="s">
        <v>1462</v>
      </c>
      <c r="G2322" s="804" t="s">
        <v>905</v>
      </c>
      <c r="H2322" s="841" t="s">
        <v>1680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1712</v>
      </c>
      <c r="E2323" s="48">
        <v>40922</v>
      </c>
      <c r="F2323" s="851" t="s">
        <v>1463</v>
      </c>
      <c r="G2323" s="804" t="s">
        <v>905</v>
      </c>
      <c r="H2323" s="841" t="s">
        <v>1680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1712</v>
      </c>
      <c r="E2324" s="48">
        <v>40924</v>
      </c>
      <c r="F2324" s="851" t="s">
        <v>1456</v>
      </c>
      <c r="G2324" s="804" t="s">
        <v>906</v>
      </c>
      <c r="H2324" s="841" t="s">
        <v>1680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1712</v>
      </c>
      <c r="E2325" s="48">
        <v>40924</v>
      </c>
      <c r="F2325" s="851" t="s">
        <v>1458</v>
      </c>
      <c r="G2325" s="804" t="s">
        <v>906</v>
      </c>
      <c r="H2325" s="841" t="s">
        <v>1680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1712</v>
      </c>
      <c r="E2326" s="48">
        <v>40924</v>
      </c>
      <c r="F2326" s="851" t="s">
        <v>1459</v>
      </c>
      <c r="G2326" s="804" t="s">
        <v>906</v>
      </c>
      <c r="H2326" s="841" t="s">
        <v>1680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1712</v>
      </c>
      <c r="E2327" s="48">
        <v>40924</v>
      </c>
      <c r="F2327" s="851" t="s">
        <v>1210</v>
      </c>
      <c r="G2327" s="804" t="s">
        <v>906</v>
      </c>
      <c r="H2327" s="841" t="s">
        <v>1680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1712</v>
      </c>
      <c r="E2328" s="48">
        <v>40924</v>
      </c>
      <c r="F2328" s="851" t="s">
        <v>1211</v>
      </c>
      <c r="G2328" s="804" t="s">
        <v>906</v>
      </c>
      <c r="H2328" s="841" t="s">
        <v>1680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1712</v>
      </c>
      <c r="E2329" s="48">
        <v>40924</v>
      </c>
      <c r="F2329" s="851" t="s">
        <v>1460</v>
      </c>
      <c r="G2329" s="804" t="s">
        <v>906</v>
      </c>
      <c r="H2329" s="841" t="s">
        <v>1680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1712</v>
      </c>
      <c r="E2330" s="48">
        <v>40925</v>
      </c>
      <c r="F2330" s="851" t="s">
        <v>1471</v>
      </c>
      <c r="G2330" s="804" t="s">
        <v>1522</v>
      </c>
      <c r="H2330" s="841" t="s">
        <v>1680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1712</v>
      </c>
      <c r="E2331" s="48">
        <v>40925</v>
      </c>
      <c r="F2331" s="851" t="s">
        <v>1472</v>
      </c>
      <c r="G2331" s="804" t="s">
        <v>1522</v>
      </c>
      <c r="H2331" s="841" t="s">
        <v>1680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1712</v>
      </c>
      <c r="E2332" s="48">
        <v>40925</v>
      </c>
      <c r="F2332" s="851" t="s">
        <v>1473</v>
      </c>
      <c r="G2332" s="804" t="s">
        <v>1522</v>
      </c>
      <c r="H2332" s="841" t="s">
        <v>1680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1712</v>
      </c>
      <c r="E2333" s="48">
        <v>40925</v>
      </c>
      <c r="F2333" s="851" t="s">
        <v>1474</v>
      </c>
      <c r="G2333" s="804" t="s">
        <v>1522</v>
      </c>
      <c r="H2333" s="841" t="s">
        <v>1680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1712</v>
      </c>
      <c r="E2334" s="48">
        <v>40925</v>
      </c>
      <c r="F2334" s="851" t="s">
        <v>1475</v>
      </c>
      <c r="G2334" s="804" t="s">
        <v>1522</v>
      </c>
      <c r="H2334" s="841" t="s">
        <v>1680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1712</v>
      </c>
      <c r="E2335" s="48">
        <v>40925</v>
      </c>
      <c r="F2335" s="851" t="s">
        <v>1476</v>
      </c>
      <c r="G2335" s="804" t="s">
        <v>1522</v>
      </c>
      <c r="H2335" s="841" t="s">
        <v>1680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1712</v>
      </c>
      <c r="E2336" s="48">
        <v>40925</v>
      </c>
      <c r="F2336" s="851" t="s">
        <v>1477</v>
      </c>
      <c r="G2336" s="804" t="s">
        <v>1522</v>
      </c>
      <c r="H2336" s="841" t="s">
        <v>1680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1712</v>
      </c>
      <c r="E2337" s="48">
        <v>40925</v>
      </c>
      <c r="F2337" s="851" t="s">
        <v>1523</v>
      </c>
      <c r="G2337" s="804" t="s">
        <v>1522</v>
      </c>
      <c r="H2337" s="841" t="s">
        <v>1680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1712</v>
      </c>
      <c r="E2338" s="48">
        <v>40925</v>
      </c>
      <c r="F2338" s="851" t="s">
        <v>1479</v>
      </c>
      <c r="G2338" s="804" t="s">
        <v>1522</v>
      </c>
      <c r="H2338" s="841" t="s">
        <v>1680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1712</v>
      </c>
      <c r="E2339" s="48">
        <v>40925</v>
      </c>
      <c r="F2339" s="851" t="s">
        <v>1480</v>
      </c>
      <c r="G2339" s="804" t="s">
        <v>1522</v>
      </c>
      <c r="H2339" s="841" t="s">
        <v>1680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1712</v>
      </c>
      <c r="E2340" s="48">
        <v>40926</v>
      </c>
      <c r="F2340" s="851" t="s">
        <v>1487</v>
      </c>
      <c r="G2340" s="804" t="s">
        <v>1524</v>
      </c>
      <c r="H2340" s="841" t="s">
        <v>1680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1712</v>
      </c>
      <c r="E2341" s="48">
        <v>40926</v>
      </c>
      <c r="F2341" s="851" t="s">
        <v>1488</v>
      </c>
      <c r="G2341" s="804" t="s">
        <v>1524</v>
      </c>
      <c r="H2341" s="841" t="s">
        <v>1680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1712</v>
      </c>
      <c r="E2342" s="48">
        <v>40926</v>
      </c>
      <c r="F2342" s="851" t="s">
        <v>1489</v>
      </c>
      <c r="G2342" s="804" t="s">
        <v>1524</v>
      </c>
      <c r="H2342" s="841" t="s">
        <v>1680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1712</v>
      </c>
      <c r="E2343" s="48">
        <v>40926</v>
      </c>
      <c r="F2343" s="851" t="s">
        <v>1473</v>
      </c>
      <c r="G2343" s="804" t="s">
        <v>1524</v>
      </c>
      <c r="H2343" s="841" t="s">
        <v>1680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1712</v>
      </c>
      <c r="E2344" s="48">
        <v>40926</v>
      </c>
      <c r="F2344" s="851" t="s">
        <v>1484</v>
      </c>
      <c r="G2344" s="804" t="s">
        <v>1524</v>
      </c>
      <c r="H2344" s="841" t="s">
        <v>1680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1712</v>
      </c>
      <c r="E2345" s="48">
        <v>40926</v>
      </c>
      <c r="F2345" s="851" t="s">
        <v>1525</v>
      </c>
      <c r="G2345" s="804" t="s">
        <v>1524</v>
      </c>
      <c r="H2345" s="841" t="s">
        <v>1680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1712</v>
      </c>
      <c r="E2346" s="48">
        <v>40926</v>
      </c>
      <c r="F2346" s="851" t="s">
        <v>1491</v>
      </c>
      <c r="G2346" s="804" t="s">
        <v>1524</v>
      </c>
      <c r="H2346" s="841" t="s">
        <v>1680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1712</v>
      </c>
      <c r="E2347" s="48">
        <v>40926</v>
      </c>
      <c r="F2347" s="851" t="s">
        <v>1492</v>
      </c>
      <c r="G2347" s="804" t="s">
        <v>1524</v>
      </c>
      <c r="H2347" s="841" t="s">
        <v>1680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1712</v>
      </c>
      <c r="E2348" s="48">
        <v>40926</v>
      </c>
      <c r="F2348" s="851" t="s">
        <v>1493</v>
      </c>
      <c r="G2348" s="804" t="s">
        <v>1524</v>
      </c>
      <c r="H2348" s="841" t="s">
        <v>1680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1712</v>
      </c>
      <c r="E2349" s="48">
        <v>40926</v>
      </c>
      <c r="F2349" s="851" t="s">
        <v>1494</v>
      </c>
      <c r="G2349" s="804" t="s">
        <v>1524</v>
      </c>
      <c r="H2349" s="841" t="s">
        <v>1680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1712</v>
      </c>
      <c r="E2350" s="48">
        <v>40938</v>
      </c>
      <c r="F2350" s="851" t="s">
        <v>1471</v>
      </c>
      <c r="G2350" s="804" t="s">
        <v>1526</v>
      </c>
      <c r="H2350" s="841" t="s">
        <v>1680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1712</v>
      </c>
      <c r="E2351" s="48">
        <v>40938</v>
      </c>
      <c r="F2351" s="851" t="s">
        <v>1530</v>
      </c>
      <c r="G2351" s="804" t="s">
        <v>1526</v>
      </c>
      <c r="H2351" s="841" t="s">
        <v>1680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1712</v>
      </c>
      <c r="E2352" s="48">
        <v>40938</v>
      </c>
      <c r="F2352" s="851" t="s">
        <v>1501</v>
      </c>
      <c r="G2352" s="804" t="s">
        <v>1526</v>
      </c>
      <c r="H2352" s="841" t="s">
        <v>1680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1712</v>
      </c>
      <c r="E2353" s="48">
        <v>40938</v>
      </c>
      <c r="F2353" s="851" t="s">
        <v>1497</v>
      </c>
      <c r="G2353" s="804" t="s">
        <v>1526</v>
      </c>
      <c r="H2353" s="841" t="s">
        <v>1680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1712</v>
      </c>
      <c r="E2354" s="48">
        <v>40938</v>
      </c>
      <c r="F2354" s="851" t="s">
        <v>1491</v>
      </c>
      <c r="G2354" s="804" t="s">
        <v>1526</v>
      </c>
      <c r="H2354" s="841" t="s">
        <v>1680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1712</v>
      </c>
      <c r="E2355" s="48">
        <v>40938</v>
      </c>
      <c r="F2355" s="851" t="s">
        <v>1499</v>
      </c>
      <c r="G2355" s="804" t="s">
        <v>1526</v>
      </c>
      <c r="H2355" s="841" t="s">
        <v>1680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1712</v>
      </c>
      <c r="E2356" s="48">
        <v>40938</v>
      </c>
      <c r="F2356" s="851" t="s">
        <v>1473</v>
      </c>
      <c r="G2356" s="804" t="s">
        <v>1526</v>
      </c>
      <c r="H2356" s="841" t="s">
        <v>1680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1712</v>
      </c>
      <c r="E2357" s="48">
        <v>40938</v>
      </c>
      <c r="F2357" s="851" t="s">
        <v>1484</v>
      </c>
      <c r="G2357" s="804" t="s">
        <v>1526</v>
      </c>
      <c r="H2357" s="841" t="s">
        <v>1680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1712</v>
      </c>
      <c r="E2358" s="48">
        <v>40938</v>
      </c>
      <c r="F2358" s="851" t="s">
        <v>1494</v>
      </c>
      <c r="G2358" s="804" t="s">
        <v>1526</v>
      </c>
      <c r="H2358" s="841" t="s">
        <v>1680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1712</v>
      </c>
      <c r="E2359" s="48">
        <v>40938</v>
      </c>
      <c r="F2359" s="851" t="s">
        <v>1491</v>
      </c>
      <c r="G2359" s="804" t="s">
        <v>1526</v>
      </c>
      <c r="H2359" s="841" t="s">
        <v>1680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1712</v>
      </c>
      <c r="E2360" s="48">
        <v>40939</v>
      </c>
      <c r="F2360" s="851" t="s">
        <v>1473</v>
      </c>
      <c r="G2360" s="804" t="s">
        <v>1527</v>
      </c>
      <c r="H2360" s="841" t="s">
        <v>1680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1712</v>
      </c>
      <c r="E2361" s="852">
        <v>40939</v>
      </c>
      <c r="F2361" s="703" t="s">
        <v>1531</v>
      </c>
      <c r="G2361" s="49" t="s">
        <v>1527</v>
      </c>
      <c r="H2361" s="841" t="s">
        <v>1680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1712</v>
      </c>
      <c r="E2362" s="852">
        <v>40939</v>
      </c>
      <c r="F2362" s="49" t="s">
        <v>1525</v>
      </c>
      <c r="G2362" s="49" t="s">
        <v>1527</v>
      </c>
      <c r="H2362" s="841" t="s">
        <v>1680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1712</v>
      </c>
      <c r="E2363" s="852">
        <v>40939</v>
      </c>
      <c r="F2363" s="703" t="s">
        <v>1491</v>
      </c>
      <c r="G2363" s="49" t="s">
        <v>1527</v>
      </c>
      <c r="H2363" s="841" t="s">
        <v>1680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1712</v>
      </c>
      <c r="E2364" s="852">
        <v>40939</v>
      </c>
      <c r="F2364" s="703" t="s">
        <v>1492</v>
      </c>
      <c r="G2364" s="49" t="s">
        <v>1527</v>
      </c>
      <c r="H2364" s="841" t="s">
        <v>1680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1712</v>
      </c>
      <c r="E2365" s="852">
        <v>40939</v>
      </c>
      <c r="F2365" s="703" t="s">
        <v>1501</v>
      </c>
      <c r="G2365" s="49" t="s">
        <v>1527</v>
      </c>
      <c r="H2365" s="841" t="s">
        <v>1680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1712</v>
      </c>
      <c r="E2366" s="852">
        <v>40939</v>
      </c>
      <c r="F2366" s="49" t="s">
        <v>1497</v>
      </c>
      <c r="G2366" s="49" t="s">
        <v>1527</v>
      </c>
      <c r="H2366" s="841" t="s">
        <v>1680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1712</v>
      </c>
      <c r="E2367" s="852">
        <v>40939</v>
      </c>
      <c r="F2367" s="49" t="s">
        <v>1491</v>
      </c>
      <c r="G2367" s="49" t="s">
        <v>1527</v>
      </c>
      <c r="H2367" s="841" t="s">
        <v>1680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1712</v>
      </c>
      <c r="E2368" s="852">
        <v>40939</v>
      </c>
      <c r="F2368" s="703" t="s">
        <v>1499</v>
      </c>
      <c r="G2368" s="49" t="s">
        <v>1527</v>
      </c>
      <c r="H2368" s="841" t="s">
        <v>1680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1712</v>
      </c>
      <c r="E2369" s="852">
        <v>40939</v>
      </c>
      <c r="F2369" s="703" t="s">
        <v>1473</v>
      </c>
      <c r="G2369" s="49" t="s">
        <v>1527</v>
      </c>
      <c r="H2369" s="841" t="s">
        <v>1680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1712</v>
      </c>
      <c r="E2370" s="852">
        <v>40946</v>
      </c>
      <c r="F2370" s="703" t="s">
        <v>1209</v>
      </c>
      <c r="G2370" s="49" t="s">
        <v>907</v>
      </c>
      <c r="H2370" s="841" t="s">
        <v>1680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1712</v>
      </c>
      <c r="E2371" s="852">
        <v>40946</v>
      </c>
      <c r="F2371" s="49" t="s">
        <v>1181</v>
      </c>
      <c r="G2371" s="49" t="s">
        <v>907</v>
      </c>
      <c r="H2371" s="841" t="s">
        <v>1680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1712</v>
      </c>
      <c r="E2372" s="852">
        <v>40946</v>
      </c>
      <c r="F2372" s="49" t="s">
        <v>1208</v>
      </c>
      <c r="G2372" s="49" t="s">
        <v>907</v>
      </c>
      <c r="H2372" s="841" t="s">
        <v>1680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1712</v>
      </c>
      <c r="E2373" s="852">
        <v>40946</v>
      </c>
      <c r="F2373" s="853" t="s">
        <v>908</v>
      </c>
      <c r="G2373" s="49" t="s">
        <v>907</v>
      </c>
      <c r="H2373" s="841" t="s">
        <v>1680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1712</v>
      </c>
      <c r="E2374" s="852">
        <v>40946</v>
      </c>
      <c r="F2374" s="703" t="s">
        <v>909</v>
      </c>
      <c r="G2374" s="49" t="s">
        <v>907</v>
      </c>
      <c r="H2374" s="841" t="s">
        <v>1680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1712</v>
      </c>
      <c r="E2375" s="852">
        <v>40953</v>
      </c>
      <c r="F2375" s="49" t="s">
        <v>910</v>
      </c>
      <c r="G2375" s="49" t="s">
        <v>911</v>
      </c>
      <c r="H2375" s="841" t="s">
        <v>1680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1712</v>
      </c>
      <c r="E2376" s="852">
        <v>40953</v>
      </c>
      <c r="F2376" s="703" t="s">
        <v>1132</v>
      </c>
      <c r="G2376" s="49" t="s">
        <v>1528</v>
      </c>
      <c r="H2376" s="841" t="s">
        <v>1680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1712</v>
      </c>
      <c r="E2377" s="852">
        <v>40956</v>
      </c>
      <c r="F2377" s="49" t="s">
        <v>526</v>
      </c>
      <c r="G2377" s="49" t="s">
        <v>912</v>
      </c>
      <c r="H2377" s="841" t="s">
        <v>1680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1712</v>
      </c>
      <c r="E2378" s="852">
        <v>40959</v>
      </c>
      <c r="F2378" s="49" t="s">
        <v>1132</v>
      </c>
      <c r="G2378" s="49" t="s">
        <v>1529</v>
      </c>
      <c r="H2378" s="841" t="s">
        <v>1680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1712</v>
      </c>
      <c r="E2379" s="852">
        <v>40959</v>
      </c>
      <c r="F2379" s="703" t="s">
        <v>1532</v>
      </c>
      <c r="G2379" s="49" t="s">
        <v>1529</v>
      </c>
      <c r="H2379" s="841" t="s">
        <v>1680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1712</v>
      </c>
      <c r="E2380" s="852">
        <v>40962</v>
      </c>
      <c r="F2380" s="49" t="s">
        <v>1465</v>
      </c>
      <c r="G2380" s="49" t="s">
        <v>913</v>
      </c>
      <c r="H2380" s="841" t="s">
        <v>1680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1712</v>
      </c>
      <c r="E2381" s="852">
        <v>40963</v>
      </c>
      <c r="F2381" s="703" t="s">
        <v>1534</v>
      </c>
      <c r="G2381" s="49" t="s">
        <v>1533</v>
      </c>
      <c r="H2381" s="841" t="s">
        <v>1680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1712</v>
      </c>
      <c r="E2382" s="852">
        <v>40963</v>
      </c>
      <c r="F2382" s="703" t="s">
        <v>1535</v>
      </c>
      <c r="G2382" s="49" t="s">
        <v>1533</v>
      </c>
      <c r="H2382" s="841" t="s">
        <v>1680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1712</v>
      </c>
      <c r="E2383" s="852">
        <v>40965</v>
      </c>
      <c r="F2383" s="703" t="s">
        <v>1471</v>
      </c>
      <c r="G2383" s="49" t="s">
        <v>1470</v>
      </c>
      <c r="H2383" s="841" t="s">
        <v>1680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1712</v>
      </c>
      <c r="E2384" s="852">
        <v>40965</v>
      </c>
      <c r="F2384" s="49" t="s">
        <v>1472</v>
      </c>
      <c r="G2384" s="49" t="s">
        <v>1470</v>
      </c>
      <c r="H2384" s="841" t="s">
        <v>1680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1712</v>
      </c>
      <c r="E2385" s="852">
        <v>40965</v>
      </c>
      <c r="F2385" s="703" t="s">
        <v>1473</v>
      </c>
      <c r="G2385" s="49" t="s">
        <v>1470</v>
      </c>
      <c r="H2385" s="841" t="s">
        <v>1680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1712</v>
      </c>
      <c r="E2386" s="852">
        <v>40965</v>
      </c>
      <c r="F2386" s="703" t="s">
        <v>1474</v>
      </c>
      <c r="G2386" s="49" t="s">
        <v>1470</v>
      </c>
      <c r="H2386" s="841" t="s">
        <v>1680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1712</v>
      </c>
      <c r="E2387" s="852">
        <v>40965</v>
      </c>
      <c r="F2387" s="703" t="s">
        <v>1475</v>
      </c>
      <c r="G2387" s="49" t="s">
        <v>1470</v>
      </c>
      <c r="H2387" s="841" t="s">
        <v>1680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1712</v>
      </c>
      <c r="E2388" s="852">
        <v>40965</v>
      </c>
      <c r="F2388" s="49" t="s">
        <v>1476</v>
      </c>
      <c r="G2388" s="49" t="s">
        <v>1470</v>
      </c>
      <c r="H2388" s="841" t="s">
        <v>1680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1712</v>
      </c>
      <c r="E2389" s="852">
        <v>40965</v>
      </c>
      <c r="F2389" s="49" t="s">
        <v>1477</v>
      </c>
      <c r="G2389" s="49" t="s">
        <v>1470</v>
      </c>
      <c r="H2389" s="841" t="s">
        <v>1680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1712</v>
      </c>
      <c r="E2390" s="852">
        <v>40965</v>
      </c>
      <c r="F2390" s="853" t="s">
        <v>1478</v>
      </c>
      <c r="G2390" s="49" t="s">
        <v>1470</v>
      </c>
      <c r="H2390" s="841" t="s">
        <v>1680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1712</v>
      </c>
      <c r="E2391" s="852">
        <v>40965</v>
      </c>
      <c r="F2391" s="49" t="s">
        <v>1479</v>
      </c>
      <c r="G2391" s="49" t="s">
        <v>1470</v>
      </c>
      <c r="H2391" s="841" t="s">
        <v>1680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1712</v>
      </c>
      <c r="E2392" s="852">
        <v>40965</v>
      </c>
      <c r="F2392" s="49" t="s">
        <v>1480</v>
      </c>
      <c r="G2392" s="49" t="s">
        <v>1470</v>
      </c>
      <c r="H2392" s="841" t="s">
        <v>1680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1712</v>
      </c>
      <c r="E2393" s="852">
        <v>40965</v>
      </c>
      <c r="F2393" s="49" t="s">
        <v>1481</v>
      </c>
      <c r="G2393" s="49" t="s">
        <v>1470</v>
      </c>
      <c r="H2393" s="841" t="s">
        <v>1680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1712</v>
      </c>
      <c r="E2394" s="852">
        <v>40965</v>
      </c>
      <c r="F2394" s="849" t="s">
        <v>1482</v>
      </c>
      <c r="G2394" s="49" t="s">
        <v>1470</v>
      </c>
      <c r="H2394" s="841" t="s">
        <v>1680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1712</v>
      </c>
      <c r="E2395" s="852">
        <v>40965</v>
      </c>
      <c r="F2395" s="703" t="s">
        <v>1483</v>
      </c>
      <c r="G2395" s="49" t="s">
        <v>1470</v>
      </c>
      <c r="H2395" s="841" t="s">
        <v>1680</v>
      </c>
      <c r="I2395" s="854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1712</v>
      </c>
      <c r="E2396" s="852">
        <v>40965</v>
      </c>
      <c r="F2396" s="49" t="s">
        <v>1484</v>
      </c>
      <c r="G2396" s="49" t="s">
        <v>1470</v>
      </c>
      <c r="H2396" s="841" t="s">
        <v>1680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1712</v>
      </c>
      <c r="E2397" s="852">
        <v>40965</v>
      </c>
      <c r="F2397" s="49" t="s">
        <v>1485</v>
      </c>
      <c r="G2397" s="49" t="s">
        <v>1470</v>
      </c>
      <c r="H2397" s="841" t="s">
        <v>1680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1712</v>
      </c>
      <c r="E2398" s="852">
        <v>40965</v>
      </c>
      <c r="F2398" s="49" t="s">
        <v>1486</v>
      </c>
      <c r="G2398" s="49" t="s">
        <v>1470</v>
      </c>
      <c r="H2398" s="841" t="s">
        <v>1680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1712</v>
      </c>
      <c r="E2399" s="852">
        <v>40965</v>
      </c>
      <c r="F2399" s="703" t="s">
        <v>1487</v>
      </c>
      <c r="G2399" s="49" t="s">
        <v>1470</v>
      </c>
      <c r="H2399" s="841" t="s">
        <v>1680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1712</v>
      </c>
      <c r="E2400" s="852">
        <v>40965</v>
      </c>
      <c r="F2400" s="49" t="s">
        <v>1488</v>
      </c>
      <c r="G2400" s="49" t="s">
        <v>1470</v>
      </c>
      <c r="H2400" s="841" t="s">
        <v>1680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1712</v>
      </c>
      <c r="E2401" s="852">
        <v>40965</v>
      </c>
      <c r="F2401" s="49" t="s">
        <v>1489</v>
      </c>
      <c r="G2401" s="49" t="s">
        <v>1470</v>
      </c>
      <c r="H2401" s="841" t="s">
        <v>1680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1712</v>
      </c>
      <c r="E2402" s="852">
        <v>40965</v>
      </c>
      <c r="F2402" s="49" t="s">
        <v>1473</v>
      </c>
      <c r="G2402" s="49" t="s">
        <v>1470</v>
      </c>
      <c r="H2402" s="841" t="s">
        <v>1680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1712</v>
      </c>
      <c r="E2403" s="852">
        <v>40965</v>
      </c>
      <c r="F2403" s="703" t="s">
        <v>1484</v>
      </c>
      <c r="G2403" s="49" t="s">
        <v>1470</v>
      </c>
      <c r="H2403" s="841" t="s">
        <v>1680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1712</v>
      </c>
      <c r="E2404" s="852">
        <v>40965</v>
      </c>
      <c r="F2404" s="703" t="s">
        <v>1490</v>
      </c>
      <c r="G2404" s="49" t="s">
        <v>1470</v>
      </c>
      <c r="H2404" s="841" t="s">
        <v>1680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1712</v>
      </c>
      <c r="E2405" s="852">
        <v>40965</v>
      </c>
      <c r="F2405" s="703" t="s">
        <v>1491</v>
      </c>
      <c r="G2405" s="49" t="s">
        <v>1470</v>
      </c>
      <c r="H2405" s="841" t="s">
        <v>1680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1712</v>
      </c>
      <c r="E2406" s="852">
        <v>40965</v>
      </c>
      <c r="F2406" s="703" t="s">
        <v>1492</v>
      </c>
      <c r="G2406" s="49" t="s">
        <v>1470</v>
      </c>
      <c r="H2406" s="841" t="s">
        <v>1680</v>
      </c>
      <c r="I2406" s="854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1712</v>
      </c>
      <c r="E2407" s="852">
        <v>40965</v>
      </c>
      <c r="F2407" s="703" t="s">
        <v>1493</v>
      </c>
      <c r="G2407" s="49" t="s">
        <v>1470</v>
      </c>
      <c r="H2407" s="841" t="s">
        <v>1680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1712</v>
      </c>
      <c r="E2408" s="852">
        <v>40965</v>
      </c>
      <c r="F2408" s="703" t="s">
        <v>1494</v>
      </c>
      <c r="G2408" s="49" t="s">
        <v>1470</v>
      </c>
      <c r="H2408" s="841" t="s">
        <v>1680</v>
      </c>
      <c r="I2408" s="854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1712</v>
      </c>
      <c r="E2409" s="852">
        <v>40965</v>
      </c>
      <c r="F2409" s="703" t="s">
        <v>909</v>
      </c>
      <c r="G2409" s="49" t="s">
        <v>1470</v>
      </c>
      <c r="H2409" s="841" t="s">
        <v>1680</v>
      </c>
      <c r="I2409" s="854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1712</v>
      </c>
      <c r="E2410" s="852">
        <v>40965</v>
      </c>
      <c r="F2410" s="49" t="s">
        <v>1495</v>
      </c>
      <c r="G2410" s="49" t="s">
        <v>1470</v>
      </c>
      <c r="H2410" s="841" t="s">
        <v>1680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1712</v>
      </c>
      <c r="E2411" s="852">
        <v>40968</v>
      </c>
      <c r="F2411" s="853" t="s">
        <v>1506</v>
      </c>
      <c r="G2411" s="49" t="s">
        <v>1496</v>
      </c>
      <c r="H2411" s="841" t="s">
        <v>1680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1712</v>
      </c>
      <c r="E2412" s="852">
        <v>40968</v>
      </c>
      <c r="F2412" s="703" t="s">
        <v>1505</v>
      </c>
      <c r="G2412" s="49" t="s">
        <v>1496</v>
      </c>
      <c r="H2412" s="841" t="s">
        <v>1680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1712</v>
      </c>
      <c r="E2413" s="852">
        <v>40968</v>
      </c>
      <c r="F2413" s="49" t="s">
        <v>1472</v>
      </c>
      <c r="G2413" s="49" t="s">
        <v>1496</v>
      </c>
      <c r="H2413" s="841" t="s">
        <v>1680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1712</v>
      </c>
      <c r="E2414" s="852">
        <v>40968</v>
      </c>
      <c r="F2414" s="703" t="s">
        <v>1503</v>
      </c>
      <c r="G2414" s="49" t="s">
        <v>1496</v>
      </c>
      <c r="H2414" s="841" t="s">
        <v>1680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1712</v>
      </c>
      <c r="E2415" s="852">
        <v>40968</v>
      </c>
      <c r="F2415" s="703" t="s">
        <v>1486</v>
      </c>
      <c r="G2415" s="49" t="s">
        <v>1496</v>
      </c>
      <c r="H2415" s="841" t="s">
        <v>1680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1712</v>
      </c>
      <c r="E2416" s="852">
        <v>40968</v>
      </c>
      <c r="F2416" s="703" t="s">
        <v>1502</v>
      </c>
      <c r="G2416" s="49" t="s">
        <v>1496</v>
      </c>
      <c r="H2416" s="841" t="s">
        <v>1680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1712</v>
      </c>
      <c r="E2417" s="852">
        <v>40968</v>
      </c>
      <c r="F2417" s="49" t="s">
        <v>1504</v>
      </c>
      <c r="G2417" s="49" t="s">
        <v>1496</v>
      </c>
      <c r="H2417" s="841" t="s">
        <v>1680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1712</v>
      </c>
      <c r="E2418" s="852">
        <v>40968</v>
      </c>
      <c r="F2418" s="49" t="s">
        <v>1487</v>
      </c>
      <c r="G2418" s="49" t="s">
        <v>1496</v>
      </c>
      <c r="H2418" s="841" t="s">
        <v>1680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1712</v>
      </c>
      <c r="E2419" s="852">
        <v>40968</v>
      </c>
      <c r="F2419" s="49" t="s">
        <v>1489</v>
      </c>
      <c r="G2419" s="49" t="s">
        <v>1496</v>
      </c>
      <c r="H2419" s="841" t="s">
        <v>1680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1712</v>
      </c>
      <c r="E2420" s="852">
        <v>40968</v>
      </c>
      <c r="F2420" s="49" t="s">
        <v>1479</v>
      </c>
      <c r="G2420" s="49" t="s">
        <v>1496</v>
      </c>
      <c r="H2420" s="841" t="s">
        <v>1680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1712</v>
      </c>
      <c r="E2421" s="852">
        <v>40968</v>
      </c>
      <c r="F2421" s="49" t="s">
        <v>1480</v>
      </c>
      <c r="G2421" s="49" t="s">
        <v>1496</v>
      </c>
      <c r="H2421" s="841" t="s">
        <v>1680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1712</v>
      </c>
      <c r="E2422" s="852">
        <v>40968</v>
      </c>
      <c r="F2422" s="49" t="s">
        <v>1500</v>
      </c>
      <c r="G2422" s="49" t="s">
        <v>1496</v>
      </c>
      <c r="H2422" s="841" t="s">
        <v>1680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1712</v>
      </c>
      <c r="E2423" s="852">
        <v>40968</v>
      </c>
      <c r="F2423" s="49" t="s">
        <v>1481</v>
      </c>
      <c r="G2423" s="49" t="s">
        <v>1496</v>
      </c>
      <c r="H2423" s="841" t="s">
        <v>1680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1712</v>
      </c>
      <c r="E2424" s="852">
        <v>40968</v>
      </c>
      <c r="F2424" s="49" t="s">
        <v>1471</v>
      </c>
      <c r="G2424" s="49" t="s">
        <v>1496</v>
      </c>
      <c r="H2424" s="841" t="s">
        <v>1680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1712</v>
      </c>
      <c r="E2425" s="852">
        <v>40968</v>
      </c>
      <c r="F2425" s="703" t="s">
        <v>1485</v>
      </c>
      <c r="G2425" s="49" t="s">
        <v>1496</v>
      </c>
      <c r="H2425" s="841" t="s">
        <v>1680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1712</v>
      </c>
      <c r="E2426" s="852">
        <v>40968</v>
      </c>
      <c r="F2426" s="49" t="s">
        <v>1501</v>
      </c>
      <c r="G2426" s="49" t="s">
        <v>1496</v>
      </c>
      <c r="H2426" s="841" t="s">
        <v>1680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1712</v>
      </c>
      <c r="E2427" s="852">
        <v>40968</v>
      </c>
      <c r="F2427" s="703" t="s">
        <v>1497</v>
      </c>
      <c r="G2427" s="49" t="s">
        <v>1496</v>
      </c>
      <c r="H2427" s="841" t="s">
        <v>1680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1712</v>
      </c>
      <c r="E2428" s="852">
        <v>40968</v>
      </c>
      <c r="F2428" s="703" t="s">
        <v>1488</v>
      </c>
      <c r="G2428" s="49" t="s">
        <v>1496</v>
      </c>
      <c r="H2428" s="841" t="s">
        <v>1680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1712</v>
      </c>
      <c r="E2429" s="852">
        <v>40968</v>
      </c>
      <c r="F2429" s="703" t="s">
        <v>1491</v>
      </c>
      <c r="G2429" s="49" t="s">
        <v>1496</v>
      </c>
      <c r="H2429" s="841" t="s">
        <v>1680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1712</v>
      </c>
      <c r="E2430" s="852">
        <v>40968</v>
      </c>
      <c r="F2430" s="703" t="s">
        <v>1498</v>
      </c>
      <c r="G2430" s="49" t="s">
        <v>1496</v>
      </c>
      <c r="H2430" s="841" t="s">
        <v>1680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1712</v>
      </c>
      <c r="E2431" s="852">
        <v>40968</v>
      </c>
      <c r="F2431" s="703" t="s">
        <v>1484</v>
      </c>
      <c r="G2431" s="49" t="s">
        <v>1496</v>
      </c>
      <c r="H2431" s="841" t="s">
        <v>1680</v>
      </c>
      <c r="I2431" s="854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1712</v>
      </c>
      <c r="E2432" s="852">
        <v>40968</v>
      </c>
      <c r="F2432" s="703" t="s">
        <v>1482</v>
      </c>
      <c r="G2432" s="49" t="s">
        <v>1496</v>
      </c>
      <c r="H2432" s="841" t="s">
        <v>1680</v>
      </c>
      <c r="I2432" s="854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1712</v>
      </c>
      <c r="E2433" s="852">
        <v>40968</v>
      </c>
      <c r="F2433" s="703" t="s">
        <v>1499</v>
      </c>
      <c r="G2433" s="49" t="s">
        <v>1496</v>
      </c>
      <c r="H2433" s="841" t="s">
        <v>1680</v>
      </c>
      <c r="I2433" s="854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1712</v>
      </c>
      <c r="E2434" s="852">
        <v>40971</v>
      </c>
      <c r="F2434" s="703" t="s">
        <v>1464</v>
      </c>
      <c r="G2434" s="49" t="s">
        <v>915</v>
      </c>
      <c r="H2434" s="841" t="s">
        <v>1680</v>
      </c>
      <c r="I2434" s="854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1712</v>
      </c>
      <c r="E2435" s="852">
        <v>40971</v>
      </c>
      <c r="F2435" s="703" t="s">
        <v>1453</v>
      </c>
      <c r="G2435" s="49" t="s">
        <v>916</v>
      </c>
      <c r="H2435" s="841" t="s">
        <v>1680</v>
      </c>
      <c r="I2435" s="854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1712</v>
      </c>
      <c r="E2436" s="852">
        <v>40971</v>
      </c>
      <c r="F2436" s="703" t="s">
        <v>1454</v>
      </c>
      <c r="G2436" s="49" t="s">
        <v>916</v>
      </c>
      <c r="H2436" s="841" t="s">
        <v>1680</v>
      </c>
      <c r="I2436" s="854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1712</v>
      </c>
      <c r="E2437" s="852">
        <v>40971</v>
      </c>
      <c r="F2437" s="703" t="s">
        <v>1455</v>
      </c>
      <c r="G2437" s="49" t="s">
        <v>916</v>
      </c>
      <c r="H2437" s="841" t="s">
        <v>1680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1712</v>
      </c>
      <c r="E2438" s="852">
        <v>40971</v>
      </c>
      <c r="F2438" s="703" t="s">
        <v>1456</v>
      </c>
      <c r="G2438" s="49" t="s">
        <v>916</v>
      </c>
      <c r="H2438" s="841" t="s">
        <v>1680</v>
      </c>
      <c r="I2438" s="854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1712</v>
      </c>
      <c r="E2439" s="852">
        <v>40971</v>
      </c>
      <c r="F2439" s="703" t="s">
        <v>1457</v>
      </c>
      <c r="G2439" s="49" t="s">
        <v>916</v>
      </c>
      <c r="H2439" s="841" t="s">
        <v>1680</v>
      </c>
      <c r="I2439" s="854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1712</v>
      </c>
      <c r="E2440" s="852">
        <v>40971</v>
      </c>
      <c r="F2440" s="703" t="s">
        <v>1458</v>
      </c>
      <c r="G2440" s="49" t="s">
        <v>916</v>
      </c>
      <c r="H2440" s="841" t="s">
        <v>1680</v>
      </c>
      <c r="I2440" s="854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1712</v>
      </c>
      <c r="E2441" s="852">
        <v>40971</v>
      </c>
      <c r="F2441" s="703" t="s">
        <v>1086</v>
      </c>
      <c r="G2441" s="49" t="s">
        <v>916</v>
      </c>
      <c r="H2441" s="841" t="s">
        <v>1680</v>
      </c>
      <c r="I2441" s="854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1712</v>
      </c>
      <c r="E2442" s="852">
        <v>40971</v>
      </c>
      <c r="F2442" s="703" t="s">
        <v>1459</v>
      </c>
      <c r="G2442" s="49" t="s">
        <v>916</v>
      </c>
      <c r="H2442" s="841" t="s">
        <v>1680</v>
      </c>
      <c r="I2442" s="854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1712</v>
      </c>
      <c r="E2443" s="852">
        <v>40971</v>
      </c>
      <c r="F2443" s="703" t="s">
        <v>1460</v>
      </c>
      <c r="G2443" s="49" t="s">
        <v>916</v>
      </c>
      <c r="H2443" s="841" t="s">
        <v>1680</v>
      </c>
      <c r="I2443" s="854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1712</v>
      </c>
      <c r="E2444" s="852">
        <v>40974</v>
      </c>
      <c r="F2444" s="703" t="s">
        <v>1465</v>
      </c>
      <c r="G2444" s="49" t="s">
        <v>917</v>
      </c>
      <c r="H2444" s="841" t="s">
        <v>1680</v>
      </c>
      <c r="I2444" s="854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1712</v>
      </c>
      <c r="E2445" s="852">
        <v>40974</v>
      </c>
      <c r="F2445" s="49" t="s">
        <v>1130</v>
      </c>
      <c r="G2445" s="49" t="s">
        <v>918</v>
      </c>
      <c r="H2445" s="841" t="s">
        <v>1680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1712</v>
      </c>
      <c r="E2446" s="852">
        <v>40977</v>
      </c>
      <c r="F2446" s="703" t="s">
        <v>1466</v>
      </c>
      <c r="G2446" s="49" t="s">
        <v>919</v>
      </c>
      <c r="H2446" s="841" t="s">
        <v>1680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1712</v>
      </c>
      <c r="E2447" s="852">
        <v>40978</v>
      </c>
      <c r="F2447" s="703" t="s">
        <v>1467</v>
      </c>
      <c r="G2447" s="49" t="s">
        <v>887</v>
      </c>
      <c r="H2447" s="841" t="s">
        <v>1680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1712</v>
      </c>
      <c r="E2448" s="852">
        <v>40978</v>
      </c>
      <c r="F2448" s="49" t="s">
        <v>1468</v>
      </c>
      <c r="G2448" s="49" t="s">
        <v>887</v>
      </c>
      <c r="H2448" s="841" t="s">
        <v>1680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1712</v>
      </c>
      <c r="E2449" s="852">
        <v>40978</v>
      </c>
      <c r="F2449" s="49" t="s">
        <v>1469</v>
      </c>
      <c r="G2449" s="49" t="s">
        <v>887</v>
      </c>
      <c r="H2449" s="841" t="s">
        <v>1680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1712</v>
      </c>
      <c r="E2450" s="852">
        <v>40978</v>
      </c>
      <c r="F2450" s="49" t="s">
        <v>1106</v>
      </c>
      <c r="G2450" s="49" t="s">
        <v>887</v>
      </c>
      <c r="H2450" s="841" t="s">
        <v>1680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1712</v>
      </c>
      <c r="E2451" s="852">
        <v>40980</v>
      </c>
      <c r="F2451" s="49" t="s">
        <v>1118</v>
      </c>
      <c r="G2451" s="49" t="s">
        <v>921</v>
      </c>
      <c r="H2451" s="841" t="s">
        <v>1680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1712</v>
      </c>
      <c r="E2452" s="852">
        <v>40980</v>
      </c>
      <c r="F2452" s="49" t="s">
        <v>1008</v>
      </c>
      <c r="G2452" s="49" t="s">
        <v>922</v>
      </c>
      <c r="H2452" s="841" t="s">
        <v>1680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1712</v>
      </c>
      <c r="E2453" s="852">
        <v>40980</v>
      </c>
      <c r="F2453" s="49" t="s">
        <v>1144</v>
      </c>
      <c r="G2453" s="49" t="s">
        <v>922</v>
      </c>
      <c r="H2453" s="841" t="s">
        <v>1680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1712</v>
      </c>
      <c r="E2454" s="852">
        <v>40980</v>
      </c>
      <c r="F2454" s="49" t="s">
        <v>1070</v>
      </c>
      <c r="G2454" s="49" t="s">
        <v>922</v>
      </c>
      <c r="H2454" s="841" t="s">
        <v>1680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1712</v>
      </c>
      <c r="E2455" s="852">
        <v>40980</v>
      </c>
      <c r="F2455" s="703" t="s">
        <v>1143</v>
      </c>
      <c r="G2455" s="49" t="s">
        <v>922</v>
      </c>
      <c r="H2455" s="841" t="s">
        <v>1680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1712</v>
      </c>
      <c r="E2456" s="852">
        <v>40980</v>
      </c>
      <c r="F2456" s="49" t="s">
        <v>1044</v>
      </c>
      <c r="G2456" s="49" t="s">
        <v>922</v>
      </c>
      <c r="H2456" s="841" t="s">
        <v>1680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1712</v>
      </c>
      <c r="E2457" s="852">
        <v>40988</v>
      </c>
      <c r="F2457" s="49" t="s">
        <v>1213</v>
      </c>
      <c r="G2457" s="49" t="s">
        <v>924</v>
      </c>
      <c r="H2457" s="841" t="s">
        <v>1680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1712</v>
      </c>
      <c r="E2458" s="852">
        <v>40988</v>
      </c>
      <c r="F2458" s="703" t="s">
        <v>1141</v>
      </c>
      <c r="G2458" s="49" t="s">
        <v>924</v>
      </c>
      <c r="H2458" s="841" t="s">
        <v>1680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1712</v>
      </c>
      <c r="E2459" s="852">
        <v>40989</v>
      </c>
      <c r="F2459" s="703" t="s">
        <v>1212</v>
      </c>
      <c r="G2459" s="49" t="s">
        <v>925</v>
      </c>
      <c r="H2459" s="841" t="s">
        <v>1680</v>
      </c>
      <c r="I2459" s="854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1712</v>
      </c>
      <c r="E2460" s="852">
        <v>40989</v>
      </c>
      <c r="F2460" s="703" t="s">
        <v>927</v>
      </c>
      <c r="G2460" s="49" t="s">
        <v>928</v>
      </c>
      <c r="H2460" s="841" t="s">
        <v>1680</v>
      </c>
      <c r="I2460" s="854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1712</v>
      </c>
      <c r="E2461" s="852">
        <v>40989</v>
      </c>
      <c r="F2461" s="703" t="s">
        <v>1214</v>
      </c>
      <c r="G2461" s="49" t="s">
        <v>928</v>
      </c>
      <c r="H2461" s="841" t="s">
        <v>1680</v>
      </c>
      <c r="I2461" s="854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1712</v>
      </c>
      <c r="E2462" s="852">
        <v>40989</v>
      </c>
      <c r="F2462" s="703" t="s">
        <v>1181</v>
      </c>
      <c r="G2462" s="49" t="s">
        <v>930</v>
      </c>
      <c r="H2462" s="841" t="s">
        <v>1680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1712</v>
      </c>
      <c r="E2463" s="852">
        <v>40995</v>
      </c>
      <c r="F2463" s="49" t="s">
        <v>1204</v>
      </c>
      <c r="G2463" s="49" t="s">
        <v>931</v>
      </c>
      <c r="H2463" s="841" t="s">
        <v>1680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1712</v>
      </c>
      <c r="E2464" s="852">
        <v>40995</v>
      </c>
      <c r="F2464" s="49" t="s">
        <v>1202</v>
      </c>
      <c r="G2464" s="49" t="s">
        <v>931</v>
      </c>
      <c r="H2464" s="841" t="s">
        <v>1680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782" customFormat="1" ht="15.75" customHeight="1">
      <c r="A2465" s="204" t="str">
        <f>IF(B2465&lt;&gt;"",IF(AND(B2465&gt;=_TM1,B2465&lt;=_TM2,OR(TH!L2465="1111",TH!M2465="1111")),TH!D2465,""),"")</f>
        <v/>
      </c>
      <c r="B2465" s="701">
        <f t="shared" si="139"/>
        <v>3</v>
      </c>
      <c r="C2465" s="48">
        <f t="shared" si="141"/>
        <v>40995</v>
      </c>
      <c r="D2465" s="48" t="s">
        <v>1712</v>
      </c>
      <c r="E2465" s="852">
        <v>40995</v>
      </c>
      <c r="F2465" s="49" t="s">
        <v>1203</v>
      </c>
      <c r="G2465" s="49" t="s">
        <v>931</v>
      </c>
      <c r="H2465" s="841" t="s">
        <v>1680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782" customFormat="1" ht="15.75" customHeight="1">
      <c r="A2466" s="204" t="str">
        <f>IF(B2466&lt;&gt;"",IF(AND(B2466&gt;=_TM1,B2466&lt;=_TM2,OR(TH!L2466="1111",TH!M2466="1111")),TH!D2466,""),"")</f>
        <v/>
      </c>
      <c r="B2466" s="701">
        <f t="shared" si="139"/>
        <v>3</v>
      </c>
      <c r="C2466" s="48">
        <f t="shared" si="141"/>
        <v>40996</v>
      </c>
      <c r="D2466" s="48" t="s">
        <v>1712</v>
      </c>
      <c r="E2466" s="852">
        <v>40996</v>
      </c>
      <c r="F2466" s="853" t="s">
        <v>1096</v>
      </c>
      <c r="G2466" s="49" t="s">
        <v>932</v>
      </c>
      <c r="H2466" s="841" t="s">
        <v>1680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782" customFormat="1" ht="15.75" customHeight="1">
      <c r="A2467" s="204" t="str">
        <f>IF(B2467&lt;&gt;"",IF(AND(B2467&gt;=_TM1,B2467&lt;=_TM2,OR(TH!L2467="1111",TH!M2467="1111")),TH!D2467,""),"")</f>
        <v/>
      </c>
      <c r="B2467" s="701">
        <f t="shared" si="139"/>
        <v>3</v>
      </c>
      <c r="C2467" s="48">
        <f t="shared" si="141"/>
        <v>40998</v>
      </c>
      <c r="D2467" s="48" t="s">
        <v>1712</v>
      </c>
      <c r="E2467" s="852">
        <v>40998</v>
      </c>
      <c r="F2467" s="49" t="s">
        <v>1200</v>
      </c>
      <c r="G2467" s="49" t="s">
        <v>934</v>
      </c>
      <c r="H2467" s="841" t="s">
        <v>1680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782" customFormat="1" ht="15.75" customHeight="1">
      <c r="A2468" s="204" t="str">
        <f>IF(B2468&lt;&gt;"",IF(AND(B2468&gt;=_TM1,B2468&lt;=_TM2,OR(TH!L2468="1111",TH!M2468="1111")),TH!D2468,""),"")</f>
        <v/>
      </c>
      <c r="B2468" s="701">
        <f t="shared" si="139"/>
        <v>3</v>
      </c>
      <c r="C2468" s="48">
        <f t="shared" si="141"/>
        <v>40998</v>
      </c>
      <c r="D2468" s="48" t="s">
        <v>1712</v>
      </c>
      <c r="E2468" s="852">
        <v>40998</v>
      </c>
      <c r="F2468" s="49" t="s">
        <v>1199</v>
      </c>
      <c r="G2468" s="49" t="s">
        <v>936</v>
      </c>
      <c r="H2468" s="841" t="s">
        <v>1680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782" customFormat="1" ht="15.75" customHeight="1">
      <c r="A2469" s="204" t="str">
        <f>IF(B2469&lt;&gt;"",IF(AND(B2469&gt;=_TM1,B2469&lt;=_TM2,OR(TH!L2469="1111",TH!M2469="1111")),TH!D2469,""),"")</f>
        <v/>
      </c>
      <c r="B2469" s="701">
        <f t="shared" si="139"/>
        <v>3</v>
      </c>
      <c r="C2469" s="48">
        <f t="shared" si="141"/>
        <v>40998</v>
      </c>
      <c r="D2469" s="48" t="s">
        <v>1712</v>
      </c>
      <c r="E2469" s="852">
        <v>40998</v>
      </c>
      <c r="F2469" s="49" t="s">
        <v>1198</v>
      </c>
      <c r="G2469" s="49" t="s">
        <v>936</v>
      </c>
      <c r="H2469" s="841" t="s">
        <v>1680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782" customFormat="1" ht="15.75" customHeight="1">
      <c r="A2470" s="204" t="str">
        <f>IF(B2470&lt;&gt;"",IF(AND(B2470&gt;=_TM1,B2470&lt;=_TM2,OR(TH!L2470="1111",TH!M2470="1111")),TH!D2470,""),"")</f>
        <v/>
      </c>
      <c r="B2470" s="701">
        <f t="shared" si="139"/>
        <v>3</v>
      </c>
      <c r="C2470" s="48">
        <f t="shared" si="141"/>
        <v>40998</v>
      </c>
      <c r="D2470" s="48" t="s">
        <v>1712</v>
      </c>
      <c r="E2470" s="852">
        <v>40998</v>
      </c>
      <c r="F2470" s="49" t="s">
        <v>1197</v>
      </c>
      <c r="G2470" s="49" t="s">
        <v>936</v>
      </c>
      <c r="H2470" s="841" t="s">
        <v>1680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782" customFormat="1" ht="15.75" customHeight="1">
      <c r="A2471" s="204" t="str">
        <f>IF(B2471&lt;&gt;"",IF(AND(B2471&gt;=_TM1,B2471&lt;=_TM2,OR(TH!L2471="1111",TH!M2471="1111")),TH!D2471,""),"")</f>
        <v/>
      </c>
      <c r="B2471" s="701">
        <f t="shared" si="139"/>
        <v>3</v>
      </c>
      <c r="C2471" s="48">
        <f t="shared" si="141"/>
        <v>40998</v>
      </c>
      <c r="D2471" s="48" t="s">
        <v>1712</v>
      </c>
      <c r="E2471" s="852">
        <v>40998</v>
      </c>
      <c r="F2471" s="49" t="s">
        <v>1517</v>
      </c>
      <c r="G2471" s="49" t="s">
        <v>937</v>
      </c>
      <c r="H2471" s="841" t="s">
        <v>1680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782" customFormat="1" ht="15.75" customHeight="1">
      <c r="A2472" s="204" t="str">
        <f>IF(B2472&lt;&gt;"",IF(AND(B2472&gt;=_TM1,B2472&lt;=_TM2,OR(TH!L2472="1111",TH!M2472="1111")),TH!D2472,""),"")</f>
        <v/>
      </c>
      <c r="B2472" s="701">
        <f t="shared" si="139"/>
        <v>3</v>
      </c>
      <c r="C2472" s="48">
        <f t="shared" si="141"/>
        <v>40998</v>
      </c>
      <c r="D2472" s="48" t="s">
        <v>1712</v>
      </c>
      <c r="E2472" s="852">
        <v>40998</v>
      </c>
      <c r="F2472" s="49" t="s">
        <v>1518</v>
      </c>
      <c r="G2472" s="49" t="s">
        <v>937</v>
      </c>
      <c r="H2472" s="841" t="s">
        <v>1680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782" customFormat="1" ht="15.75" customHeight="1">
      <c r="A2473" s="204" t="str">
        <f>IF(B2473&lt;&gt;"",IF(AND(B2473&gt;=_TM1,B2473&lt;=_TM2,OR(TH!L2473="1111",TH!M2473="1111")),TH!D2473,""),"")</f>
        <v/>
      </c>
      <c r="B2473" s="701">
        <f t="shared" ref="B2473:B2536" si="142">IF(C2473&lt;&gt;"",MONTH(C2473),"")</f>
        <v>3</v>
      </c>
      <c r="C2473" s="48">
        <f t="shared" si="141"/>
        <v>40998</v>
      </c>
      <c r="D2473" s="48" t="s">
        <v>1712</v>
      </c>
      <c r="E2473" s="852">
        <v>40998</v>
      </c>
      <c r="F2473" s="49" t="s">
        <v>1519</v>
      </c>
      <c r="G2473" s="49" t="s">
        <v>937</v>
      </c>
      <c r="H2473" s="841" t="s">
        <v>1680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782" customFormat="1" ht="15.75" customHeight="1">
      <c r="A2474" s="204" t="str">
        <f>IF(B2474&lt;&gt;"",IF(AND(B2474&gt;=_TM1,B2474&lt;=_TM2,OR(TH!L2474="1111",TH!M2474="1111")),TH!D2474,""),"")</f>
        <v/>
      </c>
      <c r="B2474" s="701">
        <f t="shared" si="142"/>
        <v>3</v>
      </c>
      <c r="C2474" s="48">
        <f t="shared" si="141"/>
        <v>40998</v>
      </c>
      <c r="D2474" s="48" t="s">
        <v>1712</v>
      </c>
      <c r="E2474" s="852">
        <v>40998</v>
      </c>
      <c r="F2474" s="49" t="s">
        <v>1511</v>
      </c>
      <c r="G2474" s="49" t="s">
        <v>937</v>
      </c>
      <c r="H2474" s="841" t="s">
        <v>1680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782" customFormat="1" ht="15.75" customHeight="1">
      <c r="A2475" s="204" t="str">
        <f>IF(B2475&lt;&gt;"",IF(AND(B2475&gt;=_TM1,B2475&lt;=_TM2,OR(TH!L2475="1111",TH!M2475="1111")),TH!D2475,""),"")</f>
        <v/>
      </c>
      <c r="B2475" s="701">
        <f t="shared" si="142"/>
        <v>3</v>
      </c>
      <c r="C2475" s="48">
        <f t="shared" si="141"/>
        <v>40998</v>
      </c>
      <c r="D2475" s="48" t="s">
        <v>1712</v>
      </c>
      <c r="E2475" s="852">
        <v>40998</v>
      </c>
      <c r="F2475" s="49" t="s">
        <v>1514</v>
      </c>
      <c r="G2475" s="49" t="s">
        <v>937</v>
      </c>
      <c r="H2475" s="841" t="s">
        <v>1680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782" customFormat="1" ht="15.75" customHeight="1">
      <c r="A2476" s="204" t="str">
        <f>IF(B2476&lt;&gt;"",IF(AND(B2476&gt;=_TM1,B2476&lt;=_TM2,OR(TH!L2476="1111",TH!M2476="1111")),TH!D2476,""),"")</f>
        <v/>
      </c>
      <c r="B2476" s="701">
        <f t="shared" si="142"/>
        <v>3</v>
      </c>
      <c r="C2476" s="48">
        <f t="shared" si="141"/>
        <v>40998</v>
      </c>
      <c r="D2476" s="48" t="s">
        <v>1712</v>
      </c>
      <c r="E2476" s="852">
        <v>40998</v>
      </c>
      <c r="F2476" s="49" t="s">
        <v>1478</v>
      </c>
      <c r="G2476" s="49" t="s">
        <v>937</v>
      </c>
      <c r="H2476" s="841" t="s">
        <v>1680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782" customFormat="1" ht="15.75" customHeight="1">
      <c r="A2477" s="204" t="str">
        <f>IF(B2477&lt;&gt;"",IF(AND(B2477&gt;=_TM1,B2477&lt;=_TM2,OR(TH!L2477="1111",TH!M2477="1111")),TH!D2477,""),"")</f>
        <v/>
      </c>
      <c r="B2477" s="701">
        <f t="shared" si="142"/>
        <v>3</v>
      </c>
      <c r="C2477" s="48">
        <f t="shared" si="141"/>
        <v>40998</v>
      </c>
      <c r="D2477" s="48" t="s">
        <v>1712</v>
      </c>
      <c r="E2477" s="852">
        <v>40998</v>
      </c>
      <c r="F2477" s="49" t="s">
        <v>1521</v>
      </c>
      <c r="G2477" s="49" t="s">
        <v>937</v>
      </c>
      <c r="H2477" s="841" t="s">
        <v>1680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782" customFormat="1" ht="15.75" customHeight="1">
      <c r="A2478" s="204" t="str">
        <f>IF(B2478&lt;&gt;"",IF(AND(B2478&gt;=_TM1,B2478&lt;=_TM2,OR(TH!L2478="1111",TH!M2478="1111")),TH!D2478,""),"")</f>
        <v/>
      </c>
      <c r="B2478" s="701">
        <f t="shared" si="142"/>
        <v>3</v>
      </c>
      <c r="C2478" s="48">
        <f t="shared" si="141"/>
        <v>40998</v>
      </c>
      <c r="D2478" s="48" t="s">
        <v>1712</v>
      </c>
      <c r="E2478" s="852">
        <v>40998</v>
      </c>
      <c r="F2478" s="49" t="s">
        <v>1490</v>
      </c>
      <c r="G2478" s="49" t="s">
        <v>937</v>
      </c>
      <c r="H2478" s="841" t="s">
        <v>1680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782" customFormat="1" ht="15.75" customHeight="1">
      <c r="A2479" s="204" t="str">
        <f>IF(B2479&lt;&gt;"",IF(AND(B2479&gt;=_TM1,B2479&lt;=_TM2,OR(TH!L2479="1111",TH!M2479="1111")),TH!D2479,""),"")</f>
        <v/>
      </c>
      <c r="B2479" s="701">
        <f t="shared" si="142"/>
        <v>3</v>
      </c>
      <c r="C2479" s="48">
        <f t="shared" si="141"/>
        <v>40998</v>
      </c>
      <c r="D2479" s="48" t="s">
        <v>1712</v>
      </c>
      <c r="E2479" s="852">
        <v>40998</v>
      </c>
      <c r="F2479" s="49" t="s">
        <v>1515</v>
      </c>
      <c r="G2479" s="49" t="s">
        <v>937</v>
      </c>
      <c r="H2479" s="841" t="s">
        <v>1680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782" customFormat="1" ht="15.75" customHeight="1">
      <c r="A2480" s="204" t="str">
        <f>IF(B2480&lt;&gt;"",IF(AND(B2480&gt;=_TM1,B2480&lt;=_TM2,OR(TH!L2480="1111",TH!M2480="1111")),TH!D2480,""),"")</f>
        <v/>
      </c>
      <c r="B2480" s="701">
        <f t="shared" si="142"/>
        <v>3</v>
      </c>
      <c r="C2480" s="48">
        <f t="shared" si="141"/>
        <v>40998</v>
      </c>
      <c r="D2480" s="48" t="s">
        <v>1712</v>
      </c>
      <c r="E2480" s="852">
        <v>40998</v>
      </c>
      <c r="F2480" s="49" t="s">
        <v>1490</v>
      </c>
      <c r="G2480" s="49" t="s">
        <v>937</v>
      </c>
      <c r="H2480" s="841" t="s">
        <v>1680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782" customFormat="1" ht="15.75" customHeight="1">
      <c r="A2481" s="204" t="str">
        <f>IF(B2481&lt;&gt;"",IF(AND(B2481&gt;=_TM1,B2481&lt;=_TM2,OR(TH!L2481="1111",TH!M2481="1111")),TH!D2481,""),"")</f>
        <v/>
      </c>
      <c r="B2481" s="701">
        <f t="shared" si="142"/>
        <v>3</v>
      </c>
      <c r="C2481" s="48">
        <f t="shared" si="141"/>
        <v>40998</v>
      </c>
      <c r="D2481" s="48" t="s">
        <v>1712</v>
      </c>
      <c r="E2481" s="852">
        <v>40998</v>
      </c>
      <c r="F2481" s="49" t="s">
        <v>1520</v>
      </c>
      <c r="G2481" s="49" t="s">
        <v>937</v>
      </c>
      <c r="H2481" s="841" t="s">
        <v>1680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782" customFormat="1" ht="15.75" customHeight="1">
      <c r="A2482" s="204" t="str">
        <f>IF(B2482&lt;&gt;"",IF(AND(B2482&gt;=_TM1,B2482&lt;=_TM2,OR(TH!L2482="1111",TH!M2482="1111")),TH!D2482,""),"")</f>
        <v/>
      </c>
      <c r="B2482" s="701">
        <f t="shared" si="142"/>
        <v>3</v>
      </c>
      <c r="C2482" s="48">
        <f t="shared" si="141"/>
        <v>40998</v>
      </c>
      <c r="D2482" s="48" t="s">
        <v>1712</v>
      </c>
      <c r="E2482" s="852">
        <v>40998</v>
      </c>
      <c r="F2482" s="49" t="s">
        <v>1517</v>
      </c>
      <c r="G2482" s="49" t="s">
        <v>938</v>
      </c>
      <c r="H2482" s="841" t="s">
        <v>1680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782" customFormat="1" ht="15.75" customHeight="1">
      <c r="A2483" s="204" t="str">
        <f>IF(B2483&lt;&gt;"",IF(AND(B2483&gt;=_TM1,B2483&lt;=_TM2,OR(TH!L2483="1111",TH!M2483="1111")),TH!D2483,""),"")</f>
        <v/>
      </c>
      <c r="B2483" s="701">
        <f t="shared" si="142"/>
        <v>3</v>
      </c>
      <c r="C2483" s="48">
        <f t="shared" si="141"/>
        <v>40998</v>
      </c>
      <c r="D2483" s="48" t="s">
        <v>1712</v>
      </c>
      <c r="E2483" s="852">
        <v>40998</v>
      </c>
      <c r="F2483" s="49" t="s">
        <v>1518</v>
      </c>
      <c r="G2483" s="49" t="s">
        <v>938</v>
      </c>
      <c r="H2483" s="841" t="s">
        <v>1680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782" customFormat="1" ht="15.75" customHeight="1">
      <c r="A2484" s="204" t="str">
        <f>IF(B2484&lt;&gt;"",IF(AND(B2484&gt;=_TM1,B2484&lt;=_TM2,OR(TH!L2484="1111",TH!M2484="1111")),TH!D2484,""),"")</f>
        <v/>
      </c>
      <c r="B2484" s="701">
        <f t="shared" si="142"/>
        <v>3</v>
      </c>
      <c r="C2484" s="48">
        <f t="shared" si="141"/>
        <v>40998</v>
      </c>
      <c r="D2484" s="48" t="s">
        <v>1712</v>
      </c>
      <c r="E2484" s="852">
        <v>40998</v>
      </c>
      <c r="F2484" s="49" t="s">
        <v>1519</v>
      </c>
      <c r="G2484" s="49" t="s">
        <v>938</v>
      </c>
      <c r="H2484" s="841" t="s">
        <v>1680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782" customFormat="1" ht="15.75" customHeight="1">
      <c r="A2485" s="204" t="str">
        <f>IF(B2485&lt;&gt;"",IF(AND(B2485&gt;=_TM1,B2485&lt;=_TM2,OR(TH!L2485="1111",TH!M2485="1111")),TH!D2485,""),"")</f>
        <v/>
      </c>
      <c r="B2485" s="701">
        <f t="shared" si="142"/>
        <v>3</v>
      </c>
      <c r="C2485" s="48">
        <f t="shared" si="141"/>
        <v>40998</v>
      </c>
      <c r="D2485" s="48" t="s">
        <v>1712</v>
      </c>
      <c r="E2485" s="852">
        <v>40998</v>
      </c>
      <c r="F2485" s="49" t="s">
        <v>1196</v>
      </c>
      <c r="G2485" s="49" t="s">
        <v>939</v>
      </c>
      <c r="H2485" s="841" t="s">
        <v>1680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782" customFormat="1" ht="15.75" customHeight="1">
      <c r="A2486" s="204" t="str">
        <f>IF(B2486&lt;&gt;"",IF(AND(B2486&gt;=_TM1,B2486&lt;=_TM2,OR(TH!L2486="1111",TH!M2486="1111")),TH!D2486,""),"")</f>
        <v/>
      </c>
      <c r="B2486" s="701">
        <f t="shared" si="142"/>
        <v>3</v>
      </c>
      <c r="C2486" s="48">
        <f t="shared" si="141"/>
        <v>40998</v>
      </c>
      <c r="D2486" s="48" t="s">
        <v>1712</v>
      </c>
      <c r="E2486" s="852">
        <v>40998</v>
      </c>
      <c r="F2486" s="49" t="s">
        <v>1456</v>
      </c>
      <c r="G2486" s="49" t="s">
        <v>1536</v>
      </c>
      <c r="H2486" s="841" t="s">
        <v>1680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782" customFormat="1" ht="15.75" customHeight="1">
      <c r="A2487" s="204" t="str">
        <f>IF(B2487&lt;&gt;"",IF(AND(B2487&gt;=_TM1,B2487&lt;=_TM2,OR(TH!L2487="1111",TH!M2487="1111")),TH!D2487,""),"")</f>
        <v/>
      </c>
      <c r="B2487" s="701">
        <f t="shared" si="142"/>
        <v>3</v>
      </c>
      <c r="C2487" s="48">
        <f t="shared" si="141"/>
        <v>40998</v>
      </c>
      <c r="D2487" s="48" t="s">
        <v>1712</v>
      </c>
      <c r="E2487" s="852">
        <v>40998</v>
      </c>
      <c r="F2487" s="49" t="s">
        <v>1458</v>
      </c>
      <c r="G2487" s="49" t="s">
        <v>1536</v>
      </c>
      <c r="H2487" s="841" t="s">
        <v>1680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782" customFormat="1" ht="15.75" customHeight="1">
      <c r="A2488" s="204" t="str">
        <f>IF(B2488&lt;&gt;"",IF(AND(B2488&gt;=_TM1,B2488&lt;=_TM2,OR(TH!L2488="1111",TH!M2488="1111")),TH!D2488,""),"")</f>
        <v/>
      </c>
      <c r="B2488" s="701">
        <f t="shared" si="142"/>
        <v>3</v>
      </c>
      <c r="C2488" s="48">
        <f t="shared" si="141"/>
        <v>40998</v>
      </c>
      <c r="D2488" s="48" t="s">
        <v>1712</v>
      </c>
      <c r="E2488" s="852">
        <v>40998</v>
      </c>
      <c r="F2488" s="49" t="s">
        <v>1459</v>
      </c>
      <c r="G2488" s="49" t="s">
        <v>1536</v>
      </c>
      <c r="H2488" s="841" t="s">
        <v>1680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782" customFormat="1" ht="15.75" customHeight="1">
      <c r="A2489" s="204" t="str">
        <f>IF(B2489&lt;&gt;"",IF(AND(B2489&gt;=_TM1,B2489&lt;=_TM2,OR(TH!L2489="1111",TH!M2489="1111")),TH!D2489,""),"")</f>
        <v/>
      </c>
      <c r="B2489" s="701">
        <f t="shared" si="142"/>
        <v>3</v>
      </c>
      <c r="C2489" s="48">
        <f t="shared" si="141"/>
        <v>40998</v>
      </c>
      <c r="D2489" s="48" t="s">
        <v>1712</v>
      </c>
      <c r="E2489" s="852">
        <v>40998</v>
      </c>
      <c r="F2489" s="49" t="s">
        <v>1210</v>
      </c>
      <c r="G2489" s="49" t="s">
        <v>1536</v>
      </c>
      <c r="H2489" s="841" t="s">
        <v>1680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782" customFormat="1" ht="15.75" customHeight="1">
      <c r="A2490" s="204" t="str">
        <f>IF(B2490&lt;&gt;"",IF(AND(B2490&gt;=_TM1,B2490&lt;=_TM2,OR(TH!L2490="1111",TH!M2490="1111")),TH!D2490,""),"")</f>
        <v/>
      </c>
      <c r="B2490" s="701">
        <f t="shared" si="142"/>
        <v>3</v>
      </c>
      <c r="C2490" s="48">
        <f t="shared" si="141"/>
        <v>40998</v>
      </c>
      <c r="D2490" s="48" t="s">
        <v>1712</v>
      </c>
      <c r="E2490" s="852">
        <v>40998</v>
      </c>
      <c r="F2490" s="49" t="s">
        <v>1211</v>
      </c>
      <c r="G2490" s="49" t="s">
        <v>1536</v>
      </c>
      <c r="H2490" s="841" t="s">
        <v>1680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782" customFormat="1" ht="15.75" customHeight="1">
      <c r="A2491" s="204" t="str">
        <f>IF(B2491&lt;&gt;"",IF(AND(B2491&gt;=_TM1,B2491&lt;=_TM2,OR(TH!L2491="1111",TH!M2491="1111")),TH!D2491,""),"")</f>
        <v/>
      </c>
      <c r="B2491" s="701">
        <f t="shared" si="142"/>
        <v>3</v>
      </c>
      <c r="C2491" s="48">
        <f t="shared" si="141"/>
        <v>40998</v>
      </c>
      <c r="D2491" s="48" t="s">
        <v>1712</v>
      </c>
      <c r="E2491" s="852">
        <v>40998</v>
      </c>
      <c r="F2491" s="49" t="s">
        <v>1460</v>
      </c>
      <c r="G2491" s="49" t="s">
        <v>1536</v>
      </c>
      <c r="H2491" s="841" t="s">
        <v>1680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26" customFormat="1" ht="15.75" customHeight="1">
      <c r="A2492" s="204" t="str">
        <f>IF(B2492&lt;&gt;"",IF(AND(B2492&gt;=_TM1,B2492&lt;=_TM2,OR(TH!L2492="1111",TH!M2492="1111")),TH!D2492,""),"")</f>
        <v/>
      </c>
      <c r="B2492" s="817">
        <f t="shared" si="142"/>
        <v>4</v>
      </c>
      <c r="C2492" s="843">
        <f t="shared" si="141"/>
        <v>41003</v>
      </c>
      <c r="D2492" s="48" t="s">
        <v>1712</v>
      </c>
      <c r="E2492" s="855">
        <v>41003</v>
      </c>
      <c r="F2492" s="848" t="s">
        <v>1120</v>
      </c>
      <c r="G2492" s="848" t="s">
        <v>940</v>
      </c>
      <c r="H2492" s="846" t="s">
        <v>1680</v>
      </c>
      <c r="I2492" s="822">
        <v>500</v>
      </c>
      <c r="J2492" s="822">
        <v>10775.16</v>
      </c>
      <c r="K2492" s="823">
        <f t="shared" si="140"/>
        <v>5387580</v>
      </c>
      <c r="L2492" s="844" t="s">
        <v>177</v>
      </c>
      <c r="M2492" s="844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2" customFormat="1" ht="15.75" customHeight="1">
      <c r="A2493" s="204" t="str">
        <f>IF(B2493&lt;&gt;"",IF(AND(B2493&gt;=_TM1,B2493&lt;=_TM2,OR(TH!L2493="1111",TH!M2493="1111")),TH!D2493,""),"")</f>
        <v/>
      </c>
      <c r="B2493" s="701">
        <f t="shared" si="142"/>
        <v>4</v>
      </c>
      <c r="C2493" s="48">
        <f t="shared" si="141"/>
        <v>41003</v>
      </c>
      <c r="D2493" s="48" t="s">
        <v>1712</v>
      </c>
      <c r="E2493" s="852">
        <v>41003</v>
      </c>
      <c r="F2493" s="49" t="s">
        <v>1195</v>
      </c>
      <c r="G2493" s="49" t="s">
        <v>940</v>
      </c>
      <c r="H2493" s="841" t="s">
        <v>1680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2" customFormat="1" ht="15.75" customHeight="1">
      <c r="A2494" s="204" t="str">
        <f>IF(B2494&lt;&gt;"",IF(AND(B2494&gt;=_TM1,B2494&lt;=_TM2,OR(TH!L2494="1111",TH!M2494="1111")),TH!D2494,""),"")</f>
        <v/>
      </c>
      <c r="B2494" s="701">
        <f t="shared" si="142"/>
        <v>4</v>
      </c>
      <c r="C2494" s="48">
        <f t="shared" si="141"/>
        <v>41003</v>
      </c>
      <c r="D2494" s="48" t="s">
        <v>1712</v>
      </c>
      <c r="E2494" s="852">
        <v>41003</v>
      </c>
      <c r="F2494" s="49" t="s">
        <v>1194</v>
      </c>
      <c r="G2494" s="49" t="s">
        <v>941</v>
      </c>
      <c r="H2494" s="841" t="s">
        <v>1680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2" customFormat="1" ht="15.75" customHeight="1">
      <c r="A2495" s="204" t="str">
        <f>IF(B2495&lt;&gt;"",IF(AND(B2495&gt;=_TM1,B2495&lt;=_TM2,OR(TH!L2495="1111",TH!M2495="1111")),TH!D2495,""),"")</f>
        <v/>
      </c>
      <c r="B2495" s="701">
        <f t="shared" si="142"/>
        <v>4</v>
      </c>
      <c r="C2495" s="48">
        <f t="shared" si="141"/>
        <v>41004</v>
      </c>
      <c r="D2495" s="48" t="s">
        <v>1712</v>
      </c>
      <c r="E2495" s="852">
        <v>41004</v>
      </c>
      <c r="F2495" s="49" t="s">
        <v>1132</v>
      </c>
      <c r="G2495" s="49" t="s">
        <v>942</v>
      </c>
      <c r="H2495" s="841" t="s">
        <v>1680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2" customFormat="1" ht="15.75" customHeight="1">
      <c r="A2496" s="204" t="str">
        <f>IF(B2496&lt;&gt;"",IF(AND(B2496&gt;=_TM1,B2496&lt;=_TM2,OR(TH!L2496="1111",TH!M2496="1111")),TH!D2496,""),"")</f>
        <v/>
      </c>
      <c r="B2496" s="701">
        <f t="shared" si="142"/>
        <v>4</v>
      </c>
      <c r="C2496" s="48">
        <f t="shared" si="141"/>
        <v>41009</v>
      </c>
      <c r="D2496" s="48" t="s">
        <v>1712</v>
      </c>
      <c r="E2496" s="852">
        <v>41009</v>
      </c>
      <c r="F2496" s="853" t="s">
        <v>1096</v>
      </c>
      <c r="G2496" s="49" t="s">
        <v>943</v>
      </c>
      <c r="H2496" s="841" t="s">
        <v>1680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2" customFormat="1" ht="15.75" customHeight="1">
      <c r="A2497" s="204" t="str">
        <f>IF(B2497&lt;&gt;"",IF(AND(B2497&gt;=_TM1,B2497&lt;=_TM2,OR(TH!L2497="1111",TH!M2497="1111")),TH!D2497,""),"")</f>
        <v/>
      </c>
      <c r="B2497" s="701">
        <f t="shared" si="142"/>
        <v>4</v>
      </c>
      <c r="C2497" s="48">
        <f t="shared" si="141"/>
        <v>41009</v>
      </c>
      <c r="D2497" s="48" t="s">
        <v>1712</v>
      </c>
      <c r="E2497" s="852">
        <v>41009</v>
      </c>
      <c r="F2497" s="49" t="s">
        <v>1193</v>
      </c>
      <c r="G2497" s="49" t="s">
        <v>943</v>
      </c>
      <c r="H2497" s="841" t="s">
        <v>1680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2" customFormat="1" ht="15.75" customHeight="1">
      <c r="A2498" s="204" t="str">
        <f>IF(B2498&lt;&gt;"",IF(AND(B2498&gt;=_TM1,B2498&lt;=_TM2,OR(TH!L2498="1111",TH!M2498="1111")),TH!D2498,""),"")</f>
        <v/>
      </c>
      <c r="B2498" s="701">
        <f t="shared" si="142"/>
        <v>4</v>
      </c>
      <c r="C2498" s="48">
        <f t="shared" si="141"/>
        <v>41009</v>
      </c>
      <c r="D2498" s="48" t="s">
        <v>1712</v>
      </c>
      <c r="E2498" s="852">
        <v>41009</v>
      </c>
      <c r="F2498" s="49" t="s">
        <v>1192</v>
      </c>
      <c r="G2498" s="49" t="s">
        <v>944</v>
      </c>
      <c r="H2498" s="841" t="s">
        <v>1680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2" customFormat="1" ht="15.75" customHeight="1">
      <c r="A2499" s="204" t="str">
        <f>IF(B2499&lt;&gt;"",IF(AND(B2499&gt;=_TM1,B2499&lt;=_TM2,OR(TH!L2499="1111",TH!M2499="1111")),TH!D2499,""),"")</f>
        <v/>
      </c>
      <c r="B2499" s="701">
        <f t="shared" si="142"/>
        <v>4</v>
      </c>
      <c r="C2499" s="48">
        <f t="shared" si="141"/>
        <v>41009</v>
      </c>
      <c r="D2499" s="48" t="s">
        <v>1712</v>
      </c>
      <c r="E2499" s="852">
        <v>41009</v>
      </c>
      <c r="F2499" s="49" t="s">
        <v>1191</v>
      </c>
      <c r="G2499" s="49" t="s">
        <v>944</v>
      </c>
      <c r="H2499" s="841" t="s">
        <v>1680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2" customFormat="1" ht="15.75" customHeight="1">
      <c r="A2500" s="204" t="str">
        <f>IF(B2500&lt;&gt;"",IF(AND(B2500&gt;=_TM1,B2500&lt;=_TM2,OR(TH!L2500="1111",TH!M2500="1111")),TH!D2500,""),"")</f>
        <v/>
      </c>
      <c r="B2500" s="701">
        <f t="shared" si="142"/>
        <v>4</v>
      </c>
      <c r="C2500" s="48">
        <f t="shared" si="141"/>
        <v>41010</v>
      </c>
      <c r="D2500" s="48" t="s">
        <v>1712</v>
      </c>
      <c r="E2500" s="852">
        <v>41010</v>
      </c>
      <c r="F2500" s="49" t="s">
        <v>1189</v>
      </c>
      <c r="G2500" s="49" t="s">
        <v>945</v>
      </c>
      <c r="H2500" s="841" t="s">
        <v>1680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2" customFormat="1" ht="15.75" customHeight="1">
      <c r="A2501" s="204" t="str">
        <f>IF(B2501&lt;&gt;"",IF(AND(B2501&gt;=_TM1,B2501&lt;=_TM2,OR(TH!L2501="1111",TH!M2501="1111")),TH!D2501,""),"")</f>
        <v/>
      </c>
      <c r="B2501" s="701">
        <f t="shared" si="142"/>
        <v>4</v>
      </c>
      <c r="C2501" s="48">
        <f t="shared" si="141"/>
        <v>41016</v>
      </c>
      <c r="D2501" s="48" t="s">
        <v>1712</v>
      </c>
      <c r="E2501" s="852">
        <v>41016</v>
      </c>
      <c r="F2501" s="49" t="s">
        <v>1188</v>
      </c>
      <c r="G2501" s="49" t="s">
        <v>946</v>
      </c>
      <c r="H2501" s="841" t="s">
        <v>1680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2" customFormat="1" ht="15.75" customHeight="1">
      <c r="A2502" s="204" t="str">
        <f>IF(B2502&lt;&gt;"",IF(AND(B2502&gt;=_TM1,B2502&lt;=_TM2,OR(TH!L2502="1111",TH!M2502="1111")),TH!D2502,""),"")</f>
        <v/>
      </c>
      <c r="B2502" s="701">
        <f t="shared" si="142"/>
        <v>4</v>
      </c>
      <c r="C2502" s="48">
        <f t="shared" si="141"/>
        <v>41016</v>
      </c>
      <c r="D2502" s="48" t="s">
        <v>1712</v>
      </c>
      <c r="E2502" s="852">
        <v>41016</v>
      </c>
      <c r="F2502" s="49" t="s">
        <v>1538</v>
      </c>
      <c r="G2502" s="49" t="s">
        <v>1537</v>
      </c>
      <c r="H2502" s="841" t="s">
        <v>1680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2" customFormat="1" ht="15.75" customHeight="1">
      <c r="A2503" s="204" t="str">
        <f>IF(B2503&lt;&gt;"",IF(AND(B2503&gt;=_TM1,B2503&lt;=_TM2,OR(TH!L2503="1111",TH!M2503="1111")),TH!D2503,""),"")</f>
        <v/>
      </c>
      <c r="B2503" s="701">
        <f t="shared" si="142"/>
        <v>4</v>
      </c>
      <c r="C2503" s="48">
        <f t="shared" si="141"/>
        <v>41016</v>
      </c>
      <c r="D2503" s="48" t="s">
        <v>1712</v>
      </c>
      <c r="E2503" s="852">
        <v>41016</v>
      </c>
      <c r="F2503" s="49" t="s">
        <v>1539</v>
      </c>
      <c r="G2503" s="49" t="s">
        <v>1537</v>
      </c>
      <c r="H2503" s="841" t="s">
        <v>1680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2" customFormat="1" ht="15.75" customHeight="1">
      <c r="A2504" s="204" t="str">
        <f>IF(B2504&lt;&gt;"",IF(AND(B2504&gt;=_TM1,B2504&lt;=_TM2,OR(TH!L2504="1111",TH!M2504="1111")),TH!D2504,""),"")</f>
        <v/>
      </c>
      <c r="B2504" s="701">
        <f t="shared" si="142"/>
        <v>4</v>
      </c>
      <c r="C2504" s="48">
        <f t="shared" si="141"/>
        <v>41016</v>
      </c>
      <c r="D2504" s="48" t="s">
        <v>1712</v>
      </c>
      <c r="E2504" s="852">
        <v>41016</v>
      </c>
      <c r="F2504" s="851" t="s">
        <v>1540</v>
      </c>
      <c r="G2504" s="49" t="s">
        <v>1537</v>
      </c>
      <c r="H2504" s="841" t="s">
        <v>1680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2" customFormat="1" ht="15.75" customHeight="1">
      <c r="A2505" s="204" t="str">
        <f>IF(B2505&lt;&gt;"",IF(AND(B2505&gt;=_TM1,B2505&lt;=_TM2,OR(TH!L2505="1111",TH!M2505="1111")),TH!D2505,""),"")</f>
        <v/>
      </c>
      <c r="B2505" s="701">
        <f t="shared" si="142"/>
        <v>4</v>
      </c>
      <c r="C2505" s="48">
        <f t="shared" si="141"/>
        <v>41016</v>
      </c>
      <c r="D2505" s="48" t="s">
        <v>1712</v>
      </c>
      <c r="E2505" s="852">
        <v>41016</v>
      </c>
      <c r="F2505" s="49" t="s">
        <v>1187</v>
      </c>
      <c r="G2505" s="49" t="s">
        <v>947</v>
      </c>
      <c r="H2505" s="841" t="s">
        <v>1680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2" customFormat="1" ht="15.75" customHeight="1">
      <c r="A2506" s="204" t="str">
        <f>IF(B2506&lt;&gt;"",IF(AND(B2506&gt;=_TM1,B2506&lt;=_TM2,OR(TH!L2506="1111",TH!M2506="1111")),TH!D2506,""),"")</f>
        <v/>
      </c>
      <c r="B2506" s="701">
        <f t="shared" si="142"/>
        <v>4</v>
      </c>
      <c r="C2506" s="48">
        <f t="shared" si="141"/>
        <v>41016</v>
      </c>
      <c r="D2506" s="48" t="s">
        <v>1712</v>
      </c>
      <c r="E2506" s="852">
        <v>41016</v>
      </c>
      <c r="F2506" s="49" t="s">
        <v>1121</v>
      </c>
      <c r="G2506" s="49" t="s">
        <v>947</v>
      </c>
      <c r="H2506" s="841" t="s">
        <v>1680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2" customFormat="1" ht="15.75" customHeight="1">
      <c r="A2507" s="204" t="str">
        <f>IF(B2507&lt;&gt;"",IF(AND(B2507&gt;=_TM1,B2507&lt;=_TM2,OR(TH!L2507="1111",TH!M2507="1111")),TH!D2507,""),"")</f>
        <v/>
      </c>
      <c r="B2507" s="701">
        <f t="shared" si="142"/>
        <v>4</v>
      </c>
      <c r="C2507" s="48">
        <f t="shared" si="141"/>
        <v>41016</v>
      </c>
      <c r="D2507" s="48" t="s">
        <v>1712</v>
      </c>
      <c r="E2507" s="852">
        <v>41016</v>
      </c>
      <c r="F2507" s="49" t="s">
        <v>948</v>
      </c>
      <c r="G2507" s="49" t="s">
        <v>947</v>
      </c>
      <c r="H2507" s="841" t="s">
        <v>1680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2" customFormat="1" ht="15.75" customHeight="1">
      <c r="A2508" s="204" t="str">
        <f>IF(B2508&lt;&gt;"",IF(AND(B2508&gt;=_TM1,B2508&lt;=_TM2,OR(TH!L2508="1111",TH!M2508="1111")),TH!D2508,""),"")</f>
        <v/>
      </c>
      <c r="B2508" s="701">
        <f t="shared" si="142"/>
        <v>4</v>
      </c>
      <c r="C2508" s="48">
        <f t="shared" si="141"/>
        <v>41016</v>
      </c>
      <c r="D2508" s="48" t="s">
        <v>1712</v>
      </c>
      <c r="E2508" s="852">
        <v>41016</v>
      </c>
      <c r="F2508" s="49" t="s">
        <v>1186</v>
      </c>
      <c r="G2508" s="49" t="s">
        <v>947</v>
      </c>
      <c r="H2508" s="841" t="s">
        <v>1680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2" customFormat="1" ht="15.75" customHeight="1">
      <c r="A2509" s="204" t="str">
        <f>IF(B2509&lt;&gt;"",IF(AND(B2509&gt;=_TM1,B2509&lt;=_TM2,OR(TH!L2509="1111",TH!M2509="1111")),TH!D2509,""),"")</f>
        <v/>
      </c>
      <c r="B2509" s="701">
        <f t="shared" si="142"/>
        <v>4</v>
      </c>
      <c r="C2509" s="48">
        <f t="shared" si="141"/>
        <v>41020</v>
      </c>
      <c r="D2509" s="48" t="s">
        <v>1712</v>
      </c>
      <c r="E2509" s="852">
        <v>41020</v>
      </c>
      <c r="F2509" s="851" t="s">
        <v>1185</v>
      </c>
      <c r="G2509" s="49" t="s">
        <v>949</v>
      </c>
      <c r="H2509" s="841" t="s">
        <v>1680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2" customFormat="1" ht="15.75" customHeight="1">
      <c r="A2510" s="204" t="str">
        <f>IF(B2510&lt;&gt;"",IF(AND(B2510&gt;=_TM1,B2510&lt;=_TM2,OR(TH!L2510="1111",TH!M2510="1111")),TH!D2510,""),"")</f>
        <v/>
      </c>
      <c r="B2510" s="701">
        <f t="shared" si="142"/>
        <v>4</v>
      </c>
      <c r="C2510" s="48">
        <f t="shared" ref="C2510:C2573" si="145">E2510</f>
        <v>41023</v>
      </c>
      <c r="D2510" s="48" t="s">
        <v>1712</v>
      </c>
      <c r="E2510" s="852">
        <v>41023</v>
      </c>
      <c r="F2510" s="853" t="s">
        <v>1184</v>
      </c>
      <c r="G2510" s="49" t="s">
        <v>950</v>
      </c>
      <c r="H2510" s="841" t="s">
        <v>1680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2" customFormat="1" ht="15.75" customHeight="1">
      <c r="A2511" s="204" t="str">
        <f>IF(B2511&lt;&gt;"",IF(AND(B2511&gt;=_TM1,B2511&lt;=_TM2,OR(TH!L2511="1111",TH!M2511="1111")),TH!D2511,""),"")</f>
        <v/>
      </c>
      <c r="B2511" s="701">
        <f t="shared" si="142"/>
        <v>4</v>
      </c>
      <c r="C2511" s="48">
        <f t="shared" si="145"/>
        <v>41023</v>
      </c>
      <c r="D2511" s="48" t="s">
        <v>1712</v>
      </c>
      <c r="E2511" s="852">
        <v>41023</v>
      </c>
      <c r="F2511" s="49" t="s">
        <v>952</v>
      </c>
      <c r="G2511" s="49" t="s">
        <v>950</v>
      </c>
      <c r="H2511" s="841" t="s">
        <v>1680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2" customFormat="1" ht="15.75" customHeight="1">
      <c r="A2512" s="204" t="str">
        <f>IF(B2512&lt;&gt;"",IF(AND(B2512&gt;=_TM1,B2512&lt;=_TM2,OR(TH!L2512="1111",TH!M2512="1111")),TH!D2512,""),"")</f>
        <v/>
      </c>
      <c r="B2512" s="701">
        <f t="shared" si="142"/>
        <v>4</v>
      </c>
      <c r="C2512" s="48">
        <f t="shared" si="145"/>
        <v>41023</v>
      </c>
      <c r="D2512" s="48" t="s">
        <v>1712</v>
      </c>
      <c r="E2512" s="852">
        <v>41023</v>
      </c>
      <c r="F2512" s="703" t="s">
        <v>1183</v>
      </c>
      <c r="G2512" s="49" t="s">
        <v>953</v>
      </c>
      <c r="H2512" s="841" t="s">
        <v>1680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2" customFormat="1" ht="15.75" customHeight="1">
      <c r="A2513" s="204" t="str">
        <f>IF(B2513&lt;&gt;"",IF(AND(B2513&gt;=_TM1,B2513&lt;=_TM2,OR(TH!L2513="1111",TH!M2513="1111")),TH!D2513,""),"")</f>
        <v/>
      </c>
      <c r="B2513" s="701">
        <f t="shared" si="142"/>
        <v>4</v>
      </c>
      <c r="C2513" s="48">
        <f t="shared" si="145"/>
        <v>41025</v>
      </c>
      <c r="D2513" s="48" t="s">
        <v>1712</v>
      </c>
      <c r="E2513" s="852">
        <v>41025</v>
      </c>
      <c r="F2513" s="49" t="s">
        <v>1044</v>
      </c>
      <c r="G2513" s="49" t="s">
        <v>954</v>
      </c>
      <c r="H2513" s="841" t="s">
        <v>1680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2" customFormat="1" ht="15.75" customHeight="1">
      <c r="A2514" s="204" t="str">
        <f>IF(B2514&lt;&gt;"",IF(AND(B2514&gt;=_TM1,B2514&lt;=_TM2,OR(TH!L2514="1111",TH!M2514="1111")),TH!D2514,""),"")</f>
        <v/>
      </c>
      <c r="B2514" s="701">
        <f t="shared" si="142"/>
        <v>4</v>
      </c>
      <c r="C2514" s="48">
        <f t="shared" si="145"/>
        <v>41025</v>
      </c>
      <c r="D2514" s="48" t="s">
        <v>1712</v>
      </c>
      <c r="E2514" s="852">
        <v>41025</v>
      </c>
      <c r="F2514" s="49" t="s">
        <v>1045</v>
      </c>
      <c r="G2514" s="49" t="s">
        <v>954</v>
      </c>
      <c r="H2514" s="841" t="s">
        <v>1680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2" customFormat="1" ht="15.75" customHeight="1">
      <c r="A2515" s="204" t="str">
        <f>IF(B2515&lt;&gt;"",IF(AND(B2515&gt;=_TM1,B2515&lt;=_TM2,OR(TH!L2515="1111",TH!M2515="1111")),TH!D2515,""),"")</f>
        <v/>
      </c>
      <c r="B2515" s="701">
        <f t="shared" si="142"/>
        <v>4</v>
      </c>
      <c r="C2515" s="48">
        <f t="shared" si="145"/>
        <v>41025</v>
      </c>
      <c r="D2515" s="48" t="s">
        <v>1712</v>
      </c>
      <c r="E2515" s="852">
        <v>41025</v>
      </c>
      <c r="F2515" s="49" t="s">
        <v>1453</v>
      </c>
      <c r="G2515" s="49" t="s">
        <v>1541</v>
      </c>
      <c r="H2515" s="841" t="s">
        <v>1680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2" customFormat="1" ht="15.75" customHeight="1">
      <c r="A2516" s="204" t="str">
        <f>IF(B2516&lt;&gt;"",IF(AND(B2516&gt;=_TM1,B2516&lt;=_TM2,OR(TH!L2516="1111",TH!M2516="1111")),TH!D2516,""),"")</f>
        <v/>
      </c>
      <c r="B2516" s="701">
        <f t="shared" si="142"/>
        <v>4</v>
      </c>
      <c r="C2516" s="48">
        <f t="shared" si="145"/>
        <v>41025</v>
      </c>
      <c r="D2516" s="48" t="s">
        <v>1712</v>
      </c>
      <c r="E2516" s="852">
        <v>41025</v>
      </c>
      <c r="F2516" s="49" t="s">
        <v>1454</v>
      </c>
      <c r="G2516" s="49" t="s">
        <v>1541</v>
      </c>
      <c r="H2516" s="841" t="s">
        <v>1680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2" customFormat="1" ht="15.75" customHeight="1">
      <c r="A2517" s="204" t="str">
        <f>IF(B2517&lt;&gt;"",IF(AND(B2517&gt;=_TM1,B2517&lt;=_TM2,OR(TH!L2517="1111",TH!M2517="1111")),TH!D2517,""),"")</f>
        <v/>
      </c>
      <c r="B2517" s="701">
        <f t="shared" si="142"/>
        <v>4</v>
      </c>
      <c r="C2517" s="48">
        <f t="shared" si="145"/>
        <v>41025</v>
      </c>
      <c r="D2517" s="48" t="s">
        <v>1712</v>
      </c>
      <c r="E2517" s="852">
        <v>41025</v>
      </c>
      <c r="F2517" s="49" t="s">
        <v>1455</v>
      </c>
      <c r="G2517" s="49" t="s">
        <v>1541</v>
      </c>
      <c r="H2517" s="841" t="s">
        <v>1680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2" customFormat="1" ht="15.75" customHeight="1">
      <c r="A2518" s="204" t="str">
        <f>IF(B2518&lt;&gt;"",IF(AND(B2518&gt;=_TM1,B2518&lt;=_TM2,OR(TH!L2518="1111",TH!M2518="1111")),TH!D2518,""),"")</f>
        <v/>
      </c>
      <c r="B2518" s="701">
        <f t="shared" si="142"/>
        <v>4</v>
      </c>
      <c r="C2518" s="48">
        <f t="shared" si="145"/>
        <v>41025</v>
      </c>
      <c r="D2518" s="48" t="s">
        <v>1712</v>
      </c>
      <c r="E2518" s="852">
        <v>41025</v>
      </c>
      <c r="F2518" s="49" t="s">
        <v>1456</v>
      </c>
      <c r="G2518" s="49" t="s">
        <v>1541</v>
      </c>
      <c r="H2518" s="841" t="s">
        <v>1680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782" customFormat="1" ht="15.75" customHeight="1">
      <c r="A2519" s="204" t="str">
        <f>IF(B2519&lt;&gt;"",IF(AND(B2519&gt;=_TM1,B2519&lt;=_TM2,OR(TH!L2519="1111",TH!M2519="1111")),TH!D2519,""),"")</f>
        <v/>
      </c>
      <c r="B2519" s="701">
        <f t="shared" si="142"/>
        <v>4</v>
      </c>
      <c r="C2519" s="48">
        <f t="shared" si="145"/>
        <v>41025</v>
      </c>
      <c r="D2519" s="48" t="s">
        <v>1712</v>
      </c>
      <c r="E2519" s="852">
        <v>41025</v>
      </c>
      <c r="F2519" s="49" t="s">
        <v>1457</v>
      </c>
      <c r="G2519" s="49" t="s">
        <v>1541</v>
      </c>
      <c r="H2519" s="841" t="s">
        <v>1680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782" customFormat="1" ht="15.75" customHeight="1">
      <c r="A2520" s="204" t="str">
        <f>IF(B2520&lt;&gt;"",IF(AND(B2520&gt;=_TM1,B2520&lt;=_TM2,OR(TH!L2520="1111",TH!M2520="1111")),TH!D2520,""),"")</f>
        <v/>
      </c>
      <c r="B2520" s="701">
        <f t="shared" si="142"/>
        <v>4</v>
      </c>
      <c r="C2520" s="48">
        <f t="shared" si="145"/>
        <v>41025</v>
      </c>
      <c r="D2520" s="48" t="s">
        <v>1712</v>
      </c>
      <c r="E2520" s="852">
        <v>41025</v>
      </c>
      <c r="F2520" s="49" t="s">
        <v>1458</v>
      </c>
      <c r="G2520" s="49" t="s">
        <v>1541</v>
      </c>
      <c r="H2520" s="841" t="s">
        <v>1680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782" customFormat="1" ht="15.75" customHeight="1">
      <c r="A2521" s="204" t="str">
        <f>IF(B2521&lt;&gt;"",IF(AND(B2521&gt;=_TM1,B2521&lt;=_TM2,OR(TH!L2521="1111",TH!M2521="1111")),TH!D2521,""),"")</f>
        <v/>
      </c>
      <c r="B2521" s="701">
        <f t="shared" si="142"/>
        <v>4</v>
      </c>
      <c r="C2521" s="48">
        <f t="shared" si="145"/>
        <v>41025</v>
      </c>
      <c r="D2521" s="48" t="s">
        <v>1712</v>
      </c>
      <c r="E2521" s="852">
        <v>41025</v>
      </c>
      <c r="F2521" s="49" t="s">
        <v>1086</v>
      </c>
      <c r="G2521" s="49" t="s">
        <v>1541</v>
      </c>
      <c r="H2521" s="841" t="s">
        <v>1680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782" customFormat="1" ht="15.75" customHeight="1">
      <c r="A2522" s="204" t="str">
        <f>IF(B2522&lt;&gt;"",IF(AND(B2522&gt;=_TM1,B2522&lt;=_TM2,OR(TH!L2522="1111",TH!M2522="1111")),TH!D2522,""),"")</f>
        <v/>
      </c>
      <c r="B2522" s="701">
        <f t="shared" si="142"/>
        <v>4</v>
      </c>
      <c r="C2522" s="48">
        <f t="shared" si="145"/>
        <v>41025</v>
      </c>
      <c r="D2522" s="48" t="s">
        <v>1712</v>
      </c>
      <c r="E2522" s="852">
        <v>41025</v>
      </c>
      <c r="F2522" s="49" t="s">
        <v>1459</v>
      </c>
      <c r="G2522" s="49" t="s">
        <v>1541</v>
      </c>
      <c r="H2522" s="841" t="s">
        <v>1680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782" customFormat="1" ht="15.75" customHeight="1">
      <c r="A2523" s="204" t="str">
        <f>IF(B2523&lt;&gt;"",IF(AND(B2523&gt;=_TM1,B2523&lt;=_TM2,OR(TH!L2523="1111",TH!M2523="1111")),TH!D2523,""),"")</f>
        <v/>
      </c>
      <c r="B2523" s="701">
        <f t="shared" si="142"/>
        <v>4</v>
      </c>
      <c r="C2523" s="48">
        <f t="shared" si="145"/>
        <v>41025</v>
      </c>
      <c r="D2523" s="48" t="s">
        <v>1712</v>
      </c>
      <c r="E2523" s="852">
        <v>41025</v>
      </c>
      <c r="F2523" s="49" t="s">
        <v>1460</v>
      </c>
      <c r="G2523" s="49" t="s">
        <v>1541</v>
      </c>
      <c r="H2523" s="841" t="s">
        <v>1680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782" customFormat="1" ht="15.75" customHeight="1">
      <c r="A2524" s="204" t="str">
        <f>IF(B2524&lt;&gt;"",IF(AND(B2524&gt;=_TM1,B2524&lt;=_TM2,OR(TH!L2524="1111",TH!M2524="1111")),TH!D2524,""),"")</f>
        <v/>
      </c>
      <c r="B2524" s="701">
        <f t="shared" si="142"/>
        <v>4</v>
      </c>
      <c r="C2524" s="48">
        <f t="shared" si="145"/>
        <v>41025</v>
      </c>
      <c r="D2524" s="48" t="s">
        <v>1712</v>
      </c>
      <c r="E2524" s="852">
        <v>41025</v>
      </c>
      <c r="F2524" s="49" t="s">
        <v>1087</v>
      </c>
      <c r="G2524" s="49" t="s">
        <v>1541</v>
      </c>
      <c r="H2524" s="841" t="s">
        <v>1680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782" customFormat="1" ht="15.75" customHeight="1">
      <c r="A2525" s="204" t="str">
        <f>IF(B2525&lt;&gt;"",IF(AND(B2525&gt;=_TM1,B2525&lt;=_TM2,OR(TH!L2525="1111",TH!M2525="1111")),TH!D2525,""),"")</f>
        <v/>
      </c>
      <c r="B2525" s="701">
        <f t="shared" si="142"/>
        <v>4</v>
      </c>
      <c r="C2525" s="48">
        <f t="shared" si="145"/>
        <v>41025</v>
      </c>
      <c r="D2525" s="48" t="s">
        <v>1712</v>
      </c>
      <c r="E2525" s="852">
        <v>41025</v>
      </c>
      <c r="F2525" s="49" t="s">
        <v>1510</v>
      </c>
      <c r="G2525" s="49" t="s">
        <v>985</v>
      </c>
      <c r="H2525" s="841" t="s">
        <v>1680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782" customFormat="1" ht="15.75" customHeight="1">
      <c r="A2526" s="204" t="str">
        <f>IF(B2526&lt;&gt;"",IF(AND(B2526&gt;=_TM1,B2526&lt;=_TM2,OR(TH!L2526="1111",TH!M2526="1111")),TH!D2526,""),"")</f>
        <v/>
      </c>
      <c r="B2526" s="701">
        <f t="shared" si="142"/>
        <v>4</v>
      </c>
      <c r="C2526" s="48">
        <f t="shared" si="145"/>
        <v>41025</v>
      </c>
      <c r="D2526" s="48" t="s">
        <v>1712</v>
      </c>
      <c r="E2526" s="852">
        <v>41025</v>
      </c>
      <c r="F2526" s="49" t="s">
        <v>1471</v>
      </c>
      <c r="G2526" s="49" t="s">
        <v>985</v>
      </c>
      <c r="H2526" s="841" t="s">
        <v>1680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782" customFormat="1" ht="15.75" customHeight="1">
      <c r="A2527" s="204" t="str">
        <f>IF(B2527&lt;&gt;"",IF(AND(B2527&gt;=_TM1,B2527&lt;=_TM2,OR(TH!L2527="1111",TH!M2527="1111")),TH!D2527,""),"")</f>
        <v/>
      </c>
      <c r="B2527" s="701">
        <f t="shared" si="142"/>
        <v>4</v>
      </c>
      <c r="C2527" s="48">
        <f t="shared" si="145"/>
        <v>41025</v>
      </c>
      <c r="D2527" s="48" t="s">
        <v>1712</v>
      </c>
      <c r="E2527" s="852">
        <v>41025</v>
      </c>
      <c r="F2527" s="49" t="s">
        <v>1485</v>
      </c>
      <c r="G2527" s="49" t="s">
        <v>985</v>
      </c>
      <c r="H2527" s="841" t="s">
        <v>1680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782" customFormat="1" ht="15.75" customHeight="1">
      <c r="A2528" s="204" t="str">
        <f>IF(B2528&lt;&gt;"",IF(AND(B2528&gt;=_TM1,B2528&lt;=_TM2,OR(TH!L2528="1111",TH!M2528="1111")),TH!D2528,""),"")</f>
        <v/>
      </c>
      <c r="B2528" s="701">
        <f t="shared" si="142"/>
        <v>4</v>
      </c>
      <c r="C2528" s="48">
        <f t="shared" si="145"/>
        <v>41025</v>
      </c>
      <c r="D2528" s="48" t="s">
        <v>1712</v>
      </c>
      <c r="E2528" s="852">
        <v>41025</v>
      </c>
      <c r="F2528" s="49" t="s">
        <v>1501</v>
      </c>
      <c r="G2528" s="49" t="s">
        <v>985</v>
      </c>
      <c r="H2528" s="841" t="s">
        <v>1680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782" customFormat="1" ht="15.75" customHeight="1">
      <c r="A2529" s="204" t="str">
        <f>IF(B2529&lt;&gt;"",IF(AND(B2529&gt;=_TM1,B2529&lt;=_TM2,OR(TH!L2529="1111",TH!M2529="1111")),TH!D2529,""),"")</f>
        <v/>
      </c>
      <c r="B2529" s="701">
        <f t="shared" si="142"/>
        <v>4</v>
      </c>
      <c r="C2529" s="48">
        <f t="shared" si="145"/>
        <v>41025</v>
      </c>
      <c r="D2529" s="48" t="s">
        <v>1712</v>
      </c>
      <c r="E2529" s="852">
        <v>41025</v>
      </c>
      <c r="F2529" s="49" t="s">
        <v>1513</v>
      </c>
      <c r="G2529" s="49" t="s">
        <v>985</v>
      </c>
      <c r="H2529" s="841" t="s">
        <v>1680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782" customFormat="1" ht="15.75" customHeight="1">
      <c r="A2530" s="204" t="str">
        <f>IF(B2530&lt;&gt;"",IF(AND(B2530&gt;=_TM1,B2530&lt;=_TM2,OR(TH!L2530="1111",TH!M2530="1111")),TH!D2530,""),"")</f>
        <v/>
      </c>
      <c r="B2530" s="701">
        <f t="shared" si="142"/>
        <v>4</v>
      </c>
      <c r="C2530" s="48">
        <f t="shared" si="145"/>
        <v>41025</v>
      </c>
      <c r="D2530" s="48" t="s">
        <v>1712</v>
      </c>
      <c r="E2530" s="852">
        <v>41025</v>
      </c>
      <c r="F2530" s="49" t="s">
        <v>1488</v>
      </c>
      <c r="G2530" s="49" t="s">
        <v>985</v>
      </c>
      <c r="H2530" s="841" t="s">
        <v>1680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782" customFormat="1" ht="15.75" customHeight="1">
      <c r="A2531" s="204" t="str">
        <f>IF(B2531&lt;&gt;"",IF(AND(B2531&gt;=_TM1,B2531&lt;=_TM2,OR(TH!L2531="1111",TH!M2531="1111")),TH!D2531,""),"")</f>
        <v/>
      </c>
      <c r="B2531" s="701">
        <f t="shared" si="142"/>
        <v>4</v>
      </c>
      <c r="C2531" s="48">
        <f t="shared" si="145"/>
        <v>41025</v>
      </c>
      <c r="D2531" s="48" t="s">
        <v>1712</v>
      </c>
      <c r="E2531" s="852">
        <v>41025</v>
      </c>
      <c r="F2531" s="49" t="s">
        <v>1507</v>
      </c>
      <c r="G2531" s="49" t="s">
        <v>985</v>
      </c>
      <c r="H2531" s="841" t="s">
        <v>1680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782" customFormat="1" ht="15.75" customHeight="1">
      <c r="A2532" s="204" t="str">
        <f>IF(B2532&lt;&gt;"",IF(AND(B2532&gt;=_TM1,B2532&lt;=_TM2,OR(TH!L2532="1111",TH!M2532="1111")),TH!D2532,""),"")</f>
        <v/>
      </c>
      <c r="B2532" s="701">
        <f t="shared" si="142"/>
        <v>4</v>
      </c>
      <c r="C2532" s="48">
        <f t="shared" si="145"/>
        <v>41025</v>
      </c>
      <c r="D2532" s="48" t="s">
        <v>1712</v>
      </c>
      <c r="E2532" s="852">
        <v>41025</v>
      </c>
      <c r="F2532" s="49" t="s">
        <v>1491</v>
      </c>
      <c r="G2532" s="49" t="s">
        <v>985</v>
      </c>
      <c r="H2532" s="841" t="s">
        <v>1680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782" customFormat="1" ht="15.75" customHeight="1">
      <c r="A2533" s="204" t="str">
        <f>IF(B2533&lt;&gt;"",IF(AND(B2533&gt;=_TM1,B2533&lt;=_TM2,OR(TH!L2533="1111",TH!M2533="1111")),TH!D2533,""),"")</f>
        <v/>
      </c>
      <c r="B2533" s="701">
        <f t="shared" si="142"/>
        <v>4</v>
      </c>
      <c r="C2533" s="48">
        <f t="shared" si="145"/>
        <v>41025</v>
      </c>
      <c r="D2533" s="48" t="s">
        <v>1712</v>
      </c>
      <c r="E2533" s="852">
        <v>41025</v>
      </c>
      <c r="F2533" s="49" t="s">
        <v>1498</v>
      </c>
      <c r="G2533" s="49" t="s">
        <v>985</v>
      </c>
      <c r="H2533" s="841" t="s">
        <v>1680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782" customFormat="1" ht="15.75" customHeight="1">
      <c r="A2534" s="204" t="str">
        <f>IF(B2534&lt;&gt;"",IF(AND(B2534&gt;=_TM1,B2534&lt;=_TM2,OR(TH!L2534="1111",TH!M2534="1111")),TH!D2534,""),"")</f>
        <v/>
      </c>
      <c r="B2534" s="701">
        <f t="shared" si="142"/>
        <v>4</v>
      </c>
      <c r="C2534" s="48">
        <f t="shared" si="145"/>
        <v>41025</v>
      </c>
      <c r="D2534" s="48" t="s">
        <v>1712</v>
      </c>
      <c r="E2534" s="852">
        <v>41025</v>
      </c>
      <c r="F2534" s="49" t="s">
        <v>1499</v>
      </c>
      <c r="G2534" s="49" t="s">
        <v>985</v>
      </c>
      <c r="H2534" s="841" t="s">
        <v>1680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782" customFormat="1" ht="15.75" customHeight="1">
      <c r="A2535" s="204" t="str">
        <f>IF(B2535&lt;&gt;"",IF(AND(B2535&gt;=_TM1,B2535&lt;=_TM2,OR(TH!L2535="1111",TH!M2535="1111")),TH!D2535,""),"")</f>
        <v/>
      </c>
      <c r="B2535" s="701">
        <f t="shared" si="142"/>
        <v>4</v>
      </c>
      <c r="C2535" s="48">
        <f t="shared" si="145"/>
        <v>41028</v>
      </c>
      <c r="D2535" s="48" t="s">
        <v>1712</v>
      </c>
      <c r="E2535" s="852">
        <v>41028</v>
      </c>
      <c r="F2535" s="49" t="s">
        <v>1521</v>
      </c>
      <c r="G2535" s="49" t="s">
        <v>1543</v>
      </c>
      <c r="H2535" s="841" t="s">
        <v>1680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782" customFormat="1" ht="15.75" customHeight="1">
      <c r="A2536" s="204" t="str">
        <f>IF(B2536&lt;&gt;"",IF(AND(B2536&gt;=_TM1,B2536&lt;=_TM2,OR(TH!L2536="1111",TH!M2536="1111")),TH!D2536,""),"")</f>
        <v/>
      </c>
      <c r="B2536" s="701">
        <f t="shared" si="142"/>
        <v>4</v>
      </c>
      <c r="C2536" s="48">
        <f t="shared" si="145"/>
        <v>41028</v>
      </c>
      <c r="D2536" s="48" t="s">
        <v>1712</v>
      </c>
      <c r="E2536" s="852">
        <v>41028</v>
      </c>
      <c r="F2536" s="49" t="s">
        <v>1490</v>
      </c>
      <c r="G2536" s="49" t="s">
        <v>1543</v>
      </c>
      <c r="H2536" s="841" t="s">
        <v>1680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782" customFormat="1" ht="15.75" customHeight="1">
      <c r="A2537" s="204" t="str">
        <f>IF(B2537&lt;&gt;"",IF(AND(B2537&gt;=_TM1,B2537&lt;=_TM2,OR(TH!L2537="1111",TH!M2537="1111")),TH!D2537,""),"")</f>
        <v/>
      </c>
      <c r="B2537" s="701">
        <f t="shared" ref="B2537:B2557" si="146">IF(C2537&lt;&gt;"",MONTH(C2537),"")</f>
        <v>4</v>
      </c>
      <c r="C2537" s="48">
        <f t="shared" si="145"/>
        <v>41028</v>
      </c>
      <c r="D2537" s="48" t="s">
        <v>1712</v>
      </c>
      <c r="E2537" s="852">
        <v>41028</v>
      </c>
      <c r="F2537" s="49" t="s">
        <v>1515</v>
      </c>
      <c r="G2537" s="49" t="s">
        <v>1543</v>
      </c>
      <c r="H2537" s="841" t="s">
        <v>1680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782" customFormat="1" ht="15.75" customHeight="1">
      <c r="A2538" s="204" t="str">
        <f>IF(B2538&lt;&gt;"",IF(AND(B2538&gt;=_TM1,B2538&lt;=_TM2,OR(TH!L2538="1111",TH!M2538="1111")),TH!D2538,""),"")</f>
        <v/>
      </c>
      <c r="B2538" s="701">
        <f t="shared" si="146"/>
        <v>4</v>
      </c>
      <c r="C2538" s="48">
        <f t="shared" si="145"/>
        <v>41028</v>
      </c>
      <c r="D2538" s="48" t="s">
        <v>1712</v>
      </c>
      <c r="E2538" s="852">
        <v>41028</v>
      </c>
      <c r="F2538" s="49" t="s">
        <v>1490</v>
      </c>
      <c r="G2538" s="49" t="s">
        <v>1543</v>
      </c>
      <c r="H2538" s="841" t="s">
        <v>1680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782" customFormat="1" ht="15.75" customHeight="1">
      <c r="A2539" s="204" t="str">
        <f>IF(B2539&lt;&gt;"",IF(AND(B2539&gt;=_TM1,B2539&lt;=_TM2,OR(TH!L2539="1111",TH!M2539="1111")),TH!D2539,""),"")</f>
        <v/>
      </c>
      <c r="B2539" s="701">
        <f t="shared" si="146"/>
        <v>4</v>
      </c>
      <c r="C2539" s="48">
        <f t="shared" si="145"/>
        <v>41028</v>
      </c>
      <c r="D2539" s="48" t="s">
        <v>1712</v>
      </c>
      <c r="E2539" s="852">
        <v>41028</v>
      </c>
      <c r="F2539" s="49" t="s">
        <v>1517</v>
      </c>
      <c r="G2539" s="49" t="s">
        <v>1543</v>
      </c>
      <c r="H2539" s="841" t="s">
        <v>1680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782" customFormat="1" ht="15.75" customHeight="1">
      <c r="A2540" s="204" t="str">
        <f>IF(B2540&lt;&gt;"",IF(AND(B2540&gt;=_TM1,B2540&lt;=_TM2,OR(TH!L2540="1111",TH!M2540="1111")),TH!D2540,""),"")</f>
        <v/>
      </c>
      <c r="B2540" s="701">
        <f t="shared" si="146"/>
        <v>4</v>
      </c>
      <c r="C2540" s="48">
        <f t="shared" si="145"/>
        <v>41028</v>
      </c>
      <c r="D2540" s="48" t="s">
        <v>1712</v>
      </c>
      <c r="E2540" s="852">
        <v>41028</v>
      </c>
      <c r="F2540" s="49" t="s">
        <v>1518</v>
      </c>
      <c r="G2540" s="49" t="s">
        <v>1543</v>
      </c>
      <c r="H2540" s="841" t="s">
        <v>1680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782" customFormat="1" ht="15.75" customHeight="1">
      <c r="A2541" s="204" t="str">
        <f>IF(B2541&lt;&gt;"",IF(AND(B2541&gt;=_TM1,B2541&lt;=_TM2,OR(TH!L2541="1111",TH!M2541="1111")),TH!D2541,""),"")</f>
        <v/>
      </c>
      <c r="B2541" s="701">
        <f t="shared" si="146"/>
        <v>4</v>
      </c>
      <c r="C2541" s="48">
        <f t="shared" si="145"/>
        <v>41028</v>
      </c>
      <c r="D2541" s="48" t="s">
        <v>1712</v>
      </c>
      <c r="E2541" s="852">
        <v>41028</v>
      </c>
      <c r="F2541" s="49" t="s">
        <v>1519</v>
      </c>
      <c r="G2541" s="49" t="s">
        <v>1543</v>
      </c>
      <c r="H2541" s="841" t="s">
        <v>1680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782" customFormat="1" ht="15.75" customHeight="1">
      <c r="A2542" s="204" t="str">
        <f>IF(B2542&lt;&gt;"",IF(AND(B2542&gt;=_TM1,B2542&lt;=_TM2,OR(TH!L2542="1111",TH!M2542="1111")),TH!D2542,""),"")</f>
        <v/>
      </c>
      <c r="B2542" s="701">
        <f t="shared" si="146"/>
        <v>4</v>
      </c>
      <c r="C2542" s="48">
        <f t="shared" si="145"/>
        <v>41028</v>
      </c>
      <c r="D2542" s="48" t="s">
        <v>1712</v>
      </c>
      <c r="E2542" s="852">
        <v>41028</v>
      </c>
      <c r="F2542" s="49" t="s">
        <v>1520</v>
      </c>
      <c r="G2542" s="49" t="s">
        <v>1543</v>
      </c>
      <c r="H2542" s="841" t="s">
        <v>1680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782" customFormat="1" ht="15.75" customHeight="1">
      <c r="A2543" s="204" t="str">
        <f>IF(B2543&lt;&gt;"",IF(AND(B2543&gt;=_TM1,B2543&lt;=_TM2,OR(TH!L2543="1111",TH!M2543="1111")),TH!D2543,""),"")</f>
        <v/>
      </c>
      <c r="B2543" s="701">
        <f t="shared" si="146"/>
        <v>4</v>
      </c>
      <c r="C2543" s="48">
        <f t="shared" si="145"/>
        <v>41028</v>
      </c>
      <c r="D2543" s="48" t="s">
        <v>1712</v>
      </c>
      <c r="E2543" s="852">
        <v>41028</v>
      </c>
      <c r="F2543" s="49" t="s">
        <v>1517</v>
      </c>
      <c r="G2543" s="49" t="s">
        <v>1543</v>
      </c>
      <c r="H2543" s="841" t="s">
        <v>1680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782" customFormat="1" ht="15.75" customHeight="1">
      <c r="A2544" s="204" t="str">
        <f>IF(B2544&lt;&gt;"",IF(AND(B2544&gt;=_TM1,B2544&lt;=_TM2,OR(TH!L2544="1111",TH!M2544="1111")),TH!D2544,""),"")</f>
        <v/>
      </c>
      <c r="B2544" s="701">
        <f t="shared" si="146"/>
        <v>4</v>
      </c>
      <c r="C2544" s="48">
        <f t="shared" si="145"/>
        <v>41028</v>
      </c>
      <c r="D2544" s="48" t="s">
        <v>1712</v>
      </c>
      <c r="E2544" s="852">
        <v>41028</v>
      </c>
      <c r="F2544" s="49" t="s">
        <v>1518</v>
      </c>
      <c r="G2544" s="49" t="s">
        <v>1543</v>
      </c>
      <c r="H2544" s="841" t="s">
        <v>1680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782" customFormat="1" ht="15.75" customHeight="1">
      <c r="A2545" s="204" t="str">
        <f>IF(B2545&lt;&gt;"",IF(AND(B2545&gt;=_TM1,B2545&lt;=_TM2,OR(TH!L2545="1111",TH!M2545="1111")),TH!D2545,""),"")</f>
        <v/>
      </c>
      <c r="B2545" s="701">
        <f t="shared" si="146"/>
        <v>4</v>
      </c>
      <c r="C2545" s="48">
        <f t="shared" si="145"/>
        <v>41028</v>
      </c>
      <c r="D2545" s="48" t="s">
        <v>1712</v>
      </c>
      <c r="E2545" s="852">
        <v>41028</v>
      </c>
      <c r="F2545" s="49" t="s">
        <v>1519</v>
      </c>
      <c r="G2545" s="49" t="s">
        <v>1543</v>
      </c>
      <c r="H2545" s="841" t="s">
        <v>1680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782" customFormat="1" ht="15.75" customHeight="1">
      <c r="A2546" s="204" t="str">
        <f>IF(B2546&lt;&gt;"",IF(AND(B2546&gt;=_TM1,B2546&lt;=_TM2,OR(TH!L2546="1111",TH!M2546="1111")),TH!D2546,""),"")</f>
        <v/>
      </c>
      <c r="B2546" s="701">
        <f t="shared" si="146"/>
        <v>5</v>
      </c>
      <c r="C2546" s="48">
        <f t="shared" si="145"/>
        <v>41031</v>
      </c>
      <c r="D2546" s="48" t="s">
        <v>1712</v>
      </c>
      <c r="E2546" s="852">
        <v>41031</v>
      </c>
      <c r="F2546" s="49" t="s">
        <v>1182</v>
      </c>
      <c r="G2546" s="49" t="s">
        <v>955</v>
      </c>
      <c r="H2546" s="841" t="s">
        <v>1680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782" customFormat="1" ht="15.75" customHeight="1">
      <c r="A2547" s="204" t="str">
        <f>IF(B2547&lt;&gt;"",IF(AND(B2547&gt;=_TM1,B2547&lt;=_TM2,OR(TH!L2547="1111",TH!M2547="1111")),TH!D2547,""),"")</f>
        <v/>
      </c>
      <c r="B2547" s="701">
        <f t="shared" si="146"/>
        <v>5</v>
      </c>
      <c r="C2547" s="48">
        <f t="shared" si="145"/>
        <v>41031</v>
      </c>
      <c r="D2547" s="48" t="s">
        <v>1712</v>
      </c>
      <c r="E2547" s="852">
        <v>41031</v>
      </c>
      <c r="F2547" s="49" t="s">
        <v>1207</v>
      </c>
      <c r="G2547" s="49" t="s">
        <v>955</v>
      </c>
      <c r="H2547" s="841" t="s">
        <v>1680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782" customFormat="1" ht="15.75" customHeight="1">
      <c r="A2548" s="204" t="str">
        <f>IF(B2548&lt;&gt;"",IF(AND(B2548&gt;=_TM1,B2548&lt;=_TM2,OR(TH!L2548="1111",TH!M2548="1111")),TH!D2548,""),"")</f>
        <v/>
      </c>
      <c r="B2548" s="701">
        <f t="shared" si="146"/>
        <v>5</v>
      </c>
      <c r="C2548" s="48">
        <f t="shared" si="145"/>
        <v>41032</v>
      </c>
      <c r="D2548" s="48" t="s">
        <v>1712</v>
      </c>
      <c r="E2548" s="852">
        <v>41032</v>
      </c>
      <c r="F2548" s="49" t="s">
        <v>1181</v>
      </c>
      <c r="G2548" s="49" t="s">
        <v>957</v>
      </c>
      <c r="H2548" s="841" t="s">
        <v>1680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782" customFormat="1" ht="15.75" customHeight="1">
      <c r="A2549" s="204" t="str">
        <f>IF(B2549&lt;&gt;"",IF(AND(B2549&gt;=_TM1,B2549&lt;=_TM2,OR(TH!L2549="1111",TH!M2549="1111")),TH!D2549,""),"")</f>
        <v/>
      </c>
      <c r="B2549" s="701">
        <f t="shared" si="146"/>
        <v>5</v>
      </c>
      <c r="C2549" s="48">
        <f t="shared" si="145"/>
        <v>41033</v>
      </c>
      <c r="D2549" s="48" t="s">
        <v>1712</v>
      </c>
      <c r="E2549" s="852">
        <v>41033</v>
      </c>
      <c r="F2549" s="49" t="s">
        <v>1124</v>
      </c>
      <c r="G2549" s="49" t="s">
        <v>958</v>
      </c>
      <c r="H2549" s="841" t="s">
        <v>1680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782" customFormat="1" ht="15.75" customHeight="1">
      <c r="A2550" s="204" t="str">
        <f>IF(B2550&lt;&gt;"",IF(AND(B2550&gt;=_TM1,B2550&lt;=_TM2,OR(TH!L2550="1111",TH!M2550="1111")),TH!D2550,""),"")</f>
        <v/>
      </c>
      <c r="B2550" s="701">
        <f t="shared" si="146"/>
        <v>5</v>
      </c>
      <c r="C2550" s="48">
        <f t="shared" si="145"/>
        <v>41033</v>
      </c>
      <c r="D2550" s="48" t="s">
        <v>1712</v>
      </c>
      <c r="E2550" s="852">
        <v>41033</v>
      </c>
      <c r="F2550" s="49" t="s">
        <v>1180</v>
      </c>
      <c r="G2550" s="49" t="s">
        <v>958</v>
      </c>
      <c r="H2550" s="841" t="s">
        <v>1680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782" customFormat="1" ht="15.75" customHeight="1">
      <c r="A2551" s="204" t="str">
        <f>IF(B2551&lt;&gt;"",IF(AND(B2551&gt;=_TM1,B2551&lt;=_TM2,OR(TH!L2551="1111",TH!M2551="1111")),TH!D2551,""),"")</f>
        <v/>
      </c>
      <c r="B2551" s="701">
        <f t="shared" si="146"/>
        <v>5</v>
      </c>
      <c r="C2551" s="48">
        <f t="shared" si="145"/>
        <v>41033</v>
      </c>
      <c r="D2551" s="48" t="s">
        <v>1712</v>
      </c>
      <c r="E2551" s="852">
        <v>41033</v>
      </c>
      <c r="F2551" s="49" t="s">
        <v>1112</v>
      </c>
      <c r="G2551" s="49" t="s">
        <v>959</v>
      </c>
      <c r="H2551" s="841" t="s">
        <v>1680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782" customFormat="1" ht="15.75" customHeight="1">
      <c r="A2552" s="204" t="str">
        <f>IF(B2552&lt;&gt;"",IF(AND(B2552&gt;=_TM1,B2552&lt;=_TM2,OR(TH!L2552="1111",TH!M2552="1111")),TH!D2552,""),"")</f>
        <v/>
      </c>
      <c r="B2552" s="701">
        <f t="shared" si="146"/>
        <v>5</v>
      </c>
      <c r="C2552" s="48">
        <f t="shared" si="145"/>
        <v>41033</v>
      </c>
      <c r="D2552" s="48" t="s">
        <v>1712</v>
      </c>
      <c r="E2552" s="852">
        <v>41033</v>
      </c>
      <c r="F2552" s="49" t="s">
        <v>1179</v>
      </c>
      <c r="G2552" s="49" t="s">
        <v>959</v>
      </c>
      <c r="H2552" s="841" t="s">
        <v>1680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782" customFormat="1" ht="15.75" customHeight="1">
      <c r="A2553" s="204" t="str">
        <f>IF(B2553&lt;&gt;"",IF(AND(B2553&gt;=_TM1,B2553&lt;=_TM2,OR(TH!L2553="1111",TH!M2553="1111")),TH!D2553,""),"")</f>
        <v/>
      </c>
      <c r="B2553" s="701">
        <f t="shared" si="146"/>
        <v>5</v>
      </c>
      <c r="C2553" s="48">
        <f t="shared" si="145"/>
        <v>41033</v>
      </c>
      <c r="D2553" s="48" t="s">
        <v>1712</v>
      </c>
      <c r="E2553" s="852">
        <v>41033</v>
      </c>
      <c r="F2553" s="49" t="s">
        <v>1178</v>
      </c>
      <c r="G2553" s="49" t="s">
        <v>959</v>
      </c>
      <c r="H2553" s="841" t="s">
        <v>1680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782" customFormat="1" ht="15.75" customHeight="1">
      <c r="A2554" s="204" t="str">
        <f>IF(B2554&lt;&gt;"",IF(AND(B2554&gt;=_TM1,B2554&lt;=_TM2,OR(TH!L2554="1111",TH!M2554="1111")),TH!D2554,""),"")</f>
        <v/>
      </c>
      <c r="B2554" s="701">
        <f t="shared" si="146"/>
        <v>5</v>
      </c>
      <c r="C2554" s="48">
        <f t="shared" si="145"/>
        <v>41033</v>
      </c>
      <c r="D2554" s="48" t="s">
        <v>1712</v>
      </c>
      <c r="E2554" s="852">
        <v>41033</v>
      </c>
      <c r="F2554" s="853" t="s">
        <v>1111</v>
      </c>
      <c r="G2554" s="49" t="s">
        <v>959</v>
      </c>
      <c r="H2554" s="841" t="s">
        <v>1680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782" customFormat="1" ht="15.75" customHeight="1">
      <c r="A2555" s="204" t="str">
        <f>IF(B2555&lt;&gt;"",IF(AND(B2555&gt;=_TM1,B2555&lt;=_TM2,OR(TH!L2555="1111",TH!M2555="1111")),TH!D2555,""),"")</f>
        <v/>
      </c>
      <c r="B2555" s="701">
        <f t="shared" si="146"/>
        <v>5</v>
      </c>
      <c r="C2555" s="48">
        <f t="shared" si="145"/>
        <v>41033</v>
      </c>
      <c r="D2555" s="48" t="s">
        <v>1712</v>
      </c>
      <c r="E2555" s="852">
        <v>41033</v>
      </c>
      <c r="F2555" s="49" t="s">
        <v>1106</v>
      </c>
      <c r="G2555" s="49" t="s">
        <v>959</v>
      </c>
      <c r="H2555" s="841" t="s">
        <v>1680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782" customFormat="1" ht="15.75" customHeight="1">
      <c r="A2556" s="204" t="str">
        <f>IF(B2556&lt;&gt;"",IF(AND(B2556&gt;=_TM1,B2556&lt;=_TM2,OR(TH!L2556="1111",TH!M2556="1111")),TH!D2556,""),"")</f>
        <v/>
      </c>
      <c r="B2556" s="701">
        <f t="shared" si="146"/>
        <v>5</v>
      </c>
      <c r="C2556" s="48">
        <f t="shared" si="145"/>
        <v>41036</v>
      </c>
      <c r="D2556" s="48" t="s">
        <v>1712</v>
      </c>
      <c r="E2556" s="852">
        <v>41036</v>
      </c>
      <c r="F2556" s="49" t="s">
        <v>1177</v>
      </c>
      <c r="G2556" s="49" t="s">
        <v>960</v>
      </c>
      <c r="H2556" s="841" t="s">
        <v>1680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782" customFormat="1" ht="15.75" customHeight="1">
      <c r="A2557" s="204" t="str">
        <f>IF(B2557&lt;&gt;"",IF(AND(B2557&gt;=_TM1,B2557&lt;=_TM2,OR(TH!L2557="1111",TH!M2557="1111")),TH!D2557,""),"")</f>
        <v/>
      </c>
      <c r="B2557" s="701">
        <f t="shared" si="146"/>
        <v>5</v>
      </c>
      <c r="C2557" s="48">
        <f t="shared" si="145"/>
        <v>41036</v>
      </c>
      <c r="D2557" s="48" t="s">
        <v>1712</v>
      </c>
      <c r="E2557" s="852">
        <v>41036</v>
      </c>
      <c r="F2557" s="49" t="s">
        <v>961</v>
      </c>
      <c r="G2557" s="49" t="s">
        <v>960</v>
      </c>
      <c r="H2557" s="841" t="s">
        <v>1680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782" customFormat="1" ht="15.75" customHeight="1">
      <c r="A2558" s="204" t="str">
        <f>IF(B2558&lt;&gt;"",IF(AND(B2558&gt;=_TM1,B2558&lt;=_TM2,OR(TH!L2558="1111",TH!M2558="1111")),TH!D2558,""),"")</f>
        <v/>
      </c>
      <c r="B2558" s="701">
        <f t="shared" ref="B2558:B2568" si="147">IF(C2558&lt;&gt;"",MONTH(C2558),"")</f>
        <v>5</v>
      </c>
      <c r="C2558" s="48">
        <f t="shared" si="145"/>
        <v>41036</v>
      </c>
      <c r="D2558" s="48" t="s">
        <v>1712</v>
      </c>
      <c r="E2558" s="852">
        <v>41036</v>
      </c>
      <c r="F2558" s="49" t="s">
        <v>962</v>
      </c>
      <c r="G2558" s="49" t="s">
        <v>960</v>
      </c>
      <c r="H2558" s="841" t="s">
        <v>1680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782" customFormat="1" ht="15.75" customHeight="1">
      <c r="A2559" s="204" t="str">
        <f>IF(B2559&lt;&gt;"",IF(AND(B2559&gt;=_TM1,B2559&lt;=_TM2,OR(TH!L2559="1111",TH!M2559="1111")),TH!D2559,""),"")</f>
        <v/>
      </c>
      <c r="B2559" s="701">
        <f t="shared" si="147"/>
        <v>5</v>
      </c>
      <c r="C2559" s="48">
        <f t="shared" si="145"/>
        <v>41037</v>
      </c>
      <c r="D2559" s="48" t="s">
        <v>1712</v>
      </c>
      <c r="E2559" s="852">
        <v>41037</v>
      </c>
      <c r="F2559" s="49" t="s">
        <v>1128</v>
      </c>
      <c r="G2559" s="49" t="s">
        <v>963</v>
      </c>
      <c r="H2559" s="841" t="s">
        <v>1680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782" customFormat="1" ht="15.75" customHeight="1">
      <c r="A2560" s="204" t="str">
        <f>IF(B2560&lt;&gt;"",IF(AND(B2560&gt;=_TM1,B2560&lt;=_TM2,OR(TH!L2560="1111",TH!M2560="1111")),TH!D2560,""),"")</f>
        <v/>
      </c>
      <c r="B2560" s="701">
        <f t="shared" si="147"/>
        <v>5</v>
      </c>
      <c r="C2560" s="48">
        <f t="shared" si="145"/>
        <v>41037</v>
      </c>
      <c r="D2560" s="48" t="s">
        <v>1712</v>
      </c>
      <c r="E2560" s="852">
        <v>41037</v>
      </c>
      <c r="F2560" s="49" t="s">
        <v>1545</v>
      </c>
      <c r="G2560" s="49" t="s">
        <v>1544</v>
      </c>
      <c r="H2560" s="841" t="s">
        <v>1680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782" customFormat="1" ht="15.75" customHeight="1">
      <c r="A2561" s="204" t="str">
        <f>IF(B2561&lt;&gt;"",IF(AND(B2561&gt;=_TM1,B2561&lt;=_TM2,OR(TH!L2561="1111",TH!M2561="1111")),TH!D2561,""),"")</f>
        <v/>
      </c>
      <c r="B2561" s="701">
        <f t="shared" si="147"/>
        <v>5</v>
      </c>
      <c r="C2561" s="48">
        <f t="shared" si="145"/>
        <v>41039</v>
      </c>
      <c r="D2561" s="48" t="s">
        <v>1712</v>
      </c>
      <c r="E2561" s="852">
        <v>41039</v>
      </c>
      <c r="F2561" s="49" t="s">
        <v>1176</v>
      </c>
      <c r="G2561" s="49" t="s">
        <v>965</v>
      </c>
      <c r="H2561" s="841" t="s">
        <v>1680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782" customFormat="1" ht="15.75" customHeight="1">
      <c r="A2562" s="204" t="str">
        <f>IF(B2562&lt;&gt;"",IF(AND(B2562&gt;=_TM1,B2562&lt;=_TM2,OR(TH!L2562="1111",TH!M2562="1111")),TH!D2562,""),"")</f>
        <v/>
      </c>
      <c r="B2562" s="701">
        <f t="shared" si="147"/>
        <v>5</v>
      </c>
      <c r="C2562" s="48">
        <f t="shared" si="145"/>
        <v>41041</v>
      </c>
      <c r="D2562" s="48" t="s">
        <v>1712</v>
      </c>
      <c r="E2562" s="852">
        <v>41041</v>
      </c>
      <c r="F2562" s="851" t="s">
        <v>1149</v>
      </c>
      <c r="G2562" s="49" t="s">
        <v>966</v>
      </c>
      <c r="H2562" s="841" t="s">
        <v>1680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782" customFormat="1" ht="15.75" customHeight="1">
      <c r="A2563" s="204" t="str">
        <f>IF(B2563&lt;&gt;"",IF(AND(B2563&gt;=_TM1,B2563&lt;=_TM2,OR(TH!L2563="1111",TH!M2563="1111")),TH!D2563,""),"")</f>
        <v/>
      </c>
      <c r="B2563" s="701">
        <f t="shared" si="147"/>
        <v>5</v>
      </c>
      <c r="C2563" s="48">
        <f t="shared" si="145"/>
        <v>41041</v>
      </c>
      <c r="D2563" s="48" t="s">
        <v>1712</v>
      </c>
      <c r="E2563" s="852">
        <v>41041</v>
      </c>
      <c r="F2563" s="49" t="s">
        <v>1111</v>
      </c>
      <c r="G2563" s="49" t="s">
        <v>968</v>
      </c>
      <c r="H2563" s="841" t="s">
        <v>1680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782" customFormat="1" ht="15.75" customHeight="1">
      <c r="A2564" s="204" t="str">
        <f>IF(B2564&lt;&gt;"",IF(AND(B2564&gt;=_TM1,B2564&lt;=_TM2,OR(TH!L2564="1111",TH!M2564="1111")),TH!D2564,""),"")</f>
        <v/>
      </c>
      <c r="B2564" s="701">
        <f t="shared" si="147"/>
        <v>5</v>
      </c>
      <c r="C2564" s="48">
        <f t="shared" si="145"/>
        <v>41041</v>
      </c>
      <c r="D2564" s="48" t="s">
        <v>1712</v>
      </c>
      <c r="E2564" s="852">
        <v>41041</v>
      </c>
      <c r="F2564" s="49" t="s">
        <v>1093</v>
      </c>
      <c r="G2564" s="49" t="s">
        <v>968</v>
      </c>
      <c r="H2564" s="841" t="s">
        <v>1680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782" customFormat="1" ht="15.75" customHeight="1">
      <c r="A2565" s="204" t="str">
        <f>IF(B2565&lt;&gt;"",IF(AND(B2565&gt;=_TM1,B2565&lt;=_TM2,OR(TH!L2565="1111",TH!M2565="1111")),TH!D2565,""),"")</f>
        <v/>
      </c>
      <c r="B2565" s="701">
        <f t="shared" si="147"/>
        <v>5</v>
      </c>
      <c r="C2565" s="48">
        <f t="shared" si="145"/>
        <v>41041</v>
      </c>
      <c r="D2565" s="48" t="s">
        <v>1712</v>
      </c>
      <c r="E2565" s="852">
        <v>41041</v>
      </c>
      <c r="F2565" s="49" t="s">
        <v>1108</v>
      </c>
      <c r="G2565" s="49" t="s">
        <v>968</v>
      </c>
      <c r="H2565" s="841" t="s">
        <v>1680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782" customFormat="1" ht="15.75" customHeight="1">
      <c r="A2566" s="204" t="str">
        <f>IF(B2566&lt;&gt;"",IF(AND(B2566&gt;=_TM1,B2566&lt;=_TM2,OR(TH!L2566="1111",TH!M2566="1111")),TH!D2566,""),"")</f>
        <v/>
      </c>
      <c r="B2566" s="701">
        <f t="shared" si="147"/>
        <v>5</v>
      </c>
      <c r="C2566" s="48">
        <f t="shared" si="145"/>
        <v>41041</v>
      </c>
      <c r="D2566" s="48" t="s">
        <v>1712</v>
      </c>
      <c r="E2566" s="852">
        <v>41041</v>
      </c>
      <c r="F2566" s="49" t="s">
        <v>1106</v>
      </c>
      <c r="G2566" s="49" t="s">
        <v>968</v>
      </c>
      <c r="H2566" s="841" t="s">
        <v>1680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782" customFormat="1" ht="15.75" customHeight="1">
      <c r="A2567" s="204" t="str">
        <f>IF(B2567&lt;&gt;"",IF(AND(B2567&gt;=_TM1,B2567&lt;=_TM2,OR(TH!L2567="1111",TH!M2567="1111")),TH!D2567,""),"")</f>
        <v/>
      </c>
      <c r="B2567" s="701">
        <f t="shared" si="147"/>
        <v>5</v>
      </c>
      <c r="C2567" s="48">
        <f t="shared" si="145"/>
        <v>41045</v>
      </c>
      <c r="D2567" s="48" t="s">
        <v>1712</v>
      </c>
      <c r="E2567" s="852">
        <v>41045</v>
      </c>
      <c r="F2567" s="49" t="s">
        <v>1175</v>
      </c>
      <c r="G2567" s="49" t="s">
        <v>969</v>
      </c>
      <c r="H2567" s="841" t="s">
        <v>1680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782" customFormat="1" ht="15.75" customHeight="1">
      <c r="A2568" s="204" t="str">
        <f>IF(B2568&lt;&gt;"",IF(AND(B2568&gt;=_TM1,B2568&lt;=_TM2,OR(TH!L2568="1111",TH!M2568="1111")),TH!D2568,""),"")</f>
        <v/>
      </c>
      <c r="B2568" s="701">
        <f t="shared" si="147"/>
        <v>5</v>
      </c>
      <c r="C2568" s="48">
        <f t="shared" si="145"/>
        <v>41045</v>
      </c>
      <c r="D2568" s="48" t="s">
        <v>1712</v>
      </c>
      <c r="E2568" s="852">
        <v>41045</v>
      </c>
      <c r="F2568" s="49" t="s">
        <v>1045</v>
      </c>
      <c r="G2568" s="49" t="s">
        <v>969</v>
      </c>
      <c r="H2568" s="841" t="s">
        <v>1680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1712</v>
      </c>
      <c r="E2569" s="852">
        <v>41045</v>
      </c>
      <c r="F2569" s="851" t="s">
        <v>1174</v>
      </c>
      <c r="G2569" s="804" t="s">
        <v>969</v>
      </c>
      <c r="H2569" s="841" t="s">
        <v>1680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1712</v>
      </c>
      <c r="E2570" s="852">
        <v>41047</v>
      </c>
      <c r="F2570" s="851" t="s">
        <v>1173</v>
      </c>
      <c r="G2570" s="804" t="s">
        <v>970</v>
      </c>
      <c r="H2570" s="841" t="s">
        <v>1680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1712</v>
      </c>
      <c r="E2571" s="852">
        <v>41047</v>
      </c>
      <c r="F2571" s="851" t="s">
        <v>1172</v>
      </c>
      <c r="G2571" s="804" t="s">
        <v>970</v>
      </c>
      <c r="H2571" s="841" t="s">
        <v>1680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1712</v>
      </c>
      <c r="E2572" s="852">
        <v>41047</v>
      </c>
      <c r="F2572" s="851" t="s">
        <v>1104</v>
      </c>
      <c r="G2572" s="804" t="s">
        <v>971</v>
      </c>
      <c r="H2572" s="841" t="s">
        <v>1680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1712</v>
      </c>
      <c r="E2573" s="852">
        <v>41047</v>
      </c>
      <c r="F2573" s="851" t="s">
        <v>1171</v>
      </c>
      <c r="G2573" s="804" t="s">
        <v>971</v>
      </c>
      <c r="H2573" s="841" t="s">
        <v>1680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1712</v>
      </c>
      <c r="E2574" s="852">
        <v>41047</v>
      </c>
      <c r="F2574" s="851" t="s">
        <v>1170</v>
      </c>
      <c r="G2574" s="804" t="s">
        <v>971</v>
      </c>
      <c r="H2574" s="841" t="s">
        <v>1680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1712</v>
      </c>
      <c r="E2575" s="852">
        <v>41047</v>
      </c>
      <c r="F2575" s="851" t="s">
        <v>1170</v>
      </c>
      <c r="G2575" s="804" t="s">
        <v>971</v>
      </c>
      <c r="H2575" s="841" t="s">
        <v>1680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1712</v>
      </c>
      <c r="E2576" s="852">
        <v>41051</v>
      </c>
      <c r="F2576" s="851" t="s">
        <v>1169</v>
      </c>
      <c r="G2576" s="804" t="s">
        <v>973</v>
      </c>
      <c r="H2576" s="841" t="s">
        <v>1680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1712</v>
      </c>
      <c r="E2577" s="852">
        <v>41051</v>
      </c>
      <c r="F2577" s="851" t="s">
        <v>1168</v>
      </c>
      <c r="G2577" s="804" t="s">
        <v>973</v>
      </c>
      <c r="H2577" s="841" t="s">
        <v>1680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1712</v>
      </c>
      <c r="E2578" s="852">
        <v>41051</v>
      </c>
      <c r="F2578" s="851" t="s">
        <v>1167</v>
      </c>
      <c r="G2578" s="804" t="s">
        <v>973</v>
      </c>
      <c r="H2578" s="841" t="s">
        <v>1680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1712</v>
      </c>
      <c r="E2579" s="852">
        <v>41051</v>
      </c>
      <c r="F2579" s="851" t="s">
        <v>1166</v>
      </c>
      <c r="G2579" s="804" t="s">
        <v>974</v>
      </c>
      <c r="H2579" s="841" t="s">
        <v>1680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1712</v>
      </c>
      <c r="E2580" s="852">
        <v>41051</v>
      </c>
      <c r="F2580" s="851" t="s">
        <v>1165</v>
      </c>
      <c r="G2580" s="804" t="s">
        <v>974</v>
      </c>
      <c r="H2580" s="841" t="s">
        <v>1680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1712</v>
      </c>
      <c r="E2581" s="852">
        <v>41051</v>
      </c>
      <c r="F2581" s="851" t="s">
        <v>1164</v>
      </c>
      <c r="G2581" s="804" t="s">
        <v>974</v>
      </c>
      <c r="H2581" s="841" t="s">
        <v>1680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1712</v>
      </c>
      <c r="E2582" s="852">
        <v>41053</v>
      </c>
      <c r="F2582" s="851" t="s">
        <v>1162</v>
      </c>
      <c r="G2582" s="804" t="s">
        <v>976</v>
      </c>
      <c r="H2582" s="841" t="s">
        <v>1680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1712</v>
      </c>
      <c r="E2583" s="852">
        <v>41053</v>
      </c>
      <c r="F2583" s="851" t="s">
        <v>1163</v>
      </c>
      <c r="G2583" s="804" t="s">
        <v>976</v>
      </c>
      <c r="H2583" s="841" t="s">
        <v>1680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1712</v>
      </c>
      <c r="E2584" s="852">
        <v>41053</v>
      </c>
      <c r="F2584" s="851" t="s">
        <v>1161</v>
      </c>
      <c r="G2584" s="804" t="s">
        <v>977</v>
      </c>
      <c r="H2584" s="841" t="s">
        <v>1680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1712</v>
      </c>
      <c r="E2585" s="852">
        <v>41053</v>
      </c>
      <c r="F2585" s="851" t="s">
        <v>1160</v>
      </c>
      <c r="G2585" s="804" t="s">
        <v>978</v>
      </c>
      <c r="H2585" s="841" t="s">
        <v>1680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1712</v>
      </c>
      <c r="E2586" s="852">
        <v>41053</v>
      </c>
      <c r="F2586" s="851" t="s">
        <v>1159</v>
      </c>
      <c r="G2586" s="804" t="s">
        <v>978</v>
      </c>
      <c r="H2586" s="841" t="s">
        <v>1680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1712</v>
      </c>
      <c r="E2587" s="852">
        <v>41053</v>
      </c>
      <c r="F2587" s="851" t="s">
        <v>1158</v>
      </c>
      <c r="G2587" s="804" t="s">
        <v>978</v>
      </c>
      <c r="H2587" s="841" t="s">
        <v>1680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1712</v>
      </c>
      <c r="E2588" s="852">
        <v>41059</v>
      </c>
      <c r="F2588" s="851" t="s">
        <v>1145</v>
      </c>
      <c r="G2588" s="804" t="s">
        <v>984</v>
      </c>
      <c r="H2588" s="841" t="s">
        <v>1680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1712</v>
      </c>
      <c r="E2589" s="852">
        <v>41059</v>
      </c>
      <c r="F2589" s="851" t="s">
        <v>1156</v>
      </c>
      <c r="G2589" s="804" t="s">
        <v>984</v>
      </c>
      <c r="H2589" s="841" t="s">
        <v>1680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1712</v>
      </c>
      <c r="E2590" s="852">
        <v>41059</v>
      </c>
      <c r="F2590" s="851" t="s">
        <v>1474</v>
      </c>
      <c r="G2590" s="804" t="s">
        <v>985</v>
      </c>
      <c r="H2590" s="841" t="s">
        <v>1680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1712</v>
      </c>
      <c r="E2591" s="852">
        <v>41059</v>
      </c>
      <c r="F2591" s="851" t="s">
        <v>1508</v>
      </c>
      <c r="G2591" s="804" t="s">
        <v>985</v>
      </c>
      <c r="H2591" s="841" t="s">
        <v>1680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1712</v>
      </c>
      <c r="E2592" s="852">
        <v>41059</v>
      </c>
      <c r="F2592" s="851" t="s">
        <v>1472</v>
      </c>
      <c r="G2592" s="804" t="s">
        <v>985</v>
      </c>
      <c r="H2592" s="841" t="s">
        <v>1680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1712</v>
      </c>
      <c r="E2593" s="852">
        <v>41059</v>
      </c>
      <c r="F2593" s="851" t="s">
        <v>1476</v>
      </c>
      <c r="G2593" s="804" t="s">
        <v>985</v>
      </c>
      <c r="H2593" s="841" t="s">
        <v>1680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1712</v>
      </c>
      <c r="E2594" s="852">
        <v>41059</v>
      </c>
      <c r="F2594" s="851" t="s">
        <v>1509</v>
      </c>
      <c r="G2594" s="804" t="s">
        <v>985</v>
      </c>
      <c r="H2594" s="841" t="s">
        <v>1680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1712</v>
      </c>
      <c r="E2595" s="852">
        <v>41059</v>
      </c>
      <c r="F2595" s="851" t="s">
        <v>1511</v>
      </c>
      <c r="G2595" s="804" t="s">
        <v>985</v>
      </c>
      <c r="H2595" s="841" t="s">
        <v>1680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1712</v>
      </c>
      <c r="E2596" s="852">
        <v>41059</v>
      </c>
      <c r="F2596" s="851" t="s">
        <v>1514</v>
      </c>
      <c r="G2596" s="804" t="s">
        <v>985</v>
      </c>
      <c r="H2596" s="841" t="s">
        <v>1680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1712</v>
      </c>
      <c r="E2597" s="852">
        <v>41059</v>
      </c>
      <c r="F2597" s="851" t="s">
        <v>1502</v>
      </c>
      <c r="G2597" s="804" t="s">
        <v>985</v>
      </c>
      <c r="H2597" s="841" t="s">
        <v>1680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1712</v>
      </c>
      <c r="E2598" s="852">
        <v>41059</v>
      </c>
      <c r="F2598" s="851" t="s">
        <v>1502</v>
      </c>
      <c r="G2598" s="804" t="s">
        <v>985</v>
      </c>
      <c r="H2598" s="841" t="s">
        <v>1680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1712</v>
      </c>
      <c r="E2599" s="852">
        <v>41059</v>
      </c>
      <c r="F2599" s="851" t="s">
        <v>1478</v>
      </c>
      <c r="G2599" s="804" t="s">
        <v>985</v>
      </c>
      <c r="H2599" s="841" t="s">
        <v>1680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1712</v>
      </c>
      <c r="E2600" s="852">
        <v>41059</v>
      </c>
      <c r="F2600" s="851" t="s">
        <v>1487</v>
      </c>
      <c r="G2600" s="804" t="s">
        <v>985</v>
      </c>
      <c r="H2600" s="841" t="s">
        <v>1680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1712</v>
      </c>
      <c r="E2601" s="852">
        <v>41059</v>
      </c>
      <c r="F2601" s="851" t="s">
        <v>1490</v>
      </c>
      <c r="G2601" s="804" t="s">
        <v>985</v>
      </c>
      <c r="H2601" s="841" t="s">
        <v>1680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1712</v>
      </c>
      <c r="E2602" s="852">
        <v>41059</v>
      </c>
      <c r="F2602" s="851" t="s">
        <v>1515</v>
      </c>
      <c r="G2602" s="804" t="s">
        <v>985</v>
      </c>
      <c r="H2602" s="841" t="s">
        <v>1680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1712</v>
      </c>
      <c r="E2603" s="852">
        <v>41059</v>
      </c>
      <c r="F2603" s="851" t="s">
        <v>1477</v>
      </c>
      <c r="G2603" s="804" t="s">
        <v>985</v>
      </c>
      <c r="H2603" s="841" t="s">
        <v>1680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1712</v>
      </c>
      <c r="E2604" s="852">
        <v>41059</v>
      </c>
      <c r="F2604" s="851" t="s">
        <v>1512</v>
      </c>
      <c r="G2604" s="804" t="s">
        <v>985</v>
      </c>
      <c r="H2604" s="841" t="s">
        <v>1680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1712</v>
      </c>
      <c r="E2605" s="852">
        <v>41059</v>
      </c>
      <c r="F2605" s="851" t="s">
        <v>1489</v>
      </c>
      <c r="G2605" s="804" t="s">
        <v>985</v>
      </c>
      <c r="H2605" s="841" t="s">
        <v>1680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1712</v>
      </c>
      <c r="E2606" s="852">
        <v>41059</v>
      </c>
      <c r="F2606" s="851" t="s">
        <v>1516</v>
      </c>
      <c r="G2606" s="804" t="s">
        <v>985</v>
      </c>
      <c r="H2606" s="841" t="s">
        <v>1680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1712</v>
      </c>
      <c r="E2607" s="852">
        <v>41059</v>
      </c>
      <c r="F2607" s="851" t="s">
        <v>1479</v>
      </c>
      <c r="G2607" s="804" t="s">
        <v>985</v>
      </c>
      <c r="H2607" s="841" t="s">
        <v>1680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1712</v>
      </c>
      <c r="E2608" s="852">
        <v>41059</v>
      </c>
      <c r="F2608" s="851" t="s">
        <v>1480</v>
      </c>
      <c r="G2608" s="804" t="s">
        <v>985</v>
      </c>
      <c r="H2608" s="841" t="s">
        <v>1680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1712</v>
      </c>
      <c r="E2609" s="852">
        <v>41059</v>
      </c>
      <c r="F2609" s="851" t="s">
        <v>1475</v>
      </c>
      <c r="G2609" s="804" t="s">
        <v>985</v>
      </c>
      <c r="H2609" s="841" t="s">
        <v>1680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1712</v>
      </c>
      <c r="E2610" s="852">
        <v>41059</v>
      </c>
      <c r="F2610" s="851" t="s">
        <v>1483</v>
      </c>
      <c r="G2610" s="804" t="s">
        <v>985</v>
      </c>
      <c r="H2610" s="841" t="s">
        <v>1680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1712</v>
      </c>
      <c r="E2611" s="852">
        <v>41059</v>
      </c>
      <c r="F2611" s="851" t="s">
        <v>1481</v>
      </c>
      <c r="G2611" s="804" t="s">
        <v>985</v>
      </c>
      <c r="H2611" s="841" t="s">
        <v>1680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1712</v>
      </c>
      <c r="E2612" s="852">
        <v>41059</v>
      </c>
      <c r="F2612" s="851" t="s">
        <v>1510</v>
      </c>
      <c r="G2612" s="804" t="s">
        <v>985</v>
      </c>
      <c r="H2612" s="841" t="s">
        <v>1680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1712</v>
      </c>
      <c r="E2613" s="852">
        <v>41059</v>
      </c>
      <c r="F2613" s="851" t="s">
        <v>1471</v>
      </c>
      <c r="G2613" s="804" t="s">
        <v>985</v>
      </c>
      <c r="H2613" s="841" t="s">
        <v>1680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1712</v>
      </c>
      <c r="E2614" s="852">
        <v>41059</v>
      </c>
      <c r="F2614" s="851" t="s">
        <v>1485</v>
      </c>
      <c r="G2614" s="804" t="s">
        <v>985</v>
      </c>
      <c r="H2614" s="841" t="s">
        <v>1680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1712</v>
      </c>
      <c r="E2615" s="852">
        <v>41059</v>
      </c>
      <c r="F2615" s="851" t="s">
        <v>1501</v>
      </c>
      <c r="G2615" s="804" t="s">
        <v>985</v>
      </c>
      <c r="H2615" s="841" t="s">
        <v>1680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1712</v>
      </c>
      <c r="E2616" s="852">
        <v>41059</v>
      </c>
      <c r="F2616" s="703" t="s">
        <v>1513</v>
      </c>
      <c r="G2616" s="804" t="s">
        <v>985</v>
      </c>
      <c r="H2616" s="841" t="s">
        <v>1680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1712</v>
      </c>
      <c r="E2617" s="852">
        <v>41059</v>
      </c>
      <c r="F2617" s="851" t="s">
        <v>1488</v>
      </c>
      <c r="G2617" s="804" t="s">
        <v>985</v>
      </c>
      <c r="H2617" s="841" t="s">
        <v>1680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1712</v>
      </c>
      <c r="E2618" s="852">
        <v>41059</v>
      </c>
      <c r="F2618" s="851" t="s">
        <v>1507</v>
      </c>
      <c r="G2618" s="804" t="s">
        <v>985</v>
      </c>
      <c r="H2618" s="841" t="s">
        <v>1680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1712</v>
      </c>
      <c r="E2619" s="852">
        <v>41059</v>
      </c>
      <c r="F2619" s="851" t="s">
        <v>1491</v>
      </c>
      <c r="G2619" s="804" t="s">
        <v>985</v>
      </c>
      <c r="H2619" s="841" t="s">
        <v>1680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1712</v>
      </c>
      <c r="E2620" s="852">
        <v>41059</v>
      </c>
      <c r="F2620" s="851" t="s">
        <v>1498</v>
      </c>
      <c r="G2620" s="804" t="s">
        <v>985</v>
      </c>
      <c r="H2620" s="841" t="s">
        <v>1680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1712</v>
      </c>
      <c r="E2621" s="852">
        <v>41059</v>
      </c>
      <c r="F2621" s="851" t="s">
        <v>1499</v>
      </c>
      <c r="G2621" s="804" t="s">
        <v>985</v>
      </c>
      <c r="H2621" s="841" t="s">
        <v>1680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1712</v>
      </c>
      <c r="E2622" s="852">
        <v>41059</v>
      </c>
      <c r="F2622" s="851" t="s">
        <v>1155</v>
      </c>
      <c r="G2622" s="804" t="s">
        <v>986</v>
      </c>
      <c r="H2622" s="841" t="s">
        <v>1680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1712</v>
      </c>
      <c r="E2623" s="852">
        <v>41060</v>
      </c>
      <c r="F2623" s="853" t="s">
        <v>1096</v>
      </c>
      <c r="G2623" s="804" t="s">
        <v>988</v>
      </c>
      <c r="H2623" s="841" t="s">
        <v>1680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1712</v>
      </c>
      <c r="E2624" s="852">
        <v>41060</v>
      </c>
      <c r="F2624" s="851" t="s">
        <v>526</v>
      </c>
      <c r="G2624" s="804" t="s">
        <v>989</v>
      </c>
      <c r="H2624" s="841" t="s">
        <v>1680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1712</v>
      </c>
      <c r="E2625" s="852">
        <v>41060</v>
      </c>
      <c r="F2625" s="851" t="s">
        <v>527</v>
      </c>
      <c r="G2625" s="804" t="s">
        <v>991</v>
      </c>
      <c r="H2625" s="841" t="s">
        <v>1680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1712</v>
      </c>
      <c r="E2626" s="852">
        <v>41061</v>
      </c>
      <c r="F2626" s="851" t="s">
        <v>1153</v>
      </c>
      <c r="G2626" s="804" t="s">
        <v>992</v>
      </c>
      <c r="H2626" s="841" t="s">
        <v>1680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1712</v>
      </c>
      <c r="E2627" s="852">
        <v>41061</v>
      </c>
      <c r="F2627" s="851" t="s">
        <v>1152</v>
      </c>
      <c r="G2627" s="804" t="s">
        <v>992</v>
      </c>
      <c r="H2627" s="841" t="s">
        <v>1680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1712</v>
      </c>
      <c r="E2628" s="852">
        <v>41071</v>
      </c>
      <c r="F2628" s="49" t="s">
        <v>1120</v>
      </c>
      <c r="G2628" s="804" t="s">
        <v>994</v>
      </c>
      <c r="H2628" s="841" t="s">
        <v>1680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1712</v>
      </c>
      <c r="E2629" s="852">
        <v>41071</v>
      </c>
      <c r="F2629" s="49" t="s">
        <v>1195</v>
      </c>
      <c r="G2629" s="804" t="s">
        <v>994</v>
      </c>
      <c r="H2629" s="841" t="s">
        <v>1680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1712</v>
      </c>
      <c r="E2630" s="852">
        <v>41071</v>
      </c>
      <c r="F2630" s="703" t="s">
        <v>1125</v>
      </c>
      <c r="G2630" s="804" t="s">
        <v>994</v>
      </c>
      <c r="H2630" s="841" t="s">
        <v>1680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1712</v>
      </c>
      <c r="E2631" s="852">
        <v>41072</v>
      </c>
      <c r="F2631" s="851" t="s">
        <v>1151</v>
      </c>
      <c r="G2631" s="804" t="s">
        <v>995</v>
      </c>
      <c r="H2631" s="841" t="s">
        <v>1680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1712</v>
      </c>
      <c r="E2632" s="852">
        <v>41072</v>
      </c>
      <c r="F2632" s="851" t="s">
        <v>1150</v>
      </c>
      <c r="G2632" s="804" t="s">
        <v>996</v>
      </c>
      <c r="H2632" s="841" t="s">
        <v>1680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1712</v>
      </c>
      <c r="E2633" s="852">
        <v>41083</v>
      </c>
      <c r="F2633" s="851" t="s">
        <v>1149</v>
      </c>
      <c r="G2633" s="804" t="s">
        <v>998</v>
      </c>
      <c r="H2633" s="841" t="s">
        <v>1680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1712</v>
      </c>
      <c r="E2634" s="852">
        <v>41086</v>
      </c>
      <c r="F2634" s="851" t="s">
        <v>1148</v>
      </c>
      <c r="G2634" s="804" t="s">
        <v>999</v>
      </c>
      <c r="H2634" s="841" t="s">
        <v>1680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1712</v>
      </c>
      <c r="E2635" s="852">
        <v>41086</v>
      </c>
      <c r="F2635" s="851" t="s">
        <v>1147</v>
      </c>
      <c r="G2635" s="804" t="s">
        <v>1000</v>
      </c>
      <c r="H2635" s="841" t="s">
        <v>1680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1712</v>
      </c>
      <c r="E2636" s="852">
        <v>41086</v>
      </c>
      <c r="F2636" s="851" t="s">
        <v>1146</v>
      </c>
      <c r="G2636" s="804" t="s">
        <v>1000</v>
      </c>
      <c r="H2636" s="841" t="s">
        <v>1680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1712</v>
      </c>
      <c r="E2637" s="852">
        <v>41086</v>
      </c>
      <c r="F2637" s="851" t="s">
        <v>1471</v>
      </c>
      <c r="G2637" s="804" t="s">
        <v>1002</v>
      </c>
      <c r="H2637" s="841" t="s">
        <v>1680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1712</v>
      </c>
      <c r="E2638" s="852">
        <v>41086</v>
      </c>
      <c r="F2638" s="851" t="s">
        <v>1485</v>
      </c>
      <c r="G2638" s="804" t="s">
        <v>1002</v>
      </c>
      <c r="H2638" s="841" t="s">
        <v>1680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1712</v>
      </c>
      <c r="E2639" s="852">
        <v>41086</v>
      </c>
      <c r="F2639" s="851" t="s">
        <v>1501</v>
      </c>
      <c r="G2639" s="804" t="s">
        <v>1002</v>
      </c>
      <c r="H2639" s="841" t="s">
        <v>1680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1712</v>
      </c>
      <c r="E2640" s="852">
        <v>41086</v>
      </c>
      <c r="F2640" s="851" t="s">
        <v>1513</v>
      </c>
      <c r="G2640" s="804" t="s">
        <v>1002</v>
      </c>
      <c r="H2640" s="841" t="s">
        <v>1680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1712</v>
      </c>
      <c r="E2641" s="852">
        <v>41086</v>
      </c>
      <c r="F2641" s="851" t="s">
        <v>1488</v>
      </c>
      <c r="G2641" s="804" t="s">
        <v>1002</v>
      </c>
      <c r="H2641" s="841" t="s">
        <v>1680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1712</v>
      </c>
      <c r="E2642" s="852">
        <v>41086</v>
      </c>
      <c r="F2642" s="851" t="s">
        <v>1507</v>
      </c>
      <c r="G2642" s="804" t="s">
        <v>1002</v>
      </c>
      <c r="H2642" s="841" t="s">
        <v>1680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1712</v>
      </c>
      <c r="E2643" s="852">
        <v>41086</v>
      </c>
      <c r="F2643" s="851" t="s">
        <v>1487</v>
      </c>
      <c r="G2643" s="804" t="s">
        <v>1002</v>
      </c>
      <c r="H2643" s="841" t="s">
        <v>1680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1712</v>
      </c>
      <c r="E2644" s="852">
        <v>41086</v>
      </c>
      <c r="F2644" s="851" t="s">
        <v>1491</v>
      </c>
      <c r="G2644" s="804" t="s">
        <v>1002</v>
      </c>
      <c r="H2644" s="841" t="s">
        <v>1680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1712</v>
      </c>
      <c r="E2645" s="852">
        <v>41086</v>
      </c>
      <c r="F2645" s="851" t="s">
        <v>1498</v>
      </c>
      <c r="G2645" s="804" t="s">
        <v>1002</v>
      </c>
      <c r="H2645" s="841" t="s">
        <v>1680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1712</v>
      </c>
      <c r="E2646" s="852">
        <v>41086</v>
      </c>
      <c r="F2646" s="851" t="s">
        <v>1499</v>
      </c>
      <c r="G2646" s="804" t="s">
        <v>1002</v>
      </c>
      <c r="H2646" s="841" t="s">
        <v>1680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1712</v>
      </c>
      <c r="E2647" s="852">
        <v>41090</v>
      </c>
      <c r="F2647" s="851" t="s">
        <v>1476</v>
      </c>
      <c r="G2647" s="804" t="s">
        <v>1003</v>
      </c>
      <c r="H2647" s="841" t="s">
        <v>1680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1712</v>
      </c>
      <c r="E2648" s="852">
        <v>41090</v>
      </c>
      <c r="F2648" s="851" t="s">
        <v>1509</v>
      </c>
      <c r="G2648" s="804" t="s">
        <v>1003</v>
      </c>
      <c r="H2648" s="841" t="s">
        <v>1680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1712</v>
      </c>
      <c r="E2649" s="852">
        <v>41090</v>
      </c>
      <c r="F2649" s="851" t="s">
        <v>1511</v>
      </c>
      <c r="G2649" s="804" t="s">
        <v>1003</v>
      </c>
      <c r="H2649" s="841" t="s">
        <v>1680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1712</v>
      </c>
      <c r="E2650" s="852">
        <v>41090</v>
      </c>
      <c r="F2650" s="851" t="s">
        <v>1514</v>
      </c>
      <c r="G2650" s="804" t="s">
        <v>1003</v>
      </c>
      <c r="H2650" s="841" t="s">
        <v>1680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1712</v>
      </c>
      <c r="E2651" s="852">
        <v>41090</v>
      </c>
      <c r="F2651" s="851" t="s">
        <v>1502</v>
      </c>
      <c r="G2651" s="804" t="s">
        <v>1003</v>
      </c>
      <c r="H2651" s="841" t="s">
        <v>1680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1712</v>
      </c>
      <c r="E2652" s="852">
        <v>41090</v>
      </c>
      <c r="F2652" s="851" t="s">
        <v>1502</v>
      </c>
      <c r="G2652" s="804" t="s">
        <v>1003</v>
      </c>
      <c r="H2652" s="841" t="s">
        <v>1680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1712</v>
      </c>
      <c r="E2653" s="852">
        <v>41090</v>
      </c>
      <c r="F2653" s="851" t="s">
        <v>1478</v>
      </c>
      <c r="G2653" s="804" t="s">
        <v>1003</v>
      </c>
      <c r="H2653" s="841" t="s">
        <v>1680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1712</v>
      </c>
      <c r="E2654" s="852">
        <v>41090</v>
      </c>
      <c r="F2654" s="851" t="s">
        <v>1487</v>
      </c>
      <c r="G2654" s="804" t="s">
        <v>1003</v>
      </c>
      <c r="H2654" s="841" t="s">
        <v>1680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1712</v>
      </c>
      <c r="E2655" s="852">
        <v>41090</v>
      </c>
      <c r="F2655" s="851" t="s">
        <v>1490</v>
      </c>
      <c r="G2655" s="804" t="s">
        <v>1003</v>
      </c>
      <c r="H2655" s="841" t="s">
        <v>1680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1712</v>
      </c>
      <c r="E2656" s="852">
        <v>41090</v>
      </c>
      <c r="F2656" s="851" t="s">
        <v>1515</v>
      </c>
      <c r="G2656" s="804" t="s">
        <v>1003</v>
      </c>
      <c r="H2656" s="841" t="s">
        <v>1680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1712</v>
      </c>
      <c r="E2657" s="852">
        <v>41090</v>
      </c>
      <c r="F2657" s="851" t="s">
        <v>1477</v>
      </c>
      <c r="G2657" s="804" t="s">
        <v>1003</v>
      </c>
      <c r="H2657" s="841" t="s">
        <v>1680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1712</v>
      </c>
      <c r="E2658" s="852">
        <v>41090</v>
      </c>
      <c r="F2658" s="851" t="s">
        <v>1512</v>
      </c>
      <c r="G2658" s="804" t="s">
        <v>1003</v>
      </c>
      <c r="H2658" s="841" t="s">
        <v>1680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1712</v>
      </c>
      <c r="E2659" s="852">
        <v>41090</v>
      </c>
      <c r="F2659" s="851" t="s">
        <v>1489</v>
      </c>
      <c r="G2659" s="804" t="s">
        <v>1003</v>
      </c>
      <c r="H2659" s="841" t="s">
        <v>1680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1712</v>
      </c>
      <c r="E2660" s="852">
        <v>41090</v>
      </c>
      <c r="F2660" s="851" t="s">
        <v>1516</v>
      </c>
      <c r="G2660" s="804" t="s">
        <v>1003</v>
      </c>
      <c r="H2660" s="841" t="s">
        <v>1680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1712</v>
      </c>
      <c r="E2661" s="852">
        <v>41090</v>
      </c>
      <c r="F2661" s="851" t="s">
        <v>1479</v>
      </c>
      <c r="G2661" s="804" t="s">
        <v>1003</v>
      </c>
      <c r="H2661" s="841" t="s">
        <v>1680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1712</v>
      </c>
      <c r="E2662" s="852">
        <v>41090</v>
      </c>
      <c r="F2662" s="851" t="s">
        <v>1480</v>
      </c>
      <c r="G2662" s="804" t="s">
        <v>1003</v>
      </c>
      <c r="H2662" s="841" t="s">
        <v>1680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26" customFormat="1" ht="15.75" customHeight="1">
      <c r="A2663" s="204" t="str">
        <f>IF(B2663&lt;&gt;"",IF(AND(B2663&gt;=_TM1,B2663&lt;=_TM2,OR(TH!L2663="1111",TH!M2663="1111")),TH!D2663,""),"")</f>
        <v/>
      </c>
      <c r="B2663" s="817">
        <f t="shared" si="151"/>
        <v>7</v>
      </c>
      <c r="C2663" s="843">
        <f t="shared" si="153"/>
        <v>41092</v>
      </c>
      <c r="D2663" s="48" t="s">
        <v>1712</v>
      </c>
      <c r="E2663" s="818">
        <v>41092</v>
      </c>
      <c r="F2663" s="856" t="s">
        <v>1145</v>
      </c>
      <c r="G2663" s="848" t="s">
        <v>1004</v>
      </c>
      <c r="H2663" s="846" t="s">
        <v>1680</v>
      </c>
      <c r="I2663" s="822">
        <v>1000</v>
      </c>
      <c r="J2663" s="822">
        <v>5112.9296636346207</v>
      </c>
      <c r="K2663" s="823">
        <f t="shared" si="152"/>
        <v>5112930</v>
      </c>
      <c r="L2663" s="844" t="s">
        <v>177</v>
      </c>
      <c r="M2663" s="844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1712</v>
      </c>
      <c r="E2664" s="850">
        <v>41093</v>
      </c>
      <c r="F2664" s="49" t="s">
        <v>526</v>
      </c>
      <c r="G2664" s="49" t="s">
        <v>1005</v>
      </c>
      <c r="H2664" s="841" t="s">
        <v>1680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1712</v>
      </c>
      <c r="E2665" s="850">
        <v>41095</v>
      </c>
      <c r="F2665" s="853" t="s">
        <v>1096</v>
      </c>
      <c r="G2665" s="49" t="s">
        <v>1006</v>
      </c>
      <c r="H2665" s="841" t="s">
        <v>1680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1712</v>
      </c>
      <c r="E2666" s="850">
        <v>41095</v>
      </c>
      <c r="F2666" s="49" t="s">
        <v>1120</v>
      </c>
      <c r="G2666" s="49" t="s">
        <v>1007</v>
      </c>
      <c r="H2666" s="841" t="s">
        <v>1680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1712</v>
      </c>
      <c r="E2667" s="850">
        <v>41095</v>
      </c>
      <c r="F2667" s="49" t="s">
        <v>1008</v>
      </c>
      <c r="G2667" s="49" t="s">
        <v>1009</v>
      </c>
      <c r="H2667" s="841" t="s">
        <v>1680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1712</v>
      </c>
      <c r="E2668" s="850">
        <v>41095</v>
      </c>
      <c r="F2668" s="49" t="s">
        <v>1144</v>
      </c>
      <c r="G2668" s="49" t="s">
        <v>1009</v>
      </c>
      <c r="H2668" s="841" t="s">
        <v>1680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1712</v>
      </c>
      <c r="E2669" s="850">
        <v>41095</v>
      </c>
      <c r="F2669" s="49" t="s">
        <v>1143</v>
      </c>
      <c r="G2669" s="49" t="s">
        <v>1009</v>
      </c>
      <c r="H2669" s="841" t="s">
        <v>1680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1712</v>
      </c>
      <c r="E2670" s="850">
        <v>41096</v>
      </c>
      <c r="F2670" s="49" t="s">
        <v>1142</v>
      </c>
      <c r="G2670" s="49" t="s">
        <v>1010</v>
      </c>
      <c r="H2670" s="841" t="s">
        <v>1680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1712</v>
      </c>
      <c r="E2671" s="850">
        <v>41096</v>
      </c>
      <c r="F2671" s="49" t="s">
        <v>1106</v>
      </c>
      <c r="G2671" s="49" t="s">
        <v>1010</v>
      </c>
      <c r="H2671" s="841" t="s">
        <v>1680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1712</v>
      </c>
      <c r="E2672" s="850">
        <v>41096</v>
      </c>
      <c r="F2672" s="703" t="s">
        <v>1141</v>
      </c>
      <c r="G2672" s="49" t="s">
        <v>1010</v>
      </c>
      <c r="H2672" s="841" t="s">
        <v>1680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1712</v>
      </c>
      <c r="E2673" s="850">
        <v>41096</v>
      </c>
      <c r="F2673" s="703" t="s">
        <v>1140</v>
      </c>
      <c r="G2673" s="49" t="s">
        <v>1011</v>
      </c>
      <c r="H2673" s="841" t="s">
        <v>1680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1712</v>
      </c>
      <c r="E2674" s="850">
        <v>41104</v>
      </c>
      <c r="F2674" s="703" t="s">
        <v>1139</v>
      </c>
      <c r="G2674" s="49" t="s">
        <v>426</v>
      </c>
      <c r="H2674" s="841" t="s">
        <v>1680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1712</v>
      </c>
      <c r="E2675" s="850">
        <v>41104</v>
      </c>
      <c r="F2675" s="49" t="s">
        <v>1122</v>
      </c>
      <c r="G2675" s="49" t="s">
        <v>731</v>
      </c>
      <c r="H2675" s="841" t="s">
        <v>1680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1712</v>
      </c>
      <c r="E2676" s="850">
        <v>41104</v>
      </c>
      <c r="F2676" s="49" t="s">
        <v>1121</v>
      </c>
      <c r="G2676" s="49" t="s">
        <v>731</v>
      </c>
      <c r="H2676" s="841" t="s">
        <v>1680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1712</v>
      </c>
      <c r="E2677" s="850">
        <v>41104</v>
      </c>
      <c r="F2677" s="49" t="s">
        <v>1012</v>
      </c>
      <c r="G2677" s="49" t="s">
        <v>1013</v>
      </c>
      <c r="H2677" s="841" t="s">
        <v>1680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1712</v>
      </c>
      <c r="E2678" s="850">
        <v>41104</v>
      </c>
      <c r="F2678" s="49" t="s">
        <v>1202</v>
      </c>
      <c r="G2678" s="49" t="s">
        <v>1013</v>
      </c>
      <c r="H2678" s="841" t="s">
        <v>1680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1712</v>
      </c>
      <c r="E2679" s="850">
        <v>41105</v>
      </c>
      <c r="F2679" s="49" t="s">
        <v>1127</v>
      </c>
      <c r="G2679" s="49" t="s">
        <v>429</v>
      </c>
      <c r="H2679" s="841" t="s">
        <v>1680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1712</v>
      </c>
      <c r="E2680" s="850">
        <v>41105</v>
      </c>
      <c r="F2680" s="49" t="s">
        <v>1138</v>
      </c>
      <c r="G2680" s="49" t="s">
        <v>429</v>
      </c>
      <c r="H2680" s="841" t="s">
        <v>1680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1712</v>
      </c>
      <c r="E2681" s="850">
        <v>41105</v>
      </c>
      <c r="F2681" s="49" t="s">
        <v>1128</v>
      </c>
      <c r="G2681" s="49" t="s">
        <v>429</v>
      </c>
      <c r="H2681" s="841" t="s">
        <v>1680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1712</v>
      </c>
      <c r="E2682" s="850">
        <v>41105</v>
      </c>
      <c r="F2682" s="49" t="s">
        <v>1137</v>
      </c>
      <c r="G2682" s="49" t="s">
        <v>429</v>
      </c>
      <c r="H2682" s="841" t="s">
        <v>1680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1712</v>
      </c>
      <c r="E2683" s="850">
        <v>41105</v>
      </c>
      <c r="F2683" s="49" t="s">
        <v>1136</v>
      </c>
      <c r="G2683" s="49" t="s">
        <v>429</v>
      </c>
      <c r="H2683" s="841" t="s">
        <v>1680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1712</v>
      </c>
      <c r="E2684" s="850">
        <v>41117</v>
      </c>
      <c r="F2684" s="49" t="s">
        <v>1135</v>
      </c>
      <c r="G2684" s="49" t="s">
        <v>1014</v>
      </c>
      <c r="H2684" s="841" t="s">
        <v>1680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1712</v>
      </c>
      <c r="E2685" s="850">
        <v>41117</v>
      </c>
      <c r="F2685" s="49" t="s">
        <v>1107</v>
      </c>
      <c r="G2685" s="49" t="s">
        <v>1014</v>
      </c>
      <c r="H2685" s="841" t="s">
        <v>1680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1712</v>
      </c>
      <c r="E2686" s="850">
        <v>41117</v>
      </c>
      <c r="F2686" s="49" t="s">
        <v>1133</v>
      </c>
      <c r="G2686" s="49" t="s">
        <v>1015</v>
      </c>
      <c r="H2686" s="841" t="s">
        <v>1680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1712</v>
      </c>
      <c r="E2687" s="850">
        <v>41117</v>
      </c>
      <c r="F2687" s="49" t="s">
        <v>1134</v>
      </c>
      <c r="G2687" s="49" t="s">
        <v>1015</v>
      </c>
      <c r="H2687" s="841" t="s">
        <v>1680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1712</v>
      </c>
      <c r="E2688" s="850">
        <v>41117</v>
      </c>
      <c r="F2688" s="49" t="s">
        <v>1132</v>
      </c>
      <c r="G2688" s="49" t="s">
        <v>430</v>
      </c>
      <c r="H2688" s="841" t="s">
        <v>1680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1712</v>
      </c>
      <c r="E2689" s="850">
        <v>41118</v>
      </c>
      <c r="F2689" s="49" t="s">
        <v>526</v>
      </c>
      <c r="G2689" s="49" t="s">
        <v>1016</v>
      </c>
      <c r="H2689" s="841" t="s">
        <v>1680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1712</v>
      </c>
      <c r="E2690" s="850">
        <v>41118</v>
      </c>
      <c r="F2690" s="49" t="s">
        <v>1474</v>
      </c>
      <c r="G2690" s="49" t="s">
        <v>1018</v>
      </c>
      <c r="H2690" s="841" t="s">
        <v>1680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1712</v>
      </c>
      <c r="E2691" s="850">
        <v>41118</v>
      </c>
      <c r="F2691" s="49" t="s">
        <v>1508</v>
      </c>
      <c r="G2691" s="49" t="s">
        <v>1018</v>
      </c>
      <c r="H2691" s="841" t="s">
        <v>1680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1712</v>
      </c>
      <c r="E2692" s="850">
        <v>41118</v>
      </c>
      <c r="F2692" s="703" t="s">
        <v>1472</v>
      </c>
      <c r="G2692" s="49" t="s">
        <v>1018</v>
      </c>
      <c r="H2692" s="841" t="s">
        <v>1680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1712</v>
      </c>
      <c r="E2693" s="850">
        <v>41118</v>
      </c>
      <c r="F2693" s="49" t="s">
        <v>1476</v>
      </c>
      <c r="G2693" s="49" t="s">
        <v>1018</v>
      </c>
      <c r="H2693" s="841" t="s">
        <v>1680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1712</v>
      </c>
      <c r="E2694" s="850">
        <v>41118</v>
      </c>
      <c r="F2694" s="49" t="s">
        <v>1509</v>
      </c>
      <c r="G2694" s="49" t="s">
        <v>1018</v>
      </c>
      <c r="H2694" s="841" t="s">
        <v>1680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1712</v>
      </c>
      <c r="E2695" s="850">
        <v>41118</v>
      </c>
      <c r="F2695" s="49" t="s">
        <v>1502</v>
      </c>
      <c r="G2695" s="49" t="s">
        <v>1018</v>
      </c>
      <c r="H2695" s="841" t="s">
        <v>1680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1712</v>
      </c>
      <c r="E2696" s="850">
        <v>41118</v>
      </c>
      <c r="F2696" s="49" t="s">
        <v>1478</v>
      </c>
      <c r="G2696" s="49" t="s">
        <v>1018</v>
      </c>
      <c r="H2696" s="841" t="s">
        <v>1680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1712</v>
      </c>
      <c r="E2697" s="850">
        <v>41118</v>
      </c>
      <c r="F2697" s="703" t="s">
        <v>1487</v>
      </c>
      <c r="G2697" s="49" t="s">
        <v>1018</v>
      </c>
      <c r="H2697" s="841" t="s">
        <v>1680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1712</v>
      </c>
      <c r="E2698" s="850">
        <v>41121</v>
      </c>
      <c r="F2698" s="853" t="s">
        <v>1096</v>
      </c>
      <c r="G2698" s="49" t="s">
        <v>1019</v>
      </c>
      <c r="H2698" s="841" t="s">
        <v>1680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1712</v>
      </c>
      <c r="E2699" s="850">
        <v>41122</v>
      </c>
      <c r="F2699" s="49" t="s">
        <v>1044</v>
      </c>
      <c r="G2699" s="49" t="s">
        <v>1020</v>
      </c>
      <c r="H2699" s="841" t="s">
        <v>1680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1712</v>
      </c>
      <c r="E2700" s="850">
        <v>41122</v>
      </c>
      <c r="F2700" s="49" t="s">
        <v>1045</v>
      </c>
      <c r="G2700" s="49" t="s">
        <v>1020</v>
      </c>
      <c r="H2700" s="841" t="s">
        <v>1680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1712</v>
      </c>
      <c r="E2701" s="850">
        <v>41124</v>
      </c>
      <c r="F2701" s="49" t="s">
        <v>1130</v>
      </c>
      <c r="G2701" s="49" t="s">
        <v>1021</v>
      </c>
      <c r="H2701" s="841" t="s">
        <v>1680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1712</v>
      </c>
      <c r="E2702" s="850">
        <v>41125</v>
      </c>
      <c r="F2702" s="49" t="s">
        <v>1130</v>
      </c>
      <c r="G2702" s="49" t="s">
        <v>1022</v>
      </c>
      <c r="H2702" s="841" t="s">
        <v>1680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1712</v>
      </c>
      <c r="E2703" s="850">
        <v>41125</v>
      </c>
      <c r="F2703" s="703" t="s">
        <v>1127</v>
      </c>
      <c r="G2703" s="49" t="s">
        <v>1023</v>
      </c>
      <c r="H2703" s="841" t="s">
        <v>1680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1712</v>
      </c>
      <c r="E2704" s="850">
        <v>41125</v>
      </c>
      <c r="F2704" s="49" t="s">
        <v>1128</v>
      </c>
      <c r="G2704" s="49" t="s">
        <v>1023</v>
      </c>
      <c r="H2704" s="841" t="s">
        <v>1680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1712</v>
      </c>
      <c r="E2705" s="850">
        <v>41125</v>
      </c>
      <c r="F2705" s="49" t="s">
        <v>1129</v>
      </c>
      <c r="G2705" s="49" t="s">
        <v>1023</v>
      </c>
      <c r="H2705" s="841" t="s">
        <v>1680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1712</v>
      </c>
      <c r="E2706" s="850">
        <v>41128</v>
      </c>
      <c r="F2706" s="49" t="s">
        <v>1113</v>
      </c>
      <c r="G2706" s="49" t="s">
        <v>1024</v>
      </c>
      <c r="H2706" s="841" t="s">
        <v>1680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1712</v>
      </c>
      <c r="E2707" s="850">
        <v>41129</v>
      </c>
      <c r="F2707" s="853" t="s">
        <v>1096</v>
      </c>
      <c r="G2707" s="49" t="s">
        <v>1025</v>
      </c>
      <c r="H2707" s="841" t="s">
        <v>1680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1712</v>
      </c>
      <c r="E2708" s="850">
        <v>41129</v>
      </c>
      <c r="F2708" s="49" t="s">
        <v>1107</v>
      </c>
      <c r="G2708" s="49" t="s">
        <v>1025</v>
      </c>
      <c r="H2708" s="841" t="s">
        <v>1680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1712</v>
      </c>
      <c r="E2709" s="850">
        <v>41129</v>
      </c>
      <c r="F2709" s="49" t="s">
        <v>1126</v>
      </c>
      <c r="G2709" s="49" t="s">
        <v>648</v>
      </c>
      <c r="H2709" s="841" t="s">
        <v>1680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1712</v>
      </c>
      <c r="E2710" s="850">
        <v>41136</v>
      </c>
      <c r="F2710" s="49" t="s">
        <v>1132</v>
      </c>
      <c r="G2710" s="49" t="s">
        <v>1026</v>
      </c>
      <c r="H2710" s="841" t="s">
        <v>1680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1712</v>
      </c>
      <c r="E2711" s="850">
        <v>41137</v>
      </c>
      <c r="F2711" s="49" t="s">
        <v>1120</v>
      </c>
      <c r="G2711" s="49" t="s">
        <v>1027</v>
      </c>
      <c r="H2711" s="841" t="s">
        <v>1680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1712</v>
      </c>
      <c r="E2712" s="850">
        <v>41137</v>
      </c>
      <c r="F2712" s="703" t="s">
        <v>1125</v>
      </c>
      <c r="G2712" s="49" t="s">
        <v>1027</v>
      </c>
      <c r="H2712" s="841" t="s">
        <v>1680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1712</v>
      </c>
      <c r="E2713" s="850">
        <v>41137</v>
      </c>
      <c r="F2713" s="49" t="s">
        <v>1028</v>
      </c>
      <c r="G2713" s="49" t="s">
        <v>1029</v>
      </c>
      <c r="H2713" s="841" t="s">
        <v>1680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1712</v>
      </c>
      <c r="E2714" s="850">
        <v>41137</v>
      </c>
      <c r="F2714" s="49" t="s">
        <v>1030</v>
      </c>
      <c r="G2714" s="49" t="s">
        <v>1029</v>
      </c>
      <c r="H2714" s="841" t="s">
        <v>1680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1712</v>
      </c>
      <c r="E2715" s="850">
        <v>41137</v>
      </c>
      <c r="F2715" s="49" t="s">
        <v>1031</v>
      </c>
      <c r="G2715" s="49" t="s">
        <v>1029</v>
      </c>
      <c r="H2715" s="841" t="s">
        <v>1680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1712</v>
      </c>
      <c r="E2716" s="850">
        <v>41137</v>
      </c>
      <c r="F2716" s="703" t="s">
        <v>1032</v>
      </c>
      <c r="G2716" s="49" t="s">
        <v>1029</v>
      </c>
      <c r="H2716" s="841" t="s">
        <v>1680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1712</v>
      </c>
      <c r="E2717" s="850">
        <v>41150</v>
      </c>
      <c r="F2717" s="49" t="s">
        <v>1089</v>
      </c>
      <c r="G2717" s="49" t="s">
        <v>1033</v>
      </c>
      <c r="H2717" s="841" t="s">
        <v>1680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1712</v>
      </c>
      <c r="E2718" s="850">
        <v>41150</v>
      </c>
      <c r="F2718" s="49" t="s">
        <v>1124</v>
      </c>
      <c r="G2718" s="49" t="s">
        <v>431</v>
      </c>
      <c r="H2718" s="841" t="s">
        <v>1680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1712</v>
      </c>
      <c r="E2719" s="850">
        <v>41150</v>
      </c>
      <c r="F2719" s="49" t="s">
        <v>1123</v>
      </c>
      <c r="G2719" s="49" t="s">
        <v>431</v>
      </c>
      <c r="H2719" s="841" t="s">
        <v>1680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1712</v>
      </c>
      <c r="E2720" s="850">
        <v>41153</v>
      </c>
      <c r="F2720" s="703" t="s">
        <v>1100</v>
      </c>
      <c r="G2720" s="49" t="s">
        <v>1034</v>
      </c>
      <c r="H2720" s="841" t="s">
        <v>1680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1712</v>
      </c>
      <c r="E2721" s="850">
        <v>41158</v>
      </c>
      <c r="F2721" s="853" t="s">
        <v>1096</v>
      </c>
      <c r="G2721" s="49" t="s">
        <v>1035</v>
      </c>
      <c r="H2721" s="841" t="s">
        <v>1680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1712</v>
      </c>
      <c r="E2722" s="850">
        <v>41162</v>
      </c>
      <c r="F2722" s="703" t="s">
        <v>1122</v>
      </c>
      <c r="G2722" s="49" t="s">
        <v>1036</v>
      </c>
      <c r="H2722" s="841" t="s">
        <v>1680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1712</v>
      </c>
      <c r="E2723" s="850">
        <v>41162</v>
      </c>
      <c r="F2723" s="703" t="s">
        <v>1121</v>
      </c>
      <c r="G2723" s="49" t="s">
        <v>1036</v>
      </c>
      <c r="H2723" s="841" t="s">
        <v>1680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1712</v>
      </c>
      <c r="E2724" s="850">
        <v>41162</v>
      </c>
      <c r="F2724" s="49" t="s">
        <v>1103</v>
      </c>
      <c r="G2724" s="49" t="s">
        <v>432</v>
      </c>
      <c r="H2724" s="841" t="s">
        <v>1680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1712</v>
      </c>
      <c r="E2725" s="850">
        <v>41162</v>
      </c>
      <c r="F2725" s="851" t="s">
        <v>1104</v>
      </c>
      <c r="G2725" s="49" t="s">
        <v>432</v>
      </c>
      <c r="H2725" s="841" t="s">
        <v>1680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1712</v>
      </c>
      <c r="E2726" s="850">
        <v>41162</v>
      </c>
      <c r="F2726" s="49" t="s">
        <v>1714</v>
      </c>
      <c r="G2726" s="49" t="s">
        <v>432</v>
      </c>
      <c r="H2726" s="841" t="s">
        <v>1680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1712</v>
      </c>
      <c r="E2727" s="850">
        <v>41162</v>
      </c>
      <c r="F2727" s="49" t="s">
        <v>1037</v>
      </c>
      <c r="G2727" s="49" t="s">
        <v>1038</v>
      </c>
      <c r="H2727" s="841" t="s">
        <v>1680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1712</v>
      </c>
      <c r="E2728" s="850">
        <v>41162</v>
      </c>
      <c r="F2728" s="49" t="s">
        <v>1204</v>
      </c>
      <c r="G2728" s="49" t="s">
        <v>1038</v>
      </c>
      <c r="H2728" s="841" t="s">
        <v>1680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1712</v>
      </c>
      <c r="E2729" s="850">
        <v>41163</v>
      </c>
      <c r="F2729" s="49" t="s">
        <v>1204</v>
      </c>
      <c r="G2729" s="49" t="s">
        <v>1039</v>
      </c>
      <c r="H2729" s="841" t="s">
        <v>1680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1712</v>
      </c>
      <c r="E2730" s="850">
        <v>41163</v>
      </c>
      <c r="F2730" s="49" t="s">
        <v>1205</v>
      </c>
      <c r="G2730" s="49" t="s">
        <v>1039</v>
      </c>
      <c r="H2730" s="841" t="s">
        <v>1680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1712</v>
      </c>
      <c r="E2731" s="850">
        <v>41163</v>
      </c>
      <c r="F2731" s="49" t="s">
        <v>1206</v>
      </c>
      <c r="G2731" s="49" t="s">
        <v>1039</v>
      </c>
      <c r="H2731" s="841" t="s">
        <v>1680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1712</v>
      </c>
      <c r="E2732" s="850">
        <v>41163</v>
      </c>
      <c r="F2732" s="703" t="s">
        <v>1197</v>
      </c>
      <c r="G2732" s="49" t="s">
        <v>1039</v>
      </c>
      <c r="H2732" s="841" t="s">
        <v>1680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1712</v>
      </c>
      <c r="E2733" s="850">
        <v>41163</v>
      </c>
      <c r="F2733" s="703" t="s">
        <v>1203</v>
      </c>
      <c r="G2733" s="49" t="s">
        <v>1039</v>
      </c>
      <c r="H2733" s="841" t="s">
        <v>1680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1712</v>
      </c>
      <c r="E2734" s="850">
        <v>41169</v>
      </c>
      <c r="F2734" s="853" t="s">
        <v>1096</v>
      </c>
      <c r="G2734" s="49" t="s">
        <v>1040</v>
      </c>
      <c r="H2734" s="841" t="s">
        <v>1680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1712</v>
      </c>
      <c r="E2735" s="850">
        <v>41169</v>
      </c>
      <c r="F2735" s="853" t="s">
        <v>1096</v>
      </c>
      <c r="G2735" s="49" t="s">
        <v>1040</v>
      </c>
      <c r="H2735" s="841" t="s">
        <v>1680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26" customFormat="1" ht="15.75" customHeight="1">
      <c r="A2736" s="842" t="str">
        <f>IF(B2736&lt;&gt;"",IF(AND(B2736&gt;=_TM1,B2736&lt;=_TM2,OR(TH!L2736="1111",TH!M2736="1111")),TH!D2736,""),"")</f>
        <v/>
      </c>
      <c r="B2736" s="817">
        <f t="shared" si="154"/>
        <v>10</v>
      </c>
      <c r="C2736" s="843">
        <f t="shared" si="156"/>
        <v>41183</v>
      </c>
      <c r="D2736" s="48" t="s">
        <v>1712</v>
      </c>
      <c r="E2736" s="818">
        <v>41183</v>
      </c>
      <c r="F2736" s="848" t="s">
        <v>1120</v>
      </c>
      <c r="G2736" s="848" t="s">
        <v>1041</v>
      </c>
      <c r="H2736" s="846" t="s">
        <v>1680</v>
      </c>
      <c r="I2736" s="822">
        <v>508</v>
      </c>
      <c r="J2736" s="822">
        <v>10711.842452385759</v>
      </c>
      <c r="K2736" s="823">
        <f t="shared" si="155"/>
        <v>5441616</v>
      </c>
      <c r="L2736" s="844" t="s">
        <v>177</v>
      </c>
      <c r="M2736" s="844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1712</v>
      </c>
      <c r="E2737" s="850">
        <v>41194</v>
      </c>
      <c r="F2737" s="49" t="s">
        <v>1107</v>
      </c>
      <c r="G2737" s="49" t="s">
        <v>433</v>
      </c>
      <c r="H2737" s="841" t="s">
        <v>1680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1712</v>
      </c>
      <c r="E2738" s="850">
        <v>41194</v>
      </c>
      <c r="F2738" s="853" t="s">
        <v>1096</v>
      </c>
      <c r="G2738" s="49" t="s">
        <v>433</v>
      </c>
      <c r="H2738" s="841" t="s">
        <v>1680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1712</v>
      </c>
      <c r="E2739" s="850">
        <v>41194</v>
      </c>
      <c r="F2739" s="49" t="s">
        <v>1118</v>
      </c>
      <c r="G2739" s="49" t="s">
        <v>597</v>
      </c>
      <c r="H2739" s="841" t="s">
        <v>1680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1712</v>
      </c>
      <c r="E2740" s="850">
        <v>41194</v>
      </c>
      <c r="F2740" s="49" t="s">
        <v>1117</v>
      </c>
      <c r="G2740" s="49" t="s">
        <v>597</v>
      </c>
      <c r="H2740" s="841" t="s">
        <v>1680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1712</v>
      </c>
      <c r="E2741" s="850">
        <v>41194</v>
      </c>
      <c r="F2741" s="49" t="s">
        <v>1119</v>
      </c>
      <c r="G2741" s="49" t="s">
        <v>597</v>
      </c>
      <c r="H2741" s="841" t="s">
        <v>1680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1712</v>
      </c>
      <c r="E2742" s="850">
        <v>41195</v>
      </c>
      <c r="F2742" s="49" t="s">
        <v>1118</v>
      </c>
      <c r="G2742" s="49" t="s">
        <v>1042</v>
      </c>
      <c r="H2742" s="841" t="s">
        <v>1680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1712</v>
      </c>
      <c r="E2743" s="850">
        <v>41195</v>
      </c>
      <c r="F2743" s="49" t="s">
        <v>1117</v>
      </c>
      <c r="G2743" s="49" t="s">
        <v>1042</v>
      </c>
      <c r="H2743" s="841" t="s">
        <v>1680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1712</v>
      </c>
      <c r="E2744" s="850">
        <v>41195</v>
      </c>
      <c r="F2744" s="49" t="s">
        <v>1116</v>
      </c>
      <c r="G2744" s="49" t="s">
        <v>1042</v>
      </c>
      <c r="H2744" s="841" t="s">
        <v>1680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1712</v>
      </c>
      <c r="E2745" s="850">
        <v>41198</v>
      </c>
      <c r="F2745" s="49" t="s">
        <v>1115</v>
      </c>
      <c r="G2745" s="49" t="s">
        <v>434</v>
      </c>
      <c r="H2745" s="841" t="s">
        <v>1680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1712</v>
      </c>
      <c r="E2746" s="850">
        <v>41199</v>
      </c>
      <c r="F2746" s="49" t="s">
        <v>1107</v>
      </c>
      <c r="G2746" s="49" t="s">
        <v>1043</v>
      </c>
      <c r="H2746" s="841" t="s">
        <v>1680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1712</v>
      </c>
      <c r="E2747" s="850">
        <v>41199</v>
      </c>
      <c r="F2747" s="853" t="s">
        <v>1096</v>
      </c>
      <c r="G2747" s="49" t="s">
        <v>1043</v>
      </c>
      <c r="H2747" s="841" t="s">
        <v>1680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1712</v>
      </c>
      <c r="E2748" s="850">
        <v>41199</v>
      </c>
      <c r="F2748" s="49" t="s">
        <v>1044</v>
      </c>
      <c r="G2748" s="49" t="s">
        <v>435</v>
      </c>
      <c r="H2748" s="841" t="s">
        <v>1680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1712</v>
      </c>
      <c r="E2749" s="850">
        <v>41199</v>
      </c>
      <c r="F2749" s="49" t="s">
        <v>1045</v>
      </c>
      <c r="G2749" s="49" t="s">
        <v>435</v>
      </c>
      <c r="H2749" s="841" t="s">
        <v>1680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1712</v>
      </c>
      <c r="E2750" s="850">
        <v>41201</v>
      </c>
      <c r="F2750" s="49" t="s">
        <v>1114</v>
      </c>
      <c r="G2750" s="49" t="s">
        <v>1046</v>
      </c>
      <c r="H2750" s="841" t="s">
        <v>1680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1712</v>
      </c>
      <c r="E2751" s="850">
        <v>41201</v>
      </c>
      <c r="F2751" s="49" t="s">
        <v>1113</v>
      </c>
      <c r="G2751" s="49" t="s">
        <v>1047</v>
      </c>
      <c r="H2751" s="841" t="s">
        <v>1680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1712</v>
      </c>
      <c r="E2752" s="850">
        <v>41205</v>
      </c>
      <c r="F2752" s="853" t="s">
        <v>1100</v>
      </c>
      <c r="G2752" s="49" t="s">
        <v>1048</v>
      </c>
      <c r="H2752" s="841" t="s">
        <v>1680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1712</v>
      </c>
      <c r="E2753" s="850">
        <v>41205</v>
      </c>
      <c r="F2753" s="853" t="s">
        <v>1112</v>
      </c>
      <c r="G2753" s="49" t="s">
        <v>1049</v>
      </c>
      <c r="H2753" s="841" t="s">
        <v>1680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1712</v>
      </c>
      <c r="E2754" s="850">
        <v>41205</v>
      </c>
      <c r="F2754" s="49" t="s">
        <v>1111</v>
      </c>
      <c r="G2754" s="49" t="s">
        <v>1049</v>
      </c>
      <c r="H2754" s="841" t="s">
        <v>1680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1712</v>
      </c>
      <c r="E2755" s="850">
        <v>41205</v>
      </c>
      <c r="F2755" s="49" t="s">
        <v>1110</v>
      </c>
      <c r="G2755" s="49" t="s">
        <v>1049</v>
      </c>
      <c r="H2755" s="841" t="s">
        <v>1680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1712</v>
      </c>
      <c r="E2756" s="850">
        <v>41205</v>
      </c>
      <c r="F2756" s="49" t="s">
        <v>1092</v>
      </c>
      <c r="G2756" s="49" t="s">
        <v>1049</v>
      </c>
      <c r="H2756" s="841" t="s">
        <v>1680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1712</v>
      </c>
      <c r="E2757" s="850">
        <v>41208</v>
      </c>
      <c r="F2757" s="49" t="s">
        <v>1092</v>
      </c>
      <c r="G2757" s="49" t="s">
        <v>1050</v>
      </c>
      <c r="H2757" s="841" t="s">
        <v>1680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1712</v>
      </c>
      <c r="E2758" s="850">
        <v>41208</v>
      </c>
      <c r="F2758" s="49" t="s">
        <v>1093</v>
      </c>
      <c r="G2758" s="49" t="s">
        <v>1050</v>
      </c>
      <c r="H2758" s="841" t="s">
        <v>1680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1712</v>
      </c>
      <c r="E2759" s="850">
        <v>41208</v>
      </c>
      <c r="F2759" s="49" t="s">
        <v>1109</v>
      </c>
      <c r="G2759" s="49" t="s">
        <v>1050</v>
      </c>
      <c r="H2759" s="841" t="s">
        <v>1680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1712</v>
      </c>
      <c r="E2760" s="850">
        <v>41208</v>
      </c>
      <c r="F2760" s="49" t="s">
        <v>1108</v>
      </c>
      <c r="G2760" s="49" t="s">
        <v>1050</v>
      </c>
      <c r="H2760" s="841" t="s">
        <v>1680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1712</v>
      </c>
      <c r="E2761" s="850">
        <v>41213</v>
      </c>
      <c r="F2761" s="853" t="s">
        <v>1096</v>
      </c>
      <c r="G2761" s="49" t="s">
        <v>1051</v>
      </c>
      <c r="H2761" s="841" t="s">
        <v>1680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1712</v>
      </c>
      <c r="E2762" s="850">
        <v>41213</v>
      </c>
      <c r="F2762" s="49" t="s">
        <v>1107</v>
      </c>
      <c r="G2762" s="49" t="s">
        <v>1051</v>
      </c>
      <c r="H2762" s="841" t="s">
        <v>1680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1712</v>
      </c>
      <c r="E2763" s="850">
        <v>41213</v>
      </c>
      <c r="F2763" s="49" t="s">
        <v>1052</v>
      </c>
      <c r="G2763" s="49" t="s">
        <v>1053</v>
      </c>
      <c r="H2763" s="841" t="s">
        <v>1680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1712</v>
      </c>
      <c r="E2764" s="850">
        <v>41213</v>
      </c>
      <c r="F2764" s="49" t="s">
        <v>1055</v>
      </c>
      <c r="G2764" s="49" t="s">
        <v>1053</v>
      </c>
      <c r="H2764" s="841" t="s">
        <v>1680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1712</v>
      </c>
      <c r="E2765" s="850">
        <v>41213</v>
      </c>
      <c r="F2765" s="49" t="s">
        <v>1056</v>
      </c>
      <c r="G2765" s="49" t="s">
        <v>1053</v>
      </c>
      <c r="H2765" s="841" t="s">
        <v>1680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1712</v>
      </c>
      <c r="E2766" s="850">
        <v>41213</v>
      </c>
      <c r="F2766" s="49" t="s">
        <v>1057</v>
      </c>
      <c r="G2766" s="49" t="s">
        <v>1053</v>
      </c>
      <c r="H2766" s="841" t="s">
        <v>1680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1712</v>
      </c>
      <c r="E2767" s="850">
        <v>41213</v>
      </c>
      <c r="F2767" s="49" t="s">
        <v>1058</v>
      </c>
      <c r="G2767" s="49" t="s">
        <v>1053</v>
      </c>
      <c r="H2767" s="841" t="s">
        <v>1680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1712</v>
      </c>
      <c r="E2768" s="850">
        <v>41213</v>
      </c>
      <c r="F2768" s="49" t="s">
        <v>1059</v>
      </c>
      <c r="G2768" s="49" t="s">
        <v>1053</v>
      </c>
      <c r="H2768" s="841" t="s">
        <v>1680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1712</v>
      </c>
      <c r="E2769" s="850">
        <v>41226</v>
      </c>
      <c r="F2769" s="49" t="s">
        <v>1093</v>
      </c>
      <c r="G2769" s="49" t="s">
        <v>1060</v>
      </c>
      <c r="H2769" s="841" t="s">
        <v>1680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1712</v>
      </c>
      <c r="E2770" s="850">
        <v>41226</v>
      </c>
      <c r="F2770" s="49" t="s">
        <v>1106</v>
      </c>
      <c r="G2770" s="49" t="s">
        <v>1060</v>
      </c>
      <c r="H2770" s="841" t="s">
        <v>1680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1712</v>
      </c>
      <c r="E2771" s="850">
        <v>41226</v>
      </c>
      <c r="F2771" s="49" t="s">
        <v>1092</v>
      </c>
      <c r="G2771" s="49" t="s">
        <v>1060</v>
      </c>
      <c r="H2771" s="841" t="s">
        <v>1680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1712</v>
      </c>
      <c r="E2772" s="850">
        <v>41228</v>
      </c>
      <c r="F2772" s="853" t="s">
        <v>1096</v>
      </c>
      <c r="G2772" s="49" t="s">
        <v>1061</v>
      </c>
      <c r="H2772" s="841" t="s">
        <v>1680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1712</v>
      </c>
      <c r="E2773" s="850">
        <v>41228</v>
      </c>
      <c r="F2773" s="49" t="s">
        <v>1105</v>
      </c>
      <c r="G2773" s="49" t="s">
        <v>1061</v>
      </c>
      <c r="H2773" s="841" t="s">
        <v>1680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1712</v>
      </c>
      <c r="E2774" s="850">
        <v>41228</v>
      </c>
      <c r="F2774" s="49" t="s">
        <v>1089</v>
      </c>
      <c r="G2774" s="49" t="s">
        <v>1062</v>
      </c>
      <c r="H2774" s="841" t="s">
        <v>1680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1712</v>
      </c>
      <c r="E2775" s="850">
        <v>41235</v>
      </c>
      <c r="F2775" s="49" t="s">
        <v>1104</v>
      </c>
      <c r="G2775" s="49" t="s">
        <v>1063</v>
      </c>
      <c r="H2775" s="841" t="s">
        <v>1680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1712</v>
      </c>
      <c r="E2776" s="850">
        <v>41235</v>
      </c>
      <c r="F2776" s="49" t="s">
        <v>1103</v>
      </c>
      <c r="G2776" s="49" t="s">
        <v>1063</v>
      </c>
      <c r="H2776" s="841" t="s">
        <v>1680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1712</v>
      </c>
      <c r="E2777" s="850">
        <v>41235</v>
      </c>
      <c r="F2777" s="49" t="s">
        <v>1102</v>
      </c>
      <c r="G2777" s="49" t="s">
        <v>1063</v>
      </c>
      <c r="H2777" s="841" t="s">
        <v>1680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1712</v>
      </c>
      <c r="E2778" s="850">
        <v>41235</v>
      </c>
      <c r="F2778" s="49" t="s">
        <v>1101</v>
      </c>
      <c r="G2778" s="49" t="s">
        <v>1063</v>
      </c>
      <c r="H2778" s="841" t="s">
        <v>1680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1712</v>
      </c>
      <c r="E2779" s="850">
        <v>41244</v>
      </c>
      <c r="F2779" s="49" t="s">
        <v>1100</v>
      </c>
      <c r="G2779" s="49" t="s">
        <v>1064</v>
      </c>
      <c r="H2779" s="841" t="s">
        <v>1680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1712</v>
      </c>
      <c r="E2780" s="850">
        <v>41253</v>
      </c>
      <c r="F2780" s="49" t="s">
        <v>1099</v>
      </c>
      <c r="G2780" s="49" t="s">
        <v>1065</v>
      </c>
      <c r="H2780" s="841" t="s">
        <v>1680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1712</v>
      </c>
      <c r="E2781" s="850">
        <v>41253</v>
      </c>
      <c r="F2781" s="49" t="s">
        <v>1098</v>
      </c>
      <c r="G2781" s="49" t="s">
        <v>1065</v>
      </c>
      <c r="H2781" s="841" t="s">
        <v>1680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1712</v>
      </c>
      <c r="E2782" s="850">
        <v>41253</v>
      </c>
      <c r="F2782" s="49" t="s">
        <v>1097</v>
      </c>
      <c r="G2782" s="49" t="s">
        <v>1065</v>
      </c>
      <c r="H2782" s="841" t="s">
        <v>1680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1712</v>
      </c>
      <c r="E2783" s="850">
        <v>41262</v>
      </c>
      <c r="F2783" s="853" t="s">
        <v>1096</v>
      </c>
      <c r="G2783" s="49" t="s">
        <v>1067</v>
      </c>
      <c r="H2783" s="841" t="s">
        <v>1680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1712</v>
      </c>
      <c r="E2784" s="850">
        <v>41262</v>
      </c>
      <c r="F2784" s="49" t="s">
        <v>1068</v>
      </c>
      <c r="G2784" s="49" t="s">
        <v>1069</v>
      </c>
      <c r="H2784" s="841" t="s">
        <v>1680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1712</v>
      </c>
      <c r="E2785" s="850">
        <v>41262</v>
      </c>
      <c r="F2785" s="49" t="s">
        <v>1070</v>
      </c>
      <c r="G2785" s="49" t="s">
        <v>1069</v>
      </c>
      <c r="H2785" s="841" t="s">
        <v>1680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1712</v>
      </c>
      <c r="E2786" s="850">
        <v>41262</v>
      </c>
      <c r="F2786" s="49" t="s">
        <v>1153</v>
      </c>
      <c r="G2786" s="49" t="s">
        <v>1069</v>
      </c>
      <c r="H2786" s="841" t="s">
        <v>1680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1712</v>
      </c>
      <c r="E2787" s="850">
        <v>41262</v>
      </c>
      <c r="F2787" s="49" t="s">
        <v>1095</v>
      </c>
      <c r="G2787" s="49" t="s">
        <v>1069</v>
      </c>
      <c r="H2787" s="841" t="s">
        <v>1680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1712</v>
      </c>
      <c r="E2788" s="850">
        <v>41263</v>
      </c>
      <c r="F2788" s="49" t="s">
        <v>1094</v>
      </c>
      <c r="G2788" s="49" t="s">
        <v>1071</v>
      </c>
      <c r="H2788" s="841" t="s">
        <v>1680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1712</v>
      </c>
      <c r="E2789" s="850">
        <v>41263</v>
      </c>
      <c r="F2789" s="49" t="s">
        <v>1045</v>
      </c>
      <c r="G2789" s="49" t="s">
        <v>1071</v>
      </c>
      <c r="H2789" s="841" t="s">
        <v>1680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1712</v>
      </c>
      <c r="E2790" s="850">
        <v>41263</v>
      </c>
      <c r="F2790" s="49" t="s">
        <v>1044</v>
      </c>
      <c r="G2790" s="49" t="s">
        <v>1071</v>
      </c>
      <c r="H2790" s="841" t="s">
        <v>1680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1712</v>
      </c>
      <c r="E2791" s="850">
        <v>41263</v>
      </c>
      <c r="F2791" s="49" t="s">
        <v>1153</v>
      </c>
      <c r="G2791" s="49" t="s">
        <v>1071</v>
      </c>
      <c r="H2791" s="841" t="s">
        <v>1680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1712</v>
      </c>
      <c r="E2792" s="850">
        <v>41263</v>
      </c>
      <c r="F2792" s="49" t="s">
        <v>1072</v>
      </c>
      <c r="G2792" s="49" t="s">
        <v>1071</v>
      </c>
      <c r="H2792" s="841" t="s">
        <v>1680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1712</v>
      </c>
      <c r="E2793" s="850">
        <v>41265</v>
      </c>
      <c r="F2793" s="49" t="s">
        <v>1073</v>
      </c>
      <c r="G2793" s="49" t="s">
        <v>1074</v>
      </c>
      <c r="H2793" s="841" t="s">
        <v>1680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1712</v>
      </c>
      <c r="E2794" s="850">
        <v>41265</v>
      </c>
      <c r="F2794" s="49" t="s">
        <v>1093</v>
      </c>
      <c r="G2794" s="49" t="s">
        <v>1075</v>
      </c>
      <c r="H2794" s="841" t="s">
        <v>1680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1712</v>
      </c>
      <c r="E2795" s="850">
        <v>41265</v>
      </c>
      <c r="F2795" s="49" t="s">
        <v>1092</v>
      </c>
      <c r="G2795" s="49" t="s">
        <v>1075</v>
      </c>
      <c r="H2795" s="841" t="s">
        <v>1680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1712</v>
      </c>
      <c r="E2796" s="850">
        <v>41272</v>
      </c>
      <c r="F2796" s="49" t="s">
        <v>1090</v>
      </c>
      <c r="G2796" s="49" t="s">
        <v>1076</v>
      </c>
      <c r="H2796" s="841" t="s">
        <v>1680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1712</v>
      </c>
      <c r="E2797" s="850">
        <v>41272</v>
      </c>
      <c r="F2797" s="49" t="s">
        <v>1091</v>
      </c>
      <c r="G2797" s="49" t="s">
        <v>1076</v>
      </c>
      <c r="H2797" s="841" t="s">
        <v>1680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1712</v>
      </c>
      <c r="E2798" s="850">
        <v>41272</v>
      </c>
      <c r="F2798" s="49" t="s">
        <v>1089</v>
      </c>
      <c r="G2798" s="49" t="s">
        <v>1078</v>
      </c>
      <c r="H2798" s="841" t="s">
        <v>1680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26" customFormat="1" ht="15.75" customHeight="1">
      <c r="A2799" s="842" t="str">
        <f>IF(B2799&lt;&gt;"",IF(AND(B2799&gt;=_TM1,B2799&lt;=_TM2,OR(TH!L2799="1111",TH!M2799="1111")),TH!D2799,""),"")</f>
        <v/>
      </c>
      <c r="B2799" s="817">
        <f t="shared" si="157"/>
        <v>1</v>
      </c>
      <c r="C2799" s="843">
        <f t="shared" si="159"/>
        <v>40915</v>
      </c>
      <c r="D2799" s="843" t="s">
        <v>1713</v>
      </c>
      <c r="E2799" s="818">
        <v>40915</v>
      </c>
      <c r="F2799" s="848" t="s">
        <v>1453</v>
      </c>
      <c r="G2799" s="848" t="s">
        <v>1452</v>
      </c>
      <c r="H2799" s="846" t="s">
        <v>1681</v>
      </c>
      <c r="I2799" s="822">
        <v>25</v>
      </c>
      <c r="J2799" s="822">
        <v>43569.858268409291</v>
      </c>
      <c r="K2799" s="823">
        <f t="shared" si="158"/>
        <v>1089246</v>
      </c>
      <c r="L2799" s="844" t="s">
        <v>183</v>
      </c>
      <c r="M2799" s="844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1713</v>
      </c>
      <c r="E2800" s="191">
        <v>40915</v>
      </c>
      <c r="F2800" s="40" t="s">
        <v>1454</v>
      </c>
      <c r="G2800" s="40" t="s">
        <v>1452</v>
      </c>
      <c r="H2800" s="7" t="s">
        <v>1681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1713</v>
      </c>
      <c r="E2801" s="191">
        <v>40915</v>
      </c>
      <c r="F2801" s="40" t="s">
        <v>1455</v>
      </c>
      <c r="G2801" s="40" t="s">
        <v>1452</v>
      </c>
      <c r="H2801" s="7" t="s">
        <v>1681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1713</v>
      </c>
      <c r="E2802" s="191">
        <v>40915</v>
      </c>
      <c r="F2802" s="40" t="s">
        <v>1456</v>
      </c>
      <c r="G2802" s="40" t="s">
        <v>1452</v>
      </c>
      <c r="H2802" s="7" t="s">
        <v>1681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1713</v>
      </c>
      <c r="E2803" s="191">
        <v>40915</v>
      </c>
      <c r="F2803" s="40" t="s">
        <v>1457</v>
      </c>
      <c r="G2803" s="40" t="s">
        <v>1452</v>
      </c>
      <c r="H2803" s="7" t="s">
        <v>1681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1713</v>
      </c>
      <c r="E2804" s="191">
        <v>40915</v>
      </c>
      <c r="F2804" s="40" t="s">
        <v>1458</v>
      </c>
      <c r="G2804" s="40" t="s">
        <v>899</v>
      </c>
      <c r="H2804" s="7" t="s">
        <v>1681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1713</v>
      </c>
      <c r="E2805" s="191">
        <v>40915</v>
      </c>
      <c r="F2805" s="40" t="s">
        <v>1086</v>
      </c>
      <c r="G2805" s="40" t="s">
        <v>899</v>
      </c>
      <c r="H2805" s="7" t="s">
        <v>1681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1713</v>
      </c>
      <c r="E2806" s="191">
        <v>40915</v>
      </c>
      <c r="F2806" s="40" t="s">
        <v>1459</v>
      </c>
      <c r="G2806" s="40" t="s">
        <v>899</v>
      </c>
      <c r="H2806" s="7" t="s">
        <v>1681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1713</v>
      </c>
      <c r="E2807" s="191">
        <v>40915</v>
      </c>
      <c r="F2807" s="40" t="s">
        <v>1460</v>
      </c>
      <c r="G2807" s="40" t="s">
        <v>899</v>
      </c>
      <c r="H2807" s="7" t="s">
        <v>1681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1713</v>
      </c>
      <c r="E2808" s="191">
        <v>40915</v>
      </c>
      <c r="F2808" s="40" t="s">
        <v>1087</v>
      </c>
      <c r="G2808" s="40" t="s">
        <v>899</v>
      </c>
      <c r="H2808" s="7" t="s">
        <v>1681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1713</v>
      </c>
      <c r="E2809" s="191">
        <v>40917</v>
      </c>
      <c r="F2809" s="40" t="s">
        <v>1161</v>
      </c>
      <c r="G2809" s="40" t="s">
        <v>901</v>
      </c>
      <c r="H2809" s="7" t="s">
        <v>1681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1713</v>
      </c>
      <c r="E2810" s="191">
        <v>40917</v>
      </c>
      <c r="F2810" s="40" t="s">
        <v>900</v>
      </c>
      <c r="G2810" s="40" t="s">
        <v>903</v>
      </c>
      <c r="H2810" s="7" t="s">
        <v>1681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1713</v>
      </c>
      <c r="E2811" s="191">
        <v>40918</v>
      </c>
      <c r="F2811" s="40" t="s">
        <v>900</v>
      </c>
      <c r="G2811" s="40" t="s">
        <v>904</v>
      </c>
      <c r="H2811" s="7" t="s">
        <v>1681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1713</v>
      </c>
      <c r="E2812" s="191">
        <v>40922</v>
      </c>
      <c r="F2812" s="40" t="s">
        <v>1088</v>
      </c>
      <c r="G2812" s="40" t="s">
        <v>905</v>
      </c>
      <c r="H2812" s="7" t="s">
        <v>1681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1713</v>
      </c>
      <c r="E2813" s="191">
        <v>40922</v>
      </c>
      <c r="F2813" s="40" t="s">
        <v>1461</v>
      </c>
      <c r="G2813" s="40" t="s">
        <v>905</v>
      </c>
      <c r="H2813" s="7" t="s">
        <v>1681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1713</v>
      </c>
      <c r="E2814" s="191">
        <v>40922</v>
      </c>
      <c r="F2814" s="40" t="s">
        <v>1462</v>
      </c>
      <c r="G2814" s="40" t="s">
        <v>905</v>
      </c>
      <c r="H2814" s="7" t="s">
        <v>1681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1713</v>
      </c>
      <c r="E2815" s="191">
        <v>40922</v>
      </c>
      <c r="F2815" s="40" t="s">
        <v>1463</v>
      </c>
      <c r="G2815" s="40" t="s">
        <v>905</v>
      </c>
      <c r="H2815" s="7" t="s">
        <v>1681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1713</v>
      </c>
      <c r="E2816" s="191">
        <v>40924</v>
      </c>
      <c r="F2816" s="40" t="s">
        <v>1456</v>
      </c>
      <c r="G2816" s="40" t="s">
        <v>906</v>
      </c>
      <c r="H2816" s="7" t="s">
        <v>1681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1713</v>
      </c>
      <c r="E2817" s="191">
        <v>40924</v>
      </c>
      <c r="F2817" s="40" t="s">
        <v>1458</v>
      </c>
      <c r="G2817" s="40" t="s">
        <v>906</v>
      </c>
      <c r="H2817" s="7" t="s">
        <v>1681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1713</v>
      </c>
      <c r="E2818" s="191">
        <v>40924</v>
      </c>
      <c r="F2818" s="40" t="s">
        <v>1459</v>
      </c>
      <c r="G2818" s="40" t="s">
        <v>906</v>
      </c>
      <c r="H2818" s="7" t="s">
        <v>1681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1713</v>
      </c>
      <c r="E2819" s="191">
        <v>40924</v>
      </c>
      <c r="F2819" s="40" t="s">
        <v>1210</v>
      </c>
      <c r="G2819" s="40" t="s">
        <v>906</v>
      </c>
      <c r="H2819" s="7" t="s">
        <v>1681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1713</v>
      </c>
      <c r="E2820" s="191">
        <v>40924</v>
      </c>
      <c r="F2820" s="40" t="s">
        <v>1211</v>
      </c>
      <c r="G2820" s="40" t="s">
        <v>906</v>
      </c>
      <c r="H2820" s="7" t="s">
        <v>1681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1713</v>
      </c>
      <c r="E2821" s="191">
        <v>40924</v>
      </c>
      <c r="F2821" s="40" t="s">
        <v>1460</v>
      </c>
      <c r="G2821" s="40" t="s">
        <v>906</v>
      </c>
      <c r="H2821" s="7" t="s">
        <v>1681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1713</v>
      </c>
      <c r="E2822" s="191">
        <v>40925</v>
      </c>
      <c r="F2822" s="40" t="s">
        <v>1471</v>
      </c>
      <c r="G2822" s="40" t="s">
        <v>1522</v>
      </c>
      <c r="H2822" s="7" t="s">
        <v>1681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1713</v>
      </c>
      <c r="E2823" s="191">
        <v>40925</v>
      </c>
      <c r="F2823" s="40" t="s">
        <v>1472</v>
      </c>
      <c r="G2823" s="40" t="s">
        <v>1522</v>
      </c>
      <c r="H2823" s="7" t="s">
        <v>1681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1713</v>
      </c>
      <c r="E2824" s="191">
        <v>40925</v>
      </c>
      <c r="F2824" s="40" t="s">
        <v>1473</v>
      </c>
      <c r="G2824" s="40" t="s">
        <v>1522</v>
      </c>
      <c r="H2824" s="7" t="s">
        <v>1681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1713</v>
      </c>
      <c r="E2825" s="191">
        <v>40925</v>
      </c>
      <c r="F2825" s="40" t="s">
        <v>1474</v>
      </c>
      <c r="G2825" s="40" t="s">
        <v>1522</v>
      </c>
      <c r="H2825" s="7" t="s">
        <v>1681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1713</v>
      </c>
      <c r="E2826" s="191">
        <v>40925</v>
      </c>
      <c r="F2826" s="40" t="s">
        <v>1475</v>
      </c>
      <c r="G2826" s="40" t="s">
        <v>1522</v>
      </c>
      <c r="H2826" s="7" t="s">
        <v>1681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1713</v>
      </c>
      <c r="E2827" s="191">
        <v>40925</v>
      </c>
      <c r="F2827" s="40" t="s">
        <v>1476</v>
      </c>
      <c r="G2827" s="40" t="s">
        <v>1522</v>
      </c>
      <c r="H2827" s="7" t="s">
        <v>1681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1713</v>
      </c>
      <c r="E2828" s="191">
        <v>40925</v>
      </c>
      <c r="F2828" s="40" t="s">
        <v>1477</v>
      </c>
      <c r="G2828" s="40" t="s">
        <v>1522</v>
      </c>
      <c r="H2828" s="7" t="s">
        <v>1681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1713</v>
      </c>
      <c r="E2829" s="191">
        <v>40925</v>
      </c>
      <c r="F2829" s="40" t="s">
        <v>1523</v>
      </c>
      <c r="G2829" s="40" t="s">
        <v>1522</v>
      </c>
      <c r="H2829" s="7" t="s">
        <v>1681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1713</v>
      </c>
      <c r="E2830" s="191">
        <v>40925</v>
      </c>
      <c r="F2830" s="40" t="s">
        <v>1479</v>
      </c>
      <c r="G2830" s="40" t="s">
        <v>1522</v>
      </c>
      <c r="H2830" s="7" t="s">
        <v>1681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1713</v>
      </c>
      <c r="E2831" s="191">
        <v>40925</v>
      </c>
      <c r="F2831" s="40" t="s">
        <v>1480</v>
      </c>
      <c r="G2831" s="40" t="s">
        <v>1522</v>
      </c>
      <c r="H2831" s="7" t="s">
        <v>1681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1713</v>
      </c>
      <c r="E2832" s="191">
        <v>40926</v>
      </c>
      <c r="F2832" s="40" t="s">
        <v>1487</v>
      </c>
      <c r="G2832" s="40" t="s">
        <v>1524</v>
      </c>
      <c r="H2832" s="7" t="s">
        <v>1681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1713</v>
      </c>
      <c r="E2833" s="191">
        <v>40926</v>
      </c>
      <c r="F2833" s="40" t="s">
        <v>1488</v>
      </c>
      <c r="G2833" s="40" t="s">
        <v>1524</v>
      </c>
      <c r="H2833" s="7" t="s">
        <v>1681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1713</v>
      </c>
      <c r="E2834" s="191">
        <v>40926</v>
      </c>
      <c r="F2834" s="40" t="s">
        <v>1489</v>
      </c>
      <c r="G2834" s="40" t="s">
        <v>1524</v>
      </c>
      <c r="H2834" s="7" t="s">
        <v>1681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1713</v>
      </c>
      <c r="E2835" s="191">
        <v>40926</v>
      </c>
      <c r="F2835" s="40" t="s">
        <v>1473</v>
      </c>
      <c r="G2835" s="40" t="s">
        <v>1524</v>
      </c>
      <c r="H2835" s="7" t="s">
        <v>1681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1713</v>
      </c>
      <c r="E2836" s="191">
        <v>40926</v>
      </c>
      <c r="F2836" s="40" t="s">
        <v>1484</v>
      </c>
      <c r="G2836" s="40" t="s">
        <v>1524</v>
      </c>
      <c r="H2836" s="7" t="s">
        <v>1681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1713</v>
      </c>
      <c r="E2837" s="191">
        <v>40926</v>
      </c>
      <c r="F2837" s="40" t="s">
        <v>1525</v>
      </c>
      <c r="G2837" s="40" t="s">
        <v>1524</v>
      </c>
      <c r="H2837" s="7" t="s">
        <v>1681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1713</v>
      </c>
      <c r="E2838" s="191">
        <v>40926</v>
      </c>
      <c r="F2838" s="40" t="s">
        <v>1491</v>
      </c>
      <c r="G2838" s="40" t="s">
        <v>1524</v>
      </c>
      <c r="H2838" s="7" t="s">
        <v>1681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1713</v>
      </c>
      <c r="E2839" s="191">
        <v>40926</v>
      </c>
      <c r="F2839" s="40" t="s">
        <v>1492</v>
      </c>
      <c r="G2839" s="40" t="s">
        <v>1524</v>
      </c>
      <c r="H2839" s="7" t="s">
        <v>1681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1713</v>
      </c>
      <c r="E2840" s="191">
        <v>40926</v>
      </c>
      <c r="F2840" s="40" t="s">
        <v>1493</v>
      </c>
      <c r="G2840" s="40" t="s">
        <v>1524</v>
      </c>
      <c r="H2840" s="7" t="s">
        <v>1681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1713</v>
      </c>
      <c r="E2841" s="191">
        <v>40926</v>
      </c>
      <c r="F2841" s="40" t="s">
        <v>1494</v>
      </c>
      <c r="G2841" s="40" t="s">
        <v>1524</v>
      </c>
      <c r="H2841" s="7" t="s">
        <v>1681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1713</v>
      </c>
      <c r="E2842" s="191">
        <v>40938</v>
      </c>
      <c r="F2842" s="40" t="s">
        <v>1471</v>
      </c>
      <c r="G2842" s="40" t="s">
        <v>1526</v>
      </c>
      <c r="H2842" s="7" t="s">
        <v>1681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1713</v>
      </c>
      <c r="E2843" s="191">
        <v>40938</v>
      </c>
      <c r="F2843" s="40" t="s">
        <v>1530</v>
      </c>
      <c r="G2843" s="40" t="s">
        <v>1526</v>
      </c>
      <c r="H2843" s="7" t="s">
        <v>1681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1713</v>
      </c>
      <c r="E2844" s="191">
        <v>40938</v>
      </c>
      <c r="F2844" s="40" t="s">
        <v>1501</v>
      </c>
      <c r="G2844" s="40" t="s">
        <v>1526</v>
      </c>
      <c r="H2844" s="7" t="s">
        <v>1681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1713</v>
      </c>
      <c r="E2845" s="191">
        <v>40938</v>
      </c>
      <c r="F2845" s="40" t="s">
        <v>1497</v>
      </c>
      <c r="G2845" s="40" t="s">
        <v>1526</v>
      </c>
      <c r="H2845" s="7" t="s">
        <v>1681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1713</v>
      </c>
      <c r="E2846" s="191">
        <v>40938</v>
      </c>
      <c r="F2846" s="40" t="s">
        <v>1491</v>
      </c>
      <c r="G2846" s="40" t="s">
        <v>1526</v>
      </c>
      <c r="H2846" s="7" t="s">
        <v>1681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1713</v>
      </c>
      <c r="E2847" s="191">
        <v>40938</v>
      </c>
      <c r="F2847" s="40" t="s">
        <v>1499</v>
      </c>
      <c r="G2847" s="40" t="s">
        <v>1526</v>
      </c>
      <c r="H2847" s="7" t="s">
        <v>1681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1713</v>
      </c>
      <c r="E2848" s="191">
        <v>40938</v>
      </c>
      <c r="F2848" s="40" t="s">
        <v>1473</v>
      </c>
      <c r="G2848" s="40" t="s">
        <v>1526</v>
      </c>
      <c r="H2848" s="7" t="s">
        <v>1681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1713</v>
      </c>
      <c r="E2849" s="191">
        <v>40938</v>
      </c>
      <c r="F2849" s="40" t="s">
        <v>1484</v>
      </c>
      <c r="G2849" s="40" t="s">
        <v>1526</v>
      </c>
      <c r="H2849" s="7" t="s">
        <v>1681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1713</v>
      </c>
      <c r="E2850" s="191">
        <v>40938</v>
      </c>
      <c r="F2850" s="40" t="s">
        <v>1494</v>
      </c>
      <c r="G2850" s="40" t="s">
        <v>1526</v>
      </c>
      <c r="H2850" s="7" t="s">
        <v>1681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1713</v>
      </c>
      <c r="E2851" s="191">
        <v>40938</v>
      </c>
      <c r="F2851" s="40" t="s">
        <v>1491</v>
      </c>
      <c r="G2851" s="40" t="s">
        <v>1526</v>
      </c>
      <c r="H2851" s="7" t="s">
        <v>1681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1713</v>
      </c>
      <c r="E2852" s="191">
        <v>40939</v>
      </c>
      <c r="F2852" s="40" t="s">
        <v>1473</v>
      </c>
      <c r="G2852" s="40" t="s">
        <v>1527</v>
      </c>
      <c r="H2852" s="7" t="s">
        <v>1681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1713</v>
      </c>
      <c r="E2853" s="191">
        <v>40939</v>
      </c>
      <c r="F2853" s="40" t="s">
        <v>1531</v>
      </c>
      <c r="G2853" s="40" t="s">
        <v>1527</v>
      </c>
      <c r="H2853" s="7" t="s">
        <v>1681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1713</v>
      </c>
      <c r="E2854" s="191">
        <v>40939</v>
      </c>
      <c r="F2854" s="40" t="s">
        <v>1525</v>
      </c>
      <c r="G2854" s="40" t="s">
        <v>1527</v>
      </c>
      <c r="H2854" s="7" t="s">
        <v>1681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1713</v>
      </c>
      <c r="E2855" s="191">
        <v>40939</v>
      </c>
      <c r="F2855" s="40" t="s">
        <v>1491</v>
      </c>
      <c r="G2855" s="40" t="s">
        <v>1527</v>
      </c>
      <c r="H2855" s="7" t="s">
        <v>1681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1713</v>
      </c>
      <c r="E2856" s="191">
        <v>40939</v>
      </c>
      <c r="F2856" s="40" t="s">
        <v>1492</v>
      </c>
      <c r="G2856" s="40" t="s">
        <v>1527</v>
      </c>
      <c r="H2856" s="7" t="s">
        <v>1681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1713</v>
      </c>
      <c r="E2857" s="191">
        <v>40939</v>
      </c>
      <c r="F2857" s="40" t="s">
        <v>1501</v>
      </c>
      <c r="G2857" s="40" t="s">
        <v>1527</v>
      </c>
      <c r="H2857" s="7" t="s">
        <v>1681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1713</v>
      </c>
      <c r="E2858" s="191">
        <v>40939</v>
      </c>
      <c r="F2858" s="40" t="s">
        <v>1497</v>
      </c>
      <c r="G2858" s="40" t="s">
        <v>1527</v>
      </c>
      <c r="H2858" s="7" t="s">
        <v>1681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1713</v>
      </c>
      <c r="E2859" s="191">
        <v>40939</v>
      </c>
      <c r="F2859" s="40" t="s">
        <v>1491</v>
      </c>
      <c r="G2859" s="40" t="s">
        <v>1527</v>
      </c>
      <c r="H2859" s="7" t="s">
        <v>1681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1713</v>
      </c>
      <c r="E2860" s="191">
        <v>40939</v>
      </c>
      <c r="F2860" s="40" t="s">
        <v>1499</v>
      </c>
      <c r="G2860" s="40" t="s">
        <v>1527</v>
      </c>
      <c r="H2860" s="7" t="s">
        <v>1681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1713</v>
      </c>
      <c r="E2861" s="191">
        <v>40939</v>
      </c>
      <c r="F2861" s="40" t="s">
        <v>1473</v>
      </c>
      <c r="G2861" s="40" t="s">
        <v>1527</v>
      </c>
      <c r="H2861" s="7" t="s">
        <v>1681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1713</v>
      </c>
      <c r="E2862" s="191">
        <v>40946</v>
      </c>
      <c r="F2862" s="40" t="s">
        <v>1209</v>
      </c>
      <c r="G2862" s="40" t="s">
        <v>907</v>
      </c>
      <c r="H2862" s="7" t="s">
        <v>1681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1713</v>
      </c>
      <c r="E2863" s="191">
        <v>40946</v>
      </c>
      <c r="F2863" s="40" t="s">
        <v>1181</v>
      </c>
      <c r="G2863" s="40" t="s">
        <v>907</v>
      </c>
      <c r="H2863" s="7" t="s">
        <v>1681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1713</v>
      </c>
      <c r="E2864" s="191">
        <v>40946</v>
      </c>
      <c r="F2864" s="40" t="s">
        <v>1208</v>
      </c>
      <c r="G2864" s="40" t="s">
        <v>907</v>
      </c>
      <c r="H2864" s="7" t="s">
        <v>1681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1713</v>
      </c>
      <c r="E2865" s="191">
        <v>40946</v>
      </c>
      <c r="F2865" s="40" t="s">
        <v>908</v>
      </c>
      <c r="G2865" s="40" t="s">
        <v>907</v>
      </c>
      <c r="H2865" s="7" t="s">
        <v>1681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1713</v>
      </c>
      <c r="E2866" s="191">
        <v>40946</v>
      </c>
      <c r="F2866" s="40" t="s">
        <v>909</v>
      </c>
      <c r="G2866" s="40" t="s">
        <v>907</v>
      </c>
      <c r="H2866" s="7" t="s">
        <v>1681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1713</v>
      </c>
      <c r="E2867" s="191">
        <v>40953</v>
      </c>
      <c r="F2867" s="40" t="s">
        <v>910</v>
      </c>
      <c r="G2867" s="40" t="s">
        <v>911</v>
      </c>
      <c r="H2867" s="7" t="s">
        <v>1681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1713</v>
      </c>
      <c r="E2868" s="191">
        <v>40953</v>
      </c>
      <c r="F2868" s="40" t="s">
        <v>1132</v>
      </c>
      <c r="G2868" s="40" t="s">
        <v>1528</v>
      </c>
      <c r="H2868" s="7" t="s">
        <v>1681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1713</v>
      </c>
      <c r="E2869" s="191">
        <v>40956</v>
      </c>
      <c r="F2869" s="40" t="s">
        <v>526</v>
      </c>
      <c r="G2869" s="40" t="s">
        <v>912</v>
      </c>
      <c r="H2869" s="7" t="s">
        <v>1681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1713</v>
      </c>
      <c r="E2870" s="191">
        <v>40959</v>
      </c>
      <c r="F2870" s="40" t="s">
        <v>1132</v>
      </c>
      <c r="G2870" s="40" t="s">
        <v>1529</v>
      </c>
      <c r="H2870" s="7" t="s">
        <v>1681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1713</v>
      </c>
      <c r="E2871" s="191">
        <v>40959</v>
      </c>
      <c r="F2871" s="40" t="s">
        <v>1532</v>
      </c>
      <c r="G2871" s="40" t="s">
        <v>1529</v>
      </c>
      <c r="H2871" s="7" t="s">
        <v>1681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1713</v>
      </c>
      <c r="E2872" s="191">
        <v>40962</v>
      </c>
      <c r="F2872" s="40" t="s">
        <v>1465</v>
      </c>
      <c r="G2872" s="40" t="s">
        <v>913</v>
      </c>
      <c r="H2872" s="7" t="s">
        <v>1681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1713</v>
      </c>
      <c r="E2873" s="191">
        <v>40963</v>
      </c>
      <c r="F2873" s="40" t="s">
        <v>1534</v>
      </c>
      <c r="G2873" s="40" t="s">
        <v>1533</v>
      </c>
      <c r="H2873" s="7" t="s">
        <v>1681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1713</v>
      </c>
      <c r="E2874" s="191">
        <v>40963</v>
      </c>
      <c r="F2874" s="40" t="s">
        <v>1535</v>
      </c>
      <c r="G2874" s="40" t="s">
        <v>1533</v>
      </c>
      <c r="H2874" s="7" t="s">
        <v>1681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1713</v>
      </c>
      <c r="E2875" s="191">
        <v>40965</v>
      </c>
      <c r="F2875" s="40" t="s">
        <v>1471</v>
      </c>
      <c r="G2875" s="40" t="s">
        <v>1470</v>
      </c>
      <c r="H2875" s="7" t="s">
        <v>1681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1713</v>
      </c>
      <c r="E2876" s="191">
        <v>40965</v>
      </c>
      <c r="F2876" s="40" t="s">
        <v>1472</v>
      </c>
      <c r="G2876" s="40" t="s">
        <v>1470</v>
      </c>
      <c r="H2876" s="7" t="s">
        <v>1681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1713</v>
      </c>
      <c r="E2877" s="191">
        <v>40965</v>
      </c>
      <c r="F2877" s="40" t="s">
        <v>1473</v>
      </c>
      <c r="G2877" s="40" t="s">
        <v>1470</v>
      </c>
      <c r="H2877" s="7" t="s">
        <v>1681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1713</v>
      </c>
      <c r="E2878" s="191">
        <v>40965</v>
      </c>
      <c r="F2878" s="40" t="s">
        <v>1474</v>
      </c>
      <c r="G2878" s="40" t="s">
        <v>1470</v>
      </c>
      <c r="H2878" s="7" t="s">
        <v>1681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1713</v>
      </c>
      <c r="E2879" s="191">
        <v>40965</v>
      </c>
      <c r="F2879" s="40" t="s">
        <v>1475</v>
      </c>
      <c r="G2879" s="40" t="s">
        <v>1470</v>
      </c>
      <c r="H2879" s="7" t="s">
        <v>1681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1713</v>
      </c>
      <c r="E2880" s="191">
        <v>40965</v>
      </c>
      <c r="F2880" s="40" t="s">
        <v>1476</v>
      </c>
      <c r="G2880" s="40" t="s">
        <v>1470</v>
      </c>
      <c r="H2880" s="7" t="s">
        <v>1681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1713</v>
      </c>
      <c r="E2881" s="191">
        <v>40965</v>
      </c>
      <c r="F2881" s="40" t="s">
        <v>1477</v>
      </c>
      <c r="G2881" s="40" t="s">
        <v>1470</v>
      </c>
      <c r="H2881" s="7" t="s">
        <v>1681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1713</v>
      </c>
      <c r="E2882" s="191">
        <v>40965</v>
      </c>
      <c r="F2882" s="40" t="s">
        <v>1478</v>
      </c>
      <c r="G2882" s="40" t="s">
        <v>1470</v>
      </c>
      <c r="H2882" s="7" t="s">
        <v>1681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1713</v>
      </c>
      <c r="E2883" s="191">
        <v>40965</v>
      </c>
      <c r="F2883" s="40" t="s">
        <v>1479</v>
      </c>
      <c r="G2883" s="40" t="s">
        <v>1470</v>
      </c>
      <c r="H2883" s="7" t="s">
        <v>1681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1713</v>
      </c>
      <c r="E2884" s="191">
        <v>40965</v>
      </c>
      <c r="F2884" s="40" t="s">
        <v>1480</v>
      </c>
      <c r="G2884" s="40" t="s">
        <v>1470</v>
      </c>
      <c r="H2884" s="7" t="s">
        <v>1681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1713</v>
      </c>
      <c r="E2885" s="191">
        <v>40965</v>
      </c>
      <c r="F2885" s="40" t="s">
        <v>1481</v>
      </c>
      <c r="G2885" s="40" t="s">
        <v>1470</v>
      </c>
      <c r="H2885" s="7" t="s">
        <v>1681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1713</v>
      </c>
      <c r="E2886" s="191">
        <v>40965</v>
      </c>
      <c r="F2886" s="40" t="s">
        <v>1482</v>
      </c>
      <c r="G2886" s="40" t="s">
        <v>1470</v>
      </c>
      <c r="H2886" s="7" t="s">
        <v>1681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1713</v>
      </c>
      <c r="E2887" s="191">
        <v>40965</v>
      </c>
      <c r="F2887" s="40" t="s">
        <v>1483</v>
      </c>
      <c r="G2887" s="40" t="s">
        <v>1470</v>
      </c>
      <c r="H2887" s="7" t="s">
        <v>1681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1713</v>
      </c>
      <c r="E2888" s="191">
        <v>40965</v>
      </c>
      <c r="F2888" s="40" t="s">
        <v>1484</v>
      </c>
      <c r="G2888" s="40" t="s">
        <v>1470</v>
      </c>
      <c r="H2888" s="7" t="s">
        <v>1681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1713</v>
      </c>
      <c r="E2889" s="191">
        <v>40965</v>
      </c>
      <c r="F2889" s="40" t="s">
        <v>1485</v>
      </c>
      <c r="G2889" s="40" t="s">
        <v>1470</v>
      </c>
      <c r="H2889" s="7" t="s">
        <v>1681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1713</v>
      </c>
      <c r="E2890" s="191">
        <v>40965</v>
      </c>
      <c r="F2890" s="40" t="s">
        <v>1486</v>
      </c>
      <c r="G2890" s="40" t="s">
        <v>1470</v>
      </c>
      <c r="H2890" s="7" t="s">
        <v>1681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1713</v>
      </c>
      <c r="E2891" s="191">
        <v>40965</v>
      </c>
      <c r="F2891" s="40" t="s">
        <v>1487</v>
      </c>
      <c r="G2891" s="40" t="s">
        <v>1470</v>
      </c>
      <c r="H2891" s="7" t="s">
        <v>1681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1713</v>
      </c>
      <c r="E2892" s="191">
        <v>40965</v>
      </c>
      <c r="F2892" s="40" t="s">
        <v>1488</v>
      </c>
      <c r="G2892" s="40" t="s">
        <v>1470</v>
      </c>
      <c r="H2892" s="7" t="s">
        <v>1681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1713</v>
      </c>
      <c r="E2893" s="191">
        <v>40965</v>
      </c>
      <c r="F2893" s="40" t="s">
        <v>1489</v>
      </c>
      <c r="G2893" s="40" t="s">
        <v>1470</v>
      </c>
      <c r="H2893" s="7" t="s">
        <v>1681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1713</v>
      </c>
      <c r="E2894" s="191">
        <v>40965</v>
      </c>
      <c r="F2894" s="40" t="s">
        <v>1473</v>
      </c>
      <c r="G2894" s="40" t="s">
        <v>1470</v>
      </c>
      <c r="H2894" s="7" t="s">
        <v>1681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1713</v>
      </c>
      <c r="E2895" s="191">
        <v>40965</v>
      </c>
      <c r="F2895" s="40" t="s">
        <v>1484</v>
      </c>
      <c r="G2895" s="40" t="s">
        <v>1470</v>
      </c>
      <c r="H2895" s="7" t="s">
        <v>1681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1713</v>
      </c>
      <c r="E2896" s="191">
        <v>40965</v>
      </c>
      <c r="F2896" s="40" t="s">
        <v>1490</v>
      </c>
      <c r="G2896" s="40" t="s">
        <v>1470</v>
      </c>
      <c r="H2896" s="7" t="s">
        <v>1681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1713</v>
      </c>
      <c r="E2897" s="191">
        <v>40965</v>
      </c>
      <c r="F2897" s="40" t="s">
        <v>1491</v>
      </c>
      <c r="G2897" s="40" t="s">
        <v>1470</v>
      </c>
      <c r="H2897" s="7" t="s">
        <v>1681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1713</v>
      </c>
      <c r="E2898" s="191">
        <v>40965</v>
      </c>
      <c r="F2898" s="40" t="s">
        <v>1492</v>
      </c>
      <c r="G2898" s="40" t="s">
        <v>1470</v>
      </c>
      <c r="H2898" s="7" t="s">
        <v>1681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1713</v>
      </c>
      <c r="E2899" s="191">
        <v>40965</v>
      </c>
      <c r="F2899" s="40" t="s">
        <v>1493</v>
      </c>
      <c r="G2899" s="40" t="s">
        <v>1470</v>
      </c>
      <c r="H2899" s="7" t="s">
        <v>1681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1713</v>
      </c>
      <c r="E2900" s="191">
        <v>40965</v>
      </c>
      <c r="F2900" s="40" t="s">
        <v>1494</v>
      </c>
      <c r="G2900" s="40" t="s">
        <v>1470</v>
      </c>
      <c r="H2900" s="7" t="s">
        <v>1681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1713</v>
      </c>
      <c r="E2901" s="191">
        <v>40965</v>
      </c>
      <c r="F2901" s="40" t="s">
        <v>909</v>
      </c>
      <c r="G2901" s="40" t="s">
        <v>1470</v>
      </c>
      <c r="H2901" s="7" t="s">
        <v>1681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1713</v>
      </c>
      <c r="E2902" s="191">
        <v>40965</v>
      </c>
      <c r="F2902" s="40" t="s">
        <v>1495</v>
      </c>
      <c r="G2902" s="40" t="s">
        <v>1470</v>
      </c>
      <c r="H2902" s="7" t="s">
        <v>1681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1713</v>
      </c>
      <c r="E2903" s="191">
        <v>40968</v>
      </c>
      <c r="F2903" s="40" t="s">
        <v>1506</v>
      </c>
      <c r="G2903" s="40" t="s">
        <v>1496</v>
      </c>
      <c r="H2903" s="7" t="s">
        <v>1681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1713</v>
      </c>
      <c r="E2904" s="191">
        <v>40968</v>
      </c>
      <c r="F2904" s="40" t="s">
        <v>1505</v>
      </c>
      <c r="G2904" s="40" t="s">
        <v>1496</v>
      </c>
      <c r="H2904" s="7" t="s">
        <v>1681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1713</v>
      </c>
      <c r="E2905" s="191">
        <v>40968</v>
      </c>
      <c r="F2905" s="40" t="s">
        <v>1472</v>
      </c>
      <c r="G2905" s="40" t="s">
        <v>1496</v>
      </c>
      <c r="H2905" s="7" t="s">
        <v>1681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1713</v>
      </c>
      <c r="E2906" s="191">
        <v>40968</v>
      </c>
      <c r="F2906" s="40" t="s">
        <v>1503</v>
      </c>
      <c r="G2906" s="40" t="s">
        <v>1496</v>
      </c>
      <c r="H2906" s="7" t="s">
        <v>1681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1713</v>
      </c>
      <c r="E2907" s="191">
        <v>40968</v>
      </c>
      <c r="F2907" s="40" t="s">
        <v>1486</v>
      </c>
      <c r="G2907" s="40" t="s">
        <v>1496</v>
      </c>
      <c r="H2907" s="7" t="s">
        <v>1681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1713</v>
      </c>
      <c r="E2908" s="191">
        <v>40968</v>
      </c>
      <c r="F2908" s="40" t="s">
        <v>1502</v>
      </c>
      <c r="G2908" s="40" t="s">
        <v>1496</v>
      </c>
      <c r="H2908" s="7" t="s">
        <v>1681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1713</v>
      </c>
      <c r="E2909" s="191">
        <v>40968</v>
      </c>
      <c r="F2909" s="40" t="s">
        <v>1504</v>
      </c>
      <c r="G2909" s="40" t="s">
        <v>1496</v>
      </c>
      <c r="H2909" s="7" t="s">
        <v>1681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1713</v>
      </c>
      <c r="E2910" s="191">
        <v>40968</v>
      </c>
      <c r="F2910" s="40" t="s">
        <v>1487</v>
      </c>
      <c r="G2910" s="40" t="s">
        <v>1496</v>
      </c>
      <c r="H2910" s="7" t="s">
        <v>1681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1713</v>
      </c>
      <c r="E2911" s="191">
        <v>40968</v>
      </c>
      <c r="F2911" s="40" t="s">
        <v>1489</v>
      </c>
      <c r="G2911" s="40" t="s">
        <v>1496</v>
      </c>
      <c r="H2911" s="7" t="s">
        <v>1681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1713</v>
      </c>
      <c r="E2912" s="191">
        <v>40968</v>
      </c>
      <c r="F2912" s="40" t="s">
        <v>1479</v>
      </c>
      <c r="G2912" s="40" t="s">
        <v>1496</v>
      </c>
      <c r="H2912" s="7" t="s">
        <v>1681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1713</v>
      </c>
      <c r="E2913" s="191">
        <v>40968</v>
      </c>
      <c r="F2913" s="40" t="s">
        <v>1480</v>
      </c>
      <c r="G2913" s="40" t="s">
        <v>1496</v>
      </c>
      <c r="H2913" s="7" t="s">
        <v>1681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1713</v>
      </c>
      <c r="E2914" s="191">
        <v>40968</v>
      </c>
      <c r="F2914" s="40" t="s">
        <v>1500</v>
      </c>
      <c r="G2914" s="40" t="s">
        <v>1496</v>
      </c>
      <c r="H2914" s="7" t="s">
        <v>1681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1713</v>
      </c>
      <c r="E2915" s="191">
        <v>40968</v>
      </c>
      <c r="F2915" s="40" t="s">
        <v>1481</v>
      </c>
      <c r="G2915" s="40" t="s">
        <v>1496</v>
      </c>
      <c r="H2915" s="7" t="s">
        <v>1681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1713</v>
      </c>
      <c r="E2916" s="191">
        <v>40968</v>
      </c>
      <c r="F2916" s="40" t="s">
        <v>1471</v>
      </c>
      <c r="G2916" s="40" t="s">
        <v>1496</v>
      </c>
      <c r="H2916" s="7" t="s">
        <v>1681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1713</v>
      </c>
      <c r="E2917" s="191">
        <v>40968</v>
      </c>
      <c r="F2917" s="40" t="s">
        <v>1485</v>
      </c>
      <c r="G2917" s="40" t="s">
        <v>1496</v>
      </c>
      <c r="H2917" s="7" t="s">
        <v>1681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1713</v>
      </c>
      <c r="E2918" s="191">
        <v>40968</v>
      </c>
      <c r="F2918" s="40" t="s">
        <v>1501</v>
      </c>
      <c r="G2918" s="40" t="s">
        <v>1496</v>
      </c>
      <c r="H2918" s="7" t="s">
        <v>1681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1713</v>
      </c>
      <c r="E2919" s="191">
        <v>40968</v>
      </c>
      <c r="F2919" s="40" t="s">
        <v>1497</v>
      </c>
      <c r="G2919" s="40" t="s">
        <v>1496</v>
      </c>
      <c r="H2919" s="7" t="s">
        <v>1681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1713</v>
      </c>
      <c r="E2920" s="191">
        <v>40968</v>
      </c>
      <c r="F2920" s="40" t="s">
        <v>1488</v>
      </c>
      <c r="G2920" s="40" t="s">
        <v>1496</v>
      </c>
      <c r="H2920" s="7" t="s">
        <v>1681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1713</v>
      </c>
      <c r="E2921" s="191">
        <v>40968</v>
      </c>
      <c r="F2921" s="40" t="s">
        <v>1491</v>
      </c>
      <c r="G2921" s="40" t="s">
        <v>1496</v>
      </c>
      <c r="H2921" s="7" t="s">
        <v>1681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1713</v>
      </c>
      <c r="E2922" s="191">
        <v>40968</v>
      </c>
      <c r="F2922" s="40" t="s">
        <v>1498</v>
      </c>
      <c r="G2922" s="40" t="s">
        <v>1496</v>
      </c>
      <c r="H2922" s="7" t="s">
        <v>1681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1713</v>
      </c>
      <c r="E2923" s="191">
        <v>40968</v>
      </c>
      <c r="F2923" s="40" t="s">
        <v>1484</v>
      </c>
      <c r="G2923" s="40" t="s">
        <v>1496</v>
      </c>
      <c r="H2923" s="7" t="s">
        <v>1681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1713</v>
      </c>
      <c r="E2924" s="191">
        <v>40968</v>
      </c>
      <c r="F2924" s="40" t="s">
        <v>1482</v>
      </c>
      <c r="G2924" s="40" t="s">
        <v>1496</v>
      </c>
      <c r="H2924" s="7" t="s">
        <v>1681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1713</v>
      </c>
      <c r="E2925" s="191">
        <v>40968</v>
      </c>
      <c r="F2925" s="40" t="s">
        <v>1499</v>
      </c>
      <c r="G2925" s="40" t="s">
        <v>1496</v>
      </c>
      <c r="H2925" s="7" t="s">
        <v>1681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1713</v>
      </c>
      <c r="E2926" s="191">
        <v>40971</v>
      </c>
      <c r="F2926" s="40" t="s">
        <v>1464</v>
      </c>
      <c r="G2926" s="40" t="s">
        <v>915</v>
      </c>
      <c r="H2926" s="7" t="s">
        <v>1681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1713</v>
      </c>
      <c r="E2927" s="191">
        <v>40971</v>
      </c>
      <c r="F2927" s="40" t="s">
        <v>1453</v>
      </c>
      <c r="G2927" s="40" t="s">
        <v>916</v>
      </c>
      <c r="H2927" s="7" t="s">
        <v>1681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1713</v>
      </c>
      <c r="E2928" s="191">
        <v>40971</v>
      </c>
      <c r="F2928" s="40" t="s">
        <v>1454</v>
      </c>
      <c r="G2928" s="40" t="s">
        <v>916</v>
      </c>
      <c r="H2928" s="7" t="s">
        <v>1681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1713</v>
      </c>
      <c r="E2929" s="191">
        <v>40971</v>
      </c>
      <c r="F2929" s="40" t="s">
        <v>1455</v>
      </c>
      <c r="G2929" s="40" t="s">
        <v>916</v>
      </c>
      <c r="H2929" s="7" t="s">
        <v>1681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1713</v>
      </c>
      <c r="E2930" s="191">
        <v>40971</v>
      </c>
      <c r="F2930" s="40" t="s">
        <v>1456</v>
      </c>
      <c r="G2930" s="40" t="s">
        <v>916</v>
      </c>
      <c r="H2930" s="7" t="s">
        <v>1681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1713</v>
      </c>
      <c r="E2931" s="191">
        <v>40971</v>
      </c>
      <c r="F2931" s="40" t="s">
        <v>1457</v>
      </c>
      <c r="G2931" s="40" t="s">
        <v>916</v>
      </c>
      <c r="H2931" s="7" t="s">
        <v>1681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1713</v>
      </c>
      <c r="E2932" s="191">
        <v>40971</v>
      </c>
      <c r="F2932" s="40" t="s">
        <v>1458</v>
      </c>
      <c r="G2932" s="40" t="s">
        <v>916</v>
      </c>
      <c r="H2932" s="7" t="s">
        <v>1681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1713</v>
      </c>
      <c r="E2933" s="191">
        <v>40971</v>
      </c>
      <c r="F2933" s="40" t="s">
        <v>1086</v>
      </c>
      <c r="G2933" s="40" t="s">
        <v>916</v>
      </c>
      <c r="H2933" s="7" t="s">
        <v>1681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1713</v>
      </c>
      <c r="E2934" s="191">
        <v>40971</v>
      </c>
      <c r="F2934" s="40" t="s">
        <v>1459</v>
      </c>
      <c r="G2934" s="40" t="s">
        <v>916</v>
      </c>
      <c r="H2934" s="7" t="s">
        <v>1681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1713</v>
      </c>
      <c r="E2935" s="191">
        <v>40971</v>
      </c>
      <c r="F2935" s="40" t="s">
        <v>1460</v>
      </c>
      <c r="G2935" s="40" t="s">
        <v>916</v>
      </c>
      <c r="H2935" s="7" t="s">
        <v>1681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1713</v>
      </c>
      <c r="E2936" s="191">
        <v>40974</v>
      </c>
      <c r="F2936" s="40" t="s">
        <v>1465</v>
      </c>
      <c r="G2936" s="40" t="s">
        <v>917</v>
      </c>
      <c r="H2936" s="7" t="s">
        <v>1681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1713</v>
      </c>
      <c r="E2937" s="191">
        <v>40974</v>
      </c>
      <c r="F2937" s="40" t="s">
        <v>1130</v>
      </c>
      <c r="G2937" s="40" t="s">
        <v>918</v>
      </c>
      <c r="H2937" s="7" t="s">
        <v>1681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1713</v>
      </c>
      <c r="E2938" s="191">
        <v>40977</v>
      </c>
      <c r="F2938" s="40" t="s">
        <v>1466</v>
      </c>
      <c r="G2938" s="40" t="s">
        <v>919</v>
      </c>
      <c r="H2938" s="7" t="s">
        <v>1681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1713</v>
      </c>
      <c r="E2939" s="191">
        <v>40978</v>
      </c>
      <c r="F2939" s="40" t="s">
        <v>1467</v>
      </c>
      <c r="G2939" s="40" t="s">
        <v>887</v>
      </c>
      <c r="H2939" s="7" t="s">
        <v>1681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1713</v>
      </c>
      <c r="E2940" s="191">
        <v>40978</v>
      </c>
      <c r="F2940" s="40" t="s">
        <v>1468</v>
      </c>
      <c r="G2940" s="40" t="s">
        <v>887</v>
      </c>
      <c r="H2940" s="7" t="s">
        <v>1681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1713</v>
      </c>
      <c r="E2941" s="191">
        <v>40978</v>
      </c>
      <c r="F2941" s="40" t="s">
        <v>1469</v>
      </c>
      <c r="G2941" s="40" t="s">
        <v>887</v>
      </c>
      <c r="H2941" s="7" t="s">
        <v>1681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1713</v>
      </c>
      <c r="E2942" s="191">
        <v>40978</v>
      </c>
      <c r="F2942" s="40" t="s">
        <v>1106</v>
      </c>
      <c r="G2942" s="40" t="s">
        <v>887</v>
      </c>
      <c r="H2942" s="7" t="s">
        <v>1681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1713</v>
      </c>
      <c r="E2943" s="191">
        <v>40980</v>
      </c>
      <c r="F2943" s="40" t="s">
        <v>1118</v>
      </c>
      <c r="G2943" s="40" t="s">
        <v>921</v>
      </c>
      <c r="H2943" s="7" t="s">
        <v>1681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1713</v>
      </c>
      <c r="E2944" s="191">
        <v>40980</v>
      </c>
      <c r="F2944" s="40" t="s">
        <v>1008</v>
      </c>
      <c r="G2944" s="40" t="s">
        <v>922</v>
      </c>
      <c r="H2944" s="7" t="s">
        <v>1681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1713</v>
      </c>
      <c r="E2945" s="191">
        <v>40980</v>
      </c>
      <c r="F2945" s="40" t="s">
        <v>1144</v>
      </c>
      <c r="G2945" s="40" t="s">
        <v>922</v>
      </c>
      <c r="H2945" s="7" t="s">
        <v>1681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1713</v>
      </c>
      <c r="E2946" s="191">
        <v>40980</v>
      </c>
      <c r="F2946" s="40" t="s">
        <v>1070</v>
      </c>
      <c r="G2946" s="40" t="s">
        <v>922</v>
      </c>
      <c r="H2946" s="7" t="s">
        <v>1681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1713</v>
      </c>
      <c r="E2947" s="191">
        <v>40980</v>
      </c>
      <c r="F2947" s="40" t="s">
        <v>1143</v>
      </c>
      <c r="G2947" s="40" t="s">
        <v>922</v>
      </c>
      <c r="H2947" s="7" t="s">
        <v>1681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1713</v>
      </c>
      <c r="E2948" s="191">
        <v>40980</v>
      </c>
      <c r="F2948" s="40" t="s">
        <v>1044</v>
      </c>
      <c r="G2948" s="40" t="s">
        <v>922</v>
      </c>
      <c r="H2948" s="7" t="s">
        <v>1681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1713</v>
      </c>
      <c r="E2949" s="191">
        <v>40988</v>
      </c>
      <c r="F2949" s="40" t="s">
        <v>1213</v>
      </c>
      <c r="G2949" s="40" t="s">
        <v>924</v>
      </c>
      <c r="H2949" s="7" t="s">
        <v>1681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1713</v>
      </c>
      <c r="E2950" s="191">
        <v>40988</v>
      </c>
      <c r="F2950" s="40" t="s">
        <v>1141</v>
      </c>
      <c r="G2950" s="40" t="s">
        <v>924</v>
      </c>
      <c r="H2950" s="7" t="s">
        <v>1681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1713</v>
      </c>
      <c r="E2951" s="191">
        <v>40989</v>
      </c>
      <c r="F2951" s="40" t="s">
        <v>1212</v>
      </c>
      <c r="G2951" s="40" t="s">
        <v>925</v>
      </c>
      <c r="H2951" s="7" t="s">
        <v>1681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1713</v>
      </c>
      <c r="E2952" s="191">
        <v>40989</v>
      </c>
      <c r="F2952" s="40" t="s">
        <v>927</v>
      </c>
      <c r="G2952" s="40" t="s">
        <v>928</v>
      </c>
      <c r="H2952" s="7" t="s">
        <v>1681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1713</v>
      </c>
      <c r="E2953" s="191">
        <v>40989</v>
      </c>
      <c r="F2953" s="40" t="s">
        <v>1214</v>
      </c>
      <c r="G2953" s="40" t="s">
        <v>928</v>
      </c>
      <c r="H2953" s="7" t="s">
        <v>1681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1713</v>
      </c>
      <c r="E2954" s="191">
        <v>40989</v>
      </c>
      <c r="F2954" s="40" t="s">
        <v>1181</v>
      </c>
      <c r="G2954" s="40" t="s">
        <v>930</v>
      </c>
      <c r="H2954" s="7" t="s">
        <v>1681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1713</v>
      </c>
      <c r="E2955" s="191">
        <v>40995</v>
      </c>
      <c r="F2955" s="40" t="s">
        <v>1204</v>
      </c>
      <c r="G2955" s="40" t="s">
        <v>931</v>
      </c>
      <c r="H2955" s="7" t="s">
        <v>1681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1713</v>
      </c>
      <c r="E2956" s="191">
        <v>40995</v>
      </c>
      <c r="F2956" s="40" t="s">
        <v>1202</v>
      </c>
      <c r="G2956" s="40" t="s">
        <v>931</v>
      </c>
      <c r="H2956" s="7" t="s">
        <v>1681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1713</v>
      </c>
      <c r="E2957" s="191">
        <v>40995</v>
      </c>
      <c r="F2957" s="40" t="s">
        <v>1203</v>
      </c>
      <c r="G2957" s="40" t="s">
        <v>931</v>
      </c>
      <c r="H2957" s="7" t="s">
        <v>1681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1713</v>
      </c>
      <c r="E2958" s="191">
        <v>40996</v>
      </c>
      <c r="F2958" s="40" t="s">
        <v>1096</v>
      </c>
      <c r="G2958" s="40" t="s">
        <v>932</v>
      </c>
      <c r="H2958" s="7" t="s">
        <v>1681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1713</v>
      </c>
      <c r="E2959" s="191">
        <v>40998</v>
      </c>
      <c r="F2959" s="40" t="s">
        <v>1200</v>
      </c>
      <c r="G2959" s="40" t="s">
        <v>934</v>
      </c>
      <c r="H2959" s="7" t="s">
        <v>1681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1713</v>
      </c>
      <c r="E2960" s="191">
        <v>40998</v>
      </c>
      <c r="F2960" s="40" t="s">
        <v>1199</v>
      </c>
      <c r="G2960" s="40" t="s">
        <v>936</v>
      </c>
      <c r="H2960" s="7" t="s">
        <v>1681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1713</v>
      </c>
      <c r="E2961" s="191">
        <v>40998</v>
      </c>
      <c r="F2961" s="40" t="s">
        <v>1198</v>
      </c>
      <c r="G2961" s="40" t="s">
        <v>936</v>
      </c>
      <c r="H2961" s="7" t="s">
        <v>1681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1713</v>
      </c>
      <c r="E2962" s="191">
        <v>40998</v>
      </c>
      <c r="F2962" s="40" t="s">
        <v>1197</v>
      </c>
      <c r="G2962" s="40" t="s">
        <v>936</v>
      </c>
      <c r="H2962" s="7" t="s">
        <v>1681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1713</v>
      </c>
      <c r="E2963" s="191">
        <v>40998</v>
      </c>
      <c r="F2963" s="40" t="s">
        <v>1517</v>
      </c>
      <c r="G2963" s="40" t="s">
        <v>937</v>
      </c>
      <c r="H2963" s="7" t="s">
        <v>1681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1713</v>
      </c>
      <c r="E2964" s="191">
        <v>40998</v>
      </c>
      <c r="F2964" s="40" t="s">
        <v>1518</v>
      </c>
      <c r="G2964" s="40" t="s">
        <v>937</v>
      </c>
      <c r="H2964" s="7" t="s">
        <v>1681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1713</v>
      </c>
      <c r="E2965" s="191">
        <v>40998</v>
      </c>
      <c r="F2965" s="40" t="s">
        <v>1519</v>
      </c>
      <c r="G2965" s="40" t="s">
        <v>937</v>
      </c>
      <c r="H2965" s="7" t="s">
        <v>1681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1713</v>
      </c>
      <c r="E2966" s="191">
        <v>40998</v>
      </c>
      <c r="F2966" s="40" t="s">
        <v>1511</v>
      </c>
      <c r="G2966" s="40" t="s">
        <v>937</v>
      </c>
      <c r="H2966" s="7" t="s">
        <v>1681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1713</v>
      </c>
      <c r="E2967" s="191">
        <v>40998</v>
      </c>
      <c r="F2967" s="40" t="s">
        <v>1514</v>
      </c>
      <c r="G2967" s="40" t="s">
        <v>937</v>
      </c>
      <c r="H2967" s="7" t="s">
        <v>1681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1713</v>
      </c>
      <c r="E2968" s="191">
        <v>40998</v>
      </c>
      <c r="F2968" s="40" t="s">
        <v>1478</v>
      </c>
      <c r="G2968" s="40" t="s">
        <v>937</v>
      </c>
      <c r="H2968" s="7" t="s">
        <v>1681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1713</v>
      </c>
      <c r="E2969" s="191">
        <v>40998</v>
      </c>
      <c r="F2969" s="40" t="s">
        <v>1521</v>
      </c>
      <c r="G2969" s="40" t="s">
        <v>937</v>
      </c>
      <c r="H2969" s="7" t="s">
        <v>1681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1713</v>
      </c>
      <c r="E2970" s="191">
        <v>40998</v>
      </c>
      <c r="F2970" s="40" t="s">
        <v>1490</v>
      </c>
      <c r="G2970" s="40" t="s">
        <v>937</v>
      </c>
      <c r="H2970" s="7" t="s">
        <v>1681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1713</v>
      </c>
      <c r="E2971" s="191">
        <v>40998</v>
      </c>
      <c r="F2971" s="40" t="s">
        <v>1515</v>
      </c>
      <c r="G2971" s="40" t="s">
        <v>937</v>
      </c>
      <c r="H2971" s="7" t="s">
        <v>1681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1713</v>
      </c>
      <c r="E2972" s="191">
        <v>40998</v>
      </c>
      <c r="F2972" s="40" t="s">
        <v>1490</v>
      </c>
      <c r="G2972" s="40" t="s">
        <v>937</v>
      </c>
      <c r="H2972" s="7" t="s">
        <v>1681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1713</v>
      </c>
      <c r="E2973" s="191">
        <v>40998</v>
      </c>
      <c r="F2973" s="40" t="s">
        <v>1520</v>
      </c>
      <c r="G2973" s="40" t="s">
        <v>937</v>
      </c>
      <c r="H2973" s="7" t="s">
        <v>1681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1713</v>
      </c>
      <c r="E2974" s="191">
        <v>40998</v>
      </c>
      <c r="F2974" s="40" t="s">
        <v>1517</v>
      </c>
      <c r="G2974" s="40" t="s">
        <v>938</v>
      </c>
      <c r="H2974" s="7" t="s">
        <v>1681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1713</v>
      </c>
      <c r="E2975" s="191">
        <v>40998</v>
      </c>
      <c r="F2975" s="40" t="s">
        <v>1518</v>
      </c>
      <c r="G2975" s="40" t="s">
        <v>938</v>
      </c>
      <c r="H2975" s="7" t="s">
        <v>1681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1713</v>
      </c>
      <c r="E2976" s="191">
        <v>40998</v>
      </c>
      <c r="F2976" s="40" t="s">
        <v>1519</v>
      </c>
      <c r="G2976" s="40" t="s">
        <v>938</v>
      </c>
      <c r="H2976" s="7" t="s">
        <v>1681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1713</v>
      </c>
      <c r="E2977" s="191">
        <v>40998</v>
      </c>
      <c r="F2977" s="40" t="s">
        <v>1196</v>
      </c>
      <c r="G2977" s="40" t="s">
        <v>939</v>
      </c>
      <c r="H2977" s="7" t="s">
        <v>1681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1713</v>
      </c>
      <c r="E2978" s="191">
        <v>40998</v>
      </c>
      <c r="F2978" s="40" t="s">
        <v>1456</v>
      </c>
      <c r="G2978" s="40" t="s">
        <v>1536</v>
      </c>
      <c r="H2978" s="7" t="s">
        <v>1681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1713</v>
      </c>
      <c r="E2979" s="191">
        <v>40998</v>
      </c>
      <c r="F2979" s="40" t="s">
        <v>1458</v>
      </c>
      <c r="G2979" s="40" t="s">
        <v>1536</v>
      </c>
      <c r="H2979" s="7" t="s">
        <v>1681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1713</v>
      </c>
      <c r="E2980" s="191">
        <v>40998</v>
      </c>
      <c r="F2980" s="40" t="s">
        <v>1459</v>
      </c>
      <c r="G2980" s="40" t="s">
        <v>1536</v>
      </c>
      <c r="H2980" s="7" t="s">
        <v>1681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1713</v>
      </c>
      <c r="E2981" s="191">
        <v>40998</v>
      </c>
      <c r="F2981" s="40" t="s">
        <v>1210</v>
      </c>
      <c r="G2981" s="40" t="s">
        <v>1536</v>
      </c>
      <c r="H2981" s="7" t="s">
        <v>1681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1713</v>
      </c>
      <c r="E2982" s="191">
        <v>40998</v>
      </c>
      <c r="F2982" s="40" t="s">
        <v>1211</v>
      </c>
      <c r="G2982" s="40" t="s">
        <v>1536</v>
      </c>
      <c r="H2982" s="7" t="s">
        <v>1681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1713</v>
      </c>
      <c r="E2983" s="191">
        <v>40998</v>
      </c>
      <c r="F2983" s="40" t="s">
        <v>1460</v>
      </c>
      <c r="G2983" s="40" t="s">
        <v>1536</v>
      </c>
      <c r="H2983" s="7" t="s">
        <v>1681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26" customFormat="1" ht="15.75" customHeight="1">
      <c r="A2984" s="842" t="str">
        <f>IF(B2984&lt;&gt;"",IF(AND(B2984&gt;=_TM1,B2984&lt;=_TM2,OR(TH!L2984="1111",TH!M2984="1111")),TH!D2984,""),"")</f>
        <v/>
      </c>
      <c r="B2984" s="817">
        <f t="shared" ref="B2984:B2993" si="167">IF(C2984&lt;&gt;"",MONTH(C2984),"")</f>
        <v>5</v>
      </c>
      <c r="C2984" s="843">
        <f t="shared" ref="C2984:C2993" si="168">E2984</f>
        <v>41053</v>
      </c>
      <c r="D2984" s="843" t="s">
        <v>1713</v>
      </c>
      <c r="E2984" s="818">
        <v>41053</v>
      </c>
      <c r="F2984" s="848" t="s">
        <v>698</v>
      </c>
      <c r="G2984" s="848" t="s">
        <v>979</v>
      </c>
      <c r="H2984" s="846" t="s">
        <v>1681</v>
      </c>
      <c r="I2984" s="822">
        <v>300</v>
      </c>
      <c r="J2984" s="822">
        <v>26644</v>
      </c>
      <c r="K2984" s="823">
        <f t="shared" ref="K2984:K2993" si="169">ROUND(I2984*J2984,0)</f>
        <v>7993200</v>
      </c>
      <c r="L2984" s="844" t="s">
        <v>183</v>
      </c>
      <c r="M2984" s="844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1713</v>
      </c>
      <c r="E2985" s="191">
        <v>41053</v>
      </c>
      <c r="F2985" s="192" t="s">
        <v>699</v>
      </c>
      <c r="G2985" s="40" t="s">
        <v>979</v>
      </c>
      <c r="H2985" s="7" t="s">
        <v>1681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1713</v>
      </c>
      <c r="E2986" s="191">
        <v>41054</v>
      </c>
      <c r="F2986" s="802" t="s">
        <v>701</v>
      </c>
      <c r="G2986" s="40" t="s">
        <v>981</v>
      </c>
      <c r="H2986" s="7" t="s">
        <v>1681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1713</v>
      </c>
      <c r="E2987" s="191">
        <v>41054</v>
      </c>
      <c r="F2987" s="192" t="s">
        <v>697</v>
      </c>
      <c r="G2987" s="40" t="s">
        <v>981</v>
      </c>
      <c r="H2987" s="7" t="s">
        <v>1681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1713</v>
      </c>
      <c r="E2988" s="191">
        <v>41055</v>
      </c>
      <c r="F2988" s="192" t="s">
        <v>700</v>
      </c>
      <c r="G2988" s="40" t="s">
        <v>982</v>
      </c>
      <c r="H2988" s="7" t="s">
        <v>1681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1713</v>
      </c>
      <c r="E2989" s="191">
        <v>41056</v>
      </c>
      <c r="F2989" s="192" t="s">
        <v>702</v>
      </c>
      <c r="G2989" s="40" t="s">
        <v>983</v>
      </c>
      <c r="H2989" s="7" t="s">
        <v>1681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1713</v>
      </c>
      <c r="E2990" s="191">
        <v>41059</v>
      </c>
      <c r="F2990" s="192" t="s">
        <v>712</v>
      </c>
      <c r="G2990" s="40" t="s">
        <v>1546</v>
      </c>
      <c r="H2990" s="7" t="s">
        <v>1681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1713</v>
      </c>
      <c r="E2991" s="191">
        <v>41059</v>
      </c>
      <c r="F2991" s="192" t="s">
        <v>714</v>
      </c>
      <c r="G2991" s="40" t="s">
        <v>1546</v>
      </c>
      <c r="H2991" s="7" t="s">
        <v>1681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1713</v>
      </c>
      <c r="E2992" s="191">
        <v>41059</v>
      </c>
      <c r="F2992" s="192" t="s">
        <v>716</v>
      </c>
      <c r="G2992" s="40" t="s">
        <v>1546</v>
      </c>
      <c r="H2992" s="7" t="s">
        <v>1681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1713</v>
      </c>
      <c r="E2993" s="191">
        <v>41069</v>
      </c>
      <c r="F2993" s="192" t="s">
        <v>742</v>
      </c>
      <c r="G2993" s="40" t="s">
        <v>993</v>
      </c>
      <c r="H2993" s="7" t="s">
        <v>1681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26" customFormat="1" ht="15.75" customHeight="1">
      <c r="A2994" s="842" t="str">
        <f>IF(B2994&lt;&gt;"",IF(AND(B2994&gt;=_TM1,B2994&lt;=_TM2,OR(TH!L2994="1111",TH!M2994="1111")),TH!D2994,""),"")</f>
        <v/>
      </c>
      <c r="B2994" s="817">
        <f t="shared" si="157"/>
        <v>4</v>
      </c>
      <c r="C2994" s="843">
        <f t="shared" si="165"/>
        <v>41003</v>
      </c>
      <c r="D2994" s="37" t="s">
        <v>1713</v>
      </c>
      <c r="E2994" s="818">
        <v>41003</v>
      </c>
      <c r="F2994" s="848" t="s">
        <v>1120</v>
      </c>
      <c r="G2994" s="848" t="s">
        <v>940</v>
      </c>
      <c r="H2994" s="846" t="s">
        <v>1681</v>
      </c>
      <c r="I2994" s="822">
        <v>500</v>
      </c>
      <c r="J2994" s="822">
        <v>10775.16</v>
      </c>
      <c r="K2994" s="823">
        <f t="shared" si="166"/>
        <v>5387580</v>
      </c>
      <c r="L2994" s="844" t="s">
        <v>183</v>
      </c>
      <c r="M2994" s="844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1713</v>
      </c>
      <c r="E2995" s="191">
        <v>41003</v>
      </c>
      <c r="F2995" s="40" t="s">
        <v>1195</v>
      </c>
      <c r="G2995" s="40" t="s">
        <v>940</v>
      </c>
      <c r="H2995" s="7" t="s">
        <v>1681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1713</v>
      </c>
      <c r="E2996" s="191">
        <v>41003</v>
      </c>
      <c r="F2996" s="40" t="s">
        <v>1194</v>
      </c>
      <c r="G2996" s="40" t="s">
        <v>941</v>
      </c>
      <c r="H2996" s="7" t="s">
        <v>1681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1713</v>
      </c>
      <c r="E2997" s="191">
        <v>41004</v>
      </c>
      <c r="F2997" s="40" t="s">
        <v>1132</v>
      </c>
      <c r="G2997" s="40" t="s">
        <v>942</v>
      </c>
      <c r="H2997" s="7" t="s">
        <v>1681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1713</v>
      </c>
      <c r="E2998" s="191">
        <v>41009</v>
      </c>
      <c r="F2998" s="40" t="s">
        <v>1096</v>
      </c>
      <c r="G2998" s="40" t="s">
        <v>943</v>
      </c>
      <c r="H2998" s="7" t="s">
        <v>1681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1713</v>
      </c>
      <c r="E2999" s="191">
        <v>41009</v>
      </c>
      <c r="F2999" s="40" t="s">
        <v>1193</v>
      </c>
      <c r="G2999" s="40" t="s">
        <v>943</v>
      </c>
      <c r="H2999" s="7" t="s">
        <v>1681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1713</v>
      </c>
      <c r="E3000" s="191">
        <v>41009</v>
      </c>
      <c r="F3000" s="40" t="s">
        <v>1192</v>
      </c>
      <c r="G3000" s="40" t="s">
        <v>944</v>
      </c>
      <c r="H3000" s="7" t="s">
        <v>1681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1713</v>
      </c>
      <c r="E3001" s="191">
        <v>41009</v>
      </c>
      <c r="F3001" s="40" t="s">
        <v>1191</v>
      </c>
      <c r="G3001" s="40" t="s">
        <v>944</v>
      </c>
      <c r="H3001" s="7" t="s">
        <v>1681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1713</v>
      </c>
      <c r="E3002" s="191">
        <v>41010</v>
      </c>
      <c r="F3002" s="40" t="s">
        <v>1189</v>
      </c>
      <c r="G3002" s="40" t="s">
        <v>945</v>
      </c>
      <c r="H3002" s="7" t="s">
        <v>1681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1713</v>
      </c>
      <c r="E3003" s="191">
        <v>41016</v>
      </c>
      <c r="F3003" s="40" t="s">
        <v>1188</v>
      </c>
      <c r="G3003" s="40" t="s">
        <v>946</v>
      </c>
      <c r="H3003" s="7" t="s">
        <v>1681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1713</v>
      </c>
      <c r="E3004" s="191">
        <v>41016</v>
      </c>
      <c r="F3004" s="40" t="s">
        <v>1538</v>
      </c>
      <c r="G3004" s="40" t="s">
        <v>1537</v>
      </c>
      <c r="H3004" s="7" t="s">
        <v>1681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1713</v>
      </c>
      <c r="E3005" s="191">
        <v>41016</v>
      </c>
      <c r="F3005" s="40" t="s">
        <v>1539</v>
      </c>
      <c r="G3005" s="40" t="s">
        <v>1537</v>
      </c>
      <c r="H3005" s="7" t="s">
        <v>1681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1713</v>
      </c>
      <c r="E3006" s="191">
        <v>41016</v>
      </c>
      <c r="F3006" s="40" t="s">
        <v>1540</v>
      </c>
      <c r="G3006" s="40" t="s">
        <v>1537</v>
      </c>
      <c r="H3006" s="7" t="s">
        <v>1681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1713</v>
      </c>
      <c r="E3007" s="191">
        <v>41016</v>
      </c>
      <c r="F3007" s="40" t="s">
        <v>1187</v>
      </c>
      <c r="G3007" s="40" t="s">
        <v>947</v>
      </c>
      <c r="H3007" s="7" t="s">
        <v>1681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1713</v>
      </c>
      <c r="E3008" s="191">
        <v>41016</v>
      </c>
      <c r="F3008" s="40" t="s">
        <v>1121</v>
      </c>
      <c r="G3008" s="40" t="s">
        <v>947</v>
      </c>
      <c r="H3008" s="7" t="s">
        <v>1681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1713</v>
      </c>
      <c r="E3009" s="191">
        <v>41016</v>
      </c>
      <c r="F3009" s="40" t="s">
        <v>948</v>
      </c>
      <c r="G3009" s="40" t="s">
        <v>947</v>
      </c>
      <c r="H3009" s="7" t="s">
        <v>1681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1713</v>
      </c>
      <c r="E3010" s="191">
        <v>41016</v>
      </c>
      <c r="F3010" s="40" t="s">
        <v>1186</v>
      </c>
      <c r="G3010" s="40" t="s">
        <v>947</v>
      </c>
      <c r="H3010" s="7" t="s">
        <v>1681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1713</v>
      </c>
      <c r="E3011" s="191">
        <v>41020</v>
      </c>
      <c r="F3011" s="40" t="s">
        <v>1185</v>
      </c>
      <c r="G3011" s="40" t="s">
        <v>949</v>
      </c>
      <c r="H3011" s="7" t="s">
        <v>1681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1713</v>
      </c>
      <c r="E3012" s="191">
        <v>41023</v>
      </c>
      <c r="F3012" s="40" t="s">
        <v>1184</v>
      </c>
      <c r="G3012" s="40" t="s">
        <v>950</v>
      </c>
      <c r="H3012" s="7" t="s">
        <v>1681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1713</v>
      </c>
      <c r="E3013" s="191">
        <v>41023</v>
      </c>
      <c r="F3013" s="40" t="s">
        <v>952</v>
      </c>
      <c r="G3013" s="40" t="s">
        <v>950</v>
      </c>
      <c r="H3013" s="7" t="s">
        <v>1681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1713</v>
      </c>
      <c r="E3014" s="191">
        <v>41023</v>
      </c>
      <c r="F3014" s="40" t="s">
        <v>1183</v>
      </c>
      <c r="G3014" s="40" t="s">
        <v>953</v>
      </c>
      <c r="H3014" s="7" t="s">
        <v>1681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1713</v>
      </c>
      <c r="E3015" s="191">
        <v>41025</v>
      </c>
      <c r="F3015" s="40" t="s">
        <v>1044</v>
      </c>
      <c r="G3015" s="40" t="s">
        <v>954</v>
      </c>
      <c r="H3015" s="7" t="s">
        <v>1681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1713</v>
      </c>
      <c r="E3016" s="191">
        <v>41025</v>
      </c>
      <c r="F3016" s="40" t="s">
        <v>1045</v>
      </c>
      <c r="G3016" s="40" t="s">
        <v>954</v>
      </c>
      <c r="H3016" s="7" t="s">
        <v>1681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1713</v>
      </c>
      <c r="E3017" s="191">
        <v>41025</v>
      </c>
      <c r="F3017" s="40" t="s">
        <v>1453</v>
      </c>
      <c r="G3017" s="40" t="s">
        <v>1541</v>
      </c>
      <c r="H3017" s="7" t="s">
        <v>1681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1713</v>
      </c>
      <c r="E3018" s="191">
        <v>41025</v>
      </c>
      <c r="F3018" s="40" t="s">
        <v>1454</v>
      </c>
      <c r="G3018" s="40" t="s">
        <v>1541</v>
      </c>
      <c r="H3018" s="7" t="s">
        <v>1681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1713</v>
      </c>
      <c r="E3019" s="191">
        <v>41025</v>
      </c>
      <c r="F3019" s="40" t="s">
        <v>1455</v>
      </c>
      <c r="G3019" s="40" t="s">
        <v>1541</v>
      </c>
      <c r="H3019" s="7" t="s">
        <v>1681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1713</v>
      </c>
      <c r="E3020" s="191">
        <v>41025</v>
      </c>
      <c r="F3020" s="40" t="s">
        <v>1456</v>
      </c>
      <c r="G3020" s="40" t="s">
        <v>1541</v>
      </c>
      <c r="H3020" s="7" t="s">
        <v>1681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1713</v>
      </c>
      <c r="E3021" s="191">
        <v>41025</v>
      </c>
      <c r="F3021" s="40" t="s">
        <v>1457</v>
      </c>
      <c r="G3021" s="40" t="s">
        <v>1541</v>
      </c>
      <c r="H3021" s="7" t="s">
        <v>1681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1713</v>
      </c>
      <c r="E3022" s="191">
        <v>41025</v>
      </c>
      <c r="F3022" s="40" t="s">
        <v>1458</v>
      </c>
      <c r="G3022" s="40" t="s">
        <v>1541</v>
      </c>
      <c r="H3022" s="7" t="s">
        <v>1681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1713</v>
      </c>
      <c r="E3023" s="191">
        <v>41025</v>
      </c>
      <c r="F3023" s="40" t="s">
        <v>1086</v>
      </c>
      <c r="G3023" s="40" t="s">
        <v>1541</v>
      </c>
      <c r="H3023" s="7" t="s">
        <v>1681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1713</v>
      </c>
      <c r="E3024" s="191">
        <v>41025</v>
      </c>
      <c r="F3024" s="40" t="s">
        <v>1459</v>
      </c>
      <c r="G3024" s="40" t="s">
        <v>1541</v>
      </c>
      <c r="H3024" s="7" t="s">
        <v>1681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1713</v>
      </c>
      <c r="E3025" s="191">
        <v>41025</v>
      </c>
      <c r="F3025" s="40" t="s">
        <v>1460</v>
      </c>
      <c r="G3025" s="40" t="s">
        <v>1541</v>
      </c>
      <c r="H3025" s="7" t="s">
        <v>1681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1713</v>
      </c>
      <c r="E3026" s="191">
        <v>41025</v>
      </c>
      <c r="F3026" s="40" t="s">
        <v>1087</v>
      </c>
      <c r="G3026" s="40" t="s">
        <v>1541</v>
      </c>
      <c r="H3026" s="7" t="s">
        <v>1681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1713</v>
      </c>
      <c r="E3027" s="191">
        <v>41025</v>
      </c>
      <c r="F3027" s="40" t="s">
        <v>1510</v>
      </c>
      <c r="G3027" s="40" t="s">
        <v>985</v>
      </c>
      <c r="H3027" s="7" t="s">
        <v>1681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1713</v>
      </c>
      <c r="E3028" s="191">
        <v>41025</v>
      </c>
      <c r="F3028" s="40" t="s">
        <v>1471</v>
      </c>
      <c r="G3028" s="40" t="s">
        <v>985</v>
      </c>
      <c r="H3028" s="7" t="s">
        <v>1681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1713</v>
      </c>
      <c r="E3029" s="191">
        <v>41025</v>
      </c>
      <c r="F3029" s="40" t="s">
        <v>1485</v>
      </c>
      <c r="G3029" s="40" t="s">
        <v>985</v>
      </c>
      <c r="H3029" s="7" t="s">
        <v>1681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1713</v>
      </c>
      <c r="E3030" s="191">
        <v>41025</v>
      </c>
      <c r="F3030" s="40" t="s">
        <v>1501</v>
      </c>
      <c r="G3030" s="40" t="s">
        <v>985</v>
      </c>
      <c r="H3030" s="7" t="s">
        <v>1681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1713</v>
      </c>
      <c r="E3031" s="191">
        <v>41025</v>
      </c>
      <c r="F3031" s="40" t="s">
        <v>1513</v>
      </c>
      <c r="G3031" s="40" t="s">
        <v>985</v>
      </c>
      <c r="H3031" s="7" t="s">
        <v>1681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1713</v>
      </c>
      <c r="E3032" s="191">
        <v>41025</v>
      </c>
      <c r="F3032" s="40" t="s">
        <v>1488</v>
      </c>
      <c r="G3032" s="40" t="s">
        <v>985</v>
      </c>
      <c r="H3032" s="7" t="s">
        <v>1681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1713</v>
      </c>
      <c r="E3033" s="191">
        <v>41025</v>
      </c>
      <c r="F3033" s="40" t="s">
        <v>1507</v>
      </c>
      <c r="G3033" s="40" t="s">
        <v>985</v>
      </c>
      <c r="H3033" s="7" t="s">
        <v>1681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1713</v>
      </c>
      <c r="E3034" s="191">
        <v>41025</v>
      </c>
      <c r="F3034" s="40" t="s">
        <v>1491</v>
      </c>
      <c r="G3034" s="40" t="s">
        <v>985</v>
      </c>
      <c r="H3034" s="7" t="s">
        <v>1681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1713</v>
      </c>
      <c r="E3035" s="191">
        <v>41025</v>
      </c>
      <c r="F3035" s="40" t="s">
        <v>1498</v>
      </c>
      <c r="G3035" s="40" t="s">
        <v>985</v>
      </c>
      <c r="H3035" s="7" t="s">
        <v>1681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1713</v>
      </c>
      <c r="E3036" s="191">
        <v>41025</v>
      </c>
      <c r="F3036" s="40" t="s">
        <v>1499</v>
      </c>
      <c r="G3036" s="40" t="s">
        <v>985</v>
      </c>
      <c r="H3036" s="7" t="s">
        <v>1681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1713</v>
      </c>
      <c r="E3037" s="191">
        <v>41028</v>
      </c>
      <c r="F3037" s="40" t="s">
        <v>1521</v>
      </c>
      <c r="G3037" s="40" t="s">
        <v>1543</v>
      </c>
      <c r="H3037" s="7" t="s">
        <v>1681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1713</v>
      </c>
      <c r="E3038" s="191">
        <v>41028</v>
      </c>
      <c r="F3038" s="40" t="s">
        <v>1490</v>
      </c>
      <c r="G3038" s="40" t="s">
        <v>1543</v>
      </c>
      <c r="H3038" s="7" t="s">
        <v>1681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1713</v>
      </c>
      <c r="E3039" s="191">
        <v>41028</v>
      </c>
      <c r="F3039" s="40" t="s">
        <v>1515</v>
      </c>
      <c r="G3039" s="40" t="s">
        <v>1543</v>
      </c>
      <c r="H3039" s="7" t="s">
        <v>1681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1713</v>
      </c>
      <c r="E3040" s="191">
        <v>41028</v>
      </c>
      <c r="F3040" s="40" t="s">
        <v>1490</v>
      </c>
      <c r="G3040" s="40" t="s">
        <v>1543</v>
      </c>
      <c r="H3040" s="7" t="s">
        <v>1681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1713</v>
      </c>
      <c r="E3041" s="191">
        <v>41028</v>
      </c>
      <c r="F3041" s="40" t="s">
        <v>1517</v>
      </c>
      <c r="G3041" s="40" t="s">
        <v>1543</v>
      </c>
      <c r="H3041" s="7" t="s">
        <v>1681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1713</v>
      </c>
      <c r="E3042" s="191">
        <v>41028</v>
      </c>
      <c r="F3042" s="40" t="s">
        <v>1518</v>
      </c>
      <c r="G3042" s="40" t="s">
        <v>1543</v>
      </c>
      <c r="H3042" s="7" t="s">
        <v>1681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1713</v>
      </c>
      <c r="E3043" s="191">
        <v>41028</v>
      </c>
      <c r="F3043" s="40" t="s">
        <v>1519</v>
      </c>
      <c r="G3043" s="40" t="s">
        <v>1543</v>
      </c>
      <c r="H3043" s="7" t="s">
        <v>1681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1713</v>
      </c>
      <c r="E3044" s="191">
        <v>41028</v>
      </c>
      <c r="F3044" s="40" t="s">
        <v>1520</v>
      </c>
      <c r="G3044" s="40" t="s">
        <v>1543</v>
      </c>
      <c r="H3044" s="7" t="s">
        <v>1681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1713</v>
      </c>
      <c r="E3045" s="191">
        <v>41028</v>
      </c>
      <c r="F3045" s="40" t="s">
        <v>1517</v>
      </c>
      <c r="G3045" s="40" t="s">
        <v>1543</v>
      </c>
      <c r="H3045" s="7" t="s">
        <v>1681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1713</v>
      </c>
      <c r="E3046" s="191">
        <v>41028</v>
      </c>
      <c r="F3046" s="40" t="s">
        <v>1518</v>
      </c>
      <c r="G3046" s="40" t="s">
        <v>1543</v>
      </c>
      <c r="H3046" s="7" t="s">
        <v>1681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1713</v>
      </c>
      <c r="E3047" s="191">
        <v>41028</v>
      </c>
      <c r="F3047" s="40" t="s">
        <v>1519</v>
      </c>
      <c r="G3047" s="40" t="s">
        <v>1543</v>
      </c>
      <c r="H3047" s="7" t="s">
        <v>1681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1713</v>
      </c>
      <c r="E3048" s="191">
        <v>41031</v>
      </c>
      <c r="F3048" s="40" t="s">
        <v>1182</v>
      </c>
      <c r="G3048" s="40" t="s">
        <v>955</v>
      </c>
      <c r="H3048" s="7" t="s">
        <v>1681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1713</v>
      </c>
      <c r="E3049" s="191">
        <v>41031</v>
      </c>
      <c r="F3049" s="40" t="s">
        <v>1207</v>
      </c>
      <c r="G3049" s="40" t="s">
        <v>955</v>
      </c>
      <c r="H3049" s="7" t="s">
        <v>1681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1713</v>
      </c>
      <c r="E3050" s="191">
        <v>41032</v>
      </c>
      <c r="F3050" s="40" t="s">
        <v>1181</v>
      </c>
      <c r="G3050" s="40" t="s">
        <v>957</v>
      </c>
      <c r="H3050" s="7" t="s">
        <v>1681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1713</v>
      </c>
      <c r="E3051" s="191">
        <v>41033</v>
      </c>
      <c r="F3051" s="40" t="s">
        <v>1124</v>
      </c>
      <c r="G3051" s="40" t="s">
        <v>958</v>
      </c>
      <c r="H3051" s="7" t="s">
        <v>1681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1713</v>
      </c>
      <c r="E3052" s="191">
        <v>41033</v>
      </c>
      <c r="F3052" s="40" t="s">
        <v>1180</v>
      </c>
      <c r="G3052" s="40" t="s">
        <v>958</v>
      </c>
      <c r="H3052" s="7" t="s">
        <v>1681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1713</v>
      </c>
      <c r="E3053" s="191">
        <v>41033</v>
      </c>
      <c r="F3053" s="40" t="s">
        <v>1112</v>
      </c>
      <c r="G3053" s="40" t="s">
        <v>959</v>
      </c>
      <c r="H3053" s="7" t="s">
        <v>1681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1713</v>
      </c>
      <c r="E3054" s="191">
        <v>41033</v>
      </c>
      <c r="F3054" s="40" t="s">
        <v>1179</v>
      </c>
      <c r="G3054" s="40" t="s">
        <v>959</v>
      </c>
      <c r="H3054" s="7" t="s">
        <v>1681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1713</v>
      </c>
      <c r="E3055" s="191">
        <v>41033</v>
      </c>
      <c r="F3055" s="40" t="s">
        <v>1178</v>
      </c>
      <c r="G3055" s="40" t="s">
        <v>959</v>
      </c>
      <c r="H3055" s="7" t="s">
        <v>1681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1713</v>
      </c>
      <c r="E3056" s="191">
        <v>41033</v>
      </c>
      <c r="F3056" s="40" t="s">
        <v>1111</v>
      </c>
      <c r="G3056" s="40" t="s">
        <v>959</v>
      </c>
      <c r="H3056" s="7" t="s">
        <v>1681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1713</v>
      </c>
      <c r="E3057" s="191">
        <v>41033</v>
      </c>
      <c r="F3057" s="40" t="s">
        <v>1106</v>
      </c>
      <c r="G3057" s="40" t="s">
        <v>959</v>
      </c>
      <c r="H3057" s="7" t="s">
        <v>1681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1713</v>
      </c>
      <c r="E3058" s="191">
        <v>41036</v>
      </c>
      <c r="F3058" s="40" t="s">
        <v>1177</v>
      </c>
      <c r="G3058" s="40" t="s">
        <v>960</v>
      </c>
      <c r="H3058" s="7" t="s">
        <v>1681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1713</v>
      </c>
      <c r="E3059" s="191">
        <v>41036</v>
      </c>
      <c r="F3059" s="40" t="s">
        <v>961</v>
      </c>
      <c r="G3059" s="40" t="s">
        <v>960</v>
      </c>
      <c r="H3059" s="7" t="s">
        <v>1681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1713</v>
      </c>
      <c r="E3060" s="191">
        <v>41036</v>
      </c>
      <c r="F3060" s="40" t="s">
        <v>962</v>
      </c>
      <c r="G3060" s="40" t="s">
        <v>960</v>
      </c>
      <c r="H3060" s="7" t="s">
        <v>1681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1713</v>
      </c>
      <c r="E3061" s="191">
        <v>41037</v>
      </c>
      <c r="F3061" s="40" t="s">
        <v>1128</v>
      </c>
      <c r="G3061" s="40" t="s">
        <v>963</v>
      </c>
      <c r="H3061" s="7" t="s">
        <v>1681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1713</v>
      </c>
      <c r="E3062" s="191">
        <v>41037</v>
      </c>
      <c r="F3062" s="40" t="s">
        <v>1545</v>
      </c>
      <c r="G3062" s="40" t="s">
        <v>1544</v>
      </c>
      <c r="H3062" s="7" t="s">
        <v>1681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1713</v>
      </c>
      <c r="E3063" s="191">
        <v>41039</v>
      </c>
      <c r="F3063" s="40" t="s">
        <v>1176</v>
      </c>
      <c r="G3063" s="40" t="s">
        <v>965</v>
      </c>
      <c r="H3063" s="7" t="s">
        <v>1681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1713</v>
      </c>
      <c r="E3064" s="191">
        <v>41041</v>
      </c>
      <c r="F3064" s="40" t="s">
        <v>1149</v>
      </c>
      <c r="G3064" s="40" t="s">
        <v>966</v>
      </c>
      <c r="H3064" s="7" t="s">
        <v>1681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1713</v>
      </c>
      <c r="E3065" s="191">
        <v>41041</v>
      </c>
      <c r="F3065" s="40" t="s">
        <v>1111</v>
      </c>
      <c r="G3065" s="40" t="s">
        <v>968</v>
      </c>
      <c r="H3065" s="7" t="s">
        <v>1681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1713</v>
      </c>
      <c r="E3066" s="191">
        <v>41041</v>
      </c>
      <c r="F3066" s="40" t="s">
        <v>1093</v>
      </c>
      <c r="G3066" s="40" t="s">
        <v>968</v>
      </c>
      <c r="H3066" s="7" t="s">
        <v>1681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1713</v>
      </c>
      <c r="E3067" s="191">
        <v>41041</v>
      </c>
      <c r="F3067" s="40" t="s">
        <v>1108</v>
      </c>
      <c r="G3067" s="40" t="s">
        <v>968</v>
      </c>
      <c r="H3067" s="7" t="s">
        <v>1681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1713</v>
      </c>
      <c r="E3068" s="191">
        <v>41041</v>
      </c>
      <c r="F3068" s="40" t="s">
        <v>1106</v>
      </c>
      <c r="G3068" s="40" t="s">
        <v>968</v>
      </c>
      <c r="H3068" s="7" t="s">
        <v>1681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1713</v>
      </c>
      <c r="E3069" s="191">
        <v>41045</v>
      </c>
      <c r="F3069" s="40" t="s">
        <v>1175</v>
      </c>
      <c r="G3069" s="40" t="s">
        <v>969</v>
      </c>
      <c r="H3069" s="7" t="s">
        <v>1681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1713</v>
      </c>
      <c r="E3070" s="191">
        <v>41045</v>
      </c>
      <c r="F3070" s="40" t="s">
        <v>1045</v>
      </c>
      <c r="G3070" s="40" t="s">
        <v>969</v>
      </c>
      <c r="H3070" s="7" t="s">
        <v>1681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1713</v>
      </c>
      <c r="E3071" s="191">
        <v>41045</v>
      </c>
      <c r="F3071" s="40" t="s">
        <v>1174</v>
      </c>
      <c r="G3071" s="40" t="s">
        <v>969</v>
      </c>
      <c r="H3071" s="7" t="s">
        <v>1681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1713</v>
      </c>
      <c r="E3072" s="191">
        <v>41047</v>
      </c>
      <c r="F3072" s="40" t="s">
        <v>1173</v>
      </c>
      <c r="G3072" s="40" t="s">
        <v>970</v>
      </c>
      <c r="H3072" s="7" t="s">
        <v>1681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1713</v>
      </c>
      <c r="E3073" s="191">
        <v>41047</v>
      </c>
      <c r="F3073" s="40" t="s">
        <v>1172</v>
      </c>
      <c r="G3073" s="40" t="s">
        <v>970</v>
      </c>
      <c r="H3073" s="7" t="s">
        <v>1681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1713</v>
      </c>
      <c r="E3074" s="191">
        <v>41047</v>
      </c>
      <c r="F3074" s="40" t="s">
        <v>1104</v>
      </c>
      <c r="G3074" s="40" t="s">
        <v>971</v>
      </c>
      <c r="H3074" s="7" t="s">
        <v>1681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1713</v>
      </c>
      <c r="E3075" s="191">
        <v>41047</v>
      </c>
      <c r="F3075" s="40" t="s">
        <v>1171</v>
      </c>
      <c r="G3075" s="40" t="s">
        <v>971</v>
      </c>
      <c r="H3075" s="7" t="s">
        <v>1681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1713</v>
      </c>
      <c r="E3076" s="191">
        <v>41047</v>
      </c>
      <c r="F3076" s="40" t="s">
        <v>1170</v>
      </c>
      <c r="G3076" s="40" t="s">
        <v>971</v>
      </c>
      <c r="H3076" s="7" t="s">
        <v>1681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1713</v>
      </c>
      <c r="E3077" s="191">
        <v>41047</v>
      </c>
      <c r="F3077" s="40" t="s">
        <v>1170</v>
      </c>
      <c r="G3077" s="40" t="s">
        <v>971</v>
      </c>
      <c r="H3077" s="7" t="s">
        <v>1681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1713</v>
      </c>
      <c r="E3078" s="191">
        <v>41051</v>
      </c>
      <c r="F3078" s="40" t="s">
        <v>1169</v>
      </c>
      <c r="G3078" s="40" t="s">
        <v>973</v>
      </c>
      <c r="H3078" s="7" t="s">
        <v>1681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1713</v>
      </c>
      <c r="E3079" s="191">
        <v>41051</v>
      </c>
      <c r="F3079" s="40" t="s">
        <v>1168</v>
      </c>
      <c r="G3079" s="40" t="s">
        <v>973</v>
      </c>
      <c r="H3079" s="7" t="s">
        <v>1681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1713</v>
      </c>
      <c r="E3080" s="191">
        <v>41051</v>
      </c>
      <c r="F3080" s="40" t="s">
        <v>1167</v>
      </c>
      <c r="G3080" s="40" t="s">
        <v>973</v>
      </c>
      <c r="H3080" s="7" t="s">
        <v>1681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1713</v>
      </c>
      <c r="E3081" s="191">
        <v>41051</v>
      </c>
      <c r="F3081" s="40" t="s">
        <v>1166</v>
      </c>
      <c r="G3081" s="40" t="s">
        <v>974</v>
      </c>
      <c r="H3081" s="7" t="s">
        <v>1681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1713</v>
      </c>
      <c r="E3082" s="191">
        <v>41051</v>
      </c>
      <c r="F3082" s="40" t="s">
        <v>1165</v>
      </c>
      <c r="G3082" s="40" t="s">
        <v>974</v>
      </c>
      <c r="H3082" s="7" t="s">
        <v>1681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1713</v>
      </c>
      <c r="E3083" s="191">
        <v>41051</v>
      </c>
      <c r="F3083" s="40" t="s">
        <v>1164</v>
      </c>
      <c r="G3083" s="40" t="s">
        <v>974</v>
      </c>
      <c r="H3083" s="7" t="s">
        <v>1681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1713</v>
      </c>
      <c r="E3084" s="191">
        <v>41053</v>
      </c>
      <c r="F3084" s="40" t="s">
        <v>1162</v>
      </c>
      <c r="G3084" s="40" t="s">
        <v>976</v>
      </c>
      <c r="H3084" s="7" t="s">
        <v>1681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1713</v>
      </c>
      <c r="E3085" s="191">
        <v>41053</v>
      </c>
      <c r="F3085" s="40" t="s">
        <v>1163</v>
      </c>
      <c r="G3085" s="40" t="s">
        <v>976</v>
      </c>
      <c r="H3085" s="7" t="s">
        <v>1681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1713</v>
      </c>
      <c r="E3086" s="191">
        <v>41053</v>
      </c>
      <c r="F3086" s="40" t="s">
        <v>1161</v>
      </c>
      <c r="G3086" s="40" t="s">
        <v>977</v>
      </c>
      <c r="H3086" s="7" t="s">
        <v>1681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1713</v>
      </c>
      <c r="E3087" s="191">
        <v>41053</v>
      </c>
      <c r="F3087" s="40" t="s">
        <v>1160</v>
      </c>
      <c r="G3087" s="40" t="s">
        <v>978</v>
      </c>
      <c r="H3087" s="7" t="s">
        <v>1681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1713</v>
      </c>
      <c r="E3088" s="191">
        <v>41053</v>
      </c>
      <c r="F3088" s="40" t="s">
        <v>1159</v>
      </c>
      <c r="G3088" s="40" t="s">
        <v>978</v>
      </c>
      <c r="H3088" s="7" t="s">
        <v>1681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1713</v>
      </c>
      <c r="E3089" s="191">
        <v>41053</v>
      </c>
      <c r="F3089" s="40" t="s">
        <v>1158</v>
      </c>
      <c r="G3089" s="40" t="s">
        <v>978</v>
      </c>
      <c r="H3089" s="7" t="s">
        <v>1681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1713</v>
      </c>
      <c r="E3090" s="191">
        <v>41059</v>
      </c>
      <c r="F3090" s="40" t="s">
        <v>1145</v>
      </c>
      <c r="G3090" s="40" t="s">
        <v>984</v>
      </c>
      <c r="H3090" s="7" t="s">
        <v>1681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1713</v>
      </c>
      <c r="E3091" s="191">
        <v>41059</v>
      </c>
      <c r="F3091" s="40" t="s">
        <v>1156</v>
      </c>
      <c r="G3091" s="40" t="s">
        <v>984</v>
      </c>
      <c r="H3091" s="7" t="s">
        <v>1681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1713</v>
      </c>
      <c r="E3092" s="191">
        <v>41059</v>
      </c>
      <c r="F3092" s="40" t="s">
        <v>1474</v>
      </c>
      <c r="G3092" s="40" t="s">
        <v>985</v>
      </c>
      <c r="H3092" s="7" t="s">
        <v>1681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1713</v>
      </c>
      <c r="E3093" s="191">
        <v>41059</v>
      </c>
      <c r="F3093" s="40" t="s">
        <v>1508</v>
      </c>
      <c r="G3093" s="40" t="s">
        <v>985</v>
      </c>
      <c r="H3093" s="7" t="s">
        <v>1681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1713</v>
      </c>
      <c r="E3094" s="191">
        <v>41059</v>
      </c>
      <c r="F3094" s="40" t="s">
        <v>1472</v>
      </c>
      <c r="G3094" s="40" t="s">
        <v>985</v>
      </c>
      <c r="H3094" s="7" t="s">
        <v>1681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1713</v>
      </c>
      <c r="E3095" s="191">
        <v>41059</v>
      </c>
      <c r="F3095" s="40" t="s">
        <v>1476</v>
      </c>
      <c r="G3095" s="40" t="s">
        <v>985</v>
      </c>
      <c r="H3095" s="7" t="s">
        <v>1681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1713</v>
      </c>
      <c r="E3096" s="191">
        <v>41059</v>
      </c>
      <c r="F3096" s="40" t="s">
        <v>1509</v>
      </c>
      <c r="G3096" s="40" t="s">
        <v>985</v>
      </c>
      <c r="H3096" s="7" t="s">
        <v>1681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1713</v>
      </c>
      <c r="E3097" s="191">
        <v>41059</v>
      </c>
      <c r="F3097" s="40" t="s">
        <v>1511</v>
      </c>
      <c r="G3097" s="40" t="s">
        <v>985</v>
      </c>
      <c r="H3097" s="7" t="s">
        <v>1681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1713</v>
      </c>
      <c r="E3098" s="191">
        <v>41059</v>
      </c>
      <c r="F3098" s="40" t="s">
        <v>1514</v>
      </c>
      <c r="G3098" s="40" t="s">
        <v>985</v>
      </c>
      <c r="H3098" s="7" t="s">
        <v>1681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1713</v>
      </c>
      <c r="E3099" s="191">
        <v>41059</v>
      </c>
      <c r="F3099" s="40" t="s">
        <v>1502</v>
      </c>
      <c r="G3099" s="40" t="s">
        <v>985</v>
      </c>
      <c r="H3099" s="7" t="s">
        <v>1681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1713</v>
      </c>
      <c r="E3100" s="191">
        <v>41059</v>
      </c>
      <c r="F3100" s="40" t="s">
        <v>1502</v>
      </c>
      <c r="G3100" s="40" t="s">
        <v>985</v>
      </c>
      <c r="H3100" s="7" t="s">
        <v>1681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1713</v>
      </c>
      <c r="E3101" s="191">
        <v>41059</v>
      </c>
      <c r="F3101" s="40" t="s">
        <v>1478</v>
      </c>
      <c r="G3101" s="40" t="s">
        <v>985</v>
      </c>
      <c r="H3101" s="7" t="s">
        <v>1681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1713</v>
      </c>
      <c r="E3102" s="191">
        <v>41059</v>
      </c>
      <c r="F3102" s="40" t="s">
        <v>1487</v>
      </c>
      <c r="G3102" s="40" t="s">
        <v>985</v>
      </c>
      <c r="H3102" s="7" t="s">
        <v>1681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1713</v>
      </c>
      <c r="E3103" s="191">
        <v>41059</v>
      </c>
      <c r="F3103" s="40" t="s">
        <v>1490</v>
      </c>
      <c r="G3103" s="40" t="s">
        <v>985</v>
      </c>
      <c r="H3103" s="7" t="s">
        <v>1681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1713</v>
      </c>
      <c r="E3104" s="191">
        <v>41059</v>
      </c>
      <c r="F3104" s="40" t="s">
        <v>1515</v>
      </c>
      <c r="G3104" s="40" t="s">
        <v>985</v>
      </c>
      <c r="H3104" s="7" t="s">
        <v>1681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1713</v>
      </c>
      <c r="E3105" s="191">
        <v>41059</v>
      </c>
      <c r="F3105" s="40" t="s">
        <v>1477</v>
      </c>
      <c r="G3105" s="40" t="s">
        <v>985</v>
      </c>
      <c r="H3105" s="7" t="s">
        <v>1681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1713</v>
      </c>
      <c r="E3106" s="191">
        <v>41059</v>
      </c>
      <c r="F3106" s="40" t="s">
        <v>1512</v>
      </c>
      <c r="G3106" s="40" t="s">
        <v>985</v>
      </c>
      <c r="H3106" s="7" t="s">
        <v>1681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1713</v>
      </c>
      <c r="E3107" s="191">
        <v>41059</v>
      </c>
      <c r="F3107" s="40" t="s">
        <v>1489</v>
      </c>
      <c r="G3107" s="40" t="s">
        <v>985</v>
      </c>
      <c r="H3107" s="7" t="s">
        <v>1681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1713</v>
      </c>
      <c r="E3108" s="191">
        <v>41059</v>
      </c>
      <c r="F3108" s="40" t="s">
        <v>1516</v>
      </c>
      <c r="G3108" s="40" t="s">
        <v>985</v>
      </c>
      <c r="H3108" s="7" t="s">
        <v>1681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1713</v>
      </c>
      <c r="E3109" s="191">
        <v>41059</v>
      </c>
      <c r="F3109" s="40" t="s">
        <v>1479</v>
      </c>
      <c r="G3109" s="40" t="s">
        <v>985</v>
      </c>
      <c r="H3109" s="7" t="s">
        <v>1681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1713</v>
      </c>
      <c r="E3110" s="191">
        <v>41059</v>
      </c>
      <c r="F3110" s="40" t="s">
        <v>1480</v>
      </c>
      <c r="G3110" s="40" t="s">
        <v>985</v>
      </c>
      <c r="H3110" s="7" t="s">
        <v>1681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1713</v>
      </c>
      <c r="E3111" s="191">
        <v>41059</v>
      </c>
      <c r="F3111" s="40" t="s">
        <v>1475</v>
      </c>
      <c r="G3111" s="40" t="s">
        <v>985</v>
      </c>
      <c r="H3111" s="7" t="s">
        <v>1681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1713</v>
      </c>
      <c r="E3112" s="191">
        <v>41059</v>
      </c>
      <c r="F3112" s="40" t="s">
        <v>1483</v>
      </c>
      <c r="G3112" s="40" t="s">
        <v>985</v>
      </c>
      <c r="H3112" s="7" t="s">
        <v>1681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1713</v>
      </c>
      <c r="E3113" s="191">
        <v>41059</v>
      </c>
      <c r="F3113" s="40" t="s">
        <v>1481</v>
      </c>
      <c r="G3113" s="40" t="s">
        <v>985</v>
      </c>
      <c r="H3113" s="7" t="s">
        <v>1681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1713</v>
      </c>
      <c r="E3114" s="191">
        <v>41059</v>
      </c>
      <c r="F3114" s="40" t="s">
        <v>1510</v>
      </c>
      <c r="G3114" s="40" t="s">
        <v>985</v>
      </c>
      <c r="H3114" s="7" t="s">
        <v>1681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1713</v>
      </c>
      <c r="E3115" s="191">
        <v>41059</v>
      </c>
      <c r="F3115" s="40" t="s">
        <v>1471</v>
      </c>
      <c r="G3115" s="40" t="s">
        <v>985</v>
      </c>
      <c r="H3115" s="7" t="s">
        <v>1681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1713</v>
      </c>
      <c r="E3116" s="191">
        <v>41059</v>
      </c>
      <c r="F3116" s="40" t="s">
        <v>1485</v>
      </c>
      <c r="G3116" s="40" t="s">
        <v>985</v>
      </c>
      <c r="H3116" s="7" t="s">
        <v>1681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1713</v>
      </c>
      <c r="E3117" s="191">
        <v>41059</v>
      </c>
      <c r="F3117" s="40" t="s">
        <v>1501</v>
      </c>
      <c r="G3117" s="40" t="s">
        <v>985</v>
      </c>
      <c r="H3117" s="7" t="s">
        <v>1681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1713</v>
      </c>
      <c r="E3118" s="191">
        <v>41059</v>
      </c>
      <c r="F3118" s="40" t="s">
        <v>1513</v>
      </c>
      <c r="G3118" s="40" t="s">
        <v>985</v>
      </c>
      <c r="H3118" s="7" t="s">
        <v>1681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1713</v>
      </c>
      <c r="E3119" s="191">
        <v>41059</v>
      </c>
      <c r="F3119" s="40" t="s">
        <v>1488</v>
      </c>
      <c r="G3119" s="40" t="s">
        <v>985</v>
      </c>
      <c r="H3119" s="7" t="s">
        <v>1681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1713</v>
      </c>
      <c r="E3120" s="191">
        <v>41059</v>
      </c>
      <c r="F3120" s="40" t="s">
        <v>1507</v>
      </c>
      <c r="G3120" s="40" t="s">
        <v>985</v>
      </c>
      <c r="H3120" s="7" t="s">
        <v>1681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1713</v>
      </c>
      <c r="E3121" s="191">
        <v>41059</v>
      </c>
      <c r="F3121" s="40" t="s">
        <v>1491</v>
      </c>
      <c r="G3121" s="40" t="s">
        <v>985</v>
      </c>
      <c r="H3121" s="7" t="s">
        <v>1681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1713</v>
      </c>
      <c r="E3122" s="191">
        <v>41059</v>
      </c>
      <c r="F3122" s="40" t="s">
        <v>1498</v>
      </c>
      <c r="G3122" s="40" t="s">
        <v>985</v>
      </c>
      <c r="H3122" s="7" t="s">
        <v>1681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1713</v>
      </c>
      <c r="E3123" s="191">
        <v>41059</v>
      </c>
      <c r="F3123" s="40" t="s">
        <v>1499</v>
      </c>
      <c r="G3123" s="40" t="s">
        <v>985</v>
      </c>
      <c r="H3123" s="7" t="s">
        <v>1681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1713</v>
      </c>
      <c r="E3124" s="191">
        <v>41059</v>
      </c>
      <c r="F3124" s="40" t="s">
        <v>1155</v>
      </c>
      <c r="G3124" s="40" t="s">
        <v>986</v>
      </c>
      <c r="H3124" s="7" t="s">
        <v>1681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1713</v>
      </c>
      <c r="E3125" s="191">
        <v>41060</v>
      </c>
      <c r="F3125" s="40" t="s">
        <v>1096</v>
      </c>
      <c r="G3125" s="40" t="s">
        <v>988</v>
      </c>
      <c r="H3125" s="7" t="s">
        <v>1681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1713</v>
      </c>
      <c r="E3126" s="191">
        <v>41060</v>
      </c>
      <c r="F3126" s="40" t="s">
        <v>526</v>
      </c>
      <c r="G3126" s="40" t="s">
        <v>989</v>
      </c>
      <c r="H3126" s="7" t="s">
        <v>1681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1713</v>
      </c>
      <c r="E3127" s="191">
        <v>41060</v>
      </c>
      <c r="F3127" s="40" t="s">
        <v>527</v>
      </c>
      <c r="G3127" s="40" t="s">
        <v>991</v>
      </c>
      <c r="H3127" s="7" t="s">
        <v>1681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1713</v>
      </c>
      <c r="E3128" s="191">
        <v>41061</v>
      </c>
      <c r="F3128" s="40" t="s">
        <v>1153</v>
      </c>
      <c r="G3128" s="40" t="s">
        <v>992</v>
      </c>
      <c r="H3128" s="7" t="s">
        <v>1681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1713</v>
      </c>
      <c r="E3129" s="191">
        <v>41061</v>
      </c>
      <c r="F3129" s="40" t="s">
        <v>1152</v>
      </c>
      <c r="G3129" s="40" t="s">
        <v>992</v>
      </c>
      <c r="H3129" s="7" t="s">
        <v>1681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1713</v>
      </c>
      <c r="E3130" s="191">
        <v>41071</v>
      </c>
      <c r="F3130" s="40" t="s">
        <v>1120</v>
      </c>
      <c r="G3130" s="40" t="s">
        <v>994</v>
      </c>
      <c r="H3130" s="7" t="s">
        <v>1681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1713</v>
      </c>
      <c r="E3131" s="191">
        <v>41071</v>
      </c>
      <c r="F3131" s="40" t="s">
        <v>1195</v>
      </c>
      <c r="G3131" s="40" t="s">
        <v>994</v>
      </c>
      <c r="H3131" s="7" t="s">
        <v>1681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1713</v>
      </c>
      <c r="E3132" s="191">
        <v>41071</v>
      </c>
      <c r="F3132" s="40" t="s">
        <v>1125</v>
      </c>
      <c r="G3132" s="40" t="s">
        <v>994</v>
      </c>
      <c r="H3132" s="7" t="s">
        <v>1681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1713</v>
      </c>
      <c r="E3133" s="191">
        <v>41072</v>
      </c>
      <c r="F3133" s="40" t="s">
        <v>1151</v>
      </c>
      <c r="G3133" s="40" t="s">
        <v>995</v>
      </c>
      <c r="H3133" s="7" t="s">
        <v>1681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1713</v>
      </c>
      <c r="E3134" s="191">
        <v>41072</v>
      </c>
      <c r="F3134" s="40" t="s">
        <v>1150</v>
      </c>
      <c r="G3134" s="40" t="s">
        <v>996</v>
      </c>
      <c r="H3134" s="7" t="s">
        <v>1681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1713</v>
      </c>
      <c r="E3135" s="191">
        <v>41083</v>
      </c>
      <c r="F3135" s="40" t="s">
        <v>1149</v>
      </c>
      <c r="G3135" s="40" t="s">
        <v>998</v>
      </c>
      <c r="H3135" s="7" t="s">
        <v>1681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1713</v>
      </c>
      <c r="E3136" s="191">
        <v>41086</v>
      </c>
      <c r="F3136" s="40" t="s">
        <v>1148</v>
      </c>
      <c r="G3136" s="40" t="s">
        <v>999</v>
      </c>
      <c r="H3136" s="7" t="s">
        <v>1681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1713</v>
      </c>
      <c r="E3137" s="191">
        <v>41086</v>
      </c>
      <c r="F3137" s="40" t="s">
        <v>1147</v>
      </c>
      <c r="G3137" s="40" t="s">
        <v>1000</v>
      </c>
      <c r="H3137" s="7" t="s">
        <v>1681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1713</v>
      </c>
      <c r="E3138" s="191">
        <v>41086</v>
      </c>
      <c r="F3138" s="40" t="s">
        <v>1146</v>
      </c>
      <c r="G3138" s="40" t="s">
        <v>1000</v>
      </c>
      <c r="H3138" s="7" t="s">
        <v>1681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1713</v>
      </c>
      <c r="E3139" s="191">
        <v>41086</v>
      </c>
      <c r="F3139" s="40" t="s">
        <v>1471</v>
      </c>
      <c r="G3139" s="40" t="s">
        <v>1002</v>
      </c>
      <c r="H3139" s="7" t="s">
        <v>1681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1713</v>
      </c>
      <c r="E3140" s="191">
        <v>41086</v>
      </c>
      <c r="F3140" s="40" t="s">
        <v>1485</v>
      </c>
      <c r="G3140" s="40" t="s">
        <v>1002</v>
      </c>
      <c r="H3140" s="7" t="s">
        <v>1681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1713</v>
      </c>
      <c r="E3141" s="191">
        <v>41086</v>
      </c>
      <c r="F3141" s="40" t="s">
        <v>1501</v>
      </c>
      <c r="G3141" s="40" t="s">
        <v>1002</v>
      </c>
      <c r="H3141" s="7" t="s">
        <v>1681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1713</v>
      </c>
      <c r="E3142" s="191">
        <v>41086</v>
      </c>
      <c r="F3142" s="40" t="s">
        <v>1513</v>
      </c>
      <c r="G3142" s="40" t="s">
        <v>1002</v>
      </c>
      <c r="H3142" s="7" t="s">
        <v>1681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1713</v>
      </c>
      <c r="E3143" s="191">
        <v>41086</v>
      </c>
      <c r="F3143" s="40" t="s">
        <v>1488</v>
      </c>
      <c r="G3143" s="40" t="s">
        <v>1002</v>
      </c>
      <c r="H3143" s="7" t="s">
        <v>1681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1713</v>
      </c>
      <c r="E3144" s="191">
        <v>41086</v>
      </c>
      <c r="F3144" s="40" t="s">
        <v>1507</v>
      </c>
      <c r="G3144" s="40" t="s">
        <v>1002</v>
      </c>
      <c r="H3144" s="7" t="s">
        <v>1681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1713</v>
      </c>
      <c r="E3145" s="191">
        <v>41086</v>
      </c>
      <c r="F3145" s="40" t="s">
        <v>1487</v>
      </c>
      <c r="G3145" s="40" t="s">
        <v>1002</v>
      </c>
      <c r="H3145" s="7" t="s">
        <v>1681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1713</v>
      </c>
      <c r="E3146" s="191">
        <v>41086</v>
      </c>
      <c r="F3146" s="40" t="s">
        <v>1491</v>
      </c>
      <c r="G3146" s="40" t="s">
        <v>1002</v>
      </c>
      <c r="H3146" s="7" t="s">
        <v>1681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1713</v>
      </c>
      <c r="E3147" s="191">
        <v>41086</v>
      </c>
      <c r="F3147" s="40" t="s">
        <v>1498</v>
      </c>
      <c r="G3147" s="40" t="s">
        <v>1002</v>
      </c>
      <c r="H3147" s="7" t="s">
        <v>1681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1713</v>
      </c>
      <c r="E3148" s="191">
        <v>41086</v>
      </c>
      <c r="F3148" s="40" t="s">
        <v>1499</v>
      </c>
      <c r="G3148" s="40" t="s">
        <v>1002</v>
      </c>
      <c r="H3148" s="7" t="s">
        <v>1681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1713</v>
      </c>
      <c r="E3149" s="191">
        <v>41090</v>
      </c>
      <c r="F3149" s="40" t="s">
        <v>1476</v>
      </c>
      <c r="G3149" s="40" t="s">
        <v>1003</v>
      </c>
      <c r="H3149" s="7" t="s">
        <v>1681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1713</v>
      </c>
      <c r="E3150" s="191">
        <v>41090</v>
      </c>
      <c r="F3150" s="40" t="s">
        <v>1509</v>
      </c>
      <c r="G3150" s="40" t="s">
        <v>1003</v>
      </c>
      <c r="H3150" s="7" t="s">
        <v>1681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1713</v>
      </c>
      <c r="E3151" s="191">
        <v>41090</v>
      </c>
      <c r="F3151" s="40" t="s">
        <v>1511</v>
      </c>
      <c r="G3151" s="40" t="s">
        <v>1003</v>
      </c>
      <c r="H3151" s="7" t="s">
        <v>1681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1713</v>
      </c>
      <c r="E3152" s="191">
        <v>41090</v>
      </c>
      <c r="F3152" s="40" t="s">
        <v>1514</v>
      </c>
      <c r="G3152" s="40" t="s">
        <v>1003</v>
      </c>
      <c r="H3152" s="7" t="s">
        <v>1681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1713</v>
      </c>
      <c r="E3153" s="191">
        <v>41090</v>
      </c>
      <c r="F3153" s="40" t="s">
        <v>1502</v>
      </c>
      <c r="G3153" s="40" t="s">
        <v>1003</v>
      </c>
      <c r="H3153" s="7" t="s">
        <v>1681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1713</v>
      </c>
      <c r="E3154" s="191">
        <v>41090</v>
      </c>
      <c r="F3154" s="40" t="s">
        <v>1502</v>
      </c>
      <c r="G3154" s="40" t="s">
        <v>1003</v>
      </c>
      <c r="H3154" s="7" t="s">
        <v>1681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1713</v>
      </c>
      <c r="E3155" s="191">
        <v>41090</v>
      </c>
      <c r="F3155" s="40" t="s">
        <v>1478</v>
      </c>
      <c r="G3155" s="40" t="s">
        <v>1003</v>
      </c>
      <c r="H3155" s="7" t="s">
        <v>1681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1713</v>
      </c>
      <c r="E3156" s="191">
        <v>41090</v>
      </c>
      <c r="F3156" s="40" t="s">
        <v>1487</v>
      </c>
      <c r="G3156" s="40" t="s">
        <v>1003</v>
      </c>
      <c r="H3156" s="7" t="s">
        <v>1681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1713</v>
      </c>
      <c r="E3157" s="191">
        <v>41090</v>
      </c>
      <c r="F3157" s="40" t="s">
        <v>1490</v>
      </c>
      <c r="G3157" s="40" t="s">
        <v>1003</v>
      </c>
      <c r="H3157" s="7" t="s">
        <v>1681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1713</v>
      </c>
      <c r="E3158" s="191">
        <v>41090</v>
      </c>
      <c r="F3158" s="40" t="s">
        <v>1515</v>
      </c>
      <c r="G3158" s="40" t="s">
        <v>1003</v>
      </c>
      <c r="H3158" s="7" t="s">
        <v>1681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1713</v>
      </c>
      <c r="E3159" s="191">
        <v>41090</v>
      </c>
      <c r="F3159" s="40" t="s">
        <v>1477</v>
      </c>
      <c r="G3159" s="40" t="s">
        <v>1003</v>
      </c>
      <c r="H3159" s="7" t="s">
        <v>1681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1713</v>
      </c>
      <c r="E3160" s="191">
        <v>41090</v>
      </c>
      <c r="F3160" s="40" t="s">
        <v>1512</v>
      </c>
      <c r="G3160" s="40" t="s">
        <v>1003</v>
      </c>
      <c r="H3160" s="7" t="s">
        <v>1681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1713</v>
      </c>
      <c r="E3161" s="191">
        <v>41090</v>
      </c>
      <c r="F3161" s="40" t="s">
        <v>1489</v>
      </c>
      <c r="G3161" s="40" t="s">
        <v>1003</v>
      </c>
      <c r="H3161" s="7" t="s">
        <v>1681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1713</v>
      </c>
      <c r="E3162" s="191">
        <v>41090</v>
      </c>
      <c r="F3162" s="40" t="s">
        <v>1516</v>
      </c>
      <c r="G3162" s="40" t="s">
        <v>1003</v>
      </c>
      <c r="H3162" s="7" t="s">
        <v>1681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1713</v>
      </c>
      <c r="E3163" s="191">
        <v>41090</v>
      </c>
      <c r="F3163" s="40" t="s">
        <v>1479</v>
      </c>
      <c r="G3163" s="40" t="s">
        <v>1003</v>
      </c>
      <c r="H3163" s="7" t="s">
        <v>1681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1713</v>
      </c>
      <c r="E3164" s="191">
        <v>41090</v>
      </c>
      <c r="F3164" s="40" t="s">
        <v>1480</v>
      </c>
      <c r="G3164" s="40" t="s">
        <v>1003</v>
      </c>
      <c r="H3164" s="7" t="s">
        <v>1681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26" customFormat="1" ht="15.75" customHeight="1">
      <c r="A3165" s="842" t="str">
        <f>IF(B3165&lt;&gt;"",IF(AND(B3165&gt;=_TM1,B3165&lt;=_TM2,OR(TH!L3165="1111",TH!M3165="1111")),TH!D3165,""),"")</f>
        <v/>
      </c>
      <c r="B3165" s="817">
        <f t="shared" si="173"/>
        <v>7</v>
      </c>
      <c r="C3165" s="843">
        <f t="shared" si="176"/>
        <v>41092</v>
      </c>
      <c r="D3165" s="37" t="s">
        <v>1713</v>
      </c>
      <c r="E3165" s="818">
        <v>41092</v>
      </c>
      <c r="F3165" s="848" t="s">
        <v>1145</v>
      </c>
      <c r="G3165" s="848" t="s">
        <v>1004</v>
      </c>
      <c r="H3165" s="846" t="s">
        <v>1681</v>
      </c>
      <c r="I3165" s="822">
        <v>1000</v>
      </c>
      <c r="J3165" s="822">
        <v>5112.9296636346207</v>
      </c>
      <c r="K3165" s="823">
        <f t="shared" si="177"/>
        <v>5112930</v>
      </c>
      <c r="L3165" s="844" t="s">
        <v>183</v>
      </c>
      <c r="M3165" s="844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1713</v>
      </c>
      <c r="E3166" s="191">
        <v>41093</v>
      </c>
      <c r="F3166" s="40" t="s">
        <v>526</v>
      </c>
      <c r="G3166" s="40" t="s">
        <v>1005</v>
      </c>
      <c r="H3166" s="7" t="s">
        <v>1681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1713</v>
      </c>
      <c r="E3167" s="191">
        <v>41095</v>
      </c>
      <c r="F3167" s="40" t="s">
        <v>1096</v>
      </c>
      <c r="G3167" s="40" t="s">
        <v>1006</v>
      </c>
      <c r="H3167" s="7" t="s">
        <v>1681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1713</v>
      </c>
      <c r="E3168" s="191">
        <v>41095</v>
      </c>
      <c r="F3168" s="40" t="s">
        <v>1120</v>
      </c>
      <c r="G3168" s="40" t="s">
        <v>1007</v>
      </c>
      <c r="H3168" s="7" t="s">
        <v>1681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1713</v>
      </c>
      <c r="E3169" s="191">
        <v>41095</v>
      </c>
      <c r="F3169" s="40" t="s">
        <v>1008</v>
      </c>
      <c r="G3169" s="40" t="s">
        <v>1009</v>
      </c>
      <c r="H3169" s="7" t="s">
        <v>1681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1713</v>
      </c>
      <c r="E3170" s="191">
        <v>41095</v>
      </c>
      <c r="F3170" s="40" t="s">
        <v>1144</v>
      </c>
      <c r="G3170" s="40" t="s">
        <v>1009</v>
      </c>
      <c r="H3170" s="7" t="s">
        <v>1681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1713</v>
      </c>
      <c r="E3171" s="191">
        <v>41095</v>
      </c>
      <c r="F3171" s="40" t="s">
        <v>1143</v>
      </c>
      <c r="G3171" s="40" t="s">
        <v>1009</v>
      </c>
      <c r="H3171" s="7" t="s">
        <v>1681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1713</v>
      </c>
      <c r="E3172" s="191">
        <v>41096</v>
      </c>
      <c r="F3172" s="40" t="s">
        <v>1142</v>
      </c>
      <c r="G3172" s="40" t="s">
        <v>1010</v>
      </c>
      <c r="H3172" s="7" t="s">
        <v>1681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1713</v>
      </c>
      <c r="E3173" s="191">
        <v>41096</v>
      </c>
      <c r="F3173" s="40" t="s">
        <v>1106</v>
      </c>
      <c r="G3173" s="40" t="s">
        <v>1010</v>
      </c>
      <c r="H3173" s="7" t="s">
        <v>1681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1713</v>
      </c>
      <c r="E3174" s="191">
        <v>41096</v>
      </c>
      <c r="F3174" s="40" t="s">
        <v>1141</v>
      </c>
      <c r="G3174" s="40" t="s">
        <v>1010</v>
      </c>
      <c r="H3174" s="7" t="s">
        <v>1681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1713</v>
      </c>
      <c r="E3175" s="191">
        <v>41096</v>
      </c>
      <c r="F3175" s="40" t="s">
        <v>1140</v>
      </c>
      <c r="G3175" s="40" t="s">
        <v>1011</v>
      </c>
      <c r="H3175" s="7" t="s">
        <v>1681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1713</v>
      </c>
      <c r="E3176" s="191">
        <v>41104</v>
      </c>
      <c r="F3176" s="40" t="s">
        <v>1139</v>
      </c>
      <c r="G3176" s="40" t="s">
        <v>426</v>
      </c>
      <c r="H3176" s="7" t="s">
        <v>1681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1713</v>
      </c>
      <c r="E3177" s="191">
        <v>41104</v>
      </c>
      <c r="F3177" s="40" t="s">
        <v>1122</v>
      </c>
      <c r="G3177" s="40" t="s">
        <v>731</v>
      </c>
      <c r="H3177" s="7" t="s">
        <v>1681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1713</v>
      </c>
      <c r="E3178" s="191">
        <v>41104</v>
      </c>
      <c r="F3178" s="40" t="s">
        <v>1121</v>
      </c>
      <c r="G3178" s="40" t="s">
        <v>731</v>
      </c>
      <c r="H3178" s="7" t="s">
        <v>1681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1713</v>
      </c>
      <c r="E3179" s="191">
        <v>41104</v>
      </c>
      <c r="F3179" s="40" t="s">
        <v>1012</v>
      </c>
      <c r="G3179" s="40" t="s">
        <v>1013</v>
      </c>
      <c r="H3179" s="7" t="s">
        <v>1681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1713</v>
      </c>
      <c r="E3180" s="191">
        <v>41104</v>
      </c>
      <c r="F3180" s="40" t="s">
        <v>1202</v>
      </c>
      <c r="G3180" s="40" t="s">
        <v>1013</v>
      </c>
      <c r="H3180" s="7" t="s">
        <v>1681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1713</v>
      </c>
      <c r="E3181" s="191">
        <v>41105</v>
      </c>
      <c r="F3181" s="40" t="s">
        <v>1127</v>
      </c>
      <c r="G3181" s="40" t="s">
        <v>429</v>
      </c>
      <c r="H3181" s="7" t="s">
        <v>1681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1713</v>
      </c>
      <c r="E3182" s="191">
        <v>41105</v>
      </c>
      <c r="F3182" s="40" t="s">
        <v>1138</v>
      </c>
      <c r="G3182" s="40" t="s">
        <v>429</v>
      </c>
      <c r="H3182" s="7" t="s">
        <v>1681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1713</v>
      </c>
      <c r="E3183" s="191">
        <v>41105</v>
      </c>
      <c r="F3183" s="40" t="s">
        <v>1128</v>
      </c>
      <c r="G3183" s="40" t="s">
        <v>429</v>
      </c>
      <c r="H3183" s="7" t="s">
        <v>1681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1713</v>
      </c>
      <c r="E3184" s="191">
        <v>41105</v>
      </c>
      <c r="F3184" s="40" t="s">
        <v>1137</v>
      </c>
      <c r="G3184" s="40" t="s">
        <v>429</v>
      </c>
      <c r="H3184" s="7" t="s">
        <v>1681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1713</v>
      </c>
      <c r="E3185" s="191">
        <v>41105</v>
      </c>
      <c r="F3185" s="40" t="s">
        <v>1136</v>
      </c>
      <c r="G3185" s="40" t="s">
        <v>429</v>
      </c>
      <c r="H3185" s="7" t="s">
        <v>1681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1713</v>
      </c>
      <c r="E3186" s="191">
        <v>41117</v>
      </c>
      <c r="F3186" s="40" t="s">
        <v>1135</v>
      </c>
      <c r="G3186" s="40" t="s">
        <v>1014</v>
      </c>
      <c r="H3186" s="7" t="s">
        <v>1681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1713</v>
      </c>
      <c r="E3187" s="191">
        <v>41117</v>
      </c>
      <c r="F3187" s="40" t="s">
        <v>1107</v>
      </c>
      <c r="G3187" s="40" t="s">
        <v>1014</v>
      </c>
      <c r="H3187" s="7" t="s">
        <v>1681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1713</v>
      </c>
      <c r="E3188" s="191">
        <v>41117</v>
      </c>
      <c r="F3188" s="40" t="s">
        <v>1133</v>
      </c>
      <c r="G3188" s="40" t="s">
        <v>1015</v>
      </c>
      <c r="H3188" s="7" t="s">
        <v>1681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1713</v>
      </c>
      <c r="E3189" s="191">
        <v>41117</v>
      </c>
      <c r="F3189" s="40" t="s">
        <v>1134</v>
      </c>
      <c r="G3189" s="40" t="s">
        <v>1015</v>
      </c>
      <c r="H3189" s="7" t="s">
        <v>1681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1713</v>
      </c>
      <c r="E3190" s="191">
        <v>41117</v>
      </c>
      <c r="F3190" s="40" t="s">
        <v>1132</v>
      </c>
      <c r="G3190" s="40" t="s">
        <v>430</v>
      </c>
      <c r="H3190" s="7" t="s">
        <v>1681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1713</v>
      </c>
      <c r="E3191" s="191">
        <v>41118</v>
      </c>
      <c r="F3191" s="40" t="s">
        <v>526</v>
      </c>
      <c r="G3191" s="40" t="s">
        <v>1016</v>
      </c>
      <c r="H3191" s="7" t="s">
        <v>1681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1713</v>
      </c>
      <c r="E3192" s="191">
        <v>41118</v>
      </c>
      <c r="F3192" s="40" t="s">
        <v>1474</v>
      </c>
      <c r="G3192" s="40" t="s">
        <v>1018</v>
      </c>
      <c r="H3192" s="7" t="s">
        <v>1681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1713</v>
      </c>
      <c r="E3193" s="191">
        <v>41118</v>
      </c>
      <c r="F3193" s="40" t="s">
        <v>1508</v>
      </c>
      <c r="G3193" s="40" t="s">
        <v>1018</v>
      </c>
      <c r="H3193" s="7" t="s">
        <v>1681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1713</v>
      </c>
      <c r="E3194" s="191">
        <v>41118</v>
      </c>
      <c r="F3194" s="40" t="s">
        <v>1472</v>
      </c>
      <c r="G3194" s="40" t="s">
        <v>1018</v>
      </c>
      <c r="H3194" s="7" t="s">
        <v>1681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1713</v>
      </c>
      <c r="E3195" s="191">
        <v>41118</v>
      </c>
      <c r="F3195" s="40" t="s">
        <v>1476</v>
      </c>
      <c r="G3195" s="40" t="s">
        <v>1018</v>
      </c>
      <c r="H3195" s="7" t="s">
        <v>1681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1713</v>
      </c>
      <c r="E3196" s="191">
        <v>41118</v>
      </c>
      <c r="F3196" s="40" t="s">
        <v>1509</v>
      </c>
      <c r="G3196" s="40" t="s">
        <v>1018</v>
      </c>
      <c r="H3196" s="7" t="s">
        <v>1681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1713</v>
      </c>
      <c r="E3197" s="191">
        <v>41118</v>
      </c>
      <c r="F3197" s="40" t="s">
        <v>1502</v>
      </c>
      <c r="G3197" s="40" t="s">
        <v>1018</v>
      </c>
      <c r="H3197" s="7" t="s">
        <v>1681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1713</v>
      </c>
      <c r="E3198" s="191">
        <v>41118</v>
      </c>
      <c r="F3198" s="40" t="s">
        <v>1478</v>
      </c>
      <c r="G3198" s="40" t="s">
        <v>1018</v>
      </c>
      <c r="H3198" s="7" t="s">
        <v>1681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1713</v>
      </c>
      <c r="E3199" s="191">
        <v>41118</v>
      </c>
      <c r="F3199" s="40" t="s">
        <v>1487</v>
      </c>
      <c r="G3199" s="40" t="s">
        <v>1018</v>
      </c>
      <c r="H3199" s="7" t="s">
        <v>1681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1713</v>
      </c>
      <c r="E3200" s="191">
        <v>41121</v>
      </c>
      <c r="F3200" s="40" t="s">
        <v>1096</v>
      </c>
      <c r="G3200" s="40" t="s">
        <v>1019</v>
      </c>
      <c r="H3200" s="7" t="s">
        <v>1681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1713</v>
      </c>
      <c r="E3201" s="191">
        <v>41122</v>
      </c>
      <c r="F3201" s="40" t="s">
        <v>1044</v>
      </c>
      <c r="G3201" s="40" t="s">
        <v>1020</v>
      </c>
      <c r="H3201" s="7" t="s">
        <v>1681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1713</v>
      </c>
      <c r="E3202" s="191">
        <v>41122</v>
      </c>
      <c r="F3202" s="40" t="s">
        <v>1045</v>
      </c>
      <c r="G3202" s="40" t="s">
        <v>1020</v>
      </c>
      <c r="H3202" s="7" t="s">
        <v>1681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1713</v>
      </c>
      <c r="E3203" s="191">
        <v>41124</v>
      </c>
      <c r="F3203" s="40" t="s">
        <v>1130</v>
      </c>
      <c r="G3203" s="40" t="s">
        <v>1021</v>
      </c>
      <c r="H3203" s="7" t="s">
        <v>1681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1713</v>
      </c>
      <c r="E3204" s="191">
        <v>41125</v>
      </c>
      <c r="F3204" s="40" t="s">
        <v>1130</v>
      </c>
      <c r="G3204" s="40" t="s">
        <v>1022</v>
      </c>
      <c r="H3204" s="7" t="s">
        <v>1681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1713</v>
      </c>
      <c r="E3205" s="191">
        <v>41125</v>
      </c>
      <c r="F3205" s="40" t="s">
        <v>1127</v>
      </c>
      <c r="G3205" s="40" t="s">
        <v>1023</v>
      </c>
      <c r="H3205" s="7" t="s">
        <v>1681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1713</v>
      </c>
      <c r="E3206" s="191">
        <v>41125</v>
      </c>
      <c r="F3206" s="40" t="s">
        <v>1128</v>
      </c>
      <c r="G3206" s="40" t="s">
        <v>1023</v>
      </c>
      <c r="H3206" s="7" t="s">
        <v>1681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1713</v>
      </c>
      <c r="E3207" s="191">
        <v>41125</v>
      </c>
      <c r="F3207" s="40" t="s">
        <v>1129</v>
      </c>
      <c r="G3207" s="40" t="s">
        <v>1023</v>
      </c>
      <c r="H3207" s="7" t="s">
        <v>1681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1713</v>
      </c>
      <c r="E3208" s="191">
        <v>41128</v>
      </c>
      <c r="F3208" s="40" t="s">
        <v>1113</v>
      </c>
      <c r="G3208" s="40" t="s">
        <v>1024</v>
      </c>
      <c r="H3208" s="7" t="s">
        <v>1681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1713</v>
      </c>
      <c r="E3209" s="191">
        <v>41129</v>
      </c>
      <c r="F3209" s="40" t="s">
        <v>1096</v>
      </c>
      <c r="G3209" s="40" t="s">
        <v>1025</v>
      </c>
      <c r="H3209" s="7" t="s">
        <v>1681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1713</v>
      </c>
      <c r="E3210" s="191">
        <v>41129</v>
      </c>
      <c r="F3210" s="40" t="s">
        <v>1107</v>
      </c>
      <c r="G3210" s="40" t="s">
        <v>1025</v>
      </c>
      <c r="H3210" s="7" t="s">
        <v>1681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1713</v>
      </c>
      <c r="E3211" s="191">
        <v>41129</v>
      </c>
      <c r="F3211" s="40" t="s">
        <v>1126</v>
      </c>
      <c r="G3211" s="40" t="s">
        <v>648</v>
      </c>
      <c r="H3211" s="7" t="s">
        <v>1681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1713</v>
      </c>
      <c r="E3212" s="191">
        <v>41136</v>
      </c>
      <c r="F3212" s="297" t="s">
        <v>1132</v>
      </c>
      <c r="G3212" s="40" t="s">
        <v>1026</v>
      </c>
      <c r="H3212" s="7" t="s">
        <v>1681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1713</v>
      </c>
      <c r="E3213" s="191">
        <v>41137</v>
      </c>
      <c r="F3213" s="40" t="s">
        <v>1120</v>
      </c>
      <c r="G3213" s="40" t="s">
        <v>1027</v>
      </c>
      <c r="H3213" s="7" t="s">
        <v>1681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1713</v>
      </c>
      <c r="E3214" s="191">
        <v>41137</v>
      </c>
      <c r="F3214" s="40" t="s">
        <v>1125</v>
      </c>
      <c r="G3214" s="40" t="s">
        <v>1027</v>
      </c>
      <c r="H3214" s="7" t="s">
        <v>1681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1713</v>
      </c>
      <c r="E3215" s="191">
        <v>41137</v>
      </c>
      <c r="F3215" s="40" t="s">
        <v>1028</v>
      </c>
      <c r="G3215" s="40" t="s">
        <v>1029</v>
      </c>
      <c r="H3215" s="7" t="s">
        <v>1681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1713</v>
      </c>
      <c r="E3216" s="191">
        <v>41137</v>
      </c>
      <c r="F3216" s="40" t="s">
        <v>1030</v>
      </c>
      <c r="G3216" s="40" t="s">
        <v>1029</v>
      </c>
      <c r="H3216" s="7" t="s">
        <v>1681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1713</v>
      </c>
      <c r="E3217" s="191">
        <v>41137</v>
      </c>
      <c r="F3217" s="40" t="s">
        <v>1031</v>
      </c>
      <c r="G3217" s="40" t="s">
        <v>1029</v>
      </c>
      <c r="H3217" s="7" t="s">
        <v>1681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1713</v>
      </c>
      <c r="E3218" s="191">
        <v>41137</v>
      </c>
      <c r="F3218" s="40" t="s">
        <v>1032</v>
      </c>
      <c r="G3218" s="40" t="s">
        <v>1029</v>
      </c>
      <c r="H3218" s="7" t="s">
        <v>1681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1713</v>
      </c>
      <c r="E3219" s="191">
        <v>41150</v>
      </c>
      <c r="F3219" s="40" t="s">
        <v>1089</v>
      </c>
      <c r="G3219" s="40" t="s">
        <v>1033</v>
      </c>
      <c r="H3219" s="7" t="s">
        <v>1681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1713</v>
      </c>
      <c r="E3220" s="191">
        <v>41150</v>
      </c>
      <c r="F3220" s="40" t="s">
        <v>1124</v>
      </c>
      <c r="G3220" s="40" t="s">
        <v>431</v>
      </c>
      <c r="H3220" s="7" t="s">
        <v>1681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1713</v>
      </c>
      <c r="E3221" s="191">
        <v>41150</v>
      </c>
      <c r="F3221" s="40" t="s">
        <v>1123</v>
      </c>
      <c r="G3221" s="40" t="s">
        <v>431</v>
      </c>
      <c r="H3221" s="7" t="s">
        <v>1681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1713</v>
      </c>
      <c r="E3222" s="191">
        <v>41153</v>
      </c>
      <c r="F3222" s="40" t="s">
        <v>1100</v>
      </c>
      <c r="G3222" s="40" t="s">
        <v>1034</v>
      </c>
      <c r="H3222" s="7" t="s">
        <v>1681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1713</v>
      </c>
      <c r="E3223" s="191">
        <v>41158</v>
      </c>
      <c r="F3223" s="40" t="s">
        <v>1096</v>
      </c>
      <c r="G3223" s="40" t="s">
        <v>1035</v>
      </c>
      <c r="H3223" s="7" t="s">
        <v>1681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1713</v>
      </c>
      <c r="E3224" s="191">
        <v>41162</v>
      </c>
      <c r="F3224" s="40" t="s">
        <v>1122</v>
      </c>
      <c r="G3224" s="40" t="s">
        <v>1036</v>
      </c>
      <c r="H3224" s="7" t="s">
        <v>1681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1713</v>
      </c>
      <c r="E3225" s="191">
        <v>41162</v>
      </c>
      <c r="F3225" s="40" t="s">
        <v>1121</v>
      </c>
      <c r="G3225" s="40" t="s">
        <v>1036</v>
      </c>
      <c r="H3225" s="7" t="s">
        <v>1681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1713</v>
      </c>
      <c r="E3226" s="191">
        <v>41162</v>
      </c>
      <c r="F3226" s="40" t="s">
        <v>1103</v>
      </c>
      <c r="G3226" s="40" t="s">
        <v>432</v>
      </c>
      <c r="H3226" s="7" t="s">
        <v>1681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1713</v>
      </c>
      <c r="E3227" s="191">
        <v>41162</v>
      </c>
      <c r="F3227" s="40" t="s">
        <v>1104</v>
      </c>
      <c r="G3227" s="40" t="s">
        <v>432</v>
      </c>
      <c r="H3227" s="7" t="s">
        <v>1681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1713</v>
      </c>
      <c r="E3228" s="191">
        <v>41162</v>
      </c>
      <c r="F3228" s="40" t="s">
        <v>1714</v>
      </c>
      <c r="G3228" s="40" t="s">
        <v>432</v>
      </c>
      <c r="H3228" s="7" t="s">
        <v>1681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1713</v>
      </c>
      <c r="E3229" s="191">
        <v>41162</v>
      </c>
      <c r="F3229" s="40" t="s">
        <v>1037</v>
      </c>
      <c r="G3229" s="40" t="s">
        <v>1038</v>
      </c>
      <c r="H3229" s="7" t="s">
        <v>1681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1713</v>
      </c>
      <c r="E3230" s="191">
        <v>41162</v>
      </c>
      <c r="F3230" s="40" t="s">
        <v>1204</v>
      </c>
      <c r="G3230" s="40" t="s">
        <v>1038</v>
      </c>
      <c r="H3230" s="7" t="s">
        <v>1681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1713</v>
      </c>
      <c r="E3231" s="191">
        <v>41163</v>
      </c>
      <c r="F3231" s="40" t="s">
        <v>1204</v>
      </c>
      <c r="G3231" s="40" t="s">
        <v>1039</v>
      </c>
      <c r="H3231" s="7" t="s">
        <v>1681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1713</v>
      </c>
      <c r="E3232" s="191">
        <v>41163</v>
      </c>
      <c r="F3232" s="40" t="s">
        <v>1205</v>
      </c>
      <c r="G3232" s="40" t="s">
        <v>1039</v>
      </c>
      <c r="H3232" s="7" t="s">
        <v>1681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1713</v>
      </c>
      <c r="E3233" s="191">
        <v>41163</v>
      </c>
      <c r="F3233" s="40" t="s">
        <v>1206</v>
      </c>
      <c r="G3233" s="40" t="s">
        <v>1039</v>
      </c>
      <c r="H3233" s="7" t="s">
        <v>1681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1713</v>
      </c>
      <c r="E3234" s="191">
        <v>41163</v>
      </c>
      <c r="F3234" s="40" t="s">
        <v>1197</v>
      </c>
      <c r="G3234" s="40" t="s">
        <v>1039</v>
      </c>
      <c r="H3234" s="7" t="s">
        <v>1681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1713</v>
      </c>
      <c r="E3235" s="191">
        <v>41163</v>
      </c>
      <c r="F3235" s="40" t="s">
        <v>1203</v>
      </c>
      <c r="G3235" s="40" t="s">
        <v>1039</v>
      </c>
      <c r="H3235" s="7" t="s">
        <v>1681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1713</v>
      </c>
      <c r="E3236" s="191">
        <v>41169</v>
      </c>
      <c r="F3236" s="40" t="s">
        <v>1096</v>
      </c>
      <c r="G3236" s="40" t="s">
        <v>1040</v>
      </c>
      <c r="H3236" s="7" t="s">
        <v>1681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1713</v>
      </c>
      <c r="E3237" s="191">
        <v>41169</v>
      </c>
      <c r="F3237" s="40" t="s">
        <v>1096</v>
      </c>
      <c r="G3237" s="40" t="s">
        <v>1040</v>
      </c>
      <c r="H3237" s="7" t="s">
        <v>1681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26" customFormat="1" ht="15.75" customHeight="1">
      <c r="A3238" s="842" t="str">
        <f>IF(B3238&lt;&gt;"",IF(AND(B3238&gt;=_TM1,B3238&lt;=_TM2,OR(TH!L3238="1111",TH!M3238="1111")),TH!D3238,""),"")</f>
        <v/>
      </c>
      <c r="B3238" s="817">
        <f t="shared" si="157"/>
        <v>10</v>
      </c>
      <c r="C3238" s="843">
        <f t="shared" si="178"/>
        <v>41183</v>
      </c>
      <c r="D3238" s="37" t="s">
        <v>1713</v>
      </c>
      <c r="E3238" s="818">
        <v>41183</v>
      </c>
      <c r="F3238" s="848" t="s">
        <v>1120</v>
      </c>
      <c r="G3238" s="848" t="s">
        <v>1041</v>
      </c>
      <c r="H3238" s="846" t="s">
        <v>1681</v>
      </c>
      <c r="I3238" s="822">
        <v>508</v>
      </c>
      <c r="J3238" s="822">
        <v>10711.842452385759</v>
      </c>
      <c r="K3238" s="823">
        <f t="shared" si="179"/>
        <v>5441616</v>
      </c>
      <c r="L3238" s="844" t="s">
        <v>183</v>
      </c>
      <c r="M3238" s="844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1713</v>
      </c>
      <c r="E3239" s="191">
        <v>41194</v>
      </c>
      <c r="F3239" s="40" t="s">
        <v>1107</v>
      </c>
      <c r="G3239" s="40" t="s">
        <v>433</v>
      </c>
      <c r="H3239" s="7" t="s">
        <v>1681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1713</v>
      </c>
      <c r="E3240" s="191">
        <v>41194</v>
      </c>
      <c r="F3240" s="40" t="s">
        <v>1096</v>
      </c>
      <c r="G3240" s="40" t="s">
        <v>433</v>
      </c>
      <c r="H3240" s="7" t="s">
        <v>1681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1713</v>
      </c>
      <c r="E3241" s="191">
        <v>41194</v>
      </c>
      <c r="F3241" s="40" t="s">
        <v>1118</v>
      </c>
      <c r="G3241" s="40" t="s">
        <v>597</v>
      </c>
      <c r="H3241" s="7" t="s">
        <v>1681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1713</v>
      </c>
      <c r="E3242" s="191">
        <v>41194</v>
      </c>
      <c r="F3242" s="40" t="s">
        <v>1117</v>
      </c>
      <c r="G3242" s="40" t="s">
        <v>597</v>
      </c>
      <c r="H3242" s="7" t="s">
        <v>1681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1713</v>
      </c>
      <c r="E3243" s="191">
        <v>41194</v>
      </c>
      <c r="F3243" s="40" t="s">
        <v>1119</v>
      </c>
      <c r="G3243" s="40" t="s">
        <v>597</v>
      </c>
      <c r="H3243" s="7" t="s">
        <v>1681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1713</v>
      </c>
      <c r="E3244" s="191">
        <v>41195</v>
      </c>
      <c r="F3244" s="40" t="s">
        <v>1118</v>
      </c>
      <c r="G3244" s="40" t="s">
        <v>1042</v>
      </c>
      <c r="H3244" s="7" t="s">
        <v>1681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1713</v>
      </c>
      <c r="E3245" s="191">
        <v>41195</v>
      </c>
      <c r="F3245" s="40" t="s">
        <v>1117</v>
      </c>
      <c r="G3245" s="40" t="s">
        <v>1042</v>
      </c>
      <c r="H3245" s="7" t="s">
        <v>1681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1713</v>
      </c>
      <c r="E3246" s="191">
        <v>41195</v>
      </c>
      <c r="F3246" s="40" t="s">
        <v>1116</v>
      </c>
      <c r="G3246" s="40" t="s">
        <v>1042</v>
      </c>
      <c r="H3246" s="7" t="s">
        <v>1681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1713</v>
      </c>
      <c r="E3247" s="191">
        <v>41198</v>
      </c>
      <c r="F3247" s="40" t="s">
        <v>1115</v>
      </c>
      <c r="G3247" s="40" t="s">
        <v>434</v>
      </c>
      <c r="H3247" s="7" t="s">
        <v>1681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1713</v>
      </c>
      <c r="E3248" s="191">
        <v>41199</v>
      </c>
      <c r="F3248" s="40" t="s">
        <v>1107</v>
      </c>
      <c r="G3248" s="40" t="s">
        <v>1043</v>
      </c>
      <c r="H3248" s="7" t="s">
        <v>1681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1713</v>
      </c>
      <c r="E3249" s="191">
        <v>41199</v>
      </c>
      <c r="F3249" s="40" t="s">
        <v>1096</v>
      </c>
      <c r="G3249" s="40" t="s">
        <v>1043</v>
      </c>
      <c r="H3249" s="7" t="s">
        <v>1681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1713</v>
      </c>
      <c r="E3250" s="191">
        <v>41199</v>
      </c>
      <c r="F3250" s="40" t="s">
        <v>1044</v>
      </c>
      <c r="G3250" s="40" t="s">
        <v>435</v>
      </c>
      <c r="H3250" s="7" t="s">
        <v>1681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1713</v>
      </c>
      <c r="E3251" s="191">
        <v>41199</v>
      </c>
      <c r="F3251" s="40" t="s">
        <v>1045</v>
      </c>
      <c r="G3251" s="40" t="s">
        <v>435</v>
      </c>
      <c r="H3251" s="7" t="s">
        <v>1681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1713</v>
      </c>
      <c r="E3252" s="191">
        <v>41201</v>
      </c>
      <c r="F3252" s="40" t="s">
        <v>1114</v>
      </c>
      <c r="G3252" s="40" t="s">
        <v>1046</v>
      </c>
      <c r="H3252" s="7" t="s">
        <v>1681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1713</v>
      </c>
      <c r="E3253" s="191">
        <v>41201</v>
      </c>
      <c r="F3253" s="40" t="s">
        <v>1113</v>
      </c>
      <c r="G3253" s="40" t="s">
        <v>1047</v>
      </c>
      <c r="H3253" s="7" t="s">
        <v>1681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1713</v>
      </c>
      <c r="E3254" s="191">
        <v>41205</v>
      </c>
      <c r="F3254" s="40" t="s">
        <v>1100</v>
      </c>
      <c r="G3254" s="40" t="s">
        <v>1048</v>
      </c>
      <c r="H3254" s="7" t="s">
        <v>1681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1713</v>
      </c>
      <c r="E3255" s="191">
        <v>41205</v>
      </c>
      <c r="F3255" s="40" t="s">
        <v>1112</v>
      </c>
      <c r="G3255" s="40" t="s">
        <v>1049</v>
      </c>
      <c r="H3255" s="7" t="s">
        <v>1681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e">
        <f>IF(AND(L3255="154",#REF!&lt;=B3255,#REF!&gt;=B3255),"154",IF(AND(L3255="632",#REF!&lt;=B3255,#REF!&gt;=B3255),"632",IF(AND(L3255="642",#REF!&lt;=B3255,#REF!&gt;=B3255),"642",IF(AND(L3255="641",#REF!&lt;=B3255,#REF!&gt;=B3255),"641",""))))</f>
        <v>#REF!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1713</v>
      </c>
      <c r="E3256" s="191">
        <v>41205</v>
      </c>
      <c r="F3256" s="40" t="s">
        <v>1111</v>
      </c>
      <c r="G3256" s="40" t="s">
        <v>1049</v>
      </c>
      <c r="H3256" s="7" t="s">
        <v>1681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e">
        <f>IF(AND(L3256="154",#REF!&lt;=B3256,#REF!&gt;=B3256),"154",IF(AND(L3256="632",#REF!&lt;=B3256,#REF!&gt;=B3256),"632",IF(AND(L3256="642",#REF!&lt;=B3256,#REF!&gt;=B3256),"642",IF(AND(L3256="641",#REF!&lt;=B3256,#REF!&gt;=B3256),"641",""))))</f>
        <v>#REF!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1713</v>
      </c>
      <c r="E3257" s="191">
        <v>41205</v>
      </c>
      <c r="F3257" s="40" t="s">
        <v>1110</v>
      </c>
      <c r="G3257" s="40" t="s">
        <v>1049</v>
      </c>
      <c r="H3257" s="7" t="s">
        <v>1681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e">
        <f>IF(AND(L3257="154",#REF!&lt;=B3257,#REF!&gt;=B3257),"154",IF(AND(L3257="632",#REF!&lt;=B3257,#REF!&gt;=B3257),"632",IF(AND(L3257="642",#REF!&lt;=B3257,#REF!&gt;=B3257),"642",IF(AND(L3257="641",#REF!&lt;=B3257,#REF!&gt;=B3257),"641",""))))</f>
        <v>#REF!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1713</v>
      </c>
      <c r="E3258" s="191">
        <v>41205</v>
      </c>
      <c r="F3258" s="40" t="s">
        <v>1092</v>
      </c>
      <c r="G3258" s="40" t="s">
        <v>1049</v>
      </c>
      <c r="H3258" s="7" t="s">
        <v>1681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e">
        <f>IF(AND(L3258="154",#REF!&lt;=B3258,#REF!&gt;=B3258),"154",IF(AND(L3258="632",#REF!&lt;=B3258,#REF!&gt;=B3258),"632",IF(AND(L3258="642",#REF!&lt;=B3258,#REF!&gt;=B3258),"642",IF(AND(L3258="641",#REF!&lt;=B3258,#REF!&gt;=B3258),"641",""))))</f>
        <v>#REF!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1713</v>
      </c>
      <c r="E3259" s="191">
        <v>41208</v>
      </c>
      <c r="F3259" s="40" t="s">
        <v>1092</v>
      </c>
      <c r="G3259" s="40" t="s">
        <v>1050</v>
      </c>
      <c r="H3259" s="7" t="s">
        <v>1681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e">
        <f>IF(AND(L3259="154",#REF!&lt;=B3259,#REF!&gt;=B3259),"154",IF(AND(L3259="632",#REF!&lt;=B3259,#REF!&gt;=B3259),"632",IF(AND(L3259="642",#REF!&lt;=B3259,#REF!&gt;=B3259),"642",IF(AND(L3259="641",#REF!&lt;=B3259,#REF!&gt;=B3259),"641",""))))</f>
        <v>#REF!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1713</v>
      </c>
      <c r="E3260" s="191">
        <v>41208</v>
      </c>
      <c r="F3260" s="40" t="s">
        <v>1093</v>
      </c>
      <c r="G3260" s="40" t="s">
        <v>1050</v>
      </c>
      <c r="H3260" s="7" t="s">
        <v>1681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e">
        <f>IF(AND(L3260="154",#REF!&lt;=B3260,#REF!&gt;=B3260),"154",IF(AND(L3260="632",#REF!&lt;=B3260,#REF!&gt;=B3260),"632",IF(AND(L3260="642",#REF!&lt;=B3260,#REF!&gt;=B3260),"642",IF(AND(L3260="641",#REF!&lt;=B3260,#REF!&gt;=B3260),"641",""))))</f>
        <v>#REF!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1713</v>
      </c>
      <c r="E3261" s="191">
        <v>41208</v>
      </c>
      <c r="F3261" s="40" t="s">
        <v>1109</v>
      </c>
      <c r="G3261" s="40" t="s">
        <v>1050</v>
      </c>
      <c r="H3261" s="7" t="s">
        <v>1681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e">
        <f>IF(AND(L3261="154",#REF!&lt;=B3261,#REF!&gt;=B3261),"154",IF(AND(L3261="632",#REF!&lt;=B3261,#REF!&gt;=B3261),"632",IF(AND(L3261="642",#REF!&lt;=B3261,#REF!&gt;=B3261),"642",IF(AND(L3261="641",#REF!&lt;=B3261,#REF!&gt;=B3261),"641",""))))</f>
        <v>#REF!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1713</v>
      </c>
      <c r="E3262" s="191">
        <v>41208</v>
      </c>
      <c r="F3262" s="40" t="s">
        <v>1108</v>
      </c>
      <c r="G3262" s="40" t="s">
        <v>1050</v>
      </c>
      <c r="H3262" s="7" t="s">
        <v>1681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e">
        <f>IF(AND(L3262="154",#REF!&lt;=B3262,#REF!&gt;=B3262),"154",IF(AND(L3262="632",#REF!&lt;=B3262,#REF!&gt;=B3262),"632",IF(AND(L3262="642",#REF!&lt;=B3262,#REF!&gt;=B3262),"642",IF(AND(L3262="641",#REF!&lt;=B3262,#REF!&gt;=B3262),"641",""))))</f>
        <v>#REF!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1713</v>
      </c>
      <c r="E3263" s="191">
        <v>41213</v>
      </c>
      <c r="F3263" s="40" t="s">
        <v>1096</v>
      </c>
      <c r="G3263" s="40" t="s">
        <v>1051</v>
      </c>
      <c r="H3263" s="7" t="s">
        <v>1681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e">
        <f>IF(AND(L3263="154",#REF!&lt;=B3263,#REF!&gt;=B3263),"154",IF(AND(L3263="632",#REF!&lt;=B3263,#REF!&gt;=B3263),"632",IF(AND(L3263="642",#REF!&lt;=B3263,#REF!&gt;=B3263),"642",IF(AND(L3263="641",#REF!&lt;=B3263,#REF!&gt;=B3263),"641",""))))</f>
        <v>#REF!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1713</v>
      </c>
      <c r="E3264" s="191">
        <v>41213</v>
      </c>
      <c r="F3264" s="40" t="s">
        <v>1107</v>
      </c>
      <c r="G3264" s="40" t="s">
        <v>1051</v>
      </c>
      <c r="H3264" s="7" t="s">
        <v>1681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e">
        <f>IF(AND(L3264="154",#REF!&lt;=B3264,#REF!&gt;=B3264),"154",IF(AND(L3264="632",#REF!&lt;=B3264,#REF!&gt;=B3264),"632",IF(AND(L3264="642",#REF!&lt;=B3264,#REF!&gt;=B3264),"642",IF(AND(L3264="641",#REF!&lt;=B3264,#REF!&gt;=B3264),"641",""))))</f>
        <v>#REF!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1713</v>
      </c>
      <c r="E3265" s="191">
        <v>41213</v>
      </c>
      <c r="F3265" s="40" t="s">
        <v>1052</v>
      </c>
      <c r="G3265" s="40" t="s">
        <v>1053</v>
      </c>
      <c r="H3265" s="7" t="s">
        <v>1681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e">
        <f>IF(AND(L3265="154",#REF!&lt;=B3265,#REF!&gt;=B3265),"154",IF(AND(L3265="632",#REF!&lt;=B3265,#REF!&gt;=B3265),"632",IF(AND(L3265="642",#REF!&lt;=B3265,#REF!&gt;=B3265),"642",IF(AND(L3265="641",#REF!&lt;=B3265,#REF!&gt;=B3265),"641",""))))</f>
        <v>#REF!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1713</v>
      </c>
      <c r="E3266" s="191">
        <v>41213</v>
      </c>
      <c r="F3266" s="40" t="s">
        <v>1055</v>
      </c>
      <c r="G3266" s="40" t="s">
        <v>1053</v>
      </c>
      <c r="H3266" s="7" t="s">
        <v>1681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e">
        <f>IF(AND(L3266="154",#REF!&lt;=B3266,#REF!&gt;=B3266),"154",IF(AND(L3266="632",#REF!&lt;=B3266,#REF!&gt;=B3266),"632",IF(AND(L3266="642",#REF!&lt;=B3266,#REF!&gt;=B3266),"642",IF(AND(L3266="641",#REF!&lt;=B3266,#REF!&gt;=B3266),"641",""))))</f>
        <v>#REF!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1713</v>
      </c>
      <c r="E3267" s="191">
        <v>41213</v>
      </c>
      <c r="F3267" s="40" t="s">
        <v>1056</v>
      </c>
      <c r="G3267" s="40" t="s">
        <v>1053</v>
      </c>
      <c r="H3267" s="7" t="s">
        <v>1681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e">
        <f>IF(AND(L3267="154",#REF!&lt;=B3267,#REF!&gt;=B3267),"154",IF(AND(L3267="632",#REF!&lt;=B3267,#REF!&gt;=B3267),"632",IF(AND(L3267="642",#REF!&lt;=B3267,#REF!&gt;=B3267),"642",IF(AND(L3267="641",#REF!&lt;=B3267,#REF!&gt;=B3267),"641",""))))</f>
        <v>#REF!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1713</v>
      </c>
      <c r="E3268" s="191">
        <v>41213</v>
      </c>
      <c r="F3268" s="40" t="s">
        <v>1057</v>
      </c>
      <c r="G3268" s="40" t="s">
        <v>1053</v>
      </c>
      <c r="H3268" s="7" t="s">
        <v>1681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e">
        <f>IF(AND(L3268="154",#REF!&lt;=B3268,#REF!&gt;=B3268),"154",IF(AND(L3268="632",#REF!&lt;=B3268,#REF!&gt;=B3268),"632",IF(AND(L3268="642",#REF!&lt;=B3268,#REF!&gt;=B3268),"642",IF(AND(L3268="641",#REF!&lt;=B3268,#REF!&gt;=B3268),"641",""))))</f>
        <v>#REF!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1713</v>
      </c>
      <c r="E3269" s="191">
        <v>41213</v>
      </c>
      <c r="F3269" s="40" t="s">
        <v>1058</v>
      </c>
      <c r="G3269" s="40" t="s">
        <v>1053</v>
      </c>
      <c r="H3269" s="7" t="s">
        <v>1681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e">
        <f>IF(AND(L3269="154",#REF!&lt;=B3269,#REF!&gt;=B3269),"154",IF(AND(L3269="632",#REF!&lt;=B3269,#REF!&gt;=B3269),"632",IF(AND(L3269="642",#REF!&lt;=B3269,#REF!&gt;=B3269),"642",IF(AND(L3269="641",#REF!&lt;=B3269,#REF!&gt;=B3269),"641",""))))</f>
        <v>#REF!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1713</v>
      </c>
      <c r="E3270" s="191">
        <v>41213</v>
      </c>
      <c r="F3270" s="40" t="s">
        <v>1059</v>
      </c>
      <c r="G3270" s="40" t="s">
        <v>1053</v>
      </c>
      <c r="H3270" s="7" t="s">
        <v>1681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e">
        <f>IF(AND(L3270="154",#REF!&lt;=B3270,#REF!&gt;=B3270),"154",IF(AND(L3270="632",#REF!&lt;=B3270,#REF!&gt;=B3270),"632",IF(AND(L3270="642",#REF!&lt;=B3270,#REF!&gt;=B3270),"642",IF(AND(L3270="641",#REF!&lt;=B3270,#REF!&gt;=B3270),"641",""))))</f>
        <v>#REF!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1713</v>
      </c>
      <c r="E3271" s="191">
        <v>41226</v>
      </c>
      <c r="F3271" s="40" t="s">
        <v>1093</v>
      </c>
      <c r="G3271" s="40" t="s">
        <v>1060</v>
      </c>
      <c r="H3271" s="7" t="s">
        <v>1681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e">
        <f>IF(AND(L3271="154",#REF!&lt;=B3271,#REF!&gt;=B3271),"154",IF(AND(L3271="632",#REF!&lt;=B3271,#REF!&gt;=B3271),"632",IF(AND(L3271="642",#REF!&lt;=B3271,#REF!&gt;=B3271),"642",IF(AND(L3271="641",#REF!&lt;=B3271,#REF!&gt;=B3271),"641",""))))</f>
        <v>#REF!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1713</v>
      </c>
      <c r="E3272" s="191">
        <v>41226</v>
      </c>
      <c r="F3272" s="40" t="s">
        <v>1106</v>
      </c>
      <c r="G3272" s="40" t="s">
        <v>1060</v>
      </c>
      <c r="H3272" s="7" t="s">
        <v>1681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e">
        <f>IF(AND(L3272="154",#REF!&lt;=B3272,#REF!&gt;=B3272),"154",IF(AND(L3272="632",#REF!&lt;=B3272,#REF!&gt;=B3272),"632",IF(AND(L3272="642",#REF!&lt;=B3272,#REF!&gt;=B3272),"642",IF(AND(L3272="641",#REF!&lt;=B3272,#REF!&gt;=B3272),"641",""))))</f>
        <v>#REF!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1713</v>
      </c>
      <c r="E3273" s="191">
        <v>41226</v>
      </c>
      <c r="F3273" s="40" t="s">
        <v>1092</v>
      </c>
      <c r="G3273" s="40" t="s">
        <v>1060</v>
      </c>
      <c r="H3273" s="7" t="s">
        <v>1681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e">
        <f>IF(AND(L3273="154",#REF!&lt;=B3273,#REF!&gt;=B3273),"154",IF(AND(L3273="632",#REF!&lt;=B3273,#REF!&gt;=B3273),"632",IF(AND(L3273="642",#REF!&lt;=B3273,#REF!&gt;=B3273),"642",IF(AND(L3273="641",#REF!&lt;=B3273,#REF!&gt;=B3273),"641",""))))</f>
        <v>#REF!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1713</v>
      </c>
      <c r="E3274" s="191">
        <v>41228</v>
      </c>
      <c r="F3274" s="40" t="s">
        <v>1096</v>
      </c>
      <c r="G3274" s="40" t="s">
        <v>1061</v>
      </c>
      <c r="H3274" s="7" t="s">
        <v>1681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e">
        <f>IF(AND(L3274="154",#REF!&lt;=B3274,#REF!&gt;=B3274),"154",IF(AND(L3274="632",#REF!&lt;=B3274,#REF!&gt;=B3274),"632",IF(AND(L3274="642",#REF!&lt;=B3274,#REF!&gt;=B3274),"642",IF(AND(L3274="641",#REF!&lt;=B3274,#REF!&gt;=B3274),"641",""))))</f>
        <v>#REF!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1713</v>
      </c>
      <c r="E3275" s="191">
        <v>41228</v>
      </c>
      <c r="F3275" s="40" t="s">
        <v>1105</v>
      </c>
      <c r="G3275" s="40" t="s">
        <v>1061</v>
      </c>
      <c r="H3275" s="7" t="s">
        <v>1681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e">
        <f>IF(AND(L3275="154",#REF!&lt;=B3275,#REF!&gt;=B3275),"154",IF(AND(L3275="632",#REF!&lt;=B3275,#REF!&gt;=B3275),"632",IF(AND(L3275="642",#REF!&lt;=B3275,#REF!&gt;=B3275),"642",IF(AND(L3275="641",#REF!&lt;=B3275,#REF!&gt;=B3275),"641",""))))</f>
        <v>#REF!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1713</v>
      </c>
      <c r="E3276" s="191">
        <v>41228</v>
      </c>
      <c r="F3276" s="40" t="s">
        <v>1089</v>
      </c>
      <c r="G3276" s="40" t="s">
        <v>1062</v>
      </c>
      <c r="H3276" s="7" t="s">
        <v>1681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e">
        <f>IF(AND(L3276="154",#REF!&lt;=B3276,#REF!&gt;=B3276),"154",IF(AND(L3276="632",#REF!&lt;=B3276,#REF!&gt;=B3276),"632",IF(AND(L3276="642",#REF!&lt;=B3276,#REF!&gt;=B3276),"642",IF(AND(L3276="641",#REF!&lt;=B3276,#REF!&gt;=B3276),"641",""))))</f>
        <v>#REF!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1713</v>
      </c>
      <c r="E3277" s="191">
        <v>41235</v>
      </c>
      <c r="F3277" s="40" t="s">
        <v>1104</v>
      </c>
      <c r="G3277" s="40" t="s">
        <v>1063</v>
      </c>
      <c r="H3277" s="7" t="s">
        <v>1681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e">
        <f>IF(AND(L3277="154",#REF!&lt;=B3277,#REF!&gt;=B3277),"154",IF(AND(L3277="632",#REF!&lt;=B3277,#REF!&gt;=B3277),"632",IF(AND(L3277="642",#REF!&lt;=B3277,#REF!&gt;=B3277),"642",IF(AND(L3277="641",#REF!&lt;=B3277,#REF!&gt;=B3277),"641",""))))</f>
        <v>#REF!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1713</v>
      </c>
      <c r="E3278" s="191">
        <v>41235</v>
      </c>
      <c r="F3278" s="40" t="s">
        <v>1103</v>
      </c>
      <c r="G3278" s="40" t="s">
        <v>1063</v>
      </c>
      <c r="H3278" s="7" t="s">
        <v>1681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e">
        <f>IF(AND(L3278="154",#REF!&lt;=B3278,#REF!&gt;=B3278),"154",IF(AND(L3278="632",#REF!&lt;=B3278,#REF!&gt;=B3278),"632",IF(AND(L3278="642",#REF!&lt;=B3278,#REF!&gt;=B3278),"642",IF(AND(L3278="641",#REF!&lt;=B3278,#REF!&gt;=B3278),"641",""))))</f>
        <v>#REF!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1713</v>
      </c>
      <c r="E3279" s="191">
        <v>41235</v>
      </c>
      <c r="F3279" s="40" t="s">
        <v>1102</v>
      </c>
      <c r="G3279" s="40" t="s">
        <v>1063</v>
      </c>
      <c r="H3279" s="7" t="s">
        <v>1681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e">
        <f>IF(AND(L3279="154",#REF!&lt;=B3279,#REF!&gt;=B3279),"154",IF(AND(L3279="632",#REF!&lt;=B3279,#REF!&gt;=B3279),"632",IF(AND(L3279="642",#REF!&lt;=B3279,#REF!&gt;=B3279),"642",IF(AND(L3279="641",#REF!&lt;=B3279,#REF!&gt;=B3279),"641",""))))</f>
        <v>#REF!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1713</v>
      </c>
      <c r="E3280" s="191">
        <v>41235</v>
      </c>
      <c r="F3280" s="40" t="s">
        <v>1101</v>
      </c>
      <c r="G3280" s="40" t="s">
        <v>1063</v>
      </c>
      <c r="H3280" s="7" t="s">
        <v>1681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e">
        <f>IF(AND(L3280="154",#REF!&lt;=B3280,#REF!&gt;=B3280),"154",IF(AND(L3280="632",#REF!&lt;=B3280,#REF!&gt;=B3280),"632",IF(AND(L3280="642",#REF!&lt;=B3280,#REF!&gt;=B3280),"642",IF(AND(L3280="641",#REF!&lt;=B3280,#REF!&gt;=B3280),"641",""))))</f>
        <v>#REF!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1713</v>
      </c>
      <c r="E3281" s="191">
        <v>41244</v>
      </c>
      <c r="F3281" s="40" t="s">
        <v>1100</v>
      </c>
      <c r="G3281" s="40" t="s">
        <v>1064</v>
      </c>
      <c r="H3281" s="7" t="s">
        <v>1681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e">
        <f>IF(AND(L3281="154",#REF!&lt;=B3281,#REF!&gt;=B3281),"154",IF(AND(L3281="632",#REF!&lt;=B3281,#REF!&gt;=B3281),"632",IF(AND(L3281="642",#REF!&lt;=B3281,#REF!&gt;=B3281),"642",IF(AND(L3281="641",#REF!&lt;=B3281,#REF!&gt;=B3281),"641",""))))</f>
        <v>#REF!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1713</v>
      </c>
      <c r="E3282" s="191">
        <v>41253</v>
      </c>
      <c r="F3282" s="40" t="s">
        <v>1099</v>
      </c>
      <c r="G3282" s="40" t="s">
        <v>1065</v>
      </c>
      <c r="H3282" s="7" t="s">
        <v>1681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e">
        <f>IF(AND(L3282="154",#REF!&lt;=B3282,#REF!&gt;=B3282),"154",IF(AND(L3282="632",#REF!&lt;=B3282,#REF!&gt;=B3282),"632",IF(AND(L3282="642",#REF!&lt;=B3282,#REF!&gt;=B3282),"642",IF(AND(L3282="641",#REF!&lt;=B3282,#REF!&gt;=B3282),"641",""))))</f>
        <v>#REF!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1713</v>
      </c>
      <c r="E3283" s="191">
        <v>41253</v>
      </c>
      <c r="F3283" s="40" t="s">
        <v>1098</v>
      </c>
      <c r="G3283" s="40" t="s">
        <v>1065</v>
      </c>
      <c r="H3283" s="7" t="s">
        <v>1681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e">
        <f>IF(AND(L3283="154",#REF!&lt;=B3283,#REF!&gt;=B3283),"154",IF(AND(L3283="632",#REF!&lt;=B3283,#REF!&gt;=B3283),"632",IF(AND(L3283="642",#REF!&lt;=B3283,#REF!&gt;=B3283),"642",IF(AND(L3283="641",#REF!&lt;=B3283,#REF!&gt;=B3283),"641",""))))</f>
        <v>#REF!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1713</v>
      </c>
      <c r="E3284" s="191">
        <v>41253</v>
      </c>
      <c r="F3284" s="40" t="s">
        <v>1097</v>
      </c>
      <c r="G3284" s="40" t="s">
        <v>1065</v>
      </c>
      <c r="H3284" s="7" t="s">
        <v>1681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e">
        <f>IF(AND(L3284="154",#REF!&lt;=B3284,#REF!&gt;=B3284),"154",IF(AND(L3284="632",#REF!&lt;=B3284,#REF!&gt;=B3284),"632",IF(AND(L3284="642",#REF!&lt;=B3284,#REF!&gt;=B3284),"642",IF(AND(L3284="641",#REF!&lt;=B3284,#REF!&gt;=B3284),"641",""))))</f>
        <v>#REF!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1713</v>
      </c>
      <c r="E3285" s="191">
        <v>41262</v>
      </c>
      <c r="F3285" s="40" t="s">
        <v>1096</v>
      </c>
      <c r="G3285" s="40" t="s">
        <v>1067</v>
      </c>
      <c r="H3285" s="7" t="s">
        <v>1681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e">
        <f>IF(AND(L3285="154",#REF!&lt;=B3285,#REF!&gt;=B3285),"154",IF(AND(L3285="632",#REF!&lt;=B3285,#REF!&gt;=B3285),"632",IF(AND(L3285="642",#REF!&lt;=B3285,#REF!&gt;=B3285),"642",IF(AND(L3285="641",#REF!&lt;=B3285,#REF!&gt;=B3285),"641",""))))</f>
        <v>#REF!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1713</v>
      </c>
      <c r="E3286" s="191">
        <v>41262</v>
      </c>
      <c r="F3286" s="40" t="s">
        <v>1068</v>
      </c>
      <c r="G3286" s="40" t="s">
        <v>1069</v>
      </c>
      <c r="H3286" s="7" t="s">
        <v>1681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e">
        <f>IF(AND(L3286="154",#REF!&lt;=B3286,#REF!&gt;=B3286),"154",IF(AND(L3286="632",#REF!&lt;=B3286,#REF!&gt;=B3286),"632",IF(AND(L3286="642",#REF!&lt;=B3286,#REF!&gt;=B3286),"642",IF(AND(L3286="641",#REF!&lt;=B3286,#REF!&gt;=B3286),"641",""))))</f>
        <v>#REF!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1713</v>
      </c>
      <c r="E3287" s="191">
        <v>41262</v>
      </c>
      <c r="F3287" s="40" t="s">
        <v>1070</v>
      </c>
      <c r="G3287" s="40" t="s">
        <v>1069</v>
      </c>
      <c r="H3287" s="7" t="s">
        <v>1681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e">
        <f>IF(AND(L3287="154",#REF!&lt;=B3287,#REF!&gt;=B3287),"154",IF(AND(L3287="632",#REF!&lt;=B3287,#REF!&gt;=B3287),"632",IF(AND(L3287="642",#REF!&lt;=B3287,#REF!&gt;=B3287),"642",IF(AND(L3287="641",#REF!&lt;=B3287,#REF!&gt;=B3287),"641",""))))</f>
        <v>#REF!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1713</v>
      </c>
      <c r="E3288" s="191">
        <v>41262</v>
      </c>
      <c r="F3288" s="40" t="s">
        <v>1153</v>
      </c>
      <c r="G3288" s="40" t="s">
        <v>1069</v>
      </c>
      <c r="H3288" s="7" t="s">
        <v>1681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e">
        <f>IF(AND(L3288="154",#REF!&lt;=B3288,#REF!&gt;=B3288),"154",IF(AND(L3288="632",#REF!&lt;=B3288,#REF!&gt;=B3288),"632",IF(AND(L3288="642",#REF!&lt;=B3288,#REF!&gt;=B3288),"642",IF(AND(L3288="641",#REF!&lt;=B3288,#REF!&gt;=B3288),"641",""))))</f>
        <v>#REF!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1713</v>
      </c>
      <c r="E3289" s="191">
        <v>41262</v>
      </c>
      <c r="F3289" s="40" t="s">
        <v>1095</v>
      </c>
      <c r="G3289" s="40" t="s">
        <v>1069</v>
      </c>
      <c r="H3289" s="7" t="s">
        <v>1681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e">
        <f>IF(AND(L3289="154",#REF!&lt;=B3289,#REF!&gt;=B3289),"154",IF(AND(L3289="632",#REF!&lt;=B3289,#REF!&gt;=B3289),"632",IF(AND(L3289="642",#REF!&lt;=B3289,#REF!&gt;=B3289),"642",IF(AND(L3289="641",#REF!&lt;=B3289,#REF!&gt;=B3289),"641",""))))</f>
        <v>#REF!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1713</v>
      </c>
      <c r="E3290" s="191">
        <v>41263</v>
      </c>
      <c r="F3290" s="40" t="s">
        <v>1094</v>
      </c>
      <c r="G3290" s="40" t="s">
        <v>1071</v>
      </c>
      <c r="H3290" s="7" t="s">
        <v>1681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e">
        <f>IF(AND(L3290="154",#REF!&lt;=B3290,#REF!&gt;=B3290),"154",IF(AND(L3290="632",#REF!&lt;=B3290,#REF!&gt;=B3290),"632",IF(AND(L3290="642",#REF!&lt;=B3290,#REF!&gt;=B3290),"642",IF(AND(L3290="641",#REF!&lt;=B3290,#REF!&gt;=B3290),"641",""))))</f>
        <v>#REF!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1713</v>
      </c>
      <c r="E3291" s="191">
        <v>41263</v>
      </c>
      <c r="F3291" s="40" t="s">
        <v>1045</v>
      </c>
      <c r="G3291" s="40" t="s">
        <v>1071</v>
      </c>
      <c r="H3291" s="7" t="s">
        <v>1681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e">
        <f>IF(AND(L3291="154",#REF!&lt;=B3291,#REF!&gt;=B3291),"154",IF(AND(L3291="632",#REF!&lt;=B3291,#REF!&gt;=B3291),"632",IF(AND(L3291="642",#REF!&lt;=B3291,#REF!&gt;=B3291),"642",IF(AND(L3291="641",#REF!&lt;=B3291,#REF!&gt;=B3291),"641",""))))</f>
        <v>#REF!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1713</v>
      </c>
      <c r="E3292" s="191">
        <v>41263</v>
      </c>
      <c r="F3292" s="40" t="s">
        <v>1044</v>
      </c>
      <c r="G3292" s="40" t="s">
        <v>1071</v>
      </c>
      <c r="H3292" s="7" t="s">
        <v>1681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e">
        <f>IF(AND(L3292="154",#REF!&lt;=B3292,#REF!&gt;=B3292),"154",IF(AND(L3292="632",#REF!&lt;=B3292,#REF!&gt;=B3292),"632",IF(AND(L3292="642",#REF!&lt;=B3292,#REF!&gt;=B3292),"642",IF(AND(L3292="641",#REF!&lt;=B3292,#REF!&gt;=B3292),"641",""))))</f>
        <v>#REF!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1713</v>
      </c>
      <c r="E3293" s="191">
        <v>41263</v>
      </c>
      <c r="F3293" s="40" t="s">
        <v>1153</v>
      </c>
      <c r="G3293" s="40" t="s">
        <v>1071</v>
      </c>
      <c r="H3293" s="7" t="s">
        <v>1681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e">
        <f>IF(AND(L3293="154",#REF!&lt;=B3293,#REF!&gt;=B3293),"154",IF(AND(L3293="632",#REF!&lt;=B3293,#REF!&gt;=B3293),"632",IF(AND(L3293="642",#REF!&lt;=B3293,#REF!&gt;=B3293),"642",IF(AND(L3293="641",#REF!&lt;=B3293,#REF!&gt;=B3293),"641",""))))</f>
        <v>#REF!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1713</v>
      </c>
      <c r="E3294" s="191">
        <v>41263</v>
      </c>
      <c r="F3294" s="40" t="s">
        <v>1072</v>
      </c>
      <c r="G3294" s="40" t="s">
        <v>1071</v>
      </c>
      <c r="H3294" s="7" t="s">
        <v>1681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e">
        <f>IF(AND(L3294="154",#REF!&lt;=B3294,#REF!&gt;=B3294),"154",IF(AND(L3294="632",#REF!&lt;=B3294,#REF!&gt;=B3294),"632",IF(AND(L3294="642",#REF!&lt;=B3294,#REF!&gt;=B3294),"642",IF(AND(L3294="641",#REF!&lt;=B3294,#REF!&gt;=B3294),"641",""))))</f>
        <v>#REF!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1713</v>
      </c>
      <c r="E3295" s="191">
        <v>41265</v>
      </c>
      <c r="F3295" s="40" t="s">
        <v>1073</v>
      </c>
      <c r="G3295" s="40" t="s">
        <v>1074</v>
      </c>
      <c r="H3295" s="7" t="s">
        <v>1681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e">
        <f>IF(AND(L3295="154",#REF!&lt;=B3295,#REF!&gt;=B3295),"154",IF(AND(L3295="632",#REF!&lt;=B3295,#REF!&gt;=B3295),"632",IF(AND(L3295="642",#REF!&lt;=B3295,#REF!&gt;=B3295),"642",IF(AND(L3295="641",#REF!&lt;=B3295,#REF!&gt;=B3295),"641",""))))</f>
        <v>#REF!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1713</v>
      </c>
      <c r="E3296" s="191">
        <v>41265</v>
      </c>
      <c r="F3296" s="40" t="s">
        <v>1093</v>
      </c>
      <c r="G3296" s="40" t="s">
        <v>1075</v>
      </c>
      <c r="H3296" s="7" t="s">
        <v>1681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e">
        <f>IF(AND(L3296="154",#REF!&lt;=B3296,#REF!&gt;=B3296),"154",IF(AND(L3296="632",#REF!&lt;=B3296,#REF!&gt;=B3296),"632",IF(AND(L3296="642",#REF!&lt;=B3296,#REF!&gt;=B3296),"642",IF(AND(L3296="641",#REF!&lt;=B3296,#REF!&gt;=B3296),"641",""))))</f>
        <v>#REF!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1713</v>
      </c>
      <c r="E3297" s="191">
        <v>41265</v>
      </c>
      <c r="F3297" s="40" t="s">
        <v>1092</v>
      </c>
      <c r="G3297" s="40" t="s">
        <v>1075</v>
      </c>
      <c r="H3297" s="7" t="s">
        <v>1681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e">
        <f>IF(AND(L3297="154",#REF!&lt;=B3297,#REF!&gt;=B3297),"154",IF(AND(L3297="632",#REF!&lt;=B3297,#REF!&gt;=B3297),"632",IF(AND(L3297="642",#REF!&lt;=B3297,#REF!&gt;=B3297),"642",IF(AND(L3297="641",#REF!&lt;=B3297,#REF!&gt;=B3297),"641",""))))</f>
        <v>#REF!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1713</v>
      </c>
      <c r="E3298" s="191">
        <v>41272</v>
      </c>
      <c r="F3298" s="40" t="s">
        <v>1090</v>
      </c>
      <c r="G3298" s="40" t="s">
        <v>1076</v>
      </c>
      <c r="H3298" s="7" t="s">
        <v>1681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e">
        <f>IF(AND(L3298="154",#REF!&lt;=B3298,#REF!&gt;=B3298),"154",IF(AND(L3298="632",#REF!&lt;=B3298,#REF!&gt;=B3298),"632",IF(AND(L3298="642",#REF!&lt;=B3298,#REF!&gt;=B3298),"642",IF(AND(L3298="641",#REF!&lt;=B3298,#REF!&gt;=B3298),"641",""))))</f>
        <v>#REF!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1713</v>
      </c>
      <c r="E3299" s="191">
        <v>41272</v>
      </c>
      <c r="F3299" s="40" t="s">
        <v>1091</v>
      </c>
      <c r="G3299" s="40" t="s">
        <v>1076</v>
      </c>
      <c r="H3299" s="7" t="s">
        <v>1681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e">
        <f>IF(AND(L3299="154",#REF!&lt;=B3299,#REF!&gt;=B3299),"154",IF(AND(L3299="632",#REF!&lt;=B3299,#REF!&gt;=B3299),"632",IF(AND(L3299="642",#REF!&lt;=B3299,#REF!&gt;=B3299),"642",IF(AND(L3299="641",#REF!&lt;=B3299,#REF!&gt;=B3299),"641",""))))</f>
        <v>#REF!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1713</v>
      </c>
      <c r="E3300" s="191">
        <v>41272</v>
      </c>
      <c r="F3300" s="40" t="s">
        <v>1089</v>
      </c>
      <c r="G3300" s="40" t="s">
        <v>1078</v>
      </c>
      <c r="H3300" s="7" t="s">
        <v>1681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e">
        <f>IF(AND(L3300="154",#REF!&lt;=B3300,#REF!&gt;=B3300),"154",IF(AND(L3300="632",#REF!&lt;=B3300,#REF!&gt;=B3300),"632",IF(AND(L3300="642",#REF!&lt;=B3300,#REF!&gt;=B3300),"642",IF(AND(L3300="641",#REF!&lt;=B3300,#REF!&gt;=B3300),"641",""))))</f>
        <v>#REF!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e">
        <f>IF(AND(L3301="154",#REF!&lt;=B3301,#REF!&gt;=B3301),"154",IF(AND(L3301="632",#REF!&lt;=B3301,#REF!&gt;=B3301),"632",IF(AND(L3301="642",#REF!&lt;=B3301,#REF!&gt;=B3301),"642",IF(AND(L3301="641",#REF!&lt;=B3301,#REF!&gt;=B3301),"641",""))))</f>
        <v>#REF!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e">
        <f>IF(AND(L3302="154",#REF!&lt;=B3302,#REF!&gt;=B3302),"154",IF(AND(L3302="632",#REF!&lt;=B3302,#REF!&gt;=B3302),"632",IF(AND(L3302="642",#REF!&lt;=B3302,#REF!&gt;=B3302),"642",IF(AND(L3302="641",#REF!&lt;=B3302,#REF!&gt;=B3302),"641",""))))</f>
        <v>#REF!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e">
        <f>IF(AND(L3303="154",#REF!&lt;=B3303,#REF!&gt;=B3303),"154",IF(AND(L3303="632",#REF!&lt;=B3303,#REF!&gt;=B3303),"632",IF(AND(L3303="642",#REF!&lt;=B3303,#REF!&gt;=B3303),"642",IF(AND(L3303="641",#REF!&lt;=B3303,#REF!&gt;=B3303),"641",""))))</f>
        <v>#REF!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e">
        <f>IF(AND(L3304="154",#REF!&lt;=B3304,#REF!&gt;=B3304),"154",IF(AND(L3304="632",#REF!&lt;=B3304,#REF!&gt;=B3304),"632",IF(AND(L3304="642",#REF!&lt;=B3304,#REF!&gt;=B3304),"642",IF(AND(L3304="641",#REF!&lt;=B3304,#REF!&gt;=B3304),"641",""))))</f>
        <v>#REF!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01"/>
    </row>
    <row r="3313" spans="8:11">
      <c r="H3313" s="800"/>
    </row>
    <row r="3314" spans="8:11">
      <c r="I3314" s="484">
        <f t="shared" ref="I3314" si="184">SUBTOTAL(9,I10:I3304)</f>
        <v>1083657</v>
      </c>
      <c r="J3314" s="484"/>
      <c r="K3314" s="484">
        <f>SUBTOTAL(9,K10:K3304)</f>
        <v>21743461432</v>
      </c>
    </row>
  </sheetData>
  <autoFilter ref="A9:AB3304"/>
  <sortState ref="A23:AD1799">
    <sortCondition ref="C23:C179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8" customWidth="1"/>
    <col min="2" max="2" width="11.42578125" style="858" customWidth="1"/>
    <col min="3" max="3" width="13" style="858" customWidth="1"/>
    <col min="4" max="4" width="55.28515625" style="858" customWidth="1"/>
    <col min="5" max="5" width="6" style="858" customWidth="1"/>
    <col min="6" max="7" width="8.5703125" style="858" customWidth="1"/>
    <col min="8" max="9" width="16.85546875" style="858" customWidth="1"/>
    <col min="10" max="11" width="9.140625" style="858"/>
    <col min="12" max="12" width="3.5703125" style="858" customWidth="1"/>
    <col min="13" max="256" width="9.140625" style="858"/>
    <col min="257" max="257" width="13" style="858" customWidth="1"/>
    <col min="258" max="258" width="9.140625" style="858"/>
    <col min="259" max="259" width="13" style="858" customWidth="1"/>
    <col min="260" max="260" width="29.7109375" style="858" customWidth="1"/>
    <col min="261" max="261" width="7.7109375" style="858" customWidth="1"/>
    <col min="262" max="262" width="6" style="858" customWidth="1"/>
    <col min="263" max="263" width="11.5703125" style="858" customWidth="1"/>
    <col min="264" max="264" width="13.42578125" style="858" customWidth="1"/>
    <col min="265" max="265" width="13.85546875" style="858" customWidth="1"/>
    <col min="266" max="512" width="9.140625" style="858"/>
    <col min="513" max="513" width="13" style="858" customWidth="1"/>
    <col min="514" max="514" width="9.140625" style="858"/>
    <col min="515" max="515" width="13" style="858" customWidth="1"/>
    <col min="516" max="516" width="29.7109375" style="858" customWidth="1"/>
    <col min="517" max="517" width="7.7109375" style="858" customWidth="1"/>
    <col min="518" max="518" width="6" style="858" customWidth="1"/>
    <col min="519" max="519" width="11.5703125" style="858" customWidth="1"/>
    <col min="520" max="520" width="13.42578125" style="858" customWidth="1"/>
    <col min="521" max="521" width="13.85546875" style="858" customWidth="1"/>
    <col min="522" max="768" width="9.140625" style="858"/>
    <col min="769" max="769" width="13" style="858" customWidth="1"/>
    <col min="770" max="770" width="9.140625" style="858"/>
    <col min="771" max="771" width="13" style="858" customWidth="1"/>
    <col min="772" max="772" width="29.7109375" style="858" customWidth="1"/>
    <col min="773" max="773" width="7.7109375" style="858" customWidth="1"/>
    <col min="774" max="774" width="6" style="858" customWidth="1"/>
    <col min="775" max="775" width="11.5703125" style="858" customWidth="1"/>
    <col min="776" max="776" width="13.42578125" style="858" customWidth="1"/>
    <col min="777" max="777" width="13.85546875" style="858" customWidth="1"/>
    <col min="778" max="1024" width="9.140625" style="858"/>
    <col min="1025" max="1025" width="13" style="858" customWidth="1"/>
    <col min="1026" max="1026" width="9.140625" style="858"/>
    <col min="1027" max="1027" width="13" style="858" customWidth="1"/>
    <col min="1028" max="1028" width="29.7109375" style="858" customWidth="1"/>
    <col min="1029" max="1029" width="7.7109375" style="858" customWidth="1"/>
    <col min="1030" max="1030" width="6" style="858" customWidth="1"/>
    <col min="1031" max="1031" width="11.5703125" style="858" customWidth="1"/>
    <col min="1032" max="1032" width="13.42578125" style="858" customWidth="1"/>
    <col min="1033" max="1033" width="13.85546875" style="858" customWidth="1"/>
    <col min="1034" max="1280" width="9.140625" style="858"/>
    <col min="1281" max="1281" width="13" style="858" customWidth="1"/>
    <col min="1282" max="1282" width="9.140625" style="858"/>
    <col min="1283" max="1283" width="13" style="858" customWidth="1"/>
    <col min="1284" max="1284" width="29.7109375" style="858" customWidth="1"/>
    <col min="1285" max="1285" width="7.7109375" style="858" customWidth="1"/>
    <col min="1286" max="1286" width="6" style="858" customWidth="1"/>
    <col min="1287" max="1287" width="11.5703125" style="858" customWidth="1"/>
    <col min="1288" max="1288" width="13.42578125" style="858" customWidth="1"/>
    <col min="1289" max="1289" width="13.85546875" style="858" customWidth="1"/>
    <col min="1290" max="1536" width="9.140625" style="858"/>
    <col min="1537" max="1537" width="13" style="858" customWidth="1"/>
    <col min="1538" max="1538" width="9.140625" style="858"/>
    <col min="1539" max="1539" width="13" style="858" customWidth="1"/>
    <col min="1540" max="1540" width="29.7109375" style="858" customWidth="1"/>
    <col min="1541" max="1541" width="7.7109375" style="858" customWidth="1"/>
    <col min="1542" max="1542" width="6" style="858" customWidth="1"/>
    <col min="1543" max="1543" width="11.5703125" style="858" customWidth="1"/>
    <col min="1544" max="1544" width="13.42578125" style="858" customWidth="1"/>
    <col min="1545" max="1545" width="13.85546875" style="858" customWidth="1"/>
    <col min="1546" max="1792" width="9.140625" style="858"/>
    <col min="1793" max="1793" width="13" style="858" customWidth="1"/>
    <col min="1794" max="1794" width="9.140625" style="858"/>
    <col min="1795" max="1795" width="13" style="858" customWidth="1"/>
    <col min="1796" max="1796" width="29.7109375" style="858" customWidth="1"/>
    <col min="1797" max="1797" width="7.7109375" style="858" customWidth="1"/>
    <col min="1798" max="1798" width="6" style="858" customWidth="1"/>
    <col min="1799" max="1799" width="11.5703125" style="858" customWidth="1"/>
    <col min="1800" max="1800" width="13.42578125" style="858" customWidth="1"/>
    <col min="1801" max="1801" width="13.85546875" style="858" customWidth="1"/>
    <col min="1802" max="2048" width="9.140625" style="858"/>
    <col min="2049" max="2049" width="13" style="858" customWidth="1"/>
    <col min="2050" max="2050" width="9.140625" style="858"/>
    <col min="2051" max="2051" width="13" style="858" customWidth="1"/>
    <col min="2052" max="2052" width="29.7109375" style="858" customWidth="1"/>
    <col min="2053" max="2053" width="7.7109375" style="858" customWidth="1"/>
    <col min="2054" max="2054" width="6" style="858" customWidth="1"/>
    <col min="2055" max="2055" width="11.5703125" style="858" customWidth="1"/>
    <col min="2056" max="2056" width="13.42578125" style="858" customWidth="1"/>
    <col min="2057" max="2057" width="13.85546875" style="858" customWidth="1"/>
    <col min="2058" max="2304" width="9.140625" style="858"/>
    <col min="2305" max="2305" width="13" style="858" customWidth="1"/>
    <col min="2306" max="2306" width="9.140625" style="858"/>
    <col min="2307" max="2307" width="13" style="858" customWidth="1"/>
    <col min="2308" max="2308" width="29.7109375" style="858" customWidth="1"/>
    <col min="2309" max="2309" width="7.7109375" style="858" customWidth="1"/>
    <col min="2310" max="2310" width="6" style="858" customWidth="1"/>
    <col min="2311" max="2311" width="11.5703125" style="858" customWidth="1"/>
    <col min="2312" max="2312" width="13.42578125" style="858" customWidth="1"/>
    <col min="2313" max="2313" width="13.85546875" style="858" customWidth="1"/>
    <col min="2314" max="2560" width="9.140625" style="858"/>
    <col min="2561" max="2561" width="13" style="858" customWidth="1"/>
    <col min="2562" max="2562" width="9.140625" style="858"/>
    <col min="2563" max="2563" width="13" style="858" customWidth="1"/>
    <col min="2564" max="2564" width="29.7109375" style="858" customWidth="1"/>
    <col min="2565" max="2565" width="7.7109375" style="858" customWidth="1"/>
    <col min="2566" max="2566" width="6" style="858" customWidth="1"/>
    <col min="2567" max="2567" width="11.5703125" style="858" customWidth="1"/>
    <col min="2568" max="2568" width="13.42578125" style="858" customWidth="1"/>
    <col min="2569" max="2569" width="13.85546875" style="858" customWidth="1"/>
    <col min="2570" max="2816" width="9.140625" style="858"/>
    <col min="2817" max="2817" width="13" style="858" customWidth="1"/>
    <col min="2818" max="2818" width="9.140625" style="858"/>
    <col min="2819" max="2819" width="13" style="858" customWidth="1"/>
    <col min="2820" max="2820" width="29.7109375" style="858" customWidth="1"/>
    <col min="2821" max="2821" width="7.7109375" style="858" customWidth="1"/>
    <col min="2822" max="2822" width="6" style="858" customWidth="1"/>
    <col min="2823" max="2823" width="11.5703125" style="858" customWidth="1"/>
    <col min="2824" max="2824" width="13.42578125" style="858" customWidth="1"/>
    <col min="2825" max="2825" width="13.85546875" style="858" customWidth="1"/>
    <col min="2826" max="3072" width="9.140625" style="858"/>
    <col min="3073" max="3073" width="13" style="858" customWidth="1"/>
    <col min="3074" max="3074" width="9.140625" style="858"/>
    <col min="3075" max="3075" width="13" style="858" customWidth="1"/>
    <col min="3076" max="3076" width="29.7109375" style="858" customWidth="1"/>
    <col min="3077" max="3077" width="7.7109375" style="858" customWidth="1"/>
    <col min="3078" max="3078" width="6" style="858" customWidth="1"/>
    <col min="3079" max="3079" width="11.5703125" style="858" customWidth="1"/>
    <col min="3080" max="3080" width="13.42578125" style="858" customWidth="1"/>
    <col min="3081" max="3081" width="13.85546875" style="858" customWidth="1"/>
    <col min="3082" max="3328" width="9.140625" style="858"/>
    <col min="3329" max="3329" width="13" style="858" customWidth="1"/>
    <col min="3330" max="3330" width="9.140625" style="858"/>
    <col min="3331" max="3331" width="13" style="858" customWidth="1"/>
    <col min="3332" max="3332" width="29.7109375" style="858" customWidth="1"/>
    <col min="3333" max="3333" width="7.7109375" style="858" customWidth="1"/>
    <col min="3334" max="3334" width="6" style="858" customWidth="1"/>
    <col min="3335" max="3335" width="11.5703125" style="858" customWidth="1"/>
    <col min="3336" max="3336" width="13.42578125" style="858" customWidth="1"/>
    <col min="3337" max="3337" width="13.85546875" style="858" customWidth="1"/>
    <col min="3338" max="3584" width="9.140625" style="858"/>
    <col min="3585" max="3585" width="13" style="858" customWidth="1"/>
    <col min="3586" max="3586" width="9.140625" style="858"/>
    <col min="3587" max="3587" width="13" style="858" customWidth="1"/>
    <col min="3588" max="3588" width="29.7109375" style="858" customWidth="1"/>
    <col min="3589" max="3589" width="7.7109375" style="858" customWidth="1"/>
    <col min="3590" max="3590" width="6" style="858" customWidth="1"/>
    <col min="3591" max="3591" width="11.5703125" style="858" customWidth="1"/>
    <col min="3592" max="3592" width="13.42578125" style="858" customWidth="1"/>
    <col min="3593" max="3593" width="13.85546875" style="858" customWidth="1"/>
    <col min="3594" max="3840" width="9.140625" style="858"/>
    <col min="3841" max="3841" width="13" style="858" customWidth="1"/>
    <col min="3842" max="3842" width="9.140625" style="858"/>
    <col min="3843" max="3843" width="13" style="858" customWidth="1"/>
    <col min="3844" max="3844" width="29.7109375" style="858" customWidth="1"/>
    <col min="3845" max="3845" width="7.7109375" style="858" customWidth="1"/>
    <col min="3846" max="3846" width="6" style="858" customWidth="1"/>
    <col min="3847" max="3847" width="11.5703125" style="858" customWidth="1"/>
    <col min="3848" max="3848" width="13.42578125" style="858" customWidth="1"/>
    <col min="3849" max="3849" width="13.85546875" style="858" customWidth="1"/>
    <col min="3850" max="4096" width="9.140625" style="858"/>
    <col min="4097" max="4097" width="13" style="858" customWidth="1"/>
    <col min="4098" max="4098" width="9.140625" style="858"/>
    <col min="4099" max="4099" width="13" style="858" customWidth="1"/>
    <col min="4100" max="4100" width="29.7109375" style="858" customWidth="1"/>
    <col min="4101" max="4101" width="7.7109375" style="858" customWidth="1"/>
    <col min="4102" max="4102" width="6" style="858" customWidth="1"/>
    <col min="4103" max="4103" width="11.5703125" style="858" customWidth="1"/>
    <col min="4104" max="4104" width="13.42578125" style="858" customWidth="1"/>
    <col min="4105" max="4105" width="13.85546875" style="858" customWidth="1"/>
    <col min="4106" max="4352" width="9.140625" style="858"/>
    <col min="4353" max="4353" width="13" style="858" customWidth="1"/>
    <col min="4354" max="4354" width="9.140625" style="858"/>
    <col min="4355" max="4355" width="13" style="858" customWidth="1"/>
    <col min="4356" max="4356" width="29.7109375" style="858" customWidth="1"/>
    <col min="4357" max="4357" width="7.7109375" style="858" customWidth="1"/>
    <col min="4358" max="4358" width="6" style="858" customWidth="1"/>
    <col min="4359" max="4359" width="11.5703125" style="858" customWidth="1"/>
    <col min="4360" max="4360" width="13.42578125" style="858" customWidth="1"/>
    <col min="4361" max="4361" width="13.85546875" style="858" customWidth="1"/>
    <col min="4362" max="4608" width="9.140625" style="858"/>
    <col min="4609" max="4609" width="13" style="858" customWidth="1"/>
    <col min="4610" max="4610" width="9.140625" style="858"/>
    <col min="4611" max="4611" width="13" style="858" customWidth="1"/>
    <col min="4612" max="4612" width="29.7109375" style="858" customWidth="1"/>
    <col min="4613" max="4613" width="7.7109375" style="858" customWidth="1"/>
    <col min="4614" max="4614" width="6" style="858" customWidth="1"/>
    <col min="4615" max="4615" width="11.5703125" style="858" customWidth="1"/>
    <col min="4616" max="4616" width="13.42578125" style="858" customWidth="1"/>
    <col min="4617" max="4617" width="13.85546875" style="858" customWidth="1"/>
    <col min="4618" max="4864" width="9.140625" style="858"/>
    <col min="4865" max="4865" width="13" style="858" customWidth="1"/>
    <col min="4866" max="4866" width="9.140625" style="858"/>
    <col min="4867" max="4867" width="13" style="858" customWidth="1"/>
    <col min="4868" max="4868" width="29.7109375" style="858" customWidth="1"/>
    <col min="4869" max="4869" width="7.7109375" style="858" customWidth="1"/>
    <col min="4870" max="4870" width="6" style="858" customWidth="1"/>
    <col min="4871" max="4871" width="11.5703125" style="858" customWidth="1"/>
    <col min="4872" max="4872" width="13.42578125" style="858" customWidth="1"/>
    <col min="4873" max="4873" width="13.85546875" style="858" customWidth="1"/>
    <col min="4874" max="5120" width="9.140625" style="858"/>
    <col min="5121" max="5121" width="13" style="858" customWidth="1"/>
    <col min="5122" max="5122" width="9.140625" style="858"/>
    <col min="5123" max="5123" width="13" style="858" customWidth="1"/>
    <col min="5124" max="5124" width="29.7109375" style="858" customWidth="1"/>
    <col min="5125" max="5125" width="7.7109375" style="858" customWidth="1"/>
    <col min="5126" max="5126" width="6" style="858" customWidth="1"/>
    <col min="5127" max="5127" width="11.5703125" style="858" customWidth="1"/>
    <col min="5128" max="5128" width="13.42578125" style="858" customWidth="1"/>
    <col min="5129" max="5129" width="13.85546875" style="858" customWidth="1"/>
    <col min="5130" max="5376" width="9.140625" style="858"/>
    <col min="5377" max="5377" width="13" style="858" customWidth="1"/>
    <col min="5378" max="5378" width="9.140625" style="858"/>
    <col min="5379" max="5379" width="13" style="858" customWidth="1"/>
    <col min="5380" max="5380" width="29.7109375" style="858" customWidth="1"/>
    <col min="5381" max="5381" width="7.7109375" style="858" customWidth="1"/>
    <col min="5382" max="5382" width="6" style="858" customWidth="1"/>
    <col min="5383" max="5383" width="11.5703125" style="858" customWidth="1"/>
    <col min="5384" max="5384" width="13.42578125" style="858" customWidth="1"/>
    <col min="5385" max="5385" width="13.85546875" style="858" customWidth="1"/>
    <col min="5386" max="5632" width="9.140625" style="858"/>
    <col min="5633" max="5633" width="13" style="858" customWidth="1"/>
    <col min="5634" max="5634" width="9.140625" style="858"/>
    <col min="5635" max="5635" width="13" style="858" customWidth="1"/>
    <col min="5636" max="5636" width="29.7109375" style="858" customWidth="1"/>
    <col min="5637" max="5637" width="7.7109375" style="858" customWidth="1"/>
    <col min="5638" max="5638" width="6" style="858" customWidth="1"/>
    <col min="5639" max="5639" width="11.5703125" style="858" customWidth="1"/>
    <col min="5640" max="5640" width="13.42578125" style="858" customWidth="1"/>
    <col min="5641" max="5641" width="13.85546875" style="858" customWidth="1"/>
    <col min="5642" max="5888" width="9.140625" style="858"/>
    <col min="5889" max="5889" width="13" style="858" customWidth="1"/>
    <col min="5890" max="5890" width="9.140625" style="858"/>
    <col min="5891" max="5891" width="13" style="858" customWidth="1"/>
    <col min="5892" max="5892" width="29.7109375" style="858" customWidth="1"/>
    <col min="5893" max="5893" width="7.7109375" style="858" customWidth="1"/>
    <col min="5894" max="5894" width="6" style="858" customWidth="1"/>
    <col min="5895" max="5895" width="11.5703125" style="858" customWidth="1"/>
    <col min="5896" max="5896" width="13.42578125" style="858" customWidth="1"/>
    <col min="5897" max="5897" width="13.85546875" style="858" customWidth="1"/>
    <col min="5898" max="6144" width="9.140625" style="858"/>
    <col min="6145" max="6145" width="13" style="858" customWidth="1"/>
    <col min="6146" max="6146" width="9.140625" style="858"/>
    <col min="6147" max="6147" width="13" style="858" customWidth="1"/>
    <col min="6148" max="6148" width="29.7109375" style="858" customWidth="1"/>
    <col min="6149" max="6149" width="7.7109375" style="858" customWidth="1"/>
    <col min="6150" max="6150" width="6" style="858" customWidth="1"/>
    <col min="6151" max="6151" width="11.5703125" style="858" customWidth="1"/>
    <col min="6152" max="6152" width="13.42578125" style="858" customWidth="1"/>
    <col min="6153" max="6153" width="13.85546875" style="858" customWidth="1"/>
    <col min="6154" max="6400" width="9.140625" style="858"/>
    <col min="6401" max="6401" width="13" style="858" customWidth="1"/>
    <col min="6402" max="6402" width="9.140625" style="858"/>
    <col min="6403" max="6403" width="13" style="858" customWidth="1"/>
    <col min="6404" max="6404" width="29.7109375" style="858" customWidth="1"/>
    <col min="6405" max="6405" width="7.7109375" style="858" customWidth="1"/>
    <col min="6406" max="6406" width="6" style="858" customWidth="1"/>
    <col min="6407" max="6407" width="11.5703125" style="858" customWidth="1"/>
    <col min="6408" max="6408" width="13.42578125" style="858" customWidth="1"/>
    <col min="6409" max="6409" width="13.85546875" style="858" customWidth="1"/>
    <col min="6410" max="6656" width="9.140625" style="858"/>
    <col min="6657" max="6657" width="13" style="858" customWidth="1"/>
    <col min="6658" max="6658" width="9.140625" style="858"/>
    <col min="6659" max="6659" width="13" style="858" customWidth="1"/>
    <col min="6660" max="6660" width="29.7109375" style="858" customWidth="1"/>
    <col min="6661" max="6661" width="7.7109375" style="858" customWidth="1"/>
    <col min="6662" max="6662" width="6" style="858" customWidth="1"/>
    <col min="6663" max="6663" width="11.5703125" style="858" customWidth="1"/>
    <col min="6664" max="6664" width="13.42578125" style="858" customWidth="1"/>
    <col min="6665" max="6665" width="13.85546875" style="858" customWidth="1"/>
    <col min="6666" max="6912" width="9.140625" style="858"/>
    <col min="6913" max="6913" width="13" style="858" customWidth="1"/>
    <col min="6914" max="6914" width="9.140625" style="858"/>
    <col min="6915" max="6915" width="13" style="858" customWidth="1"/>
    <col min="6916" max="6916" width="29.7109375" style="858" customWidth="1"/>
    <col min="6917" max="6917" width="7.7109375" style="858" customWidth="1"/>
    <col min="6918" max="6918" width="6" style="858" customWidth="1"/>
    <col min="6919" max="6919" width="11.5703125" style="858" customWidth="1"/>
    <col min="6920" max="6920" width="13.42578125" style="858" customWidth="1"/>
    <col min="6921" max="6921" width="13.85546875" style="858" customWidth="1"/>
    <col min="6922" max="7168" width="9.140625" style="858"/>
    <col min="7169" max="7169" width="13" style="858" customWidth="1"/>
    <col min="7170" max="7170" width="9.140625" style="858"/>
    <col min="7171" max="7171" width="13" style="858" customWidth="1"/>
    <col min="7172" max="7172" width="29.7109375" style="858" customWidth="1"/>
    <col min="7173" max="7173" width="7.7109375" style="858" customWidth="1"/>
    <col min="7174" max="7174" width="6" style="858" customWidth="1"/>
    <col min="7175" max="7175" width="11.5703125" style="858" customWidth="1"/>
    <col min="7176" max="7176" width="13.42578125" style="858" customWidth="1"/>
    <col min="7177" max="7177" width="13.85546875" style="858" customWidth="1"/>
    <col min="7178" max="7424" width="9.140625" style="858"/>
    <col min="7425" max="7425" width="13" style="858" customWidth="1"/>
    <col min="7426" max="7426" width="9.140625" style="858"/>
    <col min="7427" max="7427" width="13" style="858" customWidth="1"/>
    <col min="7428" max="7428" width="29.7109375" style="858" customWidth="1"/>
    <col min="7429" max="7429" width="7.7109375" style="858" customWidth="1"/>
    <col min="7430" max="7430" width="6" style="858" customWidth="1"/>
    <col min="7431" max="7431" width="11.5703125" style="858" customWidth="1"/>
    <col min="7432" max="7432" width="13.42578125" style="858" customWidth="1"/>
    <col min="7433" max="7433" width="13.85546875" style="858" customWidth="1"/>
    <col min="7434" max="7680" width="9.140625" style="858"/>
    <col min="7681" max="7681" width="13" style="858" customWidth="1"/>
    <col min="7682" max="7682" width="9.140625" style="858"/>
    <col min="7683" max="7683" width="13" style="858" customWidth="1"/>
    <col min="7684" max="7684" width="29.7109375" style="858" customWidth="1"/>
    <col min="7685" max="7685" width="7.7109375" style="858" customWidth="1"/>
    <col min="7686" max="7686" width="6" style="858" customWidth="1"/>
    <col min="7687" max="7687" width="11.5703125" style="858" customWidth="1"/>
    <col min="7688" max="7688" width="13.42578125" style="858" customWidth="1"/>
    <col min="7689" max="7689" width="13.85546875" style="858" customWidth="1"/>
    <col min="7690" max="7936" width="9.140625" style="858"/>
    <col min="7937" max="7937" width="13" style="858" customWidth="1"/>
    <col min="7938" max="7938" width="9.140625" style="858"/>
    <col min="7939" max="7939" width="13" style="858" customWidth="1"/>
    <col min="7940" max="7940" width="29.7109375" style="858" customWidth="1"/>
    <col min="7941" max="7941" width="7.7109375" style="858" customWidth="1"/>
    <col min="7942" max="7942" width="6" style="858" customWidth="1"/>
    <col min="7943" max="7943" width="11.5703125" style="858" customWidth="1"/>
    <col min="7944" max="7944" width="13.42578125" style="858" customWidth="1"/>
    <col min="7945" max="7945" width="13.85546875" style="858" customWidth="1"/>
    <col min="7946" max="8192" width="9.140625" style="858"/>
    <col min="8193" max="8193" width="13" style="858" customWidth="1"/>
    <col min="8194" max="8194" width="9.140625" style="858"/>
    <col min="8195" max="8195" width="13" style="858" customWidth="1"/>
    <col min="8196" max="8196" width="29.7109375" style="858" customWidth="1"/>
    <col min="8197" max="8197" width="7.7109375" style="858" customWidth="1"/>
    <col min="8198" max="8198" width="6" style="858" customWidth="1"/>
    <col min="8199" max="8199" width="11.5703125" style="858" customWidth="1"/>
    <col min="8200" max="8200" width="13.42578125" style="858" customWidth="1"/>
    <col min="8201" max="8201" width="13.85546875" style="858" customWidth="1"/>
    <col min="8202" max="8448" width="9.140625" style="858"/>
    <col min="8449" max="8449" width="13" style="858" customWidth="1"/>
    <col min="8450" max="8450" width="9.140625" style="858"/>
    <col min="8451" max="8451" width="13" style="858" customWidth="1"/>
    <col min="8452" max="8452" width="29.7109375" style="858" customWidth="1"/>
    <col min="8453" max="8453" width="7.7109375" style="858" customWidth="1"/>
    <col min="8454" max="8454" width="6" style="858" customWidth="1"/>
    <col min="8455" max="8455" width="11.5703125" style="858" customWidth="1"/>
    <col min="8456" max="8456" width="13.42578125" style="858" customWidth="1"/>
    <col min="8457" max="8457" width="13.85546875" style="858" customWidth="1"/>
    <col min="8458" max="8704" width="9.140625" style="858"/>
    <col min="8705" max="8705" width="13" style="858" customWidth="1"/>
    <col min="8706" max="8706" width="9.140625" style="858"/>
    <col min="8707" max="8707" width="13" style="858" customWidth="1"/>
    <col min="8708" max="8708" width="29.7109375" style="858" customWidth="1"/>
    <col min="8709" max="8709" width="7.7109375" style="858" customWidth="1"/>
    <col min="8710" max="8710" width="6" style="858" customWidth="1"/>
    <col min="8711" max="8711" width="11.5703125" style="858" customWidth="1"/>
    <col min="8712" max="8712" width="13.42578125" style="858" customWidth="1"/>
    <col min="8713" max="8713" width="13.85546875" style="858" customWidth="1"/>
    <col min="8714" max="8960" width="9.140625" style="858"/>
    <col min="8961" max="8961" width="13" style="858" customWidth="1"/>
    <col min="8962" max="8962" width="9.140625" style="858"/>
    <col min="8963" max="8963" width="13" style="858" customWidth="1"/>
    <col min="8964" max="8964" width="29.7109375" style="858" customWidth="1"/>
    <col min="8965" max="8965" width="7.7109375" style="858" customWidth="1"/>
    <col min="8966" max="8966" width="6" style="858" customWidth="1"/>
    <col min="8967" max="8967" width="11.5703125" style="858" customWidth="1"/>
    <col min="8968" max="8968" width="13.42578125" style="858" customWidth="1"/>
    <col min="8969" max="8969" width="13.85546875" style="858" customWidth="1"/>
    <col min="8970" max="9216" width="9.140625" style="858"/>
    <col min="9217" max="9217" width="13" style="858" customWidth="1"/>
    <col min="9218" max="9218" width="9.140625" style="858"/>
    <col min="9219" max="9219" width="13" style="858" customWidth="1"/>
    <col min="9220" max="9220" width="29.7109375" style="858" customWidth="1"/>
    <col min="9221" max="9221" width="7.7109375" style="858" customWidth="1"/>
    <col min="9222" max="9222" width="6" style="858" customWidth="1"/>
    <col min="9223" max="9223" width="11.5703125" style="858" customWidth="1"/>
    <col min="9224" max="9224" width="13.42578125" style="858" customWidth="1"/>
    <col min="9225" max="9225" width="13.85546875" style="858" customWidth="1"/>
    <col min="9226" max="9472" width="9.140625" style="858"/>
    <col min="9473" max="9473" width="13" style="858" customWidth="1"/>
    <col min="9474" max="9474" width="9.140625" style="858"/>
    <col min="9475" max="9475" width="13" style="858" customWidth="1"/>
    <col min="9476" max="9476" width="29.7109375" style="858" customWidth="1"/>
    <col min="9477" max="9477" width="7.7109375" style="858" customWidth="1"/>
    <col min="9478" max="9478" width="6" style="858" customWidth="1"/>
    <col min="9479" max="9479" width="11.5703125" style="858" customWidth="1"/>
    <col min="9480" max="9480" width="13.42578125" style="858" customWidth="1"/>
    <col min="9481" max="9481" width="13.85546875" style="858" customWidth="1"/>
    <col min="9482" max="9728" width="9.140625" style="858"/>
    <col min="9729" max="9729" width="13" style="858" customWidth="1"/>
    <col min="9730" max="9730" width="9.140625" style="858"/>
    <col min="9731" max="9731" width="13" style="858" customWidth="1"/>
    <col min="9732" max="9732" width="29.7109375" style="858" customWidth="1"/>
    <col min="9733" max="9733" width="7.7109375" style="858" customWidth="1"/>
    <col min="9734" max="9734" width="6" style="858" customWidth="1"/>
    <col min="9735" max="9735" width="11.5703125" style="858" customWidth="1"/>
    <col min="9736" max="9736" width="13.42578125" style="858" customWidth="1"/>
    <col min="9737" max="9737" width="13.85546875" style="858" customWidth="1"/>
    <col min="9738" max="9984" width="9.140625" style="858"/>
    <col min="9985" max="9985" width="13" style="858" customWidth="1"/>
    <col min="9986" max="9986" width="9.140625" style="858"/>
    <col min="9987" max="9987" width="13" style="858" customWidth="1"/>
    <col min="9988" max="9988" width="29.7109375" style="858" customWidth="1"/>
    <col min="9989" max="9989" width="7.7109375" style="858" customWidth="1"/>
    <col min="9990" max="9990" width="6" style="858" customWidth="1"/>
    <col min="9991" max="9991" width="11.5703125" style="858" customWidth="1"/>
    <col min="9992" max="9992" width="13.42578125" style="858" customWidth="1"/>
    <col min="9993" max="9993" width="13.85546875" style="858" customWidth="1"/>
    <col min="9994" max="10240" width="9.140625" style="858"/>
    <col min="10241" max="10241" width="13" style="858" customWidth="1"/>
    <col min="10242" max="10242" width="9.140625" style="858"/>
    <col min="10243" max="10243" width="13" style="858" customWidth="1"/>
    <col min="10244" max="10244" width="29.7109375" style="858" customWidth="1"/>
    <col min="10245" max="10245" width="7.7109375" style="858" customWidth="1"/>
    <col min="10246" max="10246" width="6" style="858" customWidth="1"/>
    <col min="10247" max="10247" width="11.5703125" style="858" customWidth="1"/>
    <col min="10248" max="10248" width="13.42578125" style="858" customWidth="1"/>
    <col min="10249" max="10249" width="13.85546875" style="858" customWidth="1"/>
    <col min="10250" max="10496" width="9.140625" style="858"/>
    <col min="10497" max="10497" width="13" style="858" customWidth="1"/>
    <col min="10498" max="10498" width="9.140625" style="858"/>
    <col min="10499" max="10499" width="13" style="858" customWidth="1"/>
    <col min="10500" max="10500" width="29.7109375" style="858" customWidth="1"/>
    <col min="10501" max="10501" width="7.7109375" style="858" customWidth="1"/>
    <col min="10502" max="10502" width="6" style="858" customWidth="1"/>
    <col min="10503" max="10503" width="11.5703125" style="858" customWidth="1"/>
    <col min="10504" max="10504" width="13.42578125" style="858" customWidth="1"/>
    <col min="10505" max="10505" width="13.85546875" style="858" customWidth="1"/>
    <col min="10506" max="10752" width="9.140625" style="858"/>
    <col min="10753" max="10753" width="13" style="858" customWidth="1"/>
    <col min="10754" max="10754" width="9.140625" style="858"/>
    <col min="10755" max="10755" width="13" style="858" customWidth="1"/>
    <col min="10756" max="10756" width="29.7109375" style="858" customWidth="1"/>
    <col min="10757" max="10757" width="7.7109375" style="858" customWidth="1"/>
    <col min="10758" max="10758" width="6" style="858" customWidth="1"/>
    <col min="10759" max="10759" width="11.5703125" style="858" customWidth="1"/>
    <col min="10760" max="10760" width="13.42578125" style="858" customWidth="1"/>
    <col min="10761" max="10761" width="13.85546875" style="858" customWidth="1"/>
    <col min="10762" max="11008" width="9.140625" style="858"/>
    <col min="11009" max="11009" width="13" style="858" customWidth="1"/>
    <col min="11010" max="11010" width="9.140625" style="858"/>
    <col min="11011" max="11011" width="13" style="858" customWidth="1"/>
    <col min="11012" max="11012" width="29.7109375" style="858" customWidth="1"/>
    <col min="11013" max="11013" width="7.7109375" style="858" customWidth="1"/>
    <col min="11014" max="11014" width="6" style="858" customWidth="1"/>
    <col min="11015" max="11015" width="11.5703125" style="858" customWidth="1"/>
    <col min="11016" max="11016" width="13.42578125" style="858" customWidth="1"/>
    <col min="11017" max="11017" width="13.85546875" style="858" customWidth="1"/>
    <col min="11018" max="11264" width="9.140625" style="858"/>
    <col min="11265" max="11265" width="13" style="858" customWidth="1"/>
    <col min="11266" max="11266" width="9.140625" style="858"/>
    <col min="11267" max="11267" width="13" style="858" customWidth="1"/>
    <col min="11268" max="11268" width="29.7109375" style="858" customWidth="1"/>
    <col min="11269" max="11269" width="7.7109375" style="858" customWidth="1"/>
    <col min="11270" max="11270" width="6" style="858" customWidth="1"/>
    <col min="11271" max="11271" width="11.5703125" style="858" customWidth="1"/>
    <col min="11272" max="11272" width="13.42578125" style="858" customWidth="1"/>
    <col min="11273" max="11273" width="13.85546875" style="858" customWidth="1"/>
    <col min="11274" max="11520" width="9.140625" style="858"/>
    <col min="11521" max="11521" width="13" style="858" customWidth="1"/>
    <col min="11522" max="11522" width="9.140625" style="858"/>
    <col min="11523" max="11523" width="13" style="858" customWidth="1"/>
    <col min="11524" max="11524" width="29.7109375" style="858" customWidth="1"/>
    <col min="11525" max="11525" width="7.7109375" style="858" customWidth="1"/>
    <col min="11526" max="11526" width="6" style="858" customWidth="1"/>
    <col min="11527" max="11527" width="11.5703125" style="858" customWidth="1"/>
    <col min="11528" max="11528" width="13.42578125" style="858" customWidth="1"/>
    <col min="11529" max="11529" width="13.85546875" style="858" customWidth="1"/>
    <col min="11530" max="11776" width="9.140625" style="858"/>
    <col min="11777" max="11777" width="13" style="858" customWidth="1"/>
    <col min="11778" max="11778" width="9.140625" style="858"/>
    <col min="11779" max="11779" width="13" style="858" customWidth="1"/>
    <col min="11780" max="11780" width="29.7109375" style="858" customWidth="1"/>
    <col min="11781" max="11781" width="7.7109375" style="858" customWidth="1"/>
    <col min="11782" max="11782" width="6" style="858" customWidth="1"/>
    <col min="11783" max="11783" width="11.5703125" style="858" customWidth="1"/>
    <col min="11784" max="11784" width="13.42578125" style="858" customWidth="1"/>
    <col min="11785" max="11785" width="13.85546875" style="858" customWidth="1"/>
    <col min="11786" max="12032" width="9.140625" style="858"/>
    <col min="12033" max="12033" width="13" style="858" customWidth="1"/>
    <col min="12034" max="12034" width="9.140625" style="858"/>
    <col min="12035" max="12035" width="13" style="858" customWidth="1"/>
    <col min="12036" max="12036" width="29.7109375" style="858" customWidth="1"/>
    <col min="12037" max="12037" width="7.7109375" style="858" customWidth="1"/>
    <col min="12038" max="12038" width="6" style="858" customWidth="1"/>
    <col min="12039" max="12039" width="11.5703125" style="858" customWidth="1"/>
    <col min="12040" max="12040" width="13.42578125" style="858" customWidth="1"/>
    <col min="12041" max="12041" width="13.85546875" style="858" customWidth="1"/>
    <col min="12042" max="12288" width="9.140625" style="858"/>
    <col min="12289" max="12289" width="13" style="858" customWidth="1"/>
    <col min="12290" max="12290" width="9.140625" style="858"/>
    <col min="12291" max="12291" width="13" style="858" customWidth="1"/>
    <col min="12292" max="12292" width="29.7109375" style="858" customWidth="1"/>
    <col min="12293" max="12293" width="7.7109375" style="858" customWidth="1"/>
    <col min="12294" max="12294" width="6" style="858" customWidth="1"/>
    <col min="12295" max="12295" width="11.5703125" style="858" customWidth="1"/>
    <col min="12296" max="12296" width="13.42578125" style="858" customWidth="1"/>
    <col min="12297" max="12297" width="13.85546875" style="858" customWidth="1"/>
    <col min="12298" max="12544" width="9.140625" style="858"/>
    <col min="12545" max="12545" width="13" style="858" customWidth="1"/>
    <col min="12546" max="12546" width="9.140625" style="858"/>
    <col min="12547" max="12547" width="13" style="858" customWidth="1"/>
    <col min="12548" max="12548" width="29.7109375" style="858" customWidth="1"/>
    <col min="12549" max="12549" width="7.7109375" style="858" customWidth="1"/>
    <col min="12550" max="12550" width="6" style="858" customWidth="1"/>
    <col min="12551" max="12551" width="11.5703125" style="858" customWidth="1"/>
    <col min="12552" max="12552" width="13.42578125" style="858" customWidth="1"/>
    <col min="12553" max="12553" width="13.85546875" style="858" customWidth="1"/>
    <col min="12554" max="12800" width="9.140625" style="858"/>
    <col min="12801" max="12801" width="13" style="858" customWidth="1"/>
    <col min="12802" max="12802" width="9.140625" style="858"/>
    <col min="12803" max="12803" width="13" style="858" customWidth="1"/>
    <col min="12804" max="12804" width="29.7109375" style="858" customWidth="1"/>
    <col min="12805" max="12805" width="7.7109375" style="858" customWidth="1"/>
    <col min="12806" max="12806" width="6" style="858" customWidth="1"/>
    <col min="12807" max="12807" width="11.5703125" style="858" customWidth="1"/>
    <col min="12808" max="12808" width="13.42578125" style="858" customWidth="1"/>
    <col min="12809" max="12809" width="13.85546875" style="858" customWidth="1"/>
    <col min="12810" max="13056" width="9.140625" style="858"/>
    <col min="13057" max="13057" width="13" style="858" customWidth="1"/>
    <col min="13058" max="13058" width="9.140625" style="858"/>
    <col min="13059" max="13059" width="13" style="858" customWidth="1"/>
    <col min="13060" max="13060" width="29.7109375" style="858" customWidth="1"/>
    <col min="13061" max="13061" width="7.7109375" style="858" customWidth="1"/>
    <col min="13062" max="13062" width="6" style="858" customWidth="1"/>
    <col min="13063" max="13063" width="11.5703125" style="858" customWidth="1"/>
    <col min="13064" max="13064" width="13.42578125" style="858" customWidth="1"/>
    <col min="13065" max="13065" width="13.85546875" style="858" customWidth="1"/>
    <col min="13066" max="13312" width="9.140625" style="858"/>
    <col min="13313" max="13313" width="13" style="858" customWidth="1"/>
    <col min="13314" max="13314" width="9.140625" style="858"/>
    <col min="13315" max="13315" width="13" style="858" customWidth="1"/>
    <col min="13316" max="13316" width="29.7109375" style="858" customWidth="1"/>
    <col min="13317" max="13317" width="7.7109375" style="858" customWidth="1"/>
    <col min="13318" max="13318" width="6" style="858" customWidth="1"/>
    <col min="13319" max="13319" width="11.5703125" style="858" customWidth="1"/>
    <col min="13320" max="13320" width="13.42578125" style="858" customWidth="1"/>
    <col min="13321" max="13321" width="13.85546875" style="858" customWidth="1"/>
    <col min="13322" max="13568" width="9.140625" style="858"/>
    <col min="13569" max="13569" width="13" style="858" customWidth="1"/>
    <col min="13570" max="13570" width="9.140625" style="858"/>
    <col min="13571" max="13571" width="13" style="858" customWidth="1"/>
    <col min="13572" max="13572" width="29.7109375" style="858" customWidth="1"/>
    <col min="13573" max="13573" width="7.7109375" style="858" customWidth="1"/>
    <col min="13574" max="13574" width="6" style="858" customWidth="1"/>
    <col min="13575" max="13575" width="11.5703125" style="858" customWidth="1"/>
    <col min="13576" max="13576" width="13.42578125" style="858" customWidth="1"/>
    <col min="13577" max="13577" width="13.85546875" style="858" customWidth="1"/>
    <col min="13578" max="13824" width="9.140625" style="858"/>
    <col min="13825" max="13825" width="13" style="858" customWidth="1"/>
    <col min="13826" max="13826" width="9.140625" style="858"/>
    <col min="13827" max="13827" width="13" style="858" customWidth="1"/>
    <col min="13828" max="13828" width="29.7109375" style="858" customWidth="1"/>
    <col min="13829" max="13829" width="7.7109375" style="858" customWidth="1"/>
    <col min="13830" max="13830" width="6" style="858" customWidth="1"/>
    <col min="13831" max="13831" width="11.5703125" style="858" customWidth="1"/>
    <col min="13832" max="13832" width="13.42578125" style="858" customWidth="1"/>
    <col min="13833" max="13833" width="13.85546875" style="858" customWidth="1"/>
    <col min="13834" max="14080" width="9.140625" style="858"/>
    <col min="14081" max="14081" width="13" style="858" customWidth="1"/>
    <col min="14082" max="14082" width="9.140625" style="858"/>
    <col min="14083" max="14083" width="13" style="858" customWidth="1"/>
    <col min="14084" max="14084" width="29.7109375" style="858" customWidth="1"/>
    <col min="14085" max="14085" width="7.7109375" style="858" customWidth="1"/>
    <col min="14086" max="14086" width="6" style="858" customWidth="1"/>
    <col min="14087" max="14087" width="11.5703125" style="858" customWidth="1"/>
    <col min="14088" max="14088" width="13.42578125" style="858" customWidth="1"/>
    <col min="14089" max="14089" width="13.85546875" style="858" customWidth="1"/>
    <col min="14090" max="14336" width="9.140625" style="858"/>
    <col min="14337" max="14337" width="13" style="858" customWidth="1"/>
    <col min="14338" max="14338" width="9.140625" style="858"/>
    <col min="14339" max="14339" width="13" style="858" customWidth="1"/>
    <col min="14340" max="14340" width="29.7109375" style="858" customWidth="1"/>
    <col min="14341" max="14341" width="7.7109375" style="858" customWidth="1"/>
    <col min="14342" max="14342" width="6" style="858" customWidth="1"/>
    <col min="14343" max="14343" width="11.5703125" style="858" customWidth="1"/>
    <col min="14344" max="14344" width="13.42578125" style="858" customWidth="1"/>
    <col min="14345" max="14345" width="13.85546875" style="858" customWidth="1"/>
    <col min="14346" max="14592" width="9.140625" style="858"/>
    <col min="14593" max="14593" width="13" style="858" customWidth="1"/>
    <col min="14594" max="14594" width="9.140625" style="858"/>
    <col min="14595" max="14595" width="13" style="858" customWidth="1"/>
    <col min="14596" max="14596" width="29.7109375" style="858" customWidth="1"/>
    <col min="14597" max="14597" width="7.7109375" style="858" customWidth="1"/>
    <col min="14598" max="14598" width="6" style="858" customWidth="1"/>
    <col min="14599" max="14599" width="11.5703125" style="858" customWidth="1"/>
    <col min="14600" max="14600" width="13.42578125" style="858" customWidth="1"/>
    <col min="14601" max="14601" width="13.85546875" style="858" customWidth="1"/>
    <col min="14602" max="14848" width="9.140625" style="858"/>
    <col min="14849" max="14849" width="13" style="858" customWidth="1"/>
    <col min="14850" max="14850" width="9.140625" style="858"/>
    <col min="14851" max="14851" width="13" style="858" customWidth="1"/>
    <col min="14852" max="14852" width="29.7109375" style="858" customWidth="1"/>
    <col min="14853" max="14853" width="7.7109375" style="858" customWidth="1"/>
    <col min="14854" max="14854" width="6" style="858" customWidth="1"/>
    <col min="14855" max="14855" width="11.5703125" style="858" customWidth="1"/>
    <col min="14856" max="14856" width="13.42578125" style="858" customWidth="1"/>
    <col min="14857" max="14857" width="13.85546875" style="858" customWidth="1"/>
    <col min="14858" max="15104" width="9.140625" style="858"/>
    <col min="15105" max="15105" width="13" style="858" customWidth="1"/>
    <col min="15106" max="15106" width="9.140625" style="858"/>
    <col min="15107" max="15107" width="13" style="858" customWidth="1"/>
    <col min="15108" max="15108" width="29.7109375" style="858" customWidth="1"/>
    <col min="15109" max="15109" width="7.7109375" style="858" customWidth="1"/>
    <col min="15110" max="15110" width="6" style="858" customWidth="1"/>
    <col min="15111" max="15111" width="11.5703125" style="858" customWidth="1"/>
    <col min="15112" max="15112" width="13.42578125" style="858" customWidth="1"/>
    <col min="15113" max="15113" width="13.85546875" style="858" customWidth="1"/>
    <col min="15114" max="15360" width="9.140625" style="858"/>
    <col min="15361" max="15361" width="13" style="858" customWidth="1"/>
    <col min="15362" max="15362" width="9.140625" style="858"/>
    <col min="15363" max="15363" width="13" style="858" customWidth="1"/>
    <col min="15364" max="15364" width="29.7109375" style="858" customWidth="1"/>
    <col min="15365" max="15365" width="7.7109375" style="858" customWidth="1"/>
    <col min="15366" max="15366" width="6" style="858" customWidth="1"/>
    <col min="15367" max="15367" width="11.5703125" style="858" customWidth="1"/>
    <col min="15368" max="15368" width="13.42578125" style="858" customWidth="1"/>
    <col min="15369" max="15369" width="13.85546875" style="858" customWidth="1"/>
    <col min="15370" max="15616" width="9.140625" style="858"/>
    <col min="15617" max="15617" width="13" style="858" customWidth="1"/>
    <col min="15618" max="15618" width="9.140625" style="858"/>
    <col min="15619" max="15619" width="13" style="858" customWidth="1"/>
    <col min="15620" max="15620" width="29.7109375" style="858" customWidth="1"/>
    <col min="15621" max="15621" width="7.7109375" style="858" customWidth="1"/>
    <col min="15622" max="15622" width="6" style="858" customWidth="1"/>
    <col min="15623" max="15623" width="11.5703125" style="858" customWidth="1"/>
    <col min="15624" max="15624" width="13.42578125" style="858" customWidth="1"/>
    <col min="15625" max="15625" width="13.85546875" style="858" customWidth="1"/>
    <col min="15626" max="15872" width="9.140625" style="858"/>
    <col min="15873" max="15873" width="13" style="858" customWidth="1"/>
    <col min="15874" max="15874" width="9.140625" style="858"/>
    <col min="15875" max="15875" width="13" style="858" customWidth="1"/>
    <col min="15876" max="15876" width="29.7109375" style="858" customWidth="1"/>
    <col min="15877" max="15877" width="7.7109375" style="858" customWidth="1"/>
    <col min="15878" max="15878" width="6" style="858" customWidth="1"/>
    <col min="15879" max="15879" width="11.5703125" style="858" customWidth="1"/>
    <col min="15880" max="15880" width="13.42578125" style="858" customWidth="1"/>
    <col min="15881" max="15881" width="13.85546875" style="858" customWidth="1"/>
    <col min="15882" max="16128" width="9.140625" style="858"/>
    <col min="16129" max="16129" width="13" style="858" customWidth="1"/>
    <col min="16130" max="16130" width="9.140625" style="858"/>
    <col min="16131" max="16131" width="13" style="858" customWidth="1"/>
    <col min="16132" max="16132" width="29.7109375" style="858" customWidth="1"/>
    <col min="16133" max="16133" width="7.7109375" style="858" customWidth="1"/>
    <col min="16134" max="16134" width="6" style="858" customWidth="1"/>
    <col min="16135" max="16135" width="11.5703125" style="858" customWidth="1"/>
    <col min="16136" max="16136" width="13.42578125" style="858" customWidth="1"/>
    <col min="16137" max="16137" width="13.85546875" style="858" customWidth="1"/>
    <col min="16138" max="16384" width="9.140625" style="858"/>
  </cols>
  <sheetData>
    <row r="1" spans="1:14">
      <c r="A1" s="857" t="str">
        <f>TH!A1</f>
        <v>Đơn vị: CÔNG TY TNHH SX TM KIM DUNG PHÁT</v>
      </c>
      <c r="H1" s="859" t="s">
        <v>378</v>
      </c>
      <c r="I1" s="859"/>
    </row>
    <row r="2" spans="1:14">
      <c r="A2" s="858" t="str">
        <f>TH!A2</f>
        <v>Địa chỉ: 1A227/1 Ấp 1, Phạm Văn Hai, Bình Chánh, TPHCM</v>
      </c>
      <c r="H2" s="860" t="s">
        <v>379</v>
      </c>
      <c r="I2" s="860"/>
    </row>
    <row r="3" spans="1:14">
      <c r="H3" s="860" t="s">
        <v>380</v>
      </c>
      <c r="I3" s="860"/>
    </row>
    <row r="4" spans="1:14">
      <c r="H4" s="860"/>
      <c r="I4" s="860"/>
    </row>
    <row r="5" spans="1:14" ht="26.25" customHeight="1">
      <c r="B5" s="857"/>
      <c r="C5" s="857"/>
      <c r="D5" s="859" t="s">
        <v>381</v>
      </c>
      <c r="E5" s="857"/>
      <c r="F5" s="857"/>
      <c r="G5" s="857"/>
      <c r="H5" s="857"/>
      <c r="I5" s="857"/>
      <c r="J5" s="857"/>
      <c r="K5" s="857"/>
    </row>
    <row r="6" spans="1:14">
      <c r="B6" s="861"/>
      <c r="C6" s="861"/>
      <c r="D6" s="862" t="str">
        <f ca="1">$K$9&amp;"   -   Năm:  " &amp;YEAR(A11)</f>
        <v>Quý II   -   Năm:  2012</v>
      </c>
      <c r="E6" s="861"/>
      <c r="F6" s="861"/>
      <c r="G6" s="861"/>
      <c r="H6" s="861"/>
      <c r="I6" s="861"/>
      <c r="J6" s="861"/>
      <c r="K6" s="861"/>
    </row>
    <row r="7" spans="1:14">
      <c r="A7" s="863"/>
      <c r="B7" s="863"/>
      <c r="C7" s="863"/>
      <c r="D7" s="863"/>
      <c r="E7" s="863"/>
      <c r="F7" s="863"/>
      <c r="G7" s="863"/>
      <c r="H7" s="919" t="s">
        <v>125</v>
      </c>
      <c r="I7" s="919"/>
      <c r="J7" s="863"/>
      <c r="K7" s="863"/>
      <c r="M7" s="918" t="s">
        <v>360</v>
      </c>
      <c r="N7" s="918"/>
    </row>
    <row r="8" spans="1:14" ht="23.25" customHeight="1" thickBot="1">
      <c r="A8" s="920" t="s">
        <v>382</v>
      </c>
      <c r="B8" s="922" t="s">
        <v>1</v>
      </c>
      <c r="C8" s="923"/>
      <c r="D8" s="924" t="s">
        <v>0</v>
      </c>
      <c r="E8" s="920" t="s">
        <v>383</v>
      </c>
      <c r="F8" s="917" t="s">
        <v>95</v>
      </c>
      <c r="G8" s="917"/>
      <c r="H8" s="922" t="s">
        <v>21</v>
      </c>
      <c r="I8" s="923"/>
      <c r="J8" s="863"/>
      <c r="K8" s="863"/>
      <c r="M8" s="864">
        <f>IF(K9="Quý I",1,IF(K9="Quý II",4,IF(K9="Quý III",7,IF(K9="Quý IV",10,""))))</f>
        <v>4</v>
      </c>
      <c r="N8" s="864">
        <f>IF(K9="Quý I",3,IF(K9="Quý II",6,IF(K9="Quý III",9,IF(K9="Quý IV",12,""))))</f>
        <v>6</v>
      </c>
    </row>
    <row r="9" spans="1:14" ht="28.5" customHeight="1" thickBot="1">
      <c r="A9" s="921"/>
      <c r="B9" s="865" t="s">
        <v>15</v>
      </c>
      <c r="C9" s="865" t="s">
        <v>32</v>
      </c>
      <c r="D9" s="925"/>
      <c r="E9" s="921"/>
      <c r="F9" s="866" t="s">
        <v>22</v>
      </c>
      <c r="G9" s="866" t="s">
        <v>23</v>
      </c>
      <c r="H9" s="865" t="s">
        <v>384</v>
      </c>
      <c r="I9" s="865" t="s">
        <v>23</v>
      </c>
      <c r="K9" s="867" t="s">
        <v>399</v>
      </c>
    </row>
    <row r="10" spans="1:14" ht="21.75" customHeight="1">
      <c r="A10" s="868"/>
      <c r="B10" s="868"/>
      <c r="C10" s="868"/>
      <c r="D10" s="869" t="s">
        <v>389</v>
      </c>
      <c r="E10" s="870"/>
      <c r="F10" s="868"/>
      <c r="G10" s="868"/>
      <c r="H10" s="871">
        <f>SUMIF(_M,"&lt;"&amp;$M$8,TH)</f>
        <v>8479695150</v>
      </c>
      <c r="I10" s="871">
        <f>SUMIF(_M,"&lt;"&amp;$M$8,TH)</f>
        <v>8479695150</v>
      </c>
    </row>
    <row r="11" spans="1:14" ht="21.75" customHeight="1">
      <c r="A11" s="872">
        <f ca="1">IF(ROWS($1:1)&gt;COUNT(Dong6),"",OFFSET(TH!C$1,SMALL(Dong6,ROWS($1:1)),))</f>
        <v>41000</v>
      </c>
      <c r="B11" s="873" t="str">
        <f ca="1">IF(ROWS($1:1)&gt;COUNT(Dong6),"",OFFSET(TH!D$1,SMALL(Dong6,ROWS($1:1)),))</f>
        <v>CTGS</v>
      </c>
      <c r="C11" s="872">
        <f ca="1">IF(ROWS($1:1)&gt;COUNT(Dong6),"",OFFSET(TH!E$1,SMALL(Dong6,ROWS($1:1)),))</f>
        <v>41000</v>
      </c>
      <c r="D11" s="874" t="str">
        <f ca="1">IF(ROWS($1:1)&gt;COUNT(Dong6),"",OFFSET(TH!F$1,SMALL(Dong6,ROWS($1:1)),))</f>
        <v>Trích khấu hao TSCĐ Hữu hình</v>
      </c>
      <c r="E11" s="873">
        <f t="shared" ref="E11:E51" ca="1" si="0">IF(D11&lt;&gt;"",ROW()-10,"")</f>
        <v>1</v>
      </c>
      <c r="F11" s="875" t="str">
        <f ca="1">IF(ROWS($1:1)&gt;COUNT(Dong6),"",OFFSET(TH!L$1,SMALL(Dong6,ROWS($1:1)),))</f>
        <v>154</v>
      </c>
      <c r="G11" s="875" t="str">
        <f ca="1">IF(ROWS($1:1)&gt;COUNT(Dong6),"",OFFSET(TH!M$1,SMALL(Dong6,ROWS($1:1)),))</f>
        <v>2141</v>
      </c>
      <c r="H11" s="876">
        <f ca="1">IF(ROWS($1:1)&gt;COUNT(Dong6),"",OFFSET(TH!K$1,SMALL(Dong6,ROWS($1:1)),))</f>
        <v>18250000</v>
      </c>
      <c r="I11" s="876">
        <f ca="1">IF(ROWS($1:1)&gt;COUNT(Dong6),"",OFFSET(TH!K$1,SMALL(Dong6,ROWS($1:1)),))</f>
        <v>18250000</v>
      </c>
    </row>
    <row r="12" spans="1:14" ht="21.75" customHeight="1">
      <c r="A12" s="872">
        <f ca="1">IF(ROWS($1:2)&gt;COUNT(Dong6),"",OFFSET(TH!C$1,SMALL(Dong6,ROWS($1:2)),))</f>
        <v>41000</v>
      </c>
      <c r="B12" s="873" t="str">
        <f ca="1">IF(ROWS($1:2)&gt;COUNT(Dong6),"",OFFSET(TH!D$1,SMALL(Dong6,ROWS($1:2)),))</f>
        <v>C01</v>
      </c>
      <c r="C12" s="872">
        <f ca="1">IF(ROWS($1:2)&gt;COUNT(Dong6),"",OFFSET(TH!E$1,SMALL(Dong6,ROWS($1:2)),))</f>
        <v>40987</v>
      </c>
      <c r="D12" s="874" t="str">
        <f ca="1">IF(ROWS($1:2)&gt;COUNT(Dong6),"",OFFSET(TH!F$1,SMALL(Dong6,ROWS($1:2)),))</f>
        <v>Cước dịch vụ viễn thông TPHCM</v>
      </c>
      <c r="E12" s="873">
        <f t="shared" ca="1" si="0"/>
        <v>2</v>
      </c>
      <c r="F12" s="875" t="str">
        <f ca="1">IF(ROWS($1:2)&gt;COUNT(Dong6),"",OFFSET(TH!L$1,SMALL(Dong6,ROWS($1:2)),))</f>
        <v>642</v>
      </c>
      <c r="G12" s="875" t="str">
        <f ca="1">IF(ROWS($1:2)&gt;COUNT(Dong6),"",OFFSET(TH!M$1,SMALL(Dong6,ROWS($1:2)),))</f>
        <v>1111</v>
      </c>
      <c r="H12" s="876">
        <f ca="1">IF(ROWS($1:2)&gt;COUNT(Dong6),"",OFFSET(TH!K$1,SMALL(Dong6,ROWS($1:2)),))</f>
        <v>904950</v>
      </c>
      <c r="I12" s="876">
        <f ca="1">IF(ROWS($1:2)&gt;COUNT(Dong6),"",OFFSET(TH!K$1,SMALL(Dong6,ROWS($1:2)),))</f>
        <v>904950</v>
      </c>
    </row>
    <row r="13" spans="1:14" ht="21.75" customHeight="1">
      <c r="A13" s="872">
        <f ca="1">IF(ROWS($1:3)&gt;COUNT(Dong6),"",OFFSET(TH!C$1,SMALL(Dong6,ROWS($1:3)),))</f>
        <v>41000</v>
      </c>
      <c r="B13" s="873" t="str">
        <f ca="1">IF(ROWS($1:3)&gt;COUNT(Dong6),"",OFFSET(TH!D$1,SMALL(Dong6,ROWS($1:3)),))</f>
        <v>C01</v>
      </c>
      <c r="C13" s="872">
        <f ca="1">IF(ROWS($1:3)&gt;COUNT(Dong6),"",OFFSET(TH!E$1,SMALL(Dong6,ROWS($1:3)),))</f>
        <v>40987</v>
      </c>
      <c r="D13" s="874" t="str">
        <f ca="1">IF(ROWS($1:3)&gt;COUNT(Dong6),"",OFFSET(TH!F$1,SMALL(Dong6,ROWS($1:3)),))</f>
        <v>VAT Cước dịch vụ viễn thông TPHCM</v>
      </c>
      <c r="E13" s="873">
        <f t="shared" ca="1" si="0"/>
        <v>3</v>
      </c>
      <c r="F13" s="875" t="str">
        <f ca="1">IF(ROWS($1:3)&gt;COUNT(Dong6),"",OFFSET(TH!L$1,SMALL(Dong6,ROWS($1:3)),))</f>
        <v>1331</v>
      </c>
      <c r="G13" s="875" t="str">
        <f ca="1">IF(ROWS($1:3)&gt;COUNT(Dong6),"",OFFSET(TH!M$1,SMALL(Dong6,ROWS($1:3)),))</f>
        <v>1111</v>
      </c>
      <c r="H13" s="876">
        <f ca="1">IF(ROWS($1:3)&gt;COUNT(Dong6),"",OFFSET(TH!K$1,SMALL(Dong6,ROWS($1:3)),))</f>
        <v>90494</v>
      </c>
      <c r="I13" s="876">
        <f ca="1">IF(ROWS($1:3)&gt;COUNT(Dong6),"",OFFSET(TH!K$1,SMALL(Dong6,ROWS($1:3)),))</f>
        <v>90494</v>
      </c>
    </row>
    <row r="14" spans="1:14" ht="21.75" customHeight="1">
      <c r="A14" s="872">
        <f ca="1">IF(ROWS($1:4)&gt;COUNT(Dong6),"",OFFSET(TH!C$1,SMALL(Dong6,ROWS($1:4)),))</f>
        <v>41002</v>
      </c>
      <c r="B14" s="873" t="str">
        <f ca="1">IF(ROWS($1:4)&gt;COUNT(Dong6),"",OFFSET(TH!D$1,SMALL(Dong6,ROWS($1:4)),))</f>
        <v>GBC</v>
      </c>
      <c r="C14" s="872">
        <f ca="1">IF(ROWS($1:4)&gt;COUNT(Dong6),"",OFFSET(TH!E$1,SMALL(Dong6,ROWS($1:4)),))</f>
        <v>41002</v>
      </c>
      <c r="D14" s="874" t="str">
        <f ca="1">IF(ROWS($1:4)&gt;COUNT(Dong6),"",OFFSET(TH!F$1,SMALL(Dong6,ROWS($1:4)),))</f>
        <v>Thu tiền hàng</v>
      </c>
      <c r="E14" s="873">
        <f t="shared" ca="1" si="0"/>
        <v>4</v>
      </c>
      <c r="F14" s="875" t="str">
        <f ca="1">IF(ROWS($1:4)&gt;COUNT(Dong6),"",OFFSET(TH!L$1,SMALL(Dong6,ROWS($1:4)),))</f>
        <v>1121</v>
      </c>
      <c r="G14" s="875" t="str">
        <f ca="1">IF(ROWS($1:4)&gt;COUNT(Dong6),"",OFFSET(TH!M$1,SMALL(Dong6,ROWS($1:4)),))</f>
        <v>131</v>
      </c>
      <c r="H14" s="876">
        <f ca="1">IF(ROWS($1:4)&gt;COUNT(Dong6),"",OFFSET(TH!K$1,SMALL(Dong6,ROWS($1:4)),))</f>
        <v>37537610</v>
      </c>
      <c r="I14" s="876">
        <f ca="1">IF(ROWS($1:4)&gt;COUNT(Dong6),"",OFFSET(TH!K$1,SMALL(Dong6,ROWS($1:4)),))</f>
        <v>37537610</v>
      </c>
    </row>
    <row r="15" spans="1:14" ht="21.75" customHeight="1">
      <c r="A15" s="872">
        <f ca="1">IF(ROWS($1:5)&gt;COUNT(Dong6),"",OFFSET(TH!C$1,SMALL(Dong6,ROWS($1:5)),))</f>
        <v>41002</v>
      </c>
      <c r="B15" s="873" t="str">
        <f ca="1">IF(ROWS($1:5)&gt;COUNT(Dong6),"",OFFSET(TH!D$1,SMALL(Dong6,ROWS($1:5)),))</f>
        <v>T01</v>
      </c>
      <c r="C15" s="872">
        <f ca="1">IF(ROWS($1:5)&gt;COUNT(Dong6),"",OFFSET(TH!E$1,SMALL(Dong6,ROWS($1:5)),))</f>
        <v>41002</v>
      </c>
      <c r="D15" s="874" t="str">
        <f ca="1">IF(ROWS($1:5)&gt;COUNT(Dong6),"",OFFSET(TH!F$1,SMALL(Dong6,ROWS($1:5)),))</f>
        <v>Chi Sec nhập quỹ tiền mặt</v>
      </c>
      <c r="E15" s="873">
        <f t="shared" ca="1" si="0"/>
        <v>5</v>
      </c>
      <c r="F15" s="875" t="str">
        <f ca="1">IF(ROWS($1:5)&gt;COUNT(Dong6),"",OFFSET(TH!L$1,SMALL(Dong6,ROWS($1:5)),))</f>
        <v>1111</v>
      </c>
      <c r="G15" s="875" t="str">
        <f ca="1">IF(ROWS($1:5)&gt;COUNT(Dong6),"",OFFSET(TH!M$1,SMALL(Dong6,ROWS($1:5)),))</f>
        <v>1121</v>
      </c>
      <c r="H15" s="876">
        <f ca="1">IF(ROWS($1:5)&gt;COUNT(Dong6),"",OFFSET(TH!K$1,SMALL(Dong6,ROWS($1:5)),))</f>
        <v>21500000</v>
      </c>
      <c r="I15" s="876">
        <f ca="1">IF(ROWS($1:5)&gt;COUNT(Dong6),"",OFFSET(TH!K$1,SMALL(Dong6,ROWS($1:5)),))</f>
        <v>21500000</v>
      </c>
    </row>
    <row r="16" spans="1:14" ht="21.75" customHeight="1">
      <c r="A16" s="872">
        <f ca="1">IF(ROWS($1:6)&gt;COUNT(Dong6),"",OFFSET(TH!C$1,SMALL(Dong6,ROWS($1:6)),))</f>
        <v>41003</v>
      </c>
      <c r="B16" s="873" t="str">
        <f ca="1">IF(ROWS($1:6)&gt;COUNT(Dong6),"",OFFSET(TH!D$1,SMALL(Dong6,ROWS($1:6)),))</f>
        <v>TP/X01</v>
      </c>
      <c r="C16" s="872">
        <f ca="1">IF(ROWS($1:6)&gt;COUNT(Dong6),"",OFFSET(TH!E$1,SMALL(Dong6,ROWS($1:6)),))</f>
        <v>41003</v>
      </c>
      <c r="D16" s="874" t="str">
        <f ca="1">IF(ROWS($1:6)&gt;COUNT(Dong6),"",OFFSET(TH!F$1,SMALL(Dong6,ROWS($1:6)),))</f>
        <v>Thùng (57x38x33)</v>
      </c>
      <c r="E16" s="873">
        <f t="shared" ca="1" si="0"/>
        <v>6</v>
      </c>
      <c r="F16" s="875" t="str">
        <f ca="1">IF(ROWS($1:6)&gt;COUNT(Dong6),"",OFFSET(TH!L$1,SMALL(Dong6,ROWS($1:6)),))</f>
        <v>131</v>
      </c>
      <c r="G16" s="875" t="str">
        <f ca="1">IF(ROWS($1:6)&gt;COUNT(Dong6),"",OFFSET(TH!M$1,SMALL(Dong6,ROWS($1:6)),))</f>
        <v>5112</v>
      </c>
      <c r="H16" s="876">
        <f ca="1">IF(ROWS($1:6)&gt;COUNT(Dong6),"",OFFSET(TH!K$1,SMALL(Dong6,ROWS($1:6)),))</f>
        <v>5510000</v>
      </c>
      <c r="I16" s="876">
        <f ca="1">IF(ROWS($1:6)&gt;COUNT(Dong6),"",OFFSET(TH!K$1,SMALL(Dong6,ROWS($1:6)),))</f>
        <v>5510000</v>
      </c>
    </row>
    <row r="17" spans="1:9" ht="21.75" customHeight="1">
      <c r="A17" s="872">
        <f ca="1">IF(ROWS($1:7)&gt;COUNT(Dong6),"",OFFSET(TH!C$1,SMALL(Dong6,ROWS($1:7)),))</f>
        <v>41003</v>
      </c>
      <c r="B17" s="873" t="str">
        <f ca="1">IF(ROWS($1:7)&gt;COUNT(Dong6),"",OFFSET(TH!D$1,SMALL(Dong6,ROWS($1:7)),))</f>
        <v>TP/X01</v>
      </c>
      <c r="C17" s="872">
        <f ca="1">IF(ROWS($1:7)&gt;COUNT(Dong6),"",OFFSET(TH!E$1,SMALL(Dong6,ROWS($1:7)),))</f>
        <v>41003</v>
      </c>
      <c r="D17" s="874" t="str">
        <f ca="1">IF(ROWS($1:7)&gt;COUNT(Dong6),"",OFFSET(TH!F$1,SMALL(Dong6,ROWS($1:7)),))</f>
        <v>Thùng (43x29x29)</v>
      </c>
      <c r="E17" s="873">
        <f t="shared" ca="1" si="0"/>
        <v>7</v>
      </c>
      <c r="F17" s="875" t="str">
        <f ca="1">IF(ROWS($1:7)&gt;COUNT(Dong6),"",OFFSET(TH!L$1,SMALL(Dong6,ROWS($1:7)),))</f>
        <v>131</v>
      </c>
      <c r="G17" s="875" t="str">
        <f ca="1">IF(ROWS($1:7)&gt;COUNT(Dong6),"",OFFSET(TH!M$1,SMALL(Dong6,ROWS($1:7)),))</f>
        <v>5112</v>
      </c>
      <c r="H17" s="876">
        <f ca="1">IF(ROWS($1:7)&gt;COUNT(Dong6),"",OFFSET(TH!K$1,SMALL(Dong6,ROWS($1:7)),))</f>
        <v>1447000</v>
      </c>
      <c r="I17" s="876">
        <f ca="1">IF(ROWS($1:7)&gt;COUNT(Dong6),"",OFFSET(TH!K$1,SMALL(Dong6,ROWS($1:7)),))</f>
        <v>1447000</v>
      </c>
    </row>
    <row r="18" spans="1:9" ht="21.75" customHeight="1">
      <c r="A18" s="872">
        <f ca="1">IF(ROWS($1:8)&gt;COUNT(Dong6),"",OFFSET(TH!C$1,SMALL(Dong6,ROWS($1:8)),))</f>
        <v>41003</v>
      </c>
      <c r="B18" s="873" t="str">
        <f ca="1">IF(ROWS($1:8)&gt;COUNT(Dong6),"",OFFSET(TH!D$1,SMALL(Dong6,ROWS($1:8)),))</f>
        <v>TP/X01</v>
      </c>
      <c r="C18" s="872">
        <f ca="1">IF(ROWS($1:8)&gt;COUNT(Dong6),"",OFFSET(TH!E$1,SMALL(Dong6,ROWS($1:8)),))</f>
        <v>41003</v>
      </c>
      <c r="D18" s="874" t="str">
        <f ca="1">IF(ROWS($1:8)&gt;COUNT(Dong6),"",OFFSET(TH!F$1,SMALL(Dong6,ROWS($1:8)),))</f>
        <v>VAT thùng</v>
      </c>
      <c r="E18" s="873">
        <f t="shared" ca="1" si="0"/>
        <v>8</v>
      </c>
      <c r="F18" s="875" t="str">
        <f ca="1">IF(ROWS($1:8)&gt;COUNT(Dong6),"",OFFSET(TH!L$1,SMALL(Dong6,ROWS($1:8)),))</f>
        <v>131</v>
      </c>
      <c r="G18" s="875" t="str">
        <f ca="1">IF(ROWS($1:8)&gt;COUNT(Dong6),"",OFFSET(TH!M$1,SMALL(Dong6,ROWS($1:8)),))</f>
        <v>3331</v>
      </c>
      <c r="H18" s="876">
        <f ca="1">IF(ROWS($1:8)&gt;COUNT(Dong6),"",OFFSET(TH!K$1,SMALL(Dong6,ROWS($1:8)),))</f>
        <v>695700</v>
      </c>
      <c r="I18" s="876">
        <f ca="1">IF(ROWS($1:8)&gt;COUNT(Dong6),"",OFFSET(TH!K$1,SMALL(Dong6,ROWS($1:8)),))</f>
        <v>695700</v>
      </c>
    </row>
    <row r="19" spans="1:9" ht="21.75" customHeight="1">
      <c r="A19" s="872">
        <f ca="1">IF(ROWS($1:9)&gt;COUNT(Dong6),"",OFFSET(TH!C$1,SMALL(Dong6,ROWS($1:9)),))</f>
        <v>41003</v>
      </c>
      <c r="B19" s="873" t="str">
        <f ca="1">IF(ROWS($1:9)&gt;COUNT(Dong6),"",OFFSET(TH!D$1,SMALL(Dong6,ROWS($1:9)),))</f>
        <v>T02</v>
      </c>
      <c r="C19" s="872">
        <f ca="1">IF(ROWS($1:9)&gt;COUNT(Dong6),"",OFFSET(TH!E$1,SMALL(Dong6,ROWS($1:9)),))</f>
        <v>41003</v>
      </c>
      <c r="D19" s="874" t="str">
        <f ca="1">IF(ROWS($1:9)&gt;COUNT(Dong6),"",OFFSET(TH!F$1,SMALL(Dong6,ROWS($1:9)),))</f>
        <v>Thu tiền hàng</v>
      </c>
      <c r="E19" s="873">
        <f t="shared" ca="1" si="0"/>
        <v>9</v>
      </c>
      <c r="F19" s="875" t="str">
        <f ca="1">IF(ROWS($1:9)&gt;COUNT(Dong6),"",OFFSET(TH!L$1,SMALL(Dong6,ROWS($1:9)),))</f>
        <v>1111</v>
      </c>
      <c r="G19" s="875" t="str">
        <f ca="1">IF(ROWS($1:9)&gt;COUNT(Dong6),"",OFFSET(TH!M$1,SMALL(Dong6,ROWS($1:9)),))</f>
        <v>131</v>
      </c>
      <c r="H19" s="876">
        <f ca="1">IF(ROWS($1:9)&gt;COUNT(Dong6),"",OFFSET(TH!K$1,SMALL(Dong6,ROWS($1:9)),))</f>
        <v>7652700</v>
      </c>
      <c r="I19" s="876">
        <f ca="1">IF(ROWS($1:9)&gt;COUNT(Dong6),"",OFFSET(TH!K$1,SMALL(Dong6,ROWS($1:9)),))</f>
        <v>7652700</v>
      </c>
    </row>
    <row r="20" spans="1:9" ht="21.75" customHeight="1">
      <c r="A20" s="872">
        <f ca="1">IF(ROWS($1:10)&gt;COUNT(Dong6),"",OFFSET(TH!C$1,SMALL(Dong6,ROWS($1:10)),))</f>
        <v>41003</v>
      </c>
      <c r="B20" s="873" t="str">
        <f ca="1">IF(ROWS($1:10)&gt;COUNT(Dong6),"",OFFSET(TH!D$1,SMALL(Dong6,ROWS($1:10)),))</f>
        <v>TP/X02</v>
      </c>
      <c r="C20" s="872">
        <f ca="1">IF(ROWS($1:10)&gt;COUNT(Dong6),"",OFFSET(TH!E$1,SMALL(Dong6,ROWS($1:10)),))</f>
        <v>41003</v>
      </c>
      <c r="D20" s="874" t="str">
        <f ca="1">IF(ROWS($1:10)&gt;COUNT(Dong6),"",OFFSET(TH!F$1,SMALL(Dong6,ROWS($1:10)),))</f>
        <v>Thùng (43x31x24)</v>
      </c>
      <c r="E20" s="873">
        <f t="shared" ca="1" si="0"/>
        <v>10</v>
      </c>
      <c r="F20" s="875" t="str">
        <f ca="1">IF(ROWS($1:10)&gt;COUNT(Dong6),"",OFFSET(TH!L$1,SMALL(Dong6,ROWS($1:10)),))</f>
        <v>131</v>
      </c>
      <c r="G20" s="875" t="str">
        <f ca="1">IF(ROWS($1:10)&gt;COUNT(Dong6),"",OFFSET(TH!M$1,SMALL(Dong6,ROWS($1:10)),))</f>
        <v>5112</v>
      </c>
      <c r="H20" s="876">
        <f ca="1">IF(ROWS($1:10)&gt;COUNT(Dong6),"",OFFSET(TH!K$1,SMALL(Dong6,ROWS($1:10)),))</f>
        <v>3768024</v>
      </c>
      <c r="I20" s="876">
        <f ca="1">IF(ROWS($1:10)&gt;COUNT(Dong6),"",OFFSET(TH!K$1,SMALL(Dong6,ROWS($1:10)),))</f>
        <v>3768024</v>
      </c>
    </row>
    <row r="21" spans="1:9" ht="21.75" customHeight="1">
      <c r="A21" s="872">
        <f ca="1">IF(ROWS($1:11)&gt;COUNT(Dong6),"",OFFSET(TH!C$1,SMALL(Dong6,ROWS($1:11)),))</f>
        <v>41003</v>
      </c>
      <c r="B21" s="873" t="str">
        <f ca="1">IF(ROWS($1:11)&gt;COUNT(Dong6),"",OFFSET(TH!D$1,SMALL(Dong6,ROWS($1:11)),))</f>
        <v>TP/X02</v>
      </c>
      <c r="C21" s="872">
        <f ca="1">IF(ROWS($1:11)&gt;COUNT(Dong6),"",OFFSET(TH!E$1,SMALL(Dong6,ROWS($1:11)),))</f>
        <v>41003</v>
      </c>
      <c r="D21" s="874" t="str">
        <f ca="1">IF(ROWS($1:11)&gt;COUNT(Dong6),"",OFFSET(TH!F$1,SMALL(Dong6,ROWS($1:11)),))</f>
        <v>VAT thùng</v>
      </c>
      <c r="E21" s="873">
        <f t="shared" ca="1" si="0"/>
        <v>11</v>
      </c>
      <c r="F21" s="875" t="str">
        <f ca="1">IF(ROWS($1:11)&gt;COUNT(Dong6),"",OFFSET(TH!L$1,SMALL(Dong6,ROWS($1:11)),))</f>
        <v>131</v>
      </c>
      <c r="G21" s="875" t="str">
        <f ca="1">IF(ROWS($1:11)&gt;COUNT(Dong6),"",OFFSET(TH!M$1,SMALL(Dong6,ROWS($1:11)),))</f>
        <v>3331</v>
      </c>
      <c r="H21" s="876">
        <f ca="1">IF(ROWS($1:11)&gt;COUNT(Dong6),"",OFFSET(TH!K$1,SMALL(Dong6,ROWS($1:11)),))</f>
        <v>376802</v>
      </c>
      <c r="I21" s="876">
        <f ca="1">IF(ROWS($1:11)&gt;COUNT(Dong6),"",OFFSET(TH!K$1,SMALL(Dong6,ROWS($1:11)),))</f>
        <v>376802</v>
      </c>
    </row>
    <row r="22" spans="1:9" ht="21.75" customHeight="1">
      <c r="A22" s="872">
        <f ca="1">IF(ROWS($1:12)&gt;COUNT(Dong6),"",OFFSET(TH!C$1,SMALL(Dong6,ROWS($1:12)),))</f>
        <v>41004</v>
      </c>
      <c r="B22" s="873" t="str">
        <f ca="1">IF(ROWS($1:12)&gt;COUNT(Dong6),"",OFFSET(TH!D$1,SMALL(Dong6,ROWS($1:12)),))</f>
        <v>GBC</v>
      </c>
      <c r="C22" s="872">
        <f ca="1">IF(ROWS($1:12)&gt;COUNT(Dong6),"",OFFSET(TH!E$1,SMALL(Dong6,ROWS($1:12)),))</f>
        <v>41004</v>
      </c>
      <c r="D22" s="874" t="str">
        <f ca="1">IF(ROWS($1:12)&gt;COUNT(Dong6),"",OFFSET(TH!F$1,SMALL(Dong6,ROWS($1:12)),))</f>
        <v>Thu tiền hàng</v>
      </c>
      <c r="E22" s="873">
        <f t="shared" ca="1" si="0"/>
        <v>12</v>
      </c>
      <c r="F22" s="875" t="str">
        <f ca="1">IF(ROWS($1:12)&gt;COUNT(Dong6),"",OFFSET(TH!L$1,SMALL(Dong6,ROWS($1:12)),))</f>
        <v>1121</v>
      </c>
      <c r="G22" s="875" t="str">
        <f ca="1">IF(ROWS($1:12)&gt;COUNT(Dong6),"",OFFSET(TH!M$1,SMALL(Dong6,ROWS($1:12)),))</f>
        <v>131</v>
      </c>
      <c r="H22" s="876">
        <f ca="1">IF(ROWS($1:12)&gt;COUNT(Dong6),"",OFFSET(TH!K$1,SMALL(Dong6,ROWS($1:12)),))</f>
        <v>57158000</v>
      </c>
      <c r="I22" s="876">
        <f ca="1">IF(ROWS($1:12)&gt;COUNT(Dong6),"",OFFSET(TH!K$1,SMALL(Dong6,ROWS($1:12)),))</f>
        <v>57158000</v>
      </c>
    </row>
    <row r="23" spans="1:9" ht="21.75" customHeight="1">
      <c r="A23" s="872">
        <f ca="1">IF(ROWS($1:13)&gt;COUNT(Dong6),"",OFFSET(TH!C$1,SMALL(Dong6,ROWS($1:13)),))</f>
        <v>41004</v>
      </c>
      <c r="B23" s="873" t="str">
        <f ca="1">IF(ROWS($1:13)&gt;COUNT(Dong6),"",OFFSET(TH!D$1,SMALL(Dong6,ROWS($1:13)),))</f>
        <v>T03</v>
      </c>
      <c r="C23" s="872">
        <f ca="1">IF(ROWS($1:13)&gt;COUNT(Dong6),"",OFFSET(TH!E$1,SMALL(Dong6,ROWS($1:13)),))</f>
        <v>41004</v>
      </c>
      <c r="D23" s="874" t="str">
        <f ca="1">IF(ROWS($1:13)&gt;COUNT(Dong6),"",OFFSET(TH!F$1,SMALL(Dong6,ROWS($1:13)),))</f>
        <v>Chi Sec nhập quỹ tiền mặt</v>
      </c>
      <c r="E23" s="873">
        <f t="shared" ca="1" si="0"/>
        <v>13</v>
      </c>
      <c r="F23" s="875" t="str">
        <f ca="1">IF(ROWS($1:13)&gt;COUNT(Dong6),"",OFFSET(TH!L$1,SMALL(Dong6,ROWS($1:13)),))</f>
        <v>1111</v>
      </c>
      <c r="G23" s="875" t="str">
        <f ca="1">IF(ROWS($1:13)&gt;COUNT(Dong6),"",OFFSET(TH!M$1,SMALL(Dong6,ROWS($1:13)),))</f>
        <v>1121</v>
      </c>
      <c r="H23" s="876">
        <f ca="1">IF(ROWS($1:13)&gt;COUNT(Dong6),"",OFFSET(TH!K$1,SMALL(Dong6,ROWS($1:13)),))</f>
        <v>37500000</v>
      </c>
      <c r="I23" s="876">
        <f ca="1">IF(ROWS($1:13)&gt;COUNT(Dong6),"",OFFSET(TH!K$1,SMALL(Dong6,ROWS($1:13)),))</f>
        <v>37500000</v>
      </c>
    </row>
    <row r="24" spans="1:9" ht="21.75" customHeight="1">
      <c r="A24" s="872">
        <f ca="1">IF(ROWS($1:14)&gt;COUNT(Dong6),"",OFFSET(TH!C$1,SMALL(Dong6,ROWS($1:14)),))</f>
        <v>41004</v>
      </c>
      <c r="B24" s="873" t="str">
        <f ca="1">IF(ROWS($1:14)&gt;COUNT(Dong6),"",OFFSET(TH!D$1,SMALL(Dong6,ROWS($1:14)),))</f>
        <v>TP/X03</v>
      </c>
      <c r="C24" s="872">
        <f ca="1">IF(ROWS($1:14)&gt;COUNT(Dong6),"",OFFSET(TH!E$1,SMALL(Dong6,ROWS($1:14)),))</f>
        <v>41004</v>
      </c>
      <c r="D24" s="874" t="str">
        <f ca="1">IF(ROWS($1:14)&gt;COUNT(Dong6),"",OFFSET(TH!F$1,SMALL(Dong6,ROWS($1:14)),))</f>
        <v>Thùng (51x38x14)</v>
      </c>
      <c r="E24" s="873">
        <f t="shared" ca="1" si="0"/>
        <v>14</v>
      </c>
      <c r="F24" s="875" t="str">
        <f ca="1">IF(ROWS($1:14)&gt;COUNT(Dong6),"",OFFSET(TH!L$1,SMALL(Dong6,ROWS($1:14)),))</f>
        <v>131</v>
      </c>
      <c r="G24" s="875" t="str">
        <f ca="1">IF(ROWS($1:14)&gt;COUNT(Dong6),"",OFFSET(TH!M$1,SMALL(Dong6,ROWS($1:14)),))</f>
        <v>5112</v>
      </c>
      <c r="H24" s="876">
        <f ca="1">IF(ROWS($1:14)&gt;COUNT(Dong6),"",OFFSET(TH!K$1,SMALL(Dong6,ROWS($1:14)),))</f>
        <v>16219200</v>
      </c>
      <c r="I24" s="876">
        <f ca="1">IF(ROWS($1:14)&gt;COUNT(Dong6),"",OFFSET(TH!K$1,SMALL(Dong6,ROWS($1:14)),))</f>
        <v>16219200</v>
      </c>
    </row>
    <row r="25" spans="1:9" ht="21.75" customHeight="1">
      <c r="A25" s="872">
        <f ca="1">IF(ROWS($1:15)&gt;COUNT(Dong6),"",OFFSET(TH!C$1,SMALL(Dong6,ROWS($1:15)),))</f>
        <v>41004</v>
      </c>
      <c r="B25" s="873" t="str">
        <f ca="1">IF(ROWS($1:15)&gt;COUNT(Dong6),"",OFFSET(TH!D$1,SMALL(Dong6,ROWS($1:15)),))</f>
        <v>TP/X03</v>
      </c>
      <c r="C25" s="872">
        <f ca="1">IF(ROWS($1:15)&gt;COUNT(Dong6),"",OFFSET(TH!E$1,SMALL(Dong6,ROWS($1:15)),))</f>
        <v>41004</v>
      </c>
      <c r="D25" s="874" t="str">
        <f ca="1">IF(ROWS($1:15)&gt;COUNT(Dong6),"",OFFSET(TH!F$1,SMALL(Dong6,ROWS($1:15)),))</f>
        <v>VAT thùng</v>
      </c>
      <c r="E25" s="873">
        <f t="shared" ca="1" si="0"/>
        <v>15</v>
      </c>
      <c r="F25" s="875" t="str">
        <f ca="1">IF(ROWS($1:15)&gt;COUNT(Dong6),"",OFFSET(TH!L$1,SMALL(Dong6,ROWS($1:15)),))</f>
        <v>131</v>
      </c>
      <c r="G25" s="875" t="str">
        <f ca="1">IF(ROWS($1:15)&gt;COUNT(Dong6),"",OFFSET(TH!M$1,SMALL(Dong6,ROWS($1:15)),))</f>
        <v>3331</v>
      </c>
      <c r="H25" s="876">
        <f ca="1">IF(ROWS($1:15)&gt;COUNT(Dong6),"",OFFSET(TH!K$1,SMALL(Dong6,ROWS($1:15)),))</f>
        <v>1621920</v>
      </c>
      <c r="I25" s="876">
        <f ca="1">IF(ROWS($1:15)&gt;COUNT(Dong6),"",OFFSET(TH!K$1,SMALL(Dong6,ROWS($1:15)),))</f>
        <v>1621920</v>
      </c>
    </row>
    <row r="26" spans="1:9" ht="21.75" customHeight="1">
      <c r="A26" s="872">
        <f ca="1">IF(ROWS($1:16)&gt;COUNT(Dong6),"",OFFSET(TH!C$1,SMALL(Dong6,ROWS($1:16)),))</f>
        <v>41008</v>
      </c>
      <c r="B26" s="873" t="str">
        <f ca="1">IF(ROWS($1:16)&gt;COUNT(Dong6),"",OFFSET(TH!D$1,SMALL(Dong6,ROWS($1:16)),))</f>
        <v>GBC</v>
      </c>
      <c r="C26" s="872">
        <f ca="1">IF(ROWS($1:16)&gt;COUNT(Dong6),"",OFFSET(TH!E$1,SMALL(Dong6,ROWS($1:16)),))</f>
        <v>41008</v>
      </c>
      <c r="D26" s="874" t="str">
        <f ca="1">IF(ROWS($1:16)&gt;COUNT(Dong6),"",OFFSET(TH!F$1,SMALL(Dong6,ROWS($1:16)),))</f>
        <v>Thu tiền hàng</v>
      </c>
      <c r="E26" s="873">
        <f t="shared" ca="1" si="0"/>
        <v>16</v>
      </c>
      <c r="F26" s="875" t="str">
        <f ca="1">IF(ROWS($1:16)&gt;COUNT(Dong6),"",OFFSET(TH!L$1,SMALL(Dong6,ROWS($1:16)),))</f>
        <v>1121</v>
      </c>
      <c r="G26" s="875" t="str">
        <f ca="1">IF(ROWS($1:16)&gt;COUNT(Dong6),"",OFFSET(TH!M$1,SMALL(Dong6,ROWS($1:16)),))</f>
        <v>131</v>
      </c>
      <c r="H26" s="876">
        <f ca="1">IF(ROWS($1:16)&gt;COUNT(Dong6),"",OFFSET(TH!K$1,SMALL(Dong6,ROWS($1:16)),))</f>
        <v>9004336</v>
      </c>
      <c r="I26" s="876">
        <f ca="1">IF(ROWS($1:16)&gt;COUNT(Dong6),"",OFFSET(TH!K$1,SMALL(Dong6,ROWS($1:16)),))</f>
        <v>9004336</v>
      </c>
    </row>
    <row r="27" spans="1:9" ht="21.75" customHeight="1">
      <c r="A27" s="872">
        <f ca="1">IF(ROWS($1:17)&gt;COUNT(Dong6),"",OFFSET(TH!C$1,SMALL(Dong6,ROWS($1:17)),))</f>
        <v>41009</v>
      </c>
      <c r="B27" s="873" t="str">
        <f ca="1">IF(ROWS($1:17)&gt;COUNT(Dong6),"",OFFSET(TH!D$1,SMALL(Dong6,ROWS($1:17)),))</f>
        <v>T04</v>
      </c>
      <c r="C27" s="872">
        <f ca="1">IF(ROWS($1:17)&gt;COUNT(Dong6),"",OFFSET(TH!E$1,SMALL(Dong6,ROWS($1:17)),))</f>
        <v>41009</v>
      </c>
      <c r="D27" s="874" t="str">
        <f ca="1">IF(ROWS($1:17)&gt;COUNT(Dong6),"",OFFSET(TH!F$1,SMALL(Dong6,ROWS($1:17)),))</f>
        <v>Chi Sec nhập quỹ tiền mặt</v>
      </c>
      <c r="E27" s="873">
        <f t="shared" ca="1" si="0"/>
        <v>17</v>
      </c>
      <c r="F27" s="875" t="str">
        <f ca="1">IF(ROWS($1:17)&gt;COUNT(Dong6),"",OFFSET(TH!L$1,SMALL(Dong6,ROWS($1:17)),))</f>
        <v>1111</v>
      </c>
      <c r="G27" s="875" t="str">
        <f ca="1">IF(ROWS($1:17)&gt;COUNT(Dong6),"",OFFSET(TH!M$1,SMALL(Dong6,ROWS($1:17)),))</f>
        <v>1121</v>
      </c>
      <c r="H27" s="876">
        <f ca="1">IF(ROWS($1:17)&gt;COUNT(Dong6),"",OFFSET(TH!K$1,SMALL(Dong6,ROWS($1:17)),))</f>
        <v>30000000</v>
      </c>
      <c r="I27" s="876">
        <f ca="1">IF(ROWS($1:17)&gt;COUNT(Dong6),"",OFFSET(TH!K$1,SMALL(Dong6,ROWS($1:17)),))</f>
        <v>30000000</v>
      </c>
    </row>
    <row r="28" spans="1:9" ht="21.75" customHeight="1">
      <c r="A28" s="872">
        <f ca="1">IF(ROWS($1:18)&gt;COUNT(Dong6),"",OFFSET(TH!C$1,SMALL(Dong6,ROWS($1:18)),))</f>
        <v>41009</v>
      </c>
      <c r="B28" s="873" t="str">
        <f ca="1">IF(ROWS($1:18)&gt;COUNT(Dong6),"",OFFSET(TH!D$1,SMALL(Dong6,ROWS($1:18)),))</f>
        <v>GBN</v>
      </c>
      <c r="C28" s="872">
        <f ca="1">IF(ROWS($1:18)&gt;COUNT(Dong6),"",OFFSET(TH!E$1,SMALL(Dong6,ROWS($1:18)),))</f>
        <v>41009</v>
      </c>
      <c r="D28" s="874" t="str">
        <f ca="1">IF(ROWS($1:18)&gt;COUNT(Dong6),"",OFFSET(TH!F$1,SMALL(Dong6,ROWS($1:18)),))</f>
        <v>Thanh toán tiền hàng</v>
      </c>
      <c r="E28" s="873">
        <f t="shared" ca="1" si="0"/>
        <v>18</v>
      </c>
      <c r="F28" s="875" t="str">
        <f ca="1">IF(ROWS($1:18)&gt;COUNT(Dong6),"",OFFSET(TH!L$1,SMALL(Dong6,ROWS($1:18)),))</f>
        <v>331</v>
      </c>
      <c r="G28" s="875" t="str">
        <f ca="1">IF(ROWS($1:18)&gt;COUNT(Dong6),"",OFFSET(TH!M$1,SMALL(Dong6,ROWS($1:18)),))</f>
        <v>1121</v>
      </c>
      <c r="H28" s="876">
        <f ca="1">IF(ROWS($1:18)&gt;COUNT(Dong6),"",OFFSET(TH!K$1,SMALL(Dong6,ROWS($1:18)),))</f>
        <v>35000000</v>
      </c>
      <c r="I28" s="876">
        <f ca="1">IF(ROWS($1:18)&gt;COUNT(Dong6),"",OFFSET(TH!K$1,SMALL(Dong6,ROWS($1:18)),))</f>
        <v>35000000</v>
      </c>
    </row>
    <row r="29" spans="1:9" ht="21.75" customHeight="1">
      <c r="A29" s="872">
        <f ca="1">IF(ROWS($1:19)&gt;COUNT(Dong6),"",OFFSET(TH!C$1,SMALL(Dong6,ROWS($1:19)),))</f>
        <v>41009</v>
      </c>
      <c r="B29" s="873" t="str">
        <f ca="1">IF(ROWS($1:19)&gt;COUNT(Dong6),"",OFFSET(TH!D$1,SMALL(Dong6,ROWS($1:19)),))</f>
        <v>GBN</v>
      </c>
      <c r="C29" s="872">
        <f ca="1">IF(ROWS($1:19)&gt;COUNT(Dong6),"",OFFSET(TH!E$1,SMALL(Dong6,ROWS($1:19)),))</f>
        <v>41009</v>
      </c>
      <c r="D29" s="874" t="str">
        <f ca="1">IF(ROWS($1:19)&gt;COUNT(Dong6),"",OFFSET(TH!F$1,SMALL(Dong6,ROWS($1:19)),))</f>
        <v>Phí chuyển tiền</v>
      </c>
      <c r="E29" s="873">
        <f t="shared" ca="1" si="0"/>
        <v>19</v>
      </c>
      <c r="F29" s="875" t="str">
        <f ca="1">IF(ROWS($1:19)&gt;COUNT(Dong6),"",OFFSET(TH!L$1,SMALL(Dong6,ROWS($1:19)),))</f>
        <v>642</v>
      </c>
      <c r="G29" s="875" t="str">
        <f ca="1">IF(ROWS($1:19)&gt;COUNT(Dong6),"",OFFSET(TH!M$1,SMALL(Dong6,ROWS($1:19)),))</f>
        <v>1121</v>
      </c>
      <c r="H29" s="876">
        <f ca="1">IF(ROWS($1:19)&gt;COUNT(Dong6),"",OFFSET(TH!K$1,SMALL(Dong6,ROWS($1:19)),))</f>
        <v>10000</v>
      </c>
      <c r="I29" s="876">
        <f ca="1">IF(ROWS($1:19)&gt;COUNT(Dong6),"",OFFSET(TH!K$1,SMALL(Dong6,ROWS($1:19)),))</f>
        <v>10000</v>
      </c>
    </row>
    <row r="30" spans="1:9" ht="21.75" customHeight="1">
      <c r="A30" s="872">
        <f ca="1">IF(ROWS($1:20)&gt;COUNT(Dong6),"",OFFSET(TH!C$1,SMALL(Dong6,ROWS($1:20)),))</f>
        <v>41009</v>
      </c>
      <c r="B30" s="873" t="str">
        <f ca="1">IF(ROWS($1:20)&gt;COUNT(Dong6),"",OFFSET(TH!D$1,SMALL(Dong6,ROWS($1:20)),))</f>
        <v>TP/X04</v>
      </c>
      <c r="C30" s="872">
        <f ca="1">IF(ROWS($1:20)&gt;COUNT(Dong6),"",OFFSET(TH!E$1,SMALL(Dong6,ROWS($1:20)),))</f>
        <v>41009</v>
      </c>
      <c r="D30" s="874" t="str">
        <f ca="1">IF(ROWS($1:20)&gt;COUNT(Dong6),"",OFFSET(TH!F$1,SMALL(Dong6,ROWS($1:20)),))</f>
        <v>Thùng (46,5x29,5x14)</v>
      </c>
      <c r="E30" s="873">
        <f t="shared" ca="1" si="0"/>
        <v>20</v>
      </c>
      <c r="F30" s="875" t="str">
        <f ca="1">IF(ROWS($1:20)&gt;COUNT(Dong6),"",OFFSET(TH!L$1,SMALL(Dong6,ROWS($1:20)),))</f>
        <v>131</v>
      </c>
      <c r="G30" s="875" t="str">
        <f ca="1">IF(ROWS($1:20)&gt;COUNT(Dong6),"",OFFSET(TH!M$1,SMALL(Dong6,ROWS($1:20)),))</f>
        <v>5112</v>
      </c>
      <c r="H30" s="876">
        <f ca="1">IF(ROWS($1:20)&gt;COUNT(Dong6),"",OFFSET(TH!K$1,SMALL(Dong6,ROWS($1:20)),))</f>
        <v>3360000</v>
      </c>
      <c r="I30" s="876">
        <f ca="1">IF(ROWS($1:20)&gt;COUNT(Dong6),"",OFFSET(TH!K$1,SMALL(Dong6,ROWS($1:20)),))</f>
        <v>3360000</v>
      </c>
    </row>
    <row r="31" spans="1:9" ht="21.75" customHeight="1">
      <c r="A31" s="872">
        <f ca="1">IF(ROWS($1:21)&gt;COUNT(Dong6),"",OFFSET(TH!C$1,SMALL(Dong6,ROWS($1:21)),))</f>
        <v>41009</v>
      </c>
      <c r="B31" s="873" t="str">
        <f ca="1">IF(ROWS($1:21)&gt;COUNT(Dong6),"",OFFSET(TH!D$1,SMALL(Dong6,ROWS($1:21)),))</f>
        <v>TP/X04</v>
      </c>
      <c r="C31" s="872">
        <f ca="1">IF(ROWS($1:21)&gt;COUNT(Dong6),"",OFFSET(TH!E$1,SMALL(Dong6,ROWS($1:21)),))</f>
        <v>41009</v>
      </c>
      <c r="D31" s="874" t="str">
        <f ca="1">IF(ROWS($1:21)&gt;COUNT(Dong6),"",OFFSET(TH!F$1,SMALL(Dong6,ROWS($1:21)),))</f>
        <v>Thùng (46,5x29,5x16)</v>
      </c>
      <c r="E31" s="873">
        <f t="shared" ca="1" si="0"/>
        <v>21</v>
      </c>
      <c r="F31" s="875" t="str">
        <f ca="1">IF(ROWS($1:21)&gt;COUNT(Dong6),"",OFFSET(TH!L$1,SMALL(Dong6,ROWS($1:21)),))</f>
        <v>131</v>
      </c>
      <c r="G31" s="875" t="str">
        <f ca="1">IF(ROWS($1:21)&gt;COUNT(Dong6),"",OFFSET(TH!M$1,SMALL(Dong6,ROWS($1:21)),))</f>
        <v>5112</v>
      </c>
      <c r="H31" s="876">
        <f ca="1">IF(ROWS($1:21)&gt;COUNT(Dong6),"",OFFSET(TH!K$1,SMALL(Dong6,ROWS($1:21)),))</f>
        <v>3444320</v>
      </c>
      <c r="I31" s="876">
        <f ca="1">IF(ROWS($1:21)&gt;COUNT(Dong6),"",OFFSET(TH!K$1,SMALL(Dong6,ROWS($1:21)),))</f>
        <v>3444320</v>
      </c>
    </row>
    <row r="32" spans="1:9" ht="21.75" customHeight="1">
      <c r="A32" s="872">
        <f ca="1">IF(ROWS($1:22)&gt;COUNT(Dong6),"",OFFSET(TH!C$1,SMALL(Dong6,ROWS($1:22)),))</f>
        <v>41009</v>
      </c>
      <c r="B32" s="873" t="str">
        <f ca="1">IF(ROWS($1:22)&gt;COUNT(Dong6),"",OFFSET(TH!D$1,SMALL(Dong6,ROWS($1:22)),))</f>
        <v>TP/X04</v>
      </c>
      <c r="C32" s="872">
        <f ca="1">IF(ROWS($1:22)&gt;COUNT(Dong6),"",OFFSET(TH!E$1,SMALL(Dong6,ROWS($1:22)),))</f>
        <v>41009</v>
      </c>
      <c r="D32" s="874" t="str">
        <f ca="1">IF(ROWS($1:22)&gt;COUNT(Dong6),"",OFFSET(TH!F$1,SMALL(Dong6,ROWS($1:22)),))</f>
        <v>VAT thùng</v>
      </c>
      <c r="E32" s="873">
        <f t="shared" ca="1" si="0"/>
        <v>22</v>
      </c>
      <c r="F32" s="875" t="str">
        <f ca="1">IF(ROWS($1:22)&gt;COUNT(Dong6),"",OFFSET(TH!L$1,SMALL(Dong6,ROWS($1:22)),))</f>
        <v>131</v>
      </c>
      <c r="G32" s="875" t="str">
        <f ca="1">IF(ROWS($1:22)&gt;COUNT(Dong6),"",OFFSET(TH!M$1,SMALL(Dong6,ROWS($1:22)),))</f>
        <v>3331</v>
      </c>
      <c r="H32" s="876">
        <f ca="1">IF(ROWS($1:22)&gt;COUNT(Dong6),"",OFFSET(TH!K$1,SMALL(Dong6,ROWS($1:22)),))</f>
        <v>680432</v>
      </c>
      <c r="I32" s="876">
        <f ca="1">IF(ROWS($1:22)&gt;COUNT(Dong6),"",OFFSET(TH!K$1,SMALL(Dong6,ROWS($1:22)),))</f>
        <v>680432</v>
      </c>
    </row>
    <row r="33" spans="1:9" ht="21.75" customHeight="1">
      <c r="A33" s="872">
        <f ca="1">IF(ROWS($1:23)&gt;COUNT(Dong6),"",OFFSET(TH!C$1,SMALL(Dong6,ROWS($1:23)),))</f>
        <v>41009</v>
      </c>
      <c r="B33" s="873" t="str">
        <f ca="1">IF(ROWS($1:23)&gt;COUNT(Dong6),"",OFFSET(TH!D$1,SMALL(Dong6,ROWS($1:23)),))</f>
        <v>T05</v>
      </c>
      <c r="C33" s="872">
        <f ca="1">IF(ROWS($1:23)&gt;COUNT(Dong6),"",OFFSET(TH!E$1,SMALL(Dong6,ROWS($1:23)),))</f>
        <v>41009</v>
      </c>
      <c r="D33" s="874" t="str">
        <f ca="1">IF(ROWS($1:23)&gt;COUNT(Dong6),"",OFFSET(TH!F$1,SMALL(Dong6,ROWS($1:23)),))</f>
        <v>Thu tiền hàng</v>
      </c>
      <c r="E33" s="873">
        <f t="shared" ca="1" si="0"/>
        <v>23</v>
      </c>
      <c r="F33" s="875" t="str">
        <f ca="1">IF(ROWS($1:23)&gt;COUNT(Dong6),"",OFFSET(TH!L$1,SMALL(Dong6,ROWS($1:23)),))</f>
        <v>1111</v>
      </c>
      <c r="G33" s="875" t="str">
        <f ca="1">IF(ROWS($1:23)&gt;COUNT(Dong6),"",OFFSET(TH!M$1,SMALL(Dong6,ROWS($1:23)),))</f>
        <v>131</v>
      </c>
      <c r="H33" s="876">
        <f ca="1">IF(ROWS($1:23)&gt;COUNT(Dong6),"",OFFSET(TH!K$1,SMALL(Dong6,ROWS($1:23)),))</f>
        <v>7484752</v>
      </c>
      <c r="I33" s="876">
        <f ca="1">IF(ROWS($1:23)&gt;COUNT(Dong6),"",OFFSET(TH!K$1,SMALL(Dong6,ROWS($1:23)),))</f>
        <v>7484752</v>
      </c>
    </row>
    <row r="34" spans="1:9" ht="21.75" customHeight="1">
      <c r="A34" s="872">
        <f ca="1">IF(ROWS($1:24)&gt;COUNT(Dong6),"",OFFSET(TH!C$1,SMALL(Dong6,ROWS($1:24)),))</f>
        <v>41009</v>
      </c>
      <c r="B34" s="873" t="str">
        <f ca="1">IF(ROWS($1:24)&gt;COUNT(Dong6),"",OFFSET(TH!D$1,SMALL(Dong6,ROWS($1:24)),))</f>
        <v>TP/X05</v>
      </c>
      <c r="C34" s="872">
        <f ca="1">IF(ROWS($1:24)&gt;COUNT(Dong6),"",OFFSET(TH!E$1,SMALL(Dong6,ROWS($1:24)),))</f>
        <v>41009</v>
      </c>
      <c r="D34" s="874" t="str">
        <f ca="1">IF(ROWS($1:24)&gt;COUNT(Dong6),"",OFFSET(TH!F$1,SMALL(Dong6,ROWS($1:24)),))</f>
        <v>Tấm lót (56x43)</v>
      </c>
      <c r="E34" s="873">
        <f t="shared" ca="1" si="0"/>
        <v>24</v>
      </c>
      <c r="F34" s="875" t="str">
        <f ca="1">IF(ROWS($1:24)&gt;COUNT(Dong6),"",OFFSET(TH!L$1,SMALL(Dong6,ROWS($1:24)),))</f>
        <v>131</v>
      </c>
      <c r="G34" s="875" t="str">
        <f ca="1">IF(ROWS($1:24)&gt;COUNT(Dong6),"",OFFSET(TH!M$1,SMALL(Dong6,ROWS($1:24)),))</f>
        <v>5112</v>
      </c>
      <c r="H34" s="876">
        <f ca="1">IF(ROWS($1:24)&gt;COUNT(Dong6),"",OFFSET(TH!K$1,SMALL(Dong6,ROWS($1:24)),))</f>
        <v>2000000</v>
      </c>
      <c r="I34" s="876">
        <f ca="1">IF(ROWS($1:24)&gt;COUNT(Dong6),"",OFFSET(TH!K$1,SMALL(Dong6,ROWS($1:24)),))</f>
        <v>2000000</v>
      </c>
    </row>
    <row r="35" spans="1:9" ht="21.75" customHeight="1">
      <c r="A35" s="872">
        <f ca="1">IF(ROWS($1:25)&gt;COUNT(Dong6),"",OFFSET(TH!C$1,SMALL(Dong6,ROWS($1:25)),))</f>
        <v>41009</v>
      </c>
      <c r="B35" s="873" t="str">
        <f ca="1">IF(ROWS($1:25)&gt;COUNT(Dong6),"",OFFSET(TH!D$1,SMALL(Dong6,ROWS($1:25)),))</f>
        <v>TP/X05</v>
      </c>
      <c r="C35" s="872">
        <f ca="1">IF(ROWS($1:25)&gt;COUNT(Dong6),"",OFFSET(TH!E$1,SMALL(Dong6,ROWS($1:25)),))</f>
        <v>41009</v>
      </c>
      <c r="D35" s="874" t="str">
        <f ca="1">IF(ROWS($1:25)&gt;COUNT(Dong6),"",OFFSET(TH!F$1,SMALL(Dong6,ROWS($1:25)),))</f>
        <v>Vĩ (56x15)</v>
      </c>
      <c r="E35" s="873">
        <f t="shared" ca="1" si="0"/>
        <v>25</v>
      </c>
      <c r="F35" s="875" t="str">
        <f ca="1">IF(ROWS($1:25)&gt;COUNT(Dong6),"",OFFSET(TH!L$1,SMALL(Dong6,ROWS($1:25)),))</f>
        <v>131</v>
      </c>
      <c r="G35" s="875" t="str">
        <f ca="1">IF(ROWS($1:25)&gt;COUNT(Dong6),"",OFFSET(TH!M$1,SMALL(Dong6,ROWS($1:25)),))</f>
        <v>5112</v>
      </c>
      <c r="H35" s="876">
        <f ca="1">IF(ROWS($1:25)&gt;COUNT(Dong6),"",OFFSET(TH!K$1,SMALL(Dong6,ROWS($1:25)),))</f>
        <v>1500000</v>
      </c>
      <c r="I35" s="876">
        <f ca="1">IF(ROWS($1:25)&gt;COUNT(Dong6),"",OFFSET(TH!K$1,SMALL(Dong6,ROWS($1:25)),))</f>
        <v>1500000</v>
      </c>
    </row>
    <row r="36" spans="1:9" ht="21.75" customHeight="1">
      <c r="A36" s="872">
        <f ca="1">IF(ROWS($1:26)&gt;COUNT(Dong6),"",OFFSET(TH!C$1,SMALL(Dong6,ROWS($1:26)),))</f>
        <v>41009</v>
      </c>
      <c r="B36" s="873" t="str">
        <f ca="1">IF(ROWS($1:26)&gt;COUNT(Dong6),"",OFFSET(TH!D$1,SMALL(Dong6,ROWS($1:26)),))</f>
        <v>TP/X05</v>
      </c>
      <c r="C36" s="872">
        <f ca="1">IF(ROWS($1:26)&gt;COUNT(Dong6),"",OFFSET(TH!E$1,SMALL(Dong6,ROWS($1:26)),))</f>
        <v>41009</v>
      </c>
      <c r="D36" s="874" t="str">
        <f ca="1">IF(ROWS($1:26)&gt;COUNT(Dong6),"",OFFSET(TH!F$1,SMALL(Dong6,ROWS($1:26)),))</f>
        <v>VAT thùng</v>
      </c>
      <c r="E36" s="873">
        <f t="shared" ca="1" si="0"/>
        <v>26</v>
      </c>
      <c r="F36" s="875" t="str">
        <f ca="1">IF(ROWS($1:26)&gt;COUNT(Dong6),"",OFFSET(TH!L$1,SMALL(Dong6,ROWS($1:26)),))</f>
        <v>131</v>
      </c>
      <c r="G36" s="875" t="str">
        <f ca="1">IF(ROWS($1:26)&gt;COUNT(Dong6),"",OFFSET(TH!M$1,SMALL(Dong6,ROWS($1:26)),))</f>
        <v>3331</v>
      </c>
      <c r="H36" s="876">
        <f ca="1">IF(ROWS($1:26)&gt;COUNT(Dong6),"",OFFSET(TH!K$1,SMALL(Dong6,ROWS($1:26)),))</f>
        <v>350000</v>
      </c>
      <c r="I36" s="876">
        <f ca="1">IF(ROWS($1:26)&gt;COUNT(Dong6),"",OFFSET(TH!K$1,SMALL(Dong6,ROWS($1:26)),))</f>
        <v>350000</v>
      </c>
    </row>
    <row r="37" spans="1:9" ht="21.75" customHeight="1">
      <c r="A37" s="872">
        <f ca="1">IF(ROWS($1:27)&gt;COUNT(Dong6),"",OFFSET(TH!C$1,SMALL(Dong6,ROWS($1:27)),))</f>
        <v>41010</v>
      </c>
      <c r="B37" s="873" t="str">
        <f ca="1">IF(ROWS($1:27)&gt;COUNT(Dong6),"",OFFSET(TH!D$1,SMALL(Dong6,ROWS($1:27)),))</f>
        <v>GBC</v>
      </c>
      <c r="C37" s="872">
        <f ca="1">IF(ROWS($1:27)&gt;COUNT(Dong6),"",OFFSET(TH!E$1,SMALL(Dong6,ROWS($1:27)),))</f>
        <v>41010</v>
      </c>
      <c r="D37" s="874" t="str">
        <f ca="1">IF(ROWS($1:27)&gt;COUNT(Dong6),"",OFFSET(TH!F$1,SMALL(Dong6,ROWS($1:27)),))</f>
        <v>Thu tiền hàng</v>
      </c>
      <c r="E37" s="873">
        <f t="shared" ca="1" si="0"/>
        <v>27</v>
      </c>
      <c r="F37" s="875" t="str">
        <f ca="1">IF(ROWS($1:27)&gt;COUNT(Dong6),"",OFFSET(TH!L$1,SMALL(Dong6,ROWS($1:27)),))</f>
        <v>1121</v>
      </c>
      <c r="G37" s="875" t="str">
        <f ca="1">IF(ROWS($1:27)&gt;COUNT(Dong6),"",OFFSET(TH!M$1,SMALL(Dong6,ROWS($1:27)),))</f>
        <v>131</v>
      </c>
      <c r="H37" s="876">
        <f ca="1">IF(ROWS($1:27)&gt;COUNT(Dong6),"",OFFSET(TH!K$1,SMALL(Dong6,ROWS($1:27)),))</f>
        <v>25000000</v>
      </c>
      <c r="I37" s="876">
        <f ca="1">IF(ROWS($1:27)&gt;COUNT(Dong6),"",OFFSET(TH!K$1,SMALL(Dong6,ROWS($1:27)),))</f>
        <v>25000000</v>
      </c>
    </row>
    <row r="38" spans="1:9" ht="21.75" customHeight="1">
      <c r="A38" s="872">
        <f ca="1">IF(ROWS($1:28)&gt;COUNT(Dong6),"",OFFSET(TH!C$1,SMALL(Dong6,ROWS($1:28)),))</f>
        <v>41010</v>
      </c>
      <c r="B38" s="873" t="str">
        <f ca="1">IF(ROWS($1:28)&gt;COUNT(Dong6),"",OFFSET(TH!D$1,SMALL(Dong6,ROWS($1:28)),))</f>
        <v>TP/X06</v>
      </c>
      <c r="C38" s="872">
        <f ca="1">IF(ROWS($1:28)&gt;COUNT(Dong6),"",OFFSET(TH!E$1,SMALL(Dong6,ROWS($1:28)),))</f>
        <v>41010</v>
      </c>
      <c r="D38" s="874" t="str">
        <f ca="1">IF(ROWS($1:28)&gt;COUNT(Dong6),"",OFFSET(TH!F$1,SMALL(Dong6,ROWS($1:28)),))</f>
        <v>Thùng carton  PO</v>
      </c>
      <c r="E38" s="873">
        <f t="shared" ca="1" si="0"/>
        <v>28</v>
      </c>
      <c r="F38" s="875" t="str">
        <f ca="1">IF(ROWS($1:28)&gt;COUNT(Dong6),"",OFFSET(TH!L$1,SMALL(Dong6,ROWS($1:28)),))</f>
        <v>131</v>
      </c>
      <c r="G38" s="875" t="str">
        <f ca="1">IF(ROWS($1:28)&gt;COUNT(Dong6),"",OFFSET(TH!M$1,SMALL(Dong6,ROWS($1:28)),))</f>
        <v>5112</v>
      </c>
      <c r="H38" s="876">
        <f ca="1">IF(ROWS($1:28)&gt;COUNT(Dong6),"",OFFSET(TH!K$1,SMALL(Dong6,ROWS($1:28)),))</f>
        <v>1477980</v>
      </c>
      <c r="I38" s="876">
        <f ca="1">IF(ROWS($1:28)&gt;COUNT(Dong6),"",OFFSET(TH!K$1,SMALL(Dong6,ROWS($1:28)),))</f>
        <v>1477980</v>
      </c>
    </row>
    <row r="39" spans="1:9" ht="21.75" customHeight="1">
      <c r="A39" s="872">
        <f ca="1">IF(ROWS($1:29)&gt;COUNT(Dong6),"",OFFSET(TH!C$1,SMALL(Dong6,ROWS($1:29)),))</f>
        <v>41010</v>
      </c>
      <c r="B39" s="873" t="str">
        <f ca="1">IF(ROWS($1:29)&gt;COUNT(Dong6),"",OFFSET(TH!D$1,SMALL(Dong6,ROWS($1:29)),))</f>
        <v>TP/X06</v>
      </c>
      <c r="C39" s="872">
        <f ca="1">IF(ROWS($1:29)&gt;COUNT(Dong6),"",OFFSET(TH!E$1,SMALL(Dong6,ROWS($1:29)),))</f>
        <v>41010</v>
      </c>
      <c r="D39" s="874" t="str">
        <f ca="1">IF(ROWS($1:29)&gt;COUNT(Dong6),"",OFFSET(TH!F$1,SMALL(Dong6,ROWS($1:29)),))</f>
        <v>VAT Thùng carton  PO</v>
      </c>
      <c r="E39" s="873">
        <f t="shared" ca="1" si="0"/>
        <v>29</v>
      </c>
      <c r="F39" s="875" t="str">
        <f ca="1">IF(ROWS($1:29)&gt;COUNT(Dong6),"",OFFSET(TH!L$1,SMALL(Dong6,ROWS($1:29)),))</f>
        <v>131</v>
      </c>
      <c r="G39" s="875" t="str">
        <f ca="1">IF(ROWS($1:29)&gt;COUNT(Dong6),"",OFFSET(TH!M$1,SMALL(Dong6,ROWS($1:29)),))</f>
        <v>3331</v>
      </c>
      <c r="H39" s="876">
        <f ca="1">IF(ROWS($1:29)&gt;COUNT(Dong6),"",OFFSET(TH!K$1,SMALL(Dong6,ROWS($1:29)),))</f>
        <v>147798</v>
      </c>
      <c r="I39" s="876">
        <f ca="1">IF(ROWS($1:29)&gt;COUNT(Dong6),"",OFFSET(TH!K$1,SMALL(Dong6,ROWS($1:29)),))</f>
        <v>147798</v>
      </c>
    </row>
    <row r="40" spans="1:9" ht="21.75" customHeight="1">
      <c r="A40" s="872">
        <f ca="1">IF(ROWS($1:30)&gt;COUNT(Dong6),"",OFFSET(TH!C$1,SMALL(Dong6,ROWS($1:30)),))</f>
        <v>41010</v>
      </c>
      <c r="B40" s="873" t="str">
        <f ca="1">IF(ROWS($1:30)&gt;COUNT(Dong6),"",OFFSET(TH!D$1,SMALL(Dong6,ROWS($1:30)),))</f>
        <v>T06</v>
      </c>
      <c r="C40" s="872">
        <f ca="1">IF(ROWS($1:30)&gt;COUNT(Dong6),"",OFFSET(TH!E$1,SMALL(Dong6,ROWS($1:30)),))</f>
        <v>41010</v>
      </c>
      <c r="D40" s="874" t="str">
        <f ca="1">IF(ROWS($1:30)&gt;COUNT(Dong6),"",OFFSET(TH!F$1,SMALL(Dong6,ROWS($1:30)),))</f>
        <v>Thu tiền hàng</v>
      </c>
      <c r="E40" s="873">
        <f t="shared" ca="1" si="0"/>
        <v>30</v>
      </c>
      <c r="F40" s="875" t="str">
        <f ca="1">IF(ROWS($1:30)&gt;COUNT(Dong6),"",OFFSET(TH!L$1,SMALL(Dong6,ROWS($1:30)),))</f>
        <v>1111</v>
      </c>
      <c r="G40" s="875" t="str">
        <f ca="1">IF(ROWS($1:30)&gt;COUNT(Dong6),"",OFFSET(TH!M$1,SMALL(Dong6,ROWS($1:30)),))</f>
        <v>131</v>
      </c>
      <c r="H40" s="876">
        <f ca="1">IF(ROWS($1:30)&gt;COUNT(Dong6),"",OFFSET(TH!K$1,SMALL(Dong6,ROWS($1:30)),))</f>
        <v>1625778</v>
      </c>
      <c r="I40" s="876">
        <f ca="1">IF(ROWS($1:30)&gt;COUNT(Dong6),"",OFFSET(TH!K$1,SMALL(Dong6,ROWS($1:30)),))</f>
        <v>1625778</v>
      </c>
    </row>
    <row r="41" spans="1:9" ht="21.75" customHeight="1">
      <c r="A41" s="872">
        <f ca="1">IF(ROWS($1:31)&gt;COUNT(Dong6),"",OFFSET(TH!C$1,SMALL(Dong6,ROWS($1:31)),))</f>
        <v>41012</v>
      </c>
      <c r="B41" s="873" t="str">
        <f ca="1">IF(ROWS($1:31)&gt;COUNT(Dong6),"",OFFSET(TH!D$1,SMALL(Dong6,ROWS($1:31)),))</f>
        <v>GBN</v>
      </c>
      <c r="C41" s="872">
        <f ca="1">IF(ROWS($1:31)&gt;COUNT(Dong6),"",OFFSET(TH!E$1,SMALL(Dong6,ROWS($1:31)),))</f>
        <v>41012</v>
      </c>
      <c r="D41" s="874" t="str">
        <f ca="1">IF(ROWS($1:31)&gt;COUNT(Dong6),"",OFFSET(TH!F$1,SMALL(Dong6,ROWS($1:31)),))</f>
        <v>Thanh toán tiền hàng</v>
      </c>
      <c r="E41" s="873">
        <f t="shared" ca="1" si="0"/>
        <v>31</v>
      </c>
      <c r="F41" s="875" t="str">
        <f ca="1">IF(ROWS($1:31)&gt;COUNT(Dong6),"",OFFSET(TH!L$1,SMALL(Dong6,ROWS($1:31)),))</f>
        <v>331</v>
      </c>
      <c r="G41" s="875" t="str">
        <f ca="1">IF(ROWS($1:31)&gt;COUNT(Dong6),"",OFFSET(TH!M$1,SMALL(Dong6,ROWS($1:31)),))</f>
        <v>1121</v>
      </c>
      <c r="H41" s="876">
        <f ca="1">IF(ROWS($1:31)&gt;COUNT(Dong6),"",OFFSET(TH!K$1,SMALL(Dong6,ROWS($1:31)),))</f>
        <v>26477546</v>
      </c>
      <c r="I41" s="876">
        <f ca="1">IF(ROWS($1:31)&gt;COUNT(Dong6),"",OFFSET(TH!K$1,SMALL(Dong6,ROWS($1:31)),))</f>
        <v>26477546</v>
      </c>
    </row>
    <row r="42" spans="1:9" ht="21.75" customHeight="1">
      <c r="A42" s="872">
        <f ca="1">IF(ROWS($1:32)&gt;COUNT(Dong6),"",OFFSET(TH!C$1,SMALL(Dong6,ROWS($1:32)),))</f>
        <v>41012</v>
      </c>
      <c r="B42" s="873" t="str">
        <f ca="1">IF(ROWS($1:32)&gt;COUNT(Dong6),"",OFFSET(TH!D$1,SMALL(Dong6,ROWS($1:32)),))</f>
        <v>GBN</v>
      </c>
      <c r="C42" s="872">
        <f ca="1">IF(ROWS($1:32)&gt;COUNT(Dong6),"",OFFSET(TH!E$1,SMALL(Dong6,ROWS($1:32)),))</f>
        <v>41012</v>
      </c>
      <c r="D42" s="874" t="str">
        <f ca="1">IF(ROWS($1:32)&gt;COUNT(Dong6),"",OFFSET(TH!F$1,SMALL(Dong6,ROWS($1:32)),))</f>
        <v>Phí chuyển tiền</v>
      </c>
      <c r="E42" s="873">
        <f t="shared" ca="1" si="0"/>
        <v>32</v>
      </c>
      <c r="F42" s="875" t="str">
        <f ca="1">IF(ROWS($1:32)&gt;COUNT(Dong6),"",OFFSET(TH!L$1,SMALL(Dong6,ROWS($1:32)),))</f>
        <v>642</v>
      </c>
      <c r="G42" s="875" t="str">
        <f ca="1">IF(ROWS($1:32)&gt;COUNT(Dong6),"",OFFSET(TH!M$1,SMALL(Dong6,ROWS($1:32)),))</f>
        <v>1121</v>
      </c>
      <c r="H42" s="876">
        <f ca="1">IF(ROWS($1:32)&gt;COUNT(Dong6),"",OFFSET(TH!K$1,SMALL(Dong6,ROWS($1:32)),))</f>
        <v>20000</v>
      </c>
      <c r="I42" s="876">
        <f ca="1">IF(ROWS($1:32)&gt;COUNT(Dong6),"",OFFSET(TH!K$1,SMALL(Dong6,ROWS($1:32)),))</f>
        <v>20000</v>
      </c>
    </row>
    <row r="43" spans="1:9" ht="21.75" customHeight="1">
      <c r="A43" s="872">
        <f ca="1">IF(ROWS($1:33)&gt;COUNT(Dong6),"",OFFSET(TH!C$1,SMALL(Dong6,ROWS($1:33)),))</f>
        <v>41012</v>
      </c>
      <c r="B43" s="873" t="str">
        <f ca="1">IF(ROWS($1:33)&gt;COUNT(Dong6),"",OFFSET(TH!D$1,SMALL(Dong6,ROWS($1:33)),))</f>
        <v>NL/N01</v>
      </c>
      <c r="C43" s="872">
        <f ca="1">IF(ROWS($1:33)&gt;COUNT(Dong6),"",OFFSET(TH!E$1,SMALL(Dong6,ROWS($1:33)),))</f>
        <v>41012</v>
      </c>
      <c r="D43" s="874" t="str">
        <f ca="1">IF(ROWS($1:33)&gt;COUNT(Dong6),"",OFFSET(TH!F$1,SMALL(Dong6,ROWS($1:33)),))</f>
        <v>Giấy tấm 3 lớp (162x110)</v>
      </c>
      <c r="E43" s="873">
        <f t="shared" ca="1" si="0"/>
        <v>33</v>
      </c>
      <c r="F43" s="875" t="str">
        <f ca="1">IF(ROWS($1:33)&gt;COUNT(Dong6),"",OFFSET(TH!L$1,SMALL(Dong6,ROWS($1:33)),))</f>
        <v>1521</v>
      </c>
      <c r="G43" s="875" t="str">
        <f ca="1">IF(ROWS($1:33)&gt;COUNT(Dong6),"",OFFSET(TH!M$1,SMALL(Dong6,ROWS($1:33)),))</f>
        <v>331</v>
      </c>
      <c r="H43" s="876">
        <f ca="1">IF(ROWS($1:33)&gt;COUNT(Dong6),"",OFFSET(TH!K$1,SMALL(Dong6,ROWS($1:33)),))</f>
        <v>3104140</v>
      </c>
      <c r="I43" s="876">
        <f ca="1">IF(ROWS($1:33)&gt;COUNT(Dong6),"",OFFSET(TH!K$1,SMALL(Dong6,ROWS($1:33)),))</f>
        <v>3104140</v>
      </c>
    </row>
    <row r="44" spans="1:9" ht="21.75" customHeight="1">
      <c r="A44" s="872">
        <f ca="1">IF(ROWS($1:34)&gt;COUNT(Dong6),"",OFFSET(TH!C$1,SMALL(Dong6,ROWS($1:34)),))</f>
        <v>41012</v>
      </c>
      <c r="B44" s="873" t="str">
        <f ca="1">IF(ROWS($1:34)&gt;COUNT(Dong6),"",OFFSET(TH!D$1,SMALL(Dong6,ROWS($1:34)),))</f>
        <v>NL/N01</v>
      </c>
      <c r="C44" s="872">
        <f ca="1">IF(ROWS($1:34)&gt;COUNT(Dong6),"",OFFSET(TH!E$1,SMALL(Dong6,ROWS($1:34)),))</f>
        <v>41012</v>
      </c>
      <c r="D44" s="874" t="str">
        <f ca="1">IF(ROWS($1:34)&gt;COUNT(Dong6),"",OFFSET(TH!F$1,SMALL(Dong6,ROWS($1:34)),))</f>
        <v>Giấy tấm 3 lớp (171x115)</v>
      </c>
      <c r="E44" s="873">
        <f t="shared" ca="1" si="0"/>
        <v>34</v>
      </c>
      <c r="F44" s="875" t="str">
        <f ca="1">IF(ROWS($1:34)&gt;COUNT(Dong6),"",OFFSET(TH!L$1,SMALL(Dong6,ROWS($1:34)),))</f>
        <v>1521</v>
      </c>
      <c r="G44" s="875" t="str">
        <f ca="1">IF(ROWS($1:34)&gt;COUNT(Dong6),"",OFFSET(TH!M$1,SMALL(Dong6,ROWS($1:34)),))</f>
        <v>331</v>
      </c>
      <c r="H44" s="876">
        <f ca="1">IF(ROWS($1:34)&gt;COUNT(Dong6),"",OFFSET(TH!K$1,SMALL(Dong6,ROWS($1:34)),))</f>
        <v>4479840</v>
      </c>
      <c r="I44" s="876">
        <f ca="1">IF(ROWS($1:34)&gt;COUNT(Dong6),"",OFFSET(TH!K$1,SMALL(Dong6,ROWS($1:34)),))</f>
        <v>4479840</v>
      </c>
    </row>
    <row r="45" spans="1:9" ht="21.75" customHeight="1">
      <c r="A45" s="872">
        <f ca="1">IF(ROWS($1:35)&gt;COUNT(Dong6),"",OFFSET(TH!C$1,SMALL(Dong6,ROWS($1:35)),))</f>
        <v>41012</v>
      </c>
      <c r="B45" s="873" t="str">
        <f ca="1">IF(ROWS($1:35)&gt;COUNT(Dong6),"",OFFSET(TH!D$1,SMALL(Dong6,ROWS($1:35)),))</f>
        <v>NL/N01</v>
      </c>
      <c r="C45" s="872">
        <f ca="1">IF(ROWS($1:35)&gt;COUNT(Dong6),"",OFFSET(TH!E$1,SMALL(Dong6,ROWS($1:35)),))</f>
        <v>41012</v>
      </c>
      <c r="D45" s="874" t="str">
        <f ca="1">IF(ROWS($1:35)&gt;COUNT(Dong6),"",OFFSET(TH!F$1,SMALL(Dong6,ROWS($1:35)),))</f>
        <v>Giấy tấm 3 lớp (175x125)</v>
      </c>
      <c r="E45" s="873">
        <f t="shared" ca="1" si="0"/>
        <v>35</v>
      </c>
      <c r="F45" s="875" t="str">
        <f ca="1">IF(ROWS($1:35)&gt;COUNT(Dong6),"",OFFSET(TH!L$1,SMALL(Dong6,ROWS($1:35)),))</f>
        <v>1521</v>
      </c>
      <c r="G45" s="875" t="str">
        <f ca="1">IF(ROWS($1:35)&gt;COUNT(Dong6),"",OFFSET(TH!M$1,SMALL(Dong6,ROWS($1:35)),))</f>
        <v>331</v>
      </c>
      <c r="H45" s="876">
        <f ca="1">IF(ROWS($1:35)&gt;COUNT(Dong6),"",OFFSET(TH!K$1,SMALL(Dong6,ROWS($1:35)),))</f>
        <v>7621120</v>
      </c>
      <c r="I45" s="876">
        <f ca="1">IF(ROWS($1:35)&gt;COUNT(Dong6),"",OFFSET(TH!K$1,SMALL(Dong6,ROWS($1:35)),))</f>
        <v>7621120</v>
      </c>
    </row>
    <row r="46" spans="1:9" ht="21.75" customHeight="1">
      <c r="A46" s="872">
        <f ca="1">IF(ROWS($1:36)&gt;COUNT(Dong6),"",OFFSET(TH!C$1,SMALL(Dong6,ROWS($1:36)),))</f>
        <v>41012</v>
      </c>
      <c r="B46" s="873" t="str">
        <f ca="1">IF(ROWS($1:36)&gt;COUNT(Dong6),"",OFFSET(TH!D$1,SMALL(Dong6,ROWS($1:36)),))</f>
        <v>NL/N01</v>
      </c>
      <c r="C46" s="872">
        <f ca="1">IF(ROWS($1:36)&gt;COUNT(Dong6),"",OFFSET(TH!E$1,SMALL(Dong6,ROWS($1:36)),))</f>
        <v>41012</v>
      </c>
      <c r="D46" s="874" t="str">
        <f ca="1">IF(ROWS($1:36)&gt;COUNT(Dong6),"",OFFSET(TH!F$1,SMALL(Dong6,ROWS($1:36)),))</f>
        <v>Giấy tấm 3 lớp (181x125)</v>
      </c>
      <c r="E46" s="873">
        <f t="shared" ca="1" si="0"/>
        <v>36</v>
      </c>
      <c r="F46" s="875" t="str">
        <f ca="1">IF(ROWS($1:36)&gt;COUNT(Dong6),"",OFFSET(TH!L$1,SMALL(Dong6,ROWS($1:36)),))</f>
        <v>1521</v>
      </c>
      <c r="G46" s="875" t="str">
        <f ca="1">IF(ROWS($1:36)&gt;COUNT(Dong6),"",OFFSET(TH!M$1,SMALL(Dong6,ROWS($1:36)),))</f>
        <v>331</v>
      </c>
      <c r="H46" s="876">
        <f ca="1">IF(ROWS($1:36)&gt;COUNT(Dong6),"",OFFSET(TH!K$1,SMALL(Dong6,ROWS($1:36)),))</f>
        <v>1515900</v>
      </c>
      <c r="I46" s="876">
        <f ca="1">IF(ROWS($1:36)&gt;COUNT(Dong6),"",OFFSET(TH!K$1,SMALL(Dong6,ROWS($1:36)),))</f>
        <v>1515900</v>
      </c>
    </row>
    <row r="47" spans="1:9" ht="21.75" customHeight="1">
      <c r="A47" s="872">
        <f ca="1">IF(ROWS($1:37)&gt;COUNT(Dong6),"",OFFSET(TH!C$1,SMALL(Dong6,ROWS($1:37)),))</f>
        <v>41012</v>
      </c>
      <c r="B47" s="873" t="str">
        <f ca="1">IF(ROWS($1:37)&gt;COUNT(Dong6),"",OFFSET(TH!D$1,SMALL(Dong6,ROWS($1:37)),))</f>
        <v>NL/N01</v>
      </c>
      <c r="C47" s="872">
        <f ca="1">IF(ROWS($1:37)&gt;COUNT(Dong6),"",OFFSET(TH!E$1,SMALL(Dong6,ROWS($1:37)),))</f>
        <v>41012</v>
      </c>
      <c r="D47" s="874" t="str">
        <f ca="1">IF(ROWS($1:37)&gt;COUNT(Dong6),"",OFFSET(TH!F$1,SMALL(Dong6,ROWS($1:37)),))</f>
        <v>Giấy tấm 3 lớp (205x145)</v>
      </c>
      <c r="E47" s="873">
        <f t="shared" ca="1" si="0"/>
        <v>37</v>
      </c>
      <c r="F47" s="875" t="str">
        <f ca="1">IF(ROWS($1:37)&gt;COUNT(Dong6),"",OFFSET(TH!L$1,SMALL(Dong6,ROWS($1:37)),))</f>
        <v>1521</v>
      </c>
      <c r="G47" s="875" t="str">
        <f ca="1">IF(ROWS($1:37)&gt;COUNT(Dong6),"",OFFSET(TH!M$1,SMALL(Dong6,ROWS($1:37)),))</f>
        <v>331</v>
      </c>
      <c r="H47" s="876">
        <f ca="1">IF(ROWS($1:37)&gt;COUNT(Dong6),"",OFFSET(TH!K$1,SMALL(Dong6,ROWS($1:37)),))</f>
        <v>25014496</v>
      </c>
      <c r="I47" s="876">
        <f ca="1">IF(ROWS($1:37)&gt;COUNT(Dong6),"",OFFSET(TH!K$1,SMALL(Dong6,ROWS($1:37)),))</f>
        <v>25014496</v>
      </c>
    </row>
    <row r="48" spans="1:9" ht="21.75" customHeight="1">
      <c r="A48" s="872">
        <f ca="1">IF(ROWS($1:38)&gt;COUNT(Dong6),"",OFFSET(TH!C$1,SMALL(Dong6,ROWS($1:38)),))</f>
        <v>41012</v>
      </c>
      <c r="B48" s="873" t="str">
        <f ca="1">IF(ROWS($1:38)&gt;COUNT(Dong6),"",OFFSET(TH!D$1,SMALL(Dong6,ROWS($1:38)),))</f>
        <v>NL/N01</v>
      </c>
      <c r="C48" s="872">
        <f ca="1">IF(ROWS($1:38)&gt;COUNT(Dong6),"",OFFSET(TH!E$1,SMALL(Dong6,ROWS($1:38)),))</f>
        <v>41012</v>
      </c>
      <c r="D48" s="874" t="str">
        <f ca="1">IF(ROWS($1:38)&gt;COUNT(Dong6),"",OFFSET(TH!F$1,SMALL(Dong6,ROWS($1:38)),))</f>
        <v>Giấy tấm 3 lớp (225x145)</v>
      </c>
      <c r="E48" s="873">
        <f t="shared" ca="1" si="0"/>
        <v>38</v>
      </c>
      <c r="F48" s="875" t="str">
        <f ca="1">IF(ROWS($1:38)&gt;COUNT(Dong6),"",OFFSET(TH!L$1,SMALL(Dong6,ROWS($1:38)),))</f>
        <v>1521</v>
      </c>
      <c r="G48" s="875" t="str">
        <f ca="1">IF(ROWS($1:38)&gt;COUNT(Dong6),"",OFFSET(TH!M$1,SMALL(Dong6,ROWS($1:38)),))</f>
        <v>331</v>
      </c>
      <c r="H48" s="876">
        <f ca="1">IF(ROWS($1:38)&gt;COUNT(Dong6),"",OFFSET(TH!K$1,SMALL(Dong6,ROWS($1:38)),))</f>
        <v>3497440</v>
      </c>
      <c r="I48" s="876">
        <f ca="1">IF(ROWS($1:38)&gt;COUNT(Dong6),"",OFFSET(TH!K$1,SMALL(Dong6,ROWS($1:38)),))</f>
        <v>3497440</v>
      </c>
    </row>
    <row r="49" spans="1:10" ht="21.75" customHeight="1">
      <c r="A49" s="872">
        <f ca="1">IF(ROWS($1:39)&gt;COUNT(Dong6),"",OFFSET(TH!C$1,SMALL(Dong6,ROWS($1:39)),))</f>
        <v>41012</v>
      </c>
      <c r="B49" s="873" t="str">
        <f ca="1">IF(ROWS($1:39)&gt;COUNT(Dong6),"",OFFSET(TH!D$1,SMALL(Dong6,ROWS($1:39)),))</f>
        <v>NL/N01</v>
      </c>
      <c r="C49" s="872">
        <f ca="1">IF(ROWS($1:39)&gt;COUNT(Dong6),"",OFFSET(TH!E$1,SMALL(Dong6,ROWS($1:39)),))</f>
        <v>41012</v>
      </c>
      <c r="D49" s="874" t="str">
        <f ca="1">IF(ROWS($1:39)&gt;COUNT(Dong6),"",OFFSET(TH!F$1,SMALL(Dong6,ROWS($1:39)),))</f>
        <v>Giấy tấm 3 lớp (197x145)</v>
      </c>
      <c r="E49" s="873">
        <f t="shared" ca="1" si="0"/>
        <v>39</v>
      </c>
      <c r="F49" s="875" t="str">
        <f ca="1">IF(ROWS($1:39)&gt;COUNT(Dong6),"",OFFSET(TH!L$1,SMALL(Dong6,ROWS($1:39)),))</f>
        <v>1521</v>
      </c>
      <c r="G49" s="875" t="str">
        <f ca="1">IF(ROWS($1:39)&gt;COUNT(Dong6),"",OFFSET(TH!M$1,SMALL(Dong6,ROWS($1:39)),))</f>
        <v>331</v>
      </c>
      <c r="H49" s="876">
        <f ca="1">IF(ROWS($1:39)&gt;COUNT(Dong6),"",OFFSET(TH!K$1,SMALL(Dong6,ROWS($1:39)),))</f>
        <v>22966800</v>
      </c>
      <c r="I49" s="876">
        <f ca="1">IF(ROWS($1:39)&gt;COUNT(Dong6),"",OFFSET(TH!K$1,SMALL(Dong6,ROWS($1:39)),))</f>
        <v>22966800</v>
      </c>
    </row>
    <row r="50" spans="1:10" ht="21.75" customHeight="1">
      <c r="A50" s="872">
        <f ca="1">IF(ROWS($1:40)&gt;COUNT(Dong6),"",OFFSET(TH!C$1,SMALL(Dong6,ROWS($1:40)),))</f>
        <v>41012</v>
      </c>
      <c r="B50" s="873" t="str">
        <f ca="1">IF(ROWS($1:40)&gt;COUNT(Dong6),"",OFFSET(TH!D$1,SMALL(Dong6,ROWS($1:40)),))</f>
        <v>NL/N01</v>
      </c>
      <c r="C50" s="872">
        <f ca="1">IF(ROWS($1:40)&gt;COUNT(Dong6),"",OFFSET(TH!E$1,SMALL(Dong6,ROWS($1:40)),))</f>
        <v>41012</v>
      </c>
      <c r="D50" s="874" t="str">
        <f ca="1">IF(ROWS($1:40)&gt;COUNT(Dong6),"",OFFSET(TH!F$1,SMALL(Dong6,ROWS($1:40)),))</f>
        <v>Giấy tấm 3 lớp (217x160)</v>
      </c>
      <c r="E50" s="873">
        <f t="shared" ca="1" si="0"/>
        <v>40</v>
      </c>
      <c r="F50" s="875" t="str">
        <f ca="1">IF(ROWS($1:40)&gt;COUNT(Dong6),"",OFFSET(TH!L$1,SMALL(Dong6,ROWS($1:40)),))</f>
        <v>1521</v>
      </c>
      <c r="G50" s="875" t="str">
        <f ca="1">IF(ROWS($1:40)&gt;COUNT(Dong6),"",OFFSET(TH!M$1,SMALL(Dong6,ROWS($1:40)),))</f>
        <v>331</v>
      </c>
      <c r="H50" s="876">
        <f ca="1">IF(ROWS($1:40)&gt;COUNT(Dong6),"",OFFSET(TH!K$1,SMALL(Dong6,ROWS($1:40)),))</f>
        <v>2791440</v>
      </c>
      <c r="I50" s="876">
        <f ca="1">IF(ROWS($1:40)&gt;COUNT(Dong6),"",OFFSET(TH!K$1,SMALL(Dong6,ROWS($1:40)),))</f>
        <v>2791440</v>
      </c>
    </row>
    <row r="51" spans="1:10" ht="21.75" customHeight="1">
      <c r="A51" s="877"/>
      <c r="B51" s="877"/>
      <c r="C51" s="877"/>
      <c r="D51" s="877"/>
      <c r="E51" s="878" t="str">
        <f t="shared" si="0"/>
        <v/>
      </c>
      <c r="F51" s="877"/>
      <c r="G51" s="877"/>
      <c r="H51" s="879"/>
      <c r="I51" s="879"/>
    </row>
    <row r="52" spans="1:10" ht="21.75" customHeight="1">
      <c r="A52" s="880"/>
      <c r="B52" s="880"/>
      <c r="C52" s="880"/>
      <c r="D52" s="881" t="s">
        <v>390</v>
      </c>
      <c r="E52" s="882" t="s">
        <v>19</v>
      </c>
      <c r="F52" s="882"/>
      <c r="G52" s="882" t="s">
        <v>19</v>
      </c>
      <c r="H52" s="883">
        <f ca="1">SUBTOTAL(9,$H$10:$H$51)</f>
        <v>8908501668</v>
      </c>
      <c r="I52" s="883">
        <f ca="1">SUBTOTAL(9,I10:I51)</f>
        <v>8908501668</v>
      </c>
    </row>
    <row r="53" spans="1:10">
      <c r="A53" s="884" t="s">
        <v>385</v>
      </c>
    </row>
    <row r="54" spans="1:10">
      <c r="A54" s="884" t="str">
        <f ca="1">"- Ngày mở sổ: "&amp;DAY($A$11)&amp;"/"&amp;MONTH($A$11)&amp;"/ " &amp;YEAR($A$11)</f>
        <v>- Ngày mở sổ: 1/4/ 2012</v>
      </c>
    </row>
    <row r="56" spans="1:10">
      <c r="H56" s="860" t="s">
        <v>386</v>
      </c>
      <c r="I56" s="860"/>
      <c r="J56" s="860"/>
    </row>
    <row r="57" spans="1:10">
      <c r="B57" s="860" t="s">
        <v>387</v>
      </c>
      <c r="D57" s="860" t="s">
        <v>12</v>
      </c>
      <c r="H57" s="860" t="s">
        <v>388</v>
      </c>
      <c r="I57" s="860"/>
      <c r="J57" s="860"/>
    </row>
    <row r="58" spans="1:10">
      <c r="B58" s="860" t="s">
        <v>13</v>
      </c>
      <c r="D58" s="860" t="s">
        <v>13</v>
      </c>
      <c r="H58" s="860" t="s">
        <v>138</v>
      </c>
      <c r="I58" s="860"/>
      <c r="J58" s="86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9" t="s">
        <v>149</v>
      </c>
      <c r="H2" s="929"/>
      <c r="I2" s="929"/>
    </row>
    <row r="3" spans="1:9" ht="15.75" customHeight="1">
      <c r="A3" s="1" t="str">
        <f>TH!A2</f>
        <v>Địa chỉ: 1A227/1 Ấp 1, Phạm Văn Hai, Bình Chánh, TPHCM</v>
      </c>
      <c r="G3" s="930" t="s">
        <v>121</v>
      </c>
      <c r="H3" s="930"/>
      <c r="I3" s="930"/>
    </row>
    <row r="4" spans="1:9">
      <c r="F4" s="17"/>
      <c r="G4" s="930"/>
      <c r="H4" s="930"/>
      <c r="I4" s="930"/>
    </row>
    <row r="5" spans="1:9" ht="17.25" customHeight="1">
      <c r="A5" s="931" t="s">
        <v>151</v>
      </c>
      <c r="B5" s="931"/>
      <c r="C5" s="931"/>
      <c r="D5" s="931"/>
      <c r="E5" s="931"/>
      <c r="F5" s="931"/>
      <c r="G5" s="931"/>
      <c r="H5" s="931"/>
      <c r="I5" s="931"/>
    </row>
    <row r="6" spans="1:9">
      <c r="A6" s="932" t="s">
        <v>152</v>
      </c>
      <c r="B6" s="933"/>
      <c r="C6" s="933"/>
      <c r="D6" s="933"/>
      <c r="E6" s="933"/>
      <c r="F6" s="933"/>
      <c r="G6" s="933"/>
      <c r="H6" s="933"/>
      <c r="I6" s="933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33" t="s">
        <v>29</v>
      </c>
      <c r="B9" s="934"/>
      <c r="C9" s="934"/>
      <c r="D9" s="934"/>
      <c r="E9" s="934"/>
      <c r="F9" s="934"/>
      <c r="G9" s="934"/>
      <c r="H9" s="934"/>
      <c r="I9" s="934"/>
    </row>
    <row r="10" spans="1:9" ht="9.75" customHeight="1">
      <c r="C10" s="935"/>
      <c r="D10" s="936"/>
      <c r="E10" s="936"/>
      <c r="F10" s="936"/>
      <c r="G10" s="936"/>
      <c r="H10" s="936"/>
      <c r="I10" s="936"/>
    </row>
    <row r="11" spans="1:9" s="18" customFormat="1" ht="19.5" customHeight="1">
      <c r="A11" s="937" t="s">
        <v>20</v>
      </c>
      <c r="B11" s="927" t="s">
        <v>1</v>
      </c>
      <c r="C11" s="938"/>
      <c r="D11" s="937" t="s">
        <v>0</v>
      </c>
      <c r="E11" s="937" t="s">
        <v>14</v>
      </c>
      <c r="F11" s="927" t="s">
        <v>21</v>
      </c>
      <c r="G11" s="938"/>
      <c r="H11" s="927" t="s">
        <v>31</v>
      </c>
      <c r="I11" s="928"/>
    </row>
    <row r="12" spans="1:9" s="18" customFormat="1" ht="32.25" customHeight="1">
      <c r="A12" s="937"/>
      <c r="B12" s="238" t="s">
        <v>15</v>
      </c>
      <c r="C12" s="238" t="s">
        <v>32</v>
      </c>
      <c r="D12" s="937"/>
      <c r="E12" s="937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6" t="s">
        <v>156</v>
      </c>
      <c r="F27" s="926"/>
      <c r="G27" s="926"/>
      <c r="H27" s="926"/>
      <c r="I27" s="926"/>
    </row>
    <row r="28" spans="1:9" s="18" customFormat="1" ht="12.75">
      <c r="A28" s="926" t="s">
        <v>11</v>
      </c>
      <c r="B28" s="926"/>
      <c r="C28" s="926"/>
      <c r="D28" s="926"/>
      <c r="E28" s="926" t="s">
        <v>12</v>
      </c>
      <c r="F28" s="926"/>
      <c r="G28" s="926"/>
      <c r="H28" s="926"/>
      <c r="I28" s="926"/>
    </row>
    <row r="29" spans="1:9" s="18" customFormat="1" ht="12.75">
      <c r="A29" s="926" t="s">
        <v>13</v>
      </c>
      <c r="B29" s="926"/>
      <c r="C29" s="926"/>
      <c r="D29" s="926"/>
      <c r="E29" s="926" t="s">
        <v>13</v>
      </c>
      <c r="F29" s="926"/>
      <c r="G29" s="926"/>
      <c r="H29" s="926"/>
      <c r="I29" s="92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39" t="s">
        <v>158</v>
      </c>
      <c r="B36" s="939"/>
      <c r="C36" s="939"/>
      <c r="D36" s="939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23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9" t="s">
        <v>120</v>
      </c>
      <c r="H1" s="929"/>
      <c r="I1" s="929"/>
      <c r="J1" s="92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30" t="s">
        <v>121</v>
      </c>
      <c r="H2" s="930"/>
      <c r="I2" s="930"/>
      <c r="J2" s="930"/>
    </row>
    <row r="3" spans="1:15" s="3" customFormat="1" ht="16.5" customHeight="1">
      <c r="A3" s="4"/>
      <c r="B3" s="16"/>
      <c r="C3" s="109"/>
      <c r="D3" s="109"/>
      <c r="E3" s="16"/>
      <c r="G3" s="930"/>
      <c r="H3" s="930"/>
      <c r="I3" s="930"/>
      <c r="J3" s="93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40" t="s">
        <v>122</v>
      </c>
      <c r="B5" s="940"/>
      <c r="C5" s="940"/>
      <c r="D5" s="940"/>
      <c r="E5" s="940"/>
      <c r="F5" s="940"/>
      <c r="G5" s="940"/>
      <c r="H5" s="940"/>
      <c r="I5" s="940"/>
      <c r="J5" s="940"/>
    </row>
    <row r="6" spans="1:15" ht="14.25" customHeight="1">
      <c r="A6" s="942" t="str">
        <f>$L$11&amp;" / 2015"</f>
        <v>Quý II / 2015</v>
      </c>
      <c r="B6" s="942"/>
      <c r="C6" s="942"/>
      <c r="D6" s="942"/>
      <c r="E6" s="942"/>
      <c r="F6" s="942"/>
      <c r="G6" s="942"/>
      <c r="H6" s="942"/>
      <c r="I6" s="942"/>
      <c r="J6" s="942"/>
    </row>
    <row r="7" spans="1:15">
      <c r="A7" s="941" t="s">
        <v>123</v>
      </c>
      <c r="B7" s="941"/>
      <c r="C7" s="941"/>
      <c r="D7" s="941"/>
      <c r="E7" s="941"/>
      <c r="F7" s="941"/>
      <c r="G7" s="941"/>
      <c r="H7" s="941"/>
      <c r="I7" s="941"/>
      <c r="J7" s="941"/>
    </row>
    <row r="8" spans="1:15">
      <c r="A8" s="941" t="s">
        <v>124</v>
      </c>
      <c r="B8" s="941"/>
      <c r="C8" s="941"/>
      <c r="D8" s="941"/>
      <c r="E8" s="941"/>
      <c r="F8" s="941"/>
      <c r="G8" s="941"/>
      <c r="H8" s="941"/>
      <c r="I8" s="941"/>
      <c r="J8" s="941"/>
    </row>
    <row r="9" spans="1:15">
      <c r="A9" s="112"/>
      <c r="I9" s="112" t="s">
        <v>125</v>
      </c>
    </row>
    <row r="10" spans="1:15" ht="33" customHeight="1" thickBot="1">
      <c r="A10" s="944" t="s">
        <v>20</v>
      </c>
      <c r="B10" s="944" t="s">
        <v>126</v>
      </c>
      <c r="C10" s="943" t="s">
        <v>127</v>
      </c>
      <c r="D10" s="943"/>
      <c r="E10" s="943" t="s">
        <v>0</v>
      </c>
      <c r="F10" s="944" t="s">
        <v>14</v>
      </c>
      <c r="G10" s="943" t="s">
        <v>21</v>
      </c>
      <c r="H10" s="943"/>
      <c r="I10" s="943" t="s">
        <v>128</v>
      </c>
      <c r="J10" s="943" t="s">
        <v>129</v>
      </c>
      <c r="L10" s="621"/>
      <c r="N10" s="918" t="s">
        <v>360</v>
      </c>
      <c r="O10" s="918"/>
    </row>
    <row r="11" spans="1:15" ht="24" customHeight="1" thickBot="1">
      <c r="A11" s="945"/>
      <c r="B11" s="945"/>
      <c r="C11" s="113" t="s">
        <v>130</v>
      </c>
      <c r="D11" s="113" t="s">
        <v>131</v>
      </c>
      <c r="E11" s="943"/>
      <c r="F11" s="945"/>
      <c r="G11" s="113" t="s">
        <v>22</v>
      </c>
      <c r="H11" s="113" t="s">
        <v>23</v>
      </c>
      <c r="I11" s="943"/>
      <c r="J11" s="943"/>
      <c r="L11" s="178" t="s">
        <v>399</v>
      </c>
      <c r="N11" s="635">
        <f>IF(L11="Quý I",1,IF(L11="Quý II",4,IF(L11="Quý III",7,IF(L11="Quý IV",10,""))))</f>
        <v>4</v>
      </c>
      <c r="O11" s="63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6"/>
      <c r="O12" s="636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37"/>
      <c r="O13" s="637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38"/>
      <c r="O14" s="638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38"/>
      <c r="O15" s="638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38"/>
      <c r="O16" s="638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38"/>
      <c r="O17" s="638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38"/>
      <c r="O18" s="638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38"/>
      <c r="O19" s="638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38"/>
      <c r="O20" s="638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38"/>
      <c r="O21" s="638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38"/>
      <c r="O22" s="638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38"/>
      <c r="O23" s="638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38"/>
      <c r="O24" s="638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38"/>
      <c r="O25" s="638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38"/>
      <c r="O26" s="638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38"/>
      <c r="O27" s="638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38"/>
      <c r="O28" s="638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38"/>
      <c r="O29" s="638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38"/>
      <c r="O30" s="638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38"/>
      <c r="O31" s="638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38"/>
      <c r="O32" s="638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38"/>
      <c r="O33" s="638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38"/>
      <c r="O34" s="638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38"/>
      <c r="O35" s="638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38"/>
      <c r="O36" s="638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38"/>
      <c r="O37" s="638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38"/>
      <c r="O38" s="638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38"/>
      <c r="O39" s="638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38"/>
      <c r="O40" s="638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38"/>
      <c r="O41" s="638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38"/>
      <c r="O42" s="638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38"/>
      <c r="O43" s="638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38"/>
      <c r="O44" s="638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38"/>
      <c r="O45" s="638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38"/>
      <c r="O46" s="638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38"/>
      <c r="O47" s="638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38"/>
      <c r="O48" s="638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38"/>
      <c r="O49" s="638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0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1"/>
      <c r="R4" s="81"/>
      <c r="S4" s="627">
        <v>4</v>
      </c>
      <c r="T4" s="81"/>
      <c r="U4" s="492" t="s">
        <v>4</v>
      </c>
      <c r="V4" s="107"/>
      <c r="W4" s="49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5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6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6"/>
      <c r="I3" s="226"/>
    </row>
    <row r="4" spans="1:20" s="138" customFormat="1" ht="19.5" customHeight="1">
      <c r="A4" s="958" t="s">
        <v>139</v>
      </c>
      <c r="B4" s="958"/>
      <c r="C4" s="958"/>
      <c r="D4" s="958"/>
      <c r="E4" s="958"/>
      <c r="F4" s="958"/>
      <c r="G4" s="958"/>
      <c r="H4" s="958"/>
      <c r="I4" s="958"/>
    </row>
    <row r="5" spans="1:20" s="138" customFormat="1" ht="15">
      <c r="A5" s="948" t="str">
        <f>"Nơi mở tài khoản giao dịch:  "&amp;IF($M$9="ACB"," Ngân Hàng ACB"," Ngân Hàng Eximbank - Chi Nhánh Chợ Lớn")</f>
        <v>Nơi mở tài khoản giao dịch:   Ngân Hàng ACB</v>
      </c>
      <c r="B5" s="948"/>
      <c r="C5" s="948"/>
      <c r="D5" s="948"/>
      <c r="E5" s="948"/>
      <c r="F5" s="948"/>
      <c r="G5" s="948"/>
      <c r="H5" s="948"/>
      <c r="I5" s="948"/>
    </row>
    <row r="6" spans="1:20" s="138" customFormat="1" ht="15">
      <c r="D6" s="257" t="s">
        <v>168</v>
      </c>
      <c r="E6" s="948" t="str">
        <f>IF($M$9="ACB","100983119","1004 148 5104 6511")</f>
        <v>100983119</v>
      </c>
      <c r="F6" s="948"/>
      <c r="G6" s="948"/>
      <c r="H6" s="607" t="s">
        <v>109</v>
      </c>
      <c r="I6" s="258" t="str">
        <f>IF(H6="VNĐ","1121",IF(H6="USD","1122",""))</f>
        <v>1121</v>
      </c>
      <c r="N6" s="941" t="s">
        <v>360</v>
      </c>
      <c r="O6" s="941"/>
      <c r="Q6" s="956" t="s">
        <v>295</v>
      </c>
      <c r="R6" s="956" t="s">
        <v>361</v>
      </c>
      <c r="S6" s="95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8"/>
      <c r="I7" s="144"/>
      <c r="Q7" s="957"/>
      <c r="R7" s="957"/>
      <c r="S7" s="957"/>
    </row>
    <row r="8" spans="1:20" s="145" customFormat="1" ht="22.5" customHeight="1" thickBot="1">
      <c r="A8" s="949" t="s">
        <v>140</v>
      </c>
      <c r="B8" s="951" t="s">
        <v>1</v>
      </c>
      <c r="C8" s="952"/>
      <c r="D8" s="946" t="s">
        <v>0</v>
      </c>
      <c r="E8" s="953" t="s">
        <v>14</v>
      </c>
      <c r="F8" s="955" t="s">
        <v>141</v>
      </c>
      <c r="G8" s="955"/>
      <c r="H8" s="952"/>
      <c r="I8" s="946" t="s">
        <v>129</v>
      </c>
      <c r="K8" s="136"/>
      <c r="L8" s="138"/>
      <c r="N8" s="615">
        <f>IF(K9="Quý I",1,IF(K9="Quý II",4,IF(K9="Quý III",7,IF(K9="Quý IV",10,""))))</f>
        <v>10</v>
      </c>
      <c r="O8" s="616">
        <f>IF(K9="Quý I",3,IF(K9="Quý II",6,IF(K9="Quý III",9,IF(K9="Quý IV",12,""))))</f>
        <v>12</v>
      </c>
      <c r="Q8" s="470" t="s">
        <v>296</v>
      </c>
      <c r="R8" s="471">
        <v>20452439</v>
      </c>
      <c r="S8" s="471"/>
      <c r="T8" s="472">
        <f>SUM(R8:S8)</f>
        <v>20452439</v>
      </c>
    </row>
    <row r="9" spans="1:20" s="145" customFormat="1" ht="22.5" customHeight="1" thickBot="1">
      <c r="A9" s="950"/>
      <c r="B9" s="146" t="s">
        <v>15</v>
      </c>
      <c r="C9" s="147" t="s">
        <v>142</v>
      </c>
      <c r="D9" s="947"/>
      <c r="E9" s="954"/>
      <c r="F9" s="249" t="s">
        <v>143</v>
      </c>
      <c r="G9" s="148" t="s">
        <v>144</v>
      </c>
      <c r="H9" s="609" t="s">
        <v>145</v>
      </c>
      <c r="I9" s="947"/>
      <c r="K9" s="178" t="s">
        <v>531</v>
      </c>
      <c r="L9" s="138"/>
      <c r="M9" s="469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6"/>
      <c r="G11" s="476"/>
      <c r="H11" s="476">
        <f>IF($M$9="ACB",$R$8,$S$8)+SUMIF(_N112,"x",TH)-SUMIF(_C112,"x",TH)</f>
        <v>169871</v>
      </c>
      <c r="I11" s="473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7">
        <f ca="1">IF(A12&lt;&gt;"",H11+F12-G12,0)</f>
        <v>5169871</v>
      </c>
      <c r="I12" s="474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7">
        <f t="shared" ref="H13:H40" ca="1" si="0">IF(A13&lt;&gt;"",H12+F13-G13,0)</f>
        <v>169871</v>
      </c>
      <c r="I13" s="474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7">
        <f t="shared" ca="1" si="0"/>
        <v>149871</v>
      </c>
      <c r="I14" s="474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7">
        <f t="shared" ca="1" si="0"/>
        <v>139871</v>
      </c>
      <c r="I15" s="474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7">
        <f t="shared" ca="1" si="0"/>
        <v>12417631</v>
      </c>
      <c r="I16" s="474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7">
        <f t="shared" ca="1" si="0"/>
        <v>60417631</v>
      </c>
      <c r="I17" s="474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7">
        <f t="shared" ca="1" si="0"/>
        <v>68165371</v>
      </c>
      <c r="I18" s="474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7">
        <f t="shared" ca="1" si="0"/>
        <v>18165371</v>
      </c>
      <c r="I19" s="474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7">
        <f t="shared" ca="1" si="0"/>
        <v>18140371</v>
      </c>
      <c r="I20" s="474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7">
        <f t="shared" ca="1" si="0"/>
        <v>8140371</v>
      </c>
      <c r="I21" s="474"/>
      <c r="L21" s="138"/>
      <c r="Q21" s="472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17">
        <f t="shared" ca="1" si="0"/>
        <v>8120371</v>
      </c>
      <c r="I22" s="474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17">
        <f t="shared" ca="1" si="0"/>
        <v>8106082</v>
      </c>
      <c r="I23" s="474"/>
      <c r="L23" s="138"/>
      <c r="Q23" s="604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17">
        <f t="shared" ca="1" si="0"/>
        <v>106082</v>
      </c>
      <c r="I24" s="474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7">
        <f t="shared" ca="1" si="0"/>
        <v>55106082</v>
      </c>
      <c r="I25" s="474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17">
        <f t="shared" ca="1" si="0"/>
        <v>5106082</v>
      </c>
      <c r="I26" s="474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17">
        <f t="shared" ca="1" si="0"/>
        <v>5081082</v>
      </c>
      <c r="I27" s="474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17">
        <f t="shared" ca="1" si="0"/>
        <v>81082</v>
      </c>
      <c r="I28" s="474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17">
        <f t="shared" ca="1" si="0"/>
        <v>71082</v>
      </c>
      <c r="I29" s="474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17">
        <f t="shared" ca="1" si="0"/>
        <v>54603</v>
      </c>
      <c r="I30" s="474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7">
        <f t="shared" ca="1" si="0"/>
        <v>45933183</v>
      </c>
      <c r="I31" s="474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7">
        <f t="shared" ca="1" si="0"/>
        <v>50233183</v>
      </c>
      <c r="I32" s="474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7">
        <f t="shared" ca="1" si="0"/>
        <v>60039463</v>
      </c>
      <c r="I33" s="474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17">
        <f t="shared" ca="1" si="0"/>
        <v>10039463</v>
      </c>
      <c r="I34" s="474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17">
        <f t="shared" ca="1" si="0"/>
        <v>10014463</v>
      </c>
      <c r="I35" s="474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17">
        <f t="shared" ca="1" si="0"/>
        <v>10004463</v>
      </c>
      <c r="I36" s="474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7">
        <f t="shared" ca="1" si="0"/>
        <v>10017262</v>
      </c>
      <c r="I37" s="474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7">
        <f t="shared" ca="1" si="0"/>
        <v>13313688</v>
      </c>
      <c r="I38" s="474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7">
        <f t="shared" ca="1" si="0"/>
        <v>13413688</v>
      </c>
      <c r="I39" s="474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17">
        <f t="shared" ca="1" si="0"/>
        <v>3413688</v>
      </c>
      <c r="I40" s="474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17">
        <f t="shared" ref="H41:H43" ca="1" si="1">IF(A41&lt;&gt;"",H40+F41-G41,0)</f>
        <v>3393688</v>
      </c>
      <c r="I41" s="474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7">
        <f t="shared" ca="1" si="1"/>
        <v>53393688</v>
      </c>
      <c r="I42" s="474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17">
        <f t="shared" ca="1" si="1"/>
        <v>3393688</v>
      </c>
      <c r="I43" s="474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17">
        <f t="shared" ref="H44:H55" ca="1" si="2">IF(A44&lt;&gt;"",H43+F44-G44,0)</f>
        <v>3368688</v>
      </c>
      <c r="I44" s="474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17">
        <f t="shared" ca="1" si="2"/>
        <v>3354698</v>
      </c>
      <c r="I45" s="474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7">
        <f t="shared" ca="1" si="2"/>
        <v>65354698</v>
      </c>
      <c r="I46" s="474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17">
        <f t="shared" ca="1" si="2"/>
        <v>60354698</v>
      </c>
      <c r="I47" s="474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17">
        <f t="shared" ca="1" si="2"/>
        <v>60334698</v>
      </c>
      <c r="I48" s="474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17">
        <f t="shared" ca="1" si="2"/>
        <v>334698</v>
      </c>
      <c r="I49" s="474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17">
        <f t="shared" ca="1" si="2"/>
        <v>304698</v>
      </c>
      <c r="I50" s="474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17">
        <f t="shared" ca="1" si="2"/>
        <v>286098</v>
      </c>
      <c r="I51" s="474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7">
        <f t="shared" ca="1" si="2"/>
        <v>41892454</v>
      </c>
      <c r="I52" s="474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7">
        <f t="shared" ca="1" si="2"/>
        <v>60185454</v>
      </c>
      <c r="I53" s="474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17">
        <f t="shared" ca="1" si="2"/>
        <v>19185454</v>
      </c>
      <c r="I54" s="474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17">
        <f t="shared" ca="1" si="2"/>
        <v>185454</v>
      </c>
      <c r="I55" s="474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7">
        <f t="shared" ref="H56:H71" ca="1" si="3">IF(A56&lt;&gt;"",H55+F56-G56,0)</f>
        <v>196432</v>
      </c>
      <c r="I56" s="474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7">
        <f t="shared" ca="1" si="3"/>
        <v>9260432</v>
      </c>
      <c r="I57" s="474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17">
        <f t="shared" ca="1" si="3"/>
        <v>260432</v>
      </c>
      <c r="I58" s="474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7">
        <f t="shared" ca="1" si="3"/>
        <v>25526112</v>
      </c>
      <c r="I59" s="474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17">
        <f t="shared" ca="1" si="3"/>
        <v>35620812</v>
      </c>
      <c r="I60" s="474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17">
        <f t="shared" ca="1" si="3"/>
        <v>10620812</v>
      </c>
      <c r="I61" s="474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7">
        <f t="shared" ca="1" si="3"/>
        <v>45620812</v>
      </c>
      <c r="I62" s="474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17">
        <f t="shared" ca="1" si="3"/>
        <v>620812</v>
      </c>
      <c r="I63" s="474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17">
        <f t="shared" ca="1" si="3"/>
        <v>598312</v>
      </c>
      <c r="I64" s="474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17">
        <f t="shared" ca="1" si="3"/>
        <v>587991</v>
      </c>
      <c r="I65" s="474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17">
        <f t="shared" ca="1" si="3"/>
        <v>15655956</v>
      </c>
      <c r="I66" s="474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7">
        <f t="shared" ca="1" si="3"/>
        <v>32694956</v>
      </c>
      <c r="I67" s="474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17">
        <f t="shared" ca="1" si="3"/>
        <v>38852956</v>
      </c>
      <c r="I68" s="474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17">
        <f t="shared" ca="1" si="3"/>
        <v>44852956</v>
      </c>
      <c r="I69" s="474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17">
        <f t="shared" ca="1" si="3"/>
        <v>44864933</v>
      </c>
      <c r="I70" s="474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17">
        <f t="shared" ca="1" si="3"/>
        <v>6364933</v>
      </c>
      <c r="I71" s="474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17">
        <f t="shared" ref="H72:H76" ca="1" si="4">IF(A72&lt;&gt;"",H71+F72-G72,0)</f>
        <v>364933</v>
      </c>
      <c r="I72" s="474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17">
        <f t="shared" ca="1" si="4"/>
        <v>344933</v>
      </c>
      <c r="I73" s="474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17">
        <f t="shared" ca="1" si="4"/>
        <v>334933</v>
      </c>
      <c r="I74" s="474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17">
        <f t="shared" ca="1" si="4"/>
        <v>0</v>
      </c>
      <c r="I75" s="474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17">
        <f t="shared" ca="1" si="4"/>
        <v>0</v>
      </c>
      <c r="I76" s="474"/>
    </row>
    <row r="77" spans="1:20" s="145" customFormat="1" ht="18" customHeight="1">
      <c r="A77" s="156"/>
      <c r="B77" s="156"/>
      <c r="C77" s="156"/>
      <c r="D77" s="230"/>
      <c r="E77" s="156"/>
      <c r="F77" s="477"/>
      <c r="G77" s="477"/>
      <c r="H77" s="617"/>
      <c r="I77" s="474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6">
        <f ca="1">SUM(F12:F77)</f>
        <v>487031241</v>
      </c>
      <c r="G78" s="476">
        <f ca="1">SUM(G12:G77)</f>
        <v>486866179</v>
      </c>
      <c r="H78" s="476">
        <f ca="1">H11+F78-G78</f>
        <v>334933</v>
      </c>
      <c r="I78" s="475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6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0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0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0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1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0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28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9" t="s">
        <v>374</v>
      </c>
      <c r="B1" s="959"/>
      <c r="C1" s="959"/>
      <c r="D1" s="959"/>
      <c r="E1" s="959"/>
      <c r="F1" s="959"/>
      <c r="G1" s="959"/>
      <c r="H1" s="959"/>
    </row>
    <row r="2" spans="1:9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9" s="10" customFormat="1" ht="14.25" customHeight="1">
      <c r="A3" s="961"/>
      <c r="B3" s="963"/>
      <c r="C3" s="623" t="s">
        <v>42</v>
      </c>
      <c r="D3" s="623" t="s">
        <v>43</v>
      </c>
      <c r="E3" s="623" t="s">
        <v>42</v>
      </c>
      <c r="F3" s="623" t="s">
        <v>43</v>
      </c>
      <c r="G3" s="623" t="s">
        <v>42</v>
      </c>
      <c r="H3" s="623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8">
        <f t="shared" si="1"/>
        <v>0</v>
      </c>
      <c r="H8" s="778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866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8">
        <f t="shared" si="1"/>
        <v>0</v>
      </c>
      <c r="H9" s="778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8">
        <f t="shared" si="1"/>
        <v>0</v>
      </c>
      <c r="H10" s="778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8">
        <f t="shared" si="1"/>
        <v>0</v>
      </c>
      <c r="H11" s="778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5" t="s">
        <v>737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8">
        <f t="shared" si="1"/>
        <v>0</v>
      </c>
      <c r="H12" s="778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8">
        <f t="shared" si="1"/>
        <v>0</v>
      </c>
      <c r="H13" s="778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607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8">
        <f t="shared" si="1"/>
        <v>13032597</v>
      </c>
      <c r="H14" s="778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5" t="s">
        <v>807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8">
        <f t="shared" si="1"/>
        <v>0</v>
      </c>
      <c r="H15" s="778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8">
        <f t="shared" si="1"/>
        <v>0</v>
      </c>
      <c r="H16" s="778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8">
        <f t="shared" si="1"/>
        <v>0</v>
      </c>
      <c r="H17" s="778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861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8">
        <f t="shared" si="1"/>
        <v>0</v>
      </c>
      <c r="H18" s="778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832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8">
        <f t="shared" si="1"/>
        <v>0</v>
      </c>
      <c r="H19" s="778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8">
        <f t="shared" si="1"/>
        <v>0</v>
      </c>
      <c r="H20" s="778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571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8">
        <f t="shared" si="1"/>
        <v>0</v>
      </c>
      <c r="H21" s="778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8">
        <f t="shared" si="1"/>
        <v>0</v>
      </c>
      <c r="H22" s="778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8">
        <f t="shared" si="1"/>
        <v>0</v>
      </c>
      <c r="H23" s="778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8">
        <f t="shared" si="1"/>
        <v>0</v>
      </c>
      <c r="H24" s="778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774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8">
        <f t="shared" si="1"/>
        <v>0</v>
      </c>
      <c r="H25" s="778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1001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8">
        <f t="shared" si="1"/>
        <v>0</v>
      </c>
      <c r="H26" s="778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8">
        <f t="shared" si="1"/>
        <v>0</v>
      </c>
      <c r="H27" s="778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8">
        <f t="shared" si="1"/>
        <v>0</v>
      </c>
      <c r="H28" s="778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923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8">
        <f t="shared" si="1"/>
        <v>0</v>
      </c>
      <c r="H29" s="778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933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8">
        <f t="shared" si="1"/>
        <v>0</v>
      </c>
      <c r="H30" s="778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8">
        <f t="shared" si="1"/>
        <v>0</v>
      </c>
      <c r="H31" s="778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972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8">
        <f t="shared" si="1"/>
        <v>0</v>
      </c>
      <c r="H32" s="778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990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8">
        <f t="shared" si="1"/>
        <v>0</v>
      </c>
      <c r="H33" s="778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1720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8">
        <f t="shared" si="1"/>
        <v>0</v>
      </c>
      <c r="H34" s="778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8">
        <f t="shared" si="1"/>
        <v>0</v>
      </c>
      <c r="H35" s="778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1017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8">
        <f t="shared" si="1"/>
        <v>0</v>
      </c>
      <c r="H36" s="778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929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8">
        <f t="shared" si="1"/>
        <v>0</v>
      </c>
      <c r="H37" s="778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8">
        <f t="shared" si="1"/>
        <v>0</v>
      </c>
      <c r="H38" s="778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902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8">
        <f t="shared" si="1"/>
        <v>0</v>
      </c>
      <c r="H39" s="778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951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8">
        <f t="shared" si="1"/>
        <v>0</v>
      </c>
      <c r="H40" s="778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8">
        <f t="shared" si="1"/>
        <v>0</v>
      </c>
      <c r="H41" s="778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5" t="s">
        <v>956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8">
        <f t="shared" si="1"/>
        <v>0</v>
      </c>
      <c r="H42" s="778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8">
        <f t="shared" si="1"/>
        <v>0</v>
      </c>
      <c r="H43" s="778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920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8">
        <f t="shared" ref="G44:G48" si="3">ROUND(MAX(C44+E44-D44-F44,0),2)</f>
        <v>0</v>
      </c>
      <c r="H44" s="778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926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8">
        <f t="shared" si="3"/>
        <v>0</v>
      </c>
      <c r="H45" s="778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935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8">
        <f t="shared" si="3"/>
        <v>0</v>
      </c>
      <c r="H46" s="778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987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8">
        <f t="shared" si="3"/>
        <v>0</v>
      </c>
      <c r="H47" s="778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997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8">
        <f t="shared" si="3"/>
        <v>0</v>
      </c>
      <c r="H48" s="778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6" customFormat="1" ht="14.25" customHeight="1">
      <c r="A1" s="629" t="str">
        <f>TH!A1</f>
        <v>Đơn vị: CÔNG TY TNHH SX TM KIM DUNG PHÁT</v>
      </c>
      <c r="B1" s="620"/>
      <c r="C1" s="620"/>
      <c r="G1" s="2"/>
      <c r="H1" s="967" t="s">
        <v>46</v>
      </c>
      <c r="I1" s="967"/>
      <c r="J1" s="967"/>
    </row>
    <row r="2" spans="1:10" s="466" customFormat="1" ht="14.25" customHeight="1">
      <c r="A2" s="628" t="str">
        <f>TH!A2</f>
        <v>Địa chỉ: 1A227/1 Ấp 1, Phạm Văn Hai, Bình Chánh, TPHCM</v>
      </c>
      <c r="B2" s="620"/>
      <c r="C2" s="620"/>
      <c r="G2" s="17"/>
      <c r="H2" s="968" t="s">
        <v>47</v>
      </c>
      <c r="I2" s="968"/>
      <c r="J2" s="968"/>
    </row>
    <row r="3" spans="1:10" s="466" customFormat="1" ht="14.25" customHeight="1">
      <c r="A3" s="622"/>
      <c r="B3" s="620"/>
      <c r="C3" s="620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618" t="s">
        <v>27</v>
      </c>
    </row>
    <row r="6" spans="1:10" s="18" customFormat="1" ht="14.25" customHeight="1">
      <c r="E6" s="618" t="s">
        <v>377</v>
      </c>
    </row>
    <row r="7" spans="1:10" s="18" customFormat="1" ht="14.25" customHeight="1">
      <c r="D7" s="20" t="s">
        <v>45</v>
      </c>
      <c r="E7" s="970" t="s">
        <v>607</v>
      </c>
      <c r="F7" s="970"/>
      <c r="G7" s="970"/>
      <c r="H7" s="970"/>
    </row>
    <row r="8" spans="1:10" s="18" customFormat="1" ht="14.25" customHeight="1">
      <c r="E8" s="618" t="s">
        <v>29</v>
      </c>
    </row>
    <row r="9" spans="1:10" s="18" customFormat="1" ht="6.75" customHeight="1">
      <c r="B9" s="618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66" t="s">
        <v>1</v>
      </c>
      <c r="C10" s="966"/>
      <c r="D10" s="937" t="s">
        <v>0</v>
      </c>
      <c r="E10" s="937" t="s">
        <v>14</v>
      </c>
      <c r="F10" s="937" t="s">
        <v>30</v>
      </c>
      <c r="G10" s="972" t="s">
        <v>21</v>
      </c>
      <c r="H10" s="973"/>
      <c r="I10" s="972" t="s">
        <v>31</v>
      </c>
      <c r="J10" s="973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4" t="s">
        <v>2</v>
      </c>
      <c r="B12" s="625" t="s">
        <v>3</v>
      </c>
      <c r="C12" s="624" t="s">
        <v>4</v>
      </c>
      <c r="D12" s="624" t="s">
        <v>5</v>
      </c>
      <c r="E12" s="624" t="s">
        <v>6</v>
      </c>
      <c r="F12" s="624">
        <v>1</v>
      </c>
      <c r="G12" s="624">
        <v>2</v>
      </c>
      <c r="H12" s="624">
        <v>3</v>
      </c>
      <c r="I12" s="624">
        <v>4</v>
      </c>
      <c r="J12" s="624">
        <v>5</v>
      </c>
    </row>
    <row r="13" spans="1:10" s="18" customFormat="1" ht="18" customHeight="1">
      <c r="A13" s="624"/>
      <c r="B13" s="624"/>
      <c r="C13" s="624"/>
      <c r="D13" s="23" t="s">
        <v>7</v>
      </c>
      <c r="E13" s="624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4"/>
      <c r="C43" s="26"/>
      <c r="D43" s="23" t="s">
        <v>33</v>
      </c>
      <c r="E43" s="624" t="s">
        <v>19</v>
      </c>
      <c r="F43" s="624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4"/>
      <c r="C44" s="624"/>
      <c r="D44" s="23" t="s">
        <v>10</v>
      </c>
      <c r="E44" s="624" t="s">
        <v>19</v>
      </c>
      <c r="F44" s="624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18"/>
      <c r="C45" s="618"/>
      <c r="E45" s="618"/>
    </row>
    <row r="46" spans="1:11" s="18" customFormat="1" ht="14.25" customHeight="1">
      <c r="A46" s="28" t="s">
        <v>159</v>
      </c>
      <c r="B46" s="618"/>
      <c r="C46" s="618"/>
      <c r="E46" s="618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18"/>
      <c r="C47" s="618"/>
      <c r="E47" s="618"/>
      <c r="K47" s="28" t="s">
        <v>34</v>
      </c>
    </row>
    <row r="48" spans="1:11" s="18" customFormat="1" ht="14.25" customHeight="1">
      <c r="B48" s="618"/>
      <c r="C48" s="618"/>
      <c r="E48" s="926" t="s">
        <v>147</v>
      </c>
      <c r="F48" s="926"/>
      <c r="G48" s="926"/>
      <c r="H48" s="926"/>
      <c r="I48" s="926"/>
      <c r="J48" s="926"/>
    </row>
    <row r="49" spans="3:10" s="18" customFormat="1" ht="14.25" customHeight="1">
      <c r="C49" s="618" t="s">
        <v>11</v>
      </c>
      <c r="E49" s="926" t="s">
        <v>12</v>
      </c>
      <c r="F49" s="926"/>
      <c r="G49" s="926"/>
      <c r="H49" s="926"/>
      <c r="I49" s="926"/>
      <c r="J49" s="926"/>
    </row>
    <row r="50" spans="3:10" s="18" customFormat="1" ht="14.25" customHeight="1">
      <c r="C50" s="618" t="s">
        <v>13</v>
      </c>
      <c r="E50" s="926" t="s">
        <v>13</v>
      </c>
      <c r="F50" s="926"/>
      <c r="G50" s="926"/>
      <c r="H50" s="926"/>
      <c r="I50" s="926"/>
      <c r="J50" s="926"/>
    </row>
    <row r="51" spans="3:10" s="29" customFormat="1"/>
    <row r="57" spans="3:10" ht="15">
      <c r="C57" s="619" t="s">
        <v>158</v>
      </c>
    </row>
  </sheetData>
  <autoFilter ref="A12:J25"/>
  <mergeCells count="15">
    <mergeCell ref="G10:H10"/>
    <mergeCell ref="I10:J10"/>
    <mergeCell ref="E48:J48"/>
    <mergeCell ref="E49:J49"/>
    <mergeCell ref="E50:J5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9" t="s">
        <v>103</v>
      </c>
      <c r="B1" s="959"/>
      <c r="C1" s="959"/>
      <c r="D1" s="959"/>
      <c r="E1" s="959"/>
      <c r="F1" s="959"/>
      <c r="G1" s="959"/>
      <c r="H1" s="959"/>
    </row>
    <row r="2" spans="1:10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10" s="10" customFormat="1" ht="14.25" customHeight="1">
      <c r="A3" s="961"/>
      <c r="B3" s="96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649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2"/>
    </row>
    <row r="9" spans="1:10" s="10" customFormat="1" ht="16.5" customHeight="1">
      <c r="A9" s="6">
        <f t="shared" si="0"/>
        <v>6</v>
      </c>
      <c r="B9" s="193" t="s">
        <v>732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719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581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800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8">
        <f t="shared" ref="G12:G13" si="7">ROUND(MAX(C12+E12-D12-F12,0),2)</f>
        <v>0</v>
      </c>
      <c r="H12" s="778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8">
        <f t="shared" si="7"/>
        <v>0</v>
      </c>
      <c r="H13" s="778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2"/>
      <c r="F14" s="482"/>
      <c r="G14" s="483"/>
      <c r="H14" s="48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9" t="str">
        <f>TH!A1</f>
        <v>Đơn vị: CÔNG TY TNHH SX TM KIM DUNG PHÁT</v>
      </c>
      <c r="B1" s="16"/>
      <c r="C1" s="16"/>
      <c r="G1" s="2"/>
      <c r="H1" s="967" t="s">
        <v>46</v>
      </c>
      <c r="I1" s="967"/>
      <c r="J1" s="967"/>
    </row>
    <row r="2" spans="1:10" s="3" customFormat="1" ht="14.25" customHeight="1">
      <c r="A2" s="628" t="str">
        <f>TH!A2</f>
        <v>Địa chỉ: 1A227/1 Ấp 1, Phạm Văn Hai, Bình Chánh, TPHCM</v>
      </c>
      <c r="B2" s="16"/>
      <c r="C2" s="16"/>
      <c r="G2" s="17"/>
      <c r="H2" s="968" t="s">
        <v>47</v>
      </c>
      <c r="I2" s="968"/>
      <c r="J2" s="968"/>
    </row>
    <row r="3" spans="1:10" s="3" customFormat="1" ht="14.25" customHeight="1">
      <c r="A3" s="4"/>
      <c r="B3" s="16"/>
      <c r="C3" s="16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0" t="s">
        <v>436</v>
      </c>
      <c r="F7" s="970"/>
      <c r="G7" s="970"/>
      <c r="H7" s="9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66" t="s">
        <v>1</v>
      </c>
      <c r="C10" s="966"/>
      <c r="D10" s="937" t="s">
        <v>0</v>
      </c>
      <c r="E10" s="937" t="s">
        <v>14</v>
      </c>
      <c r="F10" s="937" t="s">
        <v>30</v>
      </c>
      <c r="G10" s="972" t="s">
        <v>21</v>
      </c>
      <c r="H10" s="973"/>
      <c r="I10" s="972" t="s">
        <v>31</v>
      </c>
      <c r="J10" s="973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6" t="s">
        <v>147</v>
      </c>
      <c r="F74" s="926"/>
      <c r="G74" s="926"/>
      <c r="H74" s="926"/>
      <c r="I74" s="926"/>
      <c r="J74" s="926"/>
    </row>
    <row r="75" spans="1:11" s="18" customFormat="1" ht="14.25" customHeight="1">
      <c r="C75" s="214" t="s">
        <v>11</v>
      </c>
      <c r="E75" s="926" t="s">
        <v>12</v>
      </c>
      <c r="F75" s="926"/>
      <c r="G75" s="926"/>
      <c r="H75" s="926"/>
      <c r="I75" s="926"/>
      <c r="J75" s="926"/>
    </row>
    <row r="76" spans="1:11" s="18" customFormat="1" ht="14.25" customHeight="1">
      <c r="C76" s="214" t="s">
        <v>13</v>
      </c>
      <c r="E76" s="926" t="s">
        <v>13</v>
      </c>
      <c r="F76" s="926"/>
      <c r="G76" s="926"/>
      <c r="H76" s="926"/>
      <c r="I76" s="926"/>
      <c r="J76" s="92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23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967" t="s">
        <v>201</v>
      </c>
      <c r="I1" s="967"/>
      <c r="J1" s="967"/>
      <c r="K1" s="967"/>
      <c r="L1" s="967"/>
      <c r="M1" s="720"/>
      <c r="N1" s="721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968" t="s">
        <v>203</v>
      </c>
      <c r="I2" s="968"/>
      <c r="J2" s="968"/>
      <c r="K2" s="968"/>
      <c r="L2" s="968"/>
      <c r="M2" s="726"/>
      <c r="N2" s="721"/>
    </row>
    <row r="3" spans="1:14" s="260" customFormat="1" ht="14.25" customHeight="1">
      <c r="B3" s="285"/>
      <c r="C3" s="285"/>
      <c r="D3" s="285"/>
      <c r="E3" s="285"/>
      <c r="F3" s="285"/>
      <c r="G3" s="285"/>
      <c r="H3" s="983" t="s">
        <v>204</v>
      </c>
      <c r="I3" s="983"/>
      <c r="J3" s="983"/>
      <c r="K3" s="983"/>
      <c r="L3" s="983"/>
      <c r="M3" s="727"/>
      <c r="N3" s="721"/>
    </row>
    <row r="4" spans="1:14" s="286" customFormat="1" ht="27.75" customHeight="1">
      <c r="B4" s="984" t="s">
        <v>205</v>
      </c>
      <c r="C4" s="984"/>
      <c r="D4" s="984"/>
      <c r="E4" s="984"/>
      <c r="F4" s="984"/>
      <c r="G4" s="984"/>
      <c r="H4" s="984"/>
      <c r="I4" s="984"/>
      <c r="J4" s="984"/>
      <c r="K4" s="984"/>
      <c r="L4" s="984"/>
      <c r="N4" s="722"/>
    </row>
    <row r="5" spans="1:14" s="286" customFormat="1" ht="15" customHeight="1">
      <c r="B5" s="982" t="s">
        <v>206</v>
      </c>
      <c r="C5" s="982"/>
      <c r="D5" s="982"/>
      <c r="E5" s="982"/>
      <c r="F5" s="982"/>
      <c r="G5" s="982"/>
      <c r="H5" s="982"/>
      <c r="I5" s="982"/>
      <c r="J5" s="982"/>
      <c r="K5" s="982"/>
      <c r="L5" s="982"/>
      <c r="N5" s="722"/>
    </row>
    <row r="6" spans="1:14" s="286" customFormat="1" ht="12.75" hidden="1" customHeight="1">
      <c r="B6" s="982" t="s">
        <v>207</v>
      </c>
      <c r="C6" s="982"/>
      <c r="D6" s="982"/>
      <c r="E6" s="982"/>
      <c r="F6" s="982"/>
      <c r="G6" s="982"/>
      <c r="H6" s="982"/>
      <c r="I6" s="982"/>
      <c r="J6" s="982"/>
      <c r="K6" s="982"/>
      <c r="L6" s="982"/>
      <c r="N6" s="722"/>
    </row>
    <row r="7" spans="1:14" s="287" customFormat="1" ht="24" hidden="1" customHeight="1">
      <c r="C7" s="974" t="s">
        <v>208</v>
      </c>
      <c r="D7" s="974"/>
      <c r="E7" s="974"/>
      <c r="F7" s="974"/>
      <c r="G7" s="974"/>
      <c r="H7" s="974"/>
      <c r="I7" s="974"/>
      <c r="J7" s="974"/>
      <c r="K7" s="974"/>
      <c r="L7" s="974"/>
      <c r="N7" s="723"/>
    </row>
    <row r="8" spans="1:14" ht="20.25" customHeight="1">
      <c r="B8" s="976" t="s">
        <v>35</v>
      </c>
      <c r="C8" s="977" t="s">
        <v>209</v>
      </c>
      <c r="D8" s="978" t="s">
        <v>210</v>
      </c>
      <c r="E8" s="980" t="s">
        <v>141</v>
      </c>
      <c r="F8" s="980"/>
      <c r="G8" s="980"/>
      <c r="H8" s="980"/>
      <c r="I8" s="980"/>
      <c r="J8" s="980"/>
      <c r="K8" s="980"/>
      <c r="L8" s="980"/>
    </row>
    <row r="9" spans="1:14" ht="20.25" customHeight="1">
      <c r="B9" s="976"/>
      <c r="C9" s="977"/>
      <c r="D9" s="979"/>
      <c r="E9" s="980" t="s">
        <v>211</v>
      </c>
      <c r="F9" s="980"/>
      <c r="G9" s="981" t="s">
        <v>212</v>
      </c>
      <c r="H9" s="981"/>
      <c r="I9" s="981" t="s">
        <v>213</v>
      </c>
      <c r="J9" s="981"/>
      <c r="K9" s="981" t="s">
        <v>214</v>
      </c>
      <c r="L9" s="981"/>
    </row>
    <row r="10" spans="1:14" ht="20.25" hidden="1" customHeight="1">
      <c r="B10" s="976"/>
      <c r="C10" s="977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24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799" t="s">
        <v>717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79"/>
      <c r="C17" s="480"/>
      <c r="D17" s="481"/>
      <c r="E17" s="481"/>
      <c r="F17" s="481">
        <f>F16-CDPS!C21</f>
        <v>0</v>
      </c>
      <c r="G17" s="481"/>
      <c r="H17" s="481">
        <f>H16-CDPS!E21</f>
        <v>0</v>
      </c>
      <c r="I17" s="481"/>
      <c r="J17" s="481">
        <f>J16-CDPS!F21</f>
        <v>0</v>
      </c>
      <c r="K17" s="481"/>
      <c r="L17" s="481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78">
        <f t="shared" ref="B18" si="4">IF(C18&lt;&gt;"",B17+1,"")</f>
        <v>1</v>
      </c>
      <c r="C18" s="192" t="s">
        <v>1215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78">
        <f t="shared" ref="B19:B73" si="8">IF(C19&lt;&gt;"",B18+1,"")</f>
        <v>2</v>
      </c>
      <c r="C19" s="192" t="s">
        <v>539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78">
        <f t="shared" ref="B20:B27" si="12">IF(C20&lt;&gt;"",B19+1,"")</f>
        <v>3</v>
      </c>
      <c r="C20" s="192" t="s">
        <v>742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78">
        <f t="shared" si="12"/>
        <v>4</v>
      </c>
      <c r="C21" s="192" t="s">
        <v>879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78">
        <f t="shared" si="12"/>
        <v>5</v>
      </c>
      <c r="C22" s="192" t="s">
        <v>875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78">
        <f t="shared" si="12"/>
        <v>6</v>
      </c>
      <c r="C23" s="192" t="s">
        <v>881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78">
        <f t="shared" si="12"/>
        <v>7</v>
      </c>
      <c r="C24" s="192" t="s">
        <v>878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78">
        <f t="shared" si="12"/>
        <v>8</v>
      </c>
      <c r="C25" s="192" t="s">
        <v>876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78">
        <f t="shared" si="12"/>
        <v>9</v>
      </c>
      <c r="C26" s="192" t="s">
        <v>882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78">
        <f t="shared" si="12"/>
        <v>10</v>
      </c>
      <c r="C27" s="192" t="s">
        <v>873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892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619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630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623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622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624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603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626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625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773">
        <f t="shared" si="8"/>
        <v>20</v>
      </c>
      <c r="C37" s="297" t="s">
        <v>1550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635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582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593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642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591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617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592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587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637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585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579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588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583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584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586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589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590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628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644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614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629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612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613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646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621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615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632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636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631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618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893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633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611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638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606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634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639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641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890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605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627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616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609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898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896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773">
        <f t="shared" si="14"/>
        <v>66</v>
      </c>
      <c r="C83" s="192" t="s">
        <v>645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1433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711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1364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650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651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766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709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724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1399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647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1380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1441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1435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1429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1341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1402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1396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1374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1383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773">
        <f t="shared" si="14"/>
        <v>86</v>
      </c>
      <c r="C103" s="192" t="s">
        <v>1430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1384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1350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1404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710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1361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1421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1351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1437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1352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722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1381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1423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1378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1382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1354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1416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1359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1389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1362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1422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1432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1428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1353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1376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1417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1424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1387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1407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1405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1363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1427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1377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1365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1419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773">
        <f t="shared" ref="B138:B201" si="18">IF(C138&lt;&gt;"",B137+1,"")</f>
        <v>121</v>
      </c>
      <c r="C138" s="297" t="s">
        <v>1343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1426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773">
        <f t="shared" si="18"/>
        <v>123</v>
      </c>
      <c r="C140" s="192" t="s">
        <v>1406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773">
        <f t="shared" si="18"/>
        <v>124</v>
      </c>
      <c r="C141" s="192" t="s">
        <v>1439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773">
        <f t="shared" si="18"/>
        <v>125</v>
      </c>
      <c r="C142" s="192" t="s">
        <v>1390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773">
        <f t="shared" si="18"/>
        <v>126</v>
      </c>
      <c r="C143" s="192" t="s">
        <v>1443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773">
        <f t="shared" si="18"/>
        <v>127</v>
      </c>
      <c r="C144" s="192" t="s">
        <v>1431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773">
        <f t="shared" si="18"/>
        <v>128</v>
      </c>
      <c r="C145" s="192" t="s">
        <v>1425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773">
        <f t="shared" si="18"/>
        <v>129</v>
      </c>
      <c r="C146" s="192" t="s">
        <v>1366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773">
        <f t="shared" si="18"/>
        <v>130</v>
      </c>
      <c r="C147" s="192" t="s">
        <v>1442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773">
        <f t="shared" si="18"/>
        <v>131</v>
      </c>
      <c r="C148" s="297" t="s">
        <v>1344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773">
        <f t="shared" si="18"/>
        <v>132</v>
      </c>
      <c r="C149" s="192" t="s">
        <v>1385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773">
        <f t="shared" si="18"/>
        <v>133</v>
      </c>
      <c r="C150" s="192" t="s">
        <v>1408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773">
        <f t="shared" si="18"/>
        <v>134</v>
      </c>
      <c r="C151" s="192" t="s">
        <v>1367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773">
        <f t="shared" si="18"/>
        <v>135</v>
      </c>
      <c r="C152" s="192" t="s">
        <v>1375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773">
        <f t="shared" si="18"/>
        <v>136</v>
      </c>
      <c r="C153" s="189" t="s">
        <v>1345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773">
        <f t="shared" si="18"/>
        <v>137</v>
      </c>
      <c r="C154" s="192" t="s">
        <v>1355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773">
        <f t="shared" si="18"/>
        <v>138</v>
      </c>
      <c r="C155" s="192" t="s">
        <v>1397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773">
        <f t="shared" si="18"/>
        <v>139</v>
      </c>
      <c r="C156" s="192" t="s">
        <v>1413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773">
        <f t="shared" si="18"/>
        <v>140</v>
      </c>
      <c r="C157" s="192" t="s">
        <v>1410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773">
        <f t="shared" si="18"/>
        <v>141</v>
      </c>
      <c r="C158" s="192" t="s">
        <v>1411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773">
        <f t="shared" si="18"/>
        <v>142</v>
      </c>
      <c r="C159" s="192" t="s">
        <v>1368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773">
        <f t="shared" si="18"/>
        <v>143</v>
      </c>
      <c r="C160" s="192" t="s">
        <v>1440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773">
        <f t="shared" si="18"/>
        <v>144</v>
      </c>
      <c r="C161" s="192" t="s">
        <v>1438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773">
        <f t="shared" si="18"/>
        <v>145</v>
      </c>
      <c r="C162" s="192" t="s">
        <v>1388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773">
        <f t="shared" si="18"/>
        <v>146</v>
      </c>
      <c r="C163" s="192" t="s">
        <v>1415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773">
        <f t="shared" si="18"/>
        <v>147</v>
      </c>
      <c r="C164" s="192" t="s">
        <v>1371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773">
        <f t="shared" si="18"/>
        <v>148</v>
      </c>
      <c r="C165" s="189" t="s">
        <v>1348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773">
        <f t="shared" si="18"/>
        <v>149</v>
      </c>
      <c r="C166" s="192" t="s">
        <v>1393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773">
        <f t="shared" si="18"/>
        <v>150</v>
      </c>
      <c r="C167" s="192" t="s">
        <v>1369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773">
        <f t="shared" si="18"/>
        <v>151</v>
      </c>
      <c r="C168" s="192" t="s">
        <v>1400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773">
        <f t="shared" si="18"/>
        <v>152</v>
      </c>
      <c r="C169" s="189" t="s">
        <v>1346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773">
        <f t="shared" si="18"/>
        <v>153</v>
      </c>
      <c r="C170" s="189" t="s">
        <v>1340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773">
        <f t="shared" si="18"/>
        <v>154</v>
      </c>
      <c r="C171" s="192" t="s">
        <v>1386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773">
        <f t="shared" si="18"/>
        <v>155</v>
      </c>
      <c r="C172" s="192" t="s">
        <v>1394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773">
        <f t="shared" si="18"/>
        <v>156</v>
      </c>
      <c r="C173" s="297" t="s">
        <v>1342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773">
        <f t="shared" si="18"/>
        <v>157</v>
      </c>
      <c r="C174" s="192" t="s">
        <v>1392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773">
        <f t="shared" si="18"/>
        <v>158</v>
      </c>
      <c r="C175" s="192" t="s">
        <v>1414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773">
        <f t="shared" si="18"/>
        <v>159</v>
      </c>
      <c r="C176" s="192" t="s">
        <v>1372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773">
        <f t="shared" si="18"/>
        <v>160</v>
      </c>
      <c r="C177" s="192" t="s">
        <v>1412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773">
        <f t="shared" si="18"/>
        <v>161</v>
      </c>
      <c r="C178" s="189" t="s">
        <v>1349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773">
        <f t="shared" si="18"/>
        <v>162</v>
      </c>
      <c r="C179" s="192" t="s">
        <v>1420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773">
        <f t="shared" si="18"/>
        <v>163</v>
      </c>
      <c r="C180" s="192" t="s">
        <v>1356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773">
        <f t="shared" si="18"/>
        <v>164</v>
      </c>
      <c r="C181" s="192" t="s">
        <v>1403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773">
        <f t="shared" si="18"/>
        <v>165</v>
      </c>
      <c r="C182" s="192" t="s">
        <v>1395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773">
        <f t="shared" si="18"/>
        <v>166</v>
      </c>
      <c r="C183" s="192" t="s">
        <v>1370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773">
        <f t="shared" si="18"/>
        <v>167</v>
      </c>
      <c r="C184" s="192" t="s">
        <v>1373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773">
        <f t="shared" si="18"/>
        <v>168</v>
      </c>
      <c r="C185" s="189" t="s">
        <v>1347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773">
        <f t="shared" si="18"/>
        <v>169</v>
      </c>
      <c r="C186" s="192" t="s">
        <v>1357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773">
        <f t="shared" si="18"/>
        <v>170</v>
      </c>
      <c r="C187" s="192" t="s">
        <v>1418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773">
        <f t="shared" si="18"/>
        <v>171</v>
      </c>
      <c r="C188" s="192" t="s">
        <v>1358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773">
        <f t="shared" si="18"/>
        <v>172</v>
      </c>
      <c r="C189" s="192" t="s">
        <v>1401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773">
        <f t="shared" si="18"/>
        <v>173</v>
      </c>
      <c r="C190" s="192" t="s">
        <v>1379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773">
        <f t="shared" si="18"/>
        <v>174</v>
      </c>
      <c r="C191" s="192" t="s">
        <v>1434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773">
        <f t="shared" si="18"/>
        <v>175</v>
      </c>
      <c r="C192" s="192" t="s">
        <v>1436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773">
        <f t="shared" si="18"/>
        <v>176</v>
      </c>
      <c r="C193" s="192" t="s">
        <v>708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773">
        <f t="shared" si="18"/>
        <v>177</v>
      </c>
      <c r="C194" s="192" t="s">
        <v>1391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773">
        <f t="shared" si="18"/>
        <v>178</v>
      </c>
      <c r="C195" s="192" t="s">
        <v>725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773">
        <f t="shared" si="18"/>
        <v>179</v>
      </c>
      <c r="C196" s="192" t="s">
        <v>706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773">
        <f t="shared" si="18"/>
        <v>180</v>
      </c>
      <c r="C197" s="192" t="s">
        <v>723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773">
        <f t="shared" si="18"/>
        <v>181</v>
      </c>
      <c r="C198" s="192" t="s">
        <v>1360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773">
        <f t="shared" si="18"/>
        <v>182</v>
      </c>
      <c r="C199" s="192" t="s">
        <v>1409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773">
        <f t="shared" si="18"/>
        <v>183</v>
      </c>
      <c r="C200" s="192" t="s">
        <v>1398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773">
        <f t="shared" si="18"/>
        <v>184</v>
      </c>
      <c r="C201" s="189" t="s">
        <v>620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773">
        <f t="shared" ref="B202:B265" si="22">IF(C202&lt;&gt;"",B201+1,"")</f>
        <v>185</v>
      </c>
      <c r="C202" s="192" t="s">
        <v>594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773">
        <f t="shared" si="22"/>
        <v>186</v>
      </c>
      <c r="C203" s="192" t="s">
        <v>1299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773">
        <f t="shared" si="22"/>
        <v>187</v>
      </c>
      <c r="C204" s="192" t="s">
        <v>765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773">
        <f t="shared" si="22"/>
        <v>188</v>
      </c>
      <c r="C205" s="189" t="s">
        <v>1221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773">
        <f t="shared" si="22"/>
        <v>189</v>
      </c>
      <c r="C206" s="192" t="s">
        <v>1312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773">
        <f t="shared" si="22"/>
        <v>190</v>
      </c>
      <c r="C207" s="189" t="s">
        <v>1234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773">
        <f t="shared" si="22"/>
        <v>191</v>
      </c>
      <c r="C208" s="192" t="s">
        <v>1253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773">
        <f t="shared" si="22"/>
        <v>192</v>
      </c>
      <c r="C209" s="192" t="s">
        <v>764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773">
        <f t="shared" si="22"/>
        <v>193</v>
      </c>
      <c r="C210" s="192" t="s">
        <v>1263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773">
        <f t="shared" si="22"/>
        <v>194</v>
      </c>
      <c r="C211" s="189" t="s">
        <v>1231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773">
        <f t="shared" si="22"/>
        <v>195</v>
      </c>
      <c r="C212" s="192" t="s">
        <v>1274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773">
        <f t="shared" si="22"/>
        <v>196</v>
      </c>
      <c r="C213" s="192" t="s">
        <v>1322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773">
        <f t="shared" si="22"/>
        <v>197</v>
      </c>
      <c r="C214" s="192" t="s">
        <v>1323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773">
        <f t="shared" si="22"/>
        <v>198</v>
      </c>
      <c r="C215" s="192" t="s">
        <v>1238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773">
        <f t="shared" si="22"/>
        <v>199</v>
      </c>
      <c r="C216" s="192" t="s">
        <v>1316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773">
        <f t="shared" si="22"/>
        <v>200</v>
      </c>
      <c r="C217" s="192" t="s">
        <v>1292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773">
        <f t="shared" si="22"/>
        <v>201</v>
      </c>
      <c r="C218" s="192" t="s">
        <v>1314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773">
        <f t="shared" si="22"/>
        <v>202</v>
      </c>
      <c r="C219" s="192" t="s">
        <v>1337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773">
        <f t="shared" si="22"/>
        <v>203</v>
      </c>
      <c r="C220" s="192" t="s">
        <v>1281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773">
        <f t="shared" si="22"/>
        <v>204</v>
      </c>
      <c r="C221" s="192" t="s">
        <v>1285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773">
        <f t="shared" si="22"/>
        <v>205</v>
      </c>
      <c r="C222" s="192" t="s">
        <v>1257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773">
        <f t="shared" si="22"/>
        <v>206</v>
      </c>
      <c r="C223" s="192" t="s">
        <v>1239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773">
        <f t="shared" si="22"/>
        <v>207</v>
      </c>
      <c r="C224" s="189" t="s">
        <v>1219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773">
        <f t="shared" si="22"/>
        <v>208</v>
      </c>
      <c r="C225" s="192" t="s">
        <v>1310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773">
        <f t="shared" si="22"/>
        <v>209</v>
      </c>
      <c r="C226" s="192" t="s">
        <v>1284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773">
        <f t="shared" si="22"/>
        <v>210</v>
      </c>
      <c r="C227" s="192" t="s">
        <v>1258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773">
        <f t="shared" si="22"/>
        <v>211</v>
      </c>
      <c r="C228" s="192" t="s">
        <v>1331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773">
        <f t="shared" si="22"/>
        <v>212</v>
      </c>
      <c r="C229" s="192" t="s">
        <v>1283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773">
        <f t="shared" si="22"/>
        <v>213</v>
      </c>
      <c r="C230" s="192" t="s">
        <v>1318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773">
        <f t="shared" si="22"/>
        <v>214</v>
      </c>
      <c r="C231" s="192" t="s">
        <v>1272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773">
        <f t="shared" si="22"/>
        <v>215</v>
      </c>
      <c r="C232" s="297" t="s">
        <v>1216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773">
        <f t="shared" si="22"/>
        <v>216</v>
      </c>
      <c r="C233" s="192" t="s">
        <v>1290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773">
        <f t="shared" si="22"/>
        <v>217</v>
      </c>
      <c r="C234" s="192" t="s">
        <v>1273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773">
        <f t="shared" si="22"/>
        <v>218</v>
      </c>
      <c r="C235" s="192" t="s">
        <v>1241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773">
        <f t="shared" si="22"/>
        <v>219</v>
      </c>
      <c r="C236" s="192" t="s">
        <v>1279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773">
        <f t="shared" si="22"/>
        <v>220</v>
      </c>
      <c r="C237" s="192" t="s">
        <v>1275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773">
        <f t="shared" si="22"/>
        <v>221</v>
      </c>
      <c r="C238" s="192" t="s">
        <v>1240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773">
        <f t="shared" si="22"/>
        <v>222</v>
      </c>
      <c r="C239" s="192" t="s">
        <v>1269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773">
        <f t="shared" si="22"/>
        <v>223</v>
      </c>
      <c r="C240" s="192" t="s">
        <v>1280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773">
        <f t="shared" si="22"/>
        <v>224</v>
      </c>
      <c r="C241" s="192" t="s">
        <v>1332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773">
        <f t="shared" si="22"/>
        <v>225</v>
      </c>
      <c r="C242" s="192" t="s">
        <v>1305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773">
        <f t="shared" si="22"/>
        <v>226</v>
      </c>
      <c r="C243" s="192" t="s">
        <v>1267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773">
        <f t="shared" si="22"/>
        <v>227</v>
      </c>
      <c r="C244" s="192" t="s">
        <v>1302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773">
        <f t="shared" si="22"/>
        <v>228</v>
      </c>
      <c r="C245" s="192" t="s">
        <v>1244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773">
        <f t="shared" si="22"/>
        <v>229</v>
      </c>
      <c r="C246" s="192" t="s">
        <v>1315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773">
        <f t="shared" si="22"/>
        <v>230</v>
      </c>
      <c r="C247" s="192" t="s">
        <v>1242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773">
        <f t="shared" si="22"/>
        <v>231</v>
      </c>
      <c r="C248" s="297" t="s">
        <v>1217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773">
        <f t="shared" si="22"/>
        <v>232</v>
      </c>
      <c r="C249" s="192" t="s">
        <v>1271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773">
        <f t="shared" si="22"/>
        <v>233</v>
      </c>
      <c r="C250" s="192" t="s">
        <v>1287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773">
        <f t="shared" si="22"/>
        <v>234</v>
      </c>
      <c r="C251" s="192" t="s">
        <v>1338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773">
        <f t="shared" si="22"/>
        <v>235</v>
      </c>
      <c r="C252" s="189" t="s">
        <v>1230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773">
        <f t="shared" si="22"/>
        <v>236</v>
      </c>
      <c r="C253" s="297" t="s">
        <v>1218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773">
        <f t="shared" si="22"/>
        <v>237</v>
      </c>
      <c r="C254" s="192" t="s">
        <v>1293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773">
        <f t="shared" si="22"/>
        <v>238</v>
      </c>
      <c r="C255" s="192" t="s">
        <v>1288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773">
        <f t="shared" si="22"/>
        <v>239</v>
      </c>
      <c r="C256" s="192" t="s">
        <v>1307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773">
        <f t="shared" si="22"/>
        <v>240</v>
      </c>
      <c r="C257" s="189" t="s">
        <v>1222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773">
        <f t="shared" si="22"/>
        <v>241</v>
      </c>
      <c r="C258" s="192" t="s">
        <v>1261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773">
        <f t="shared" si="22"/>
        <v>242</v>
      </c>
      <c r="C259" s="192" t="s">
        <v>1306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773">
        <f t="shared" si="22"/>
        <v>243</v>
      </c>
      <c r="C260" s="192" t="s">
        <v>1249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773">
        <f t="shared" si="22"/>
        <v>244</v>
      </c>
      <c r="C261" s="192" t="s">
        <v>1303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773">
        <f t="shared" si="22"/>
        <v>245</v>
      </c>
      <c r="C262" s="189" t="s">
        <v>1229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773">
        <f t="shared" si="22"/>
        <v>246</v>
      </c>
      <c r="C263" s="192" t="s">
        <v>1243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773">
        <f t="shared" si="22"/>
        <v>247</v>
      </c>
      <c r="C264" s="192" t="s">
        <v>1286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773">
        <f t="shared" si="22"/>
        <v>248</v>
      </c>
      <c r="C265" s="192" t="s">
        <v>1336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773">
        <f t="shared" ref="B266:B329" si="26">IF(C266&lt;&gt;"",B265+1,"")</f>
        <v>249</v>
      </c>
      <c r="C266" s="192" t="s">
        <v>1330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773">
        <f t="shared" si="26"/>
        <v>250</v>
      </c>
      <c r="C267" s="192" t="s">
        <v>1308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773">
        <f t="shared" si="26"/>
        <v>251</v>
      </c>
      <c r="C268" s="192" t="s">
        <v>1329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773">
        <f t="shared" si="26"/>
        <v>252</v>
      </c>
      <c r="C269" s="189" t="s">
        <v>1236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773">
        <f t="shared" si="26"/>
        <v>253</v>
      </c>
      <c r="C270" s="192" t="s">
        <v>1252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773">
        <f t="shared" si="26"/>
        <v>254</v>
      </c>
      <c r="C271" s="192" t="s">
        <v>1250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773">
        <f t="shared" si="26"/>
        <v>255</v>
      </c>
      <c r="C272" s="192" t="s">
        <v>1295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773">
        <f t="shared" si="26"/>
        <v>256</v>
      </c>
      <c r="C273" s="192" t="s">
        <v>1311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773">
        <f t="shared" si="26"/>
        <v>257</v>
      </c>
      <c r="C274" s="192" t="s">
        <v>1328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773">
        <f t="shared" si="26"/>
        <v>258</v>
      </c>
      <c r="C275" s="192" t="s">
        <v>1321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773">
        <f t="shared" si="26"/>
        <v>259</v>
      </c>
      <c r="C276" s="189" t="s">
        <v>1227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773">
        <f t="shared" si="26"/>
        <v>260</v>
      </c>
      <c r="C277" s="192" t="s">
        <v>1256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773">
        <f t="shared" si="26"/>
        <v>261</v>
      </c>
      <c r="C278" s="192" t="s">
        <v>1298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773">
        <f t="shared" si="26"/>
        <v>262</v>
      </c>
      <c r="C279" s="192" t="s">
        <v>1294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773">
        <f t="shared" si="26"/>
        <v>263</v>
      </c>
      <c r="C280" s="189" t="s">
        <v>1233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773">
        <f t="shared" si="26"/>
        <v>264</v>
      </c>
      <c r="C281" s="192" t="s">
        <v>1259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773">
        <f t="shared" si="26"/>
        <v>265</v>
      </c>
      <c r="C282" s="192" t="s">
        <v>1266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773">
        <f t="shared" si="26"/>
        <v>266</v>
      </c>
      <c r="C283" s="192" t="s">
        <v>1245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773">
        <f t="shared" si="26"/>
        <v>267</v>
      </c>
      <c r="C284" s="192" t="s">
        <v>1301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773">
        <f t="shared" si="26"/>
        <v>268</v>
      </c>
      <c r="C285" s="192" t="s">
        <v>1304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773">
        <f t="shared" si="26"/>
        <v>269</v>
      </c>
      <c r="C286" s="192" t="s">
        <v>1264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773">
        <f t="shared" si="26"/>
        <v>270</v>
      </c>
      <c r="C287" s="192" t="s">
        <v>1278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773">
        <f t="shared" si="26"/>
        <v>271</v>
      </c>
      <c r="C288" s="192" t="s">
        <v>1251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773">
        <f t="shared" si="26"/>
        <v>272</v>
      </c>
      <c r="C289" s="192" t="s">
        <v>1254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773">
        <f t="shared" si="26"/>
        <v>273</v>
      </c>
      <c r="C290" s="192" t="s">
        <v>1282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773">
        <f t="shared" si="26"/>
        <v>274</v>
      </c>
      <c r="C291" s="192" t="s">
        <v>1325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773">
        <f t="shared" si="26"/>
        <v>275</v>
      </c>
      <c r="C292" s="297" t="s">
        <v>1224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773">
        <f t="shared" si="26"/>
        <v>276</v>
      </c>
      <c r="C293" s="192" t="s">
        <v>1296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773">
        <f t="shared" si="26"/>
        <v>277</v>
      </c>
      <c r="C294" s="192" t="s">
        <v>1300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773">
        <f t="shared" si="26"/>
        <v>278</v>
      </c>
      <c r="C295" s="192" t="s">
        <v>1246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773">
        <f t="shared" si="26"/>
        <v>279</v>
      </c>
      <c r="C296" s="297" t="s">
        <v>1225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773">
        <f t="shared" si="26"/>
        <v>280</v>
      </c>
      <c r="C297" s="192" t="s">
        <v>1326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773">
        <f t="shared" si="26"/>
        <v>281</v>
      </c>
      <c r="C298" s="192" t="s">
        <v>1327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773">
        <f t="shared" si="26"/>
        <v>282</v>
      </c>
      <c r="C299" s="192" t="s">
        <v>1237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773">
        <f t="shared" si="26"/>
        <v>283</v>
      </c>
      <c r="C300" s="189" t="s">
        <v>1232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773">
        <f t="shared" si="26"/>
        <v>284</v>
      </c>
      <c r="C301" s="189" t="s">
        <v>1223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773">
        <f t="shared" si="26"/>
        <v>285</v>
      </c>
      <c r="C302" s="192" t="s">
        <v>1270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773">
        <f t="shared" si="26"/>
        <v>286</v>
      </c>
      <c r="C303" s="192" t="s">
        <v>1320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773">
        <f t="shared" si="26"/>
        <v>287</v>
      </c>
      <c r="C304" s="192" t="s">
        <v>1247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773">
        <f t="shared" si="26"/>
        <v>288</v>
      </c>
      <c r="C305" s="189" t="s">
        <v>1226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773">
        <f t="shared" si="26"/>
        <v>289</v>
      </c>
      <c r="C306" s="192" t="s">
        <v>1255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773">
        <f t="shared" si="26"/>
        <v>290</v>
      </c>
      <c r="C307" s="192" t="s">
        <v>1324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773">
        <f t="shared" si="26"/>
        <v>291</v>
      </c>
      <c r="C308" s="192" t="s">
        <v>1262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773">
        <f t="shared" si="26"/>
        <v>292</v>
      </c>
      <c r="C309" s="192" t="s">
        <v>1339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773">
        <f t="shared" si="26"/>
        <v>293</v>
      </c>
      <c r="C310" s="189" t="s">
        <v>1220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773">
        <f t="shared" si="26"/>
        <v>294</v>
      </c>
      <c r="C311" s="189" t="s">
        <v>1235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773">
        <f t="shared" si="26"/>
        <v>295</v>
      </c>
      <c r="C312" s="192" t="s">
        <v>1297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773">
        <f t="shared" si="26"/>
        <v>296</v>
      </c>
      <c r="C313" s="192" t="s">
        <v>1260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773">
        <f t="shared" si="26"/>
        <v>297</v>
      </c>
      <c r="C314" s="192" t="s">
        <v>1319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773">
        <f t="shared" si="26"/>
        <v>298</v>
      </c>
      <c r="C315" s="192" t="s">
        <v>1276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773">
        <f t="shared" si="26"/>
        <v>299</v>
      </c>
      <c r="C316" s="192" t="s">
        <v>1313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773">
        <f t="shared" si="26"/>
        <v>300</v>
      </c>
      <c r="C317" s="192" t="s">
        <v>1265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773">
        <f t="shared" si="26"/>
        <v>301</v>
      </c>
      <c r="C318" s="192" t="s">
        <v>1291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773">
        <f t="shared" si="26"/>
        <v>302</v>
      </c>
      <c r="C319" s="192" t="s">
        <v>1289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773">
        <f t="shared" si="26"/>
        <v>303</v>
      </c>
      <c r="C320" s="189" t="s">
        <v>1228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773">
        <f t="shared" si="26"/>
        <v>304</v>
      </c>
      <c r="C321" s="192" t="s">
        <v>1248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773">
        <f t="shared" si="26"/>
        <v>305</v>
      </c>
      <c r="C322" s="192" t="s">
        <v>1333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773">
        <f t="shared" si="26"/>
        <v>306</v>
      </c>
      <c r="C323" s="192" t="s">
        <v>1335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773">
        <f t="shared" si="26"/>
        <v>307</v>
      </c>
      <c r="C324" s="192" t="s">
        <v>1277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773">
        <f t="shared" si="26"/>
        <v>308</v>
      </c>
      <c r="C325" s="192" t="s">
        <v>1334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773">
        <f t="shared" si="26"/>
        <v>309</v>
      </c>
      <c r="C326" s="192" t="s">
        <v>727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773">
        <f t="shared" si="26"/>
        <v>310</v>
      </c>
      <c r="C327" s="192" t="s">
        <v>1268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773">
        <f t="shared" si="26"/>
        <v>311</v>
      </c>
      <c r="C328" s="192" t="s">
        <v>1317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773">
        <f t="shared" si="26"/>
        <v>312</v>
      </c>
      <c r="C329" s="192" t="s">
        <v>726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773">
        <f t="shared" ref="B330:B341" si="30">IF(C330&lt;&gt;"",B329+1,"")</f>
        <v>313</v>
      </c>
      <c r="C330" s="192" t="s">
        <v>762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773">
        <f t="shared" si="30"/>
        <v>314</v>
      </c>
      <c r="C331" s="192" t="s">
        <v>1309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773">
        <f t="shared" si="30"/>
        <v>315</v>
      </c>
      <c r="C332" s="192" t="s">
        <v>812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773">
        <f t="shared" si="30"/>
        <v>316</v>
      </c>
      <c r="C333" s="192" t="s">
        <v>803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773">
        <f t="shared" si="30"/>
        <v>317</v>
      </c>
      <c r="C334" s="192" t="s">
        <v>802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773">
        <f t="shared" si="30"/>
        <v>318</v>
      </c>
      <c r="C335" s="192" t="s">
        <v>801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773">
        <f t="shared" si="30"/>
        <v>319</v>
      </c>
      <c r="C336" s="192" t="s">
        <v>798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773">
        <f t="shared" si="30"/>
        <v>320</v>
      </c>
      <c r="C337" s="192" t="s">
        <v>733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773">
        <f t="shared" si="30"/>
        <v>321</v>
      </c>
      <c r="C338" s="192" t="s">
        <v>730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773">
        <f t="shared" si="30"/>
        <v>322</v>
      </c>
      <c r="C339" s="192" t="s">
        <v>827</v>
      </c>
      <c r="D339" s="296" t="s">
        <v>523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773">
        <f t="shared" si="30"/>
        <v>323</v>
      </c>
      <c r="C340" s="192" t="s">
        <v>825</v>
      </c>
      <c r="D340" s="296" t="s">
        <v>523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773">
        <f t="shared" si="30"/>
        <v>324</v>
      </c>
      <c r="C341" s="192" t="s">
        <v>828</v>
      </c>
      <c r="D341" s="296" t="s">
        <v>523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773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79"/>
      <c r="C344" s="480"/>
      <c r="D344" s="479"/>
      <c r="E344" s="481"/>
      <c r="F344" s="481">
        <f>F343-CDPS!C20</f>
        <v>0</v>
      </c>
      <c r="G344" s="481"/>
      <c r="H344" s="481">
        <f>H343-CDPS!E20</f>
        <v>0</v>
      </c>
      <c r="I344" s="481"/>
      <c r="J344" s="481">
        <f>J343-CDPS!F20</f>
        <v>0</v>
      </c>
      <c r="K344" s="481"/>
      <c r="L344" s="481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909</v>
      </c>
      <c r="D345" s="304" t="s">
        <v>1718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02" t="s">
        <v>701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697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712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714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699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700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698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716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702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1087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1166</v>
      </c>
      <c r="D356" s="304" t="s">
        <v>1718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1165</v>
      </c>
      <c r="D357" s="304" t="s">
        <v>1718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1164</v>
      </c>
      <c r="D358" s="304" t="s">
        <v>1718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1540</v>
      </c>
      <c r="D359" s="304" t="s">
        <v>1718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908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1460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1086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1211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1545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948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962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1197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961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1203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1535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1192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1185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1214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1072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1202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1459</v>
      </c>
      <c r="D376" s="304" t="s">
        <v>523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1121</v>
      </c>
      <c r="D377" s="304" t="s">
        <v>523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1122</v>
      </c>
      <c r="D378" s="304" t="s">
        <v>523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1187</v>
      </c>
      <c r="D379" s="304" t="s">
        <v>523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1539</v>
      </c>
      <c r="D380" s="304" t="s">
        <v>523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11" t="s">
        <v>1173</v>
      </c>
      <c r="D381" s="304" t="s">
        <v>523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1148</v>
      </c>
      <c r="D382" s="304" t="s">
        <v>523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1141</v>
      </c>
      <c r="D383" s="304" t="s">
        <v>523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1152</v>
      </c>
      <c r="D384" s="304" t="s">
        <v>523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1151</v>
      </c>
      <c r="D385" s="304" t="s">
        <v>523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1142</v>
      </c>
      <c r="D386" s="304" t="s">
        <v>523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1094</v>
      </c>
      <c r="D387" s="304" t="s">
        <v>523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1474</v>
      </c>
      <c r="D388" s="304" t="s">
        <v>523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1506</v>
      </c>
      <c r="D389" s="304" t="s">
        <v>523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1153</v>
      </c>
      <c r="D390" s="304" t="s">
        <v>523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1206</v>
      </c>
      <c r="D391" s="304" t="s">
        <v>523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1204</v>
      </c>
      <c r="D392" s="304" t="s">
        <v>523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1037</v>
      </c>
      <c r="D393" s="304" t="s">
        <v>523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1205</v>
      </c>
      <c r="D394" s="304" t="s">
        <v>523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1123</v>
      </c>
      <c r="D395" s="304" t="s">
        <v>523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1505</v>
      </c>
      <c r="D396" s="304" t="s">
        <v>523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1183</v>
      </c>
      <c r="D397" s="304" t="s">
        <v>523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1508</v>
      </c>
      <c r="D398" s="304" t="s">
        <v>523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1472</v>
      </c>
      <c r="D399" s="304" t="s">
        <v>523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1461</v>
      </c>
      <c r="D400" s="304" t="s">
        <v>523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1088</v>
      </c>
      <c r="D401" s="304" t="s">
        <v>523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1476</v>
      </c>
      <c r="D402" s="304" t="s">
        <v>523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1509</v>
      </c>
      <c r="D403" s="304" t="s">
        <v>523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1180</v>
      </c>
      <c r="D404" s="304" t="s">
        <v>523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1113</v>
      </c>
      <c r="D405" s="304" t="s">
        <v>523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1458</v>
      </c>
      <c r="D406" s="304" t="s">
        <v>523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1511</v>
      </c>
      <c r="D407" s="304" t="s">
        <v>523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1503</v>
      </c>
      <c r="D408" s="304" t="s">
        <v>523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1044</v>
      </c>
      <c r="D409" s="304" t="s">
        <v>523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1188</v>
      </c>
      <c r="D410" s="304" t="s">
        <v>523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1462</v>
      </c>
      <c r="D411" s="304" t="s">
        <v>523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1095</v>
      </c>
      <c r="D412" s="304" t="s">
        <v>523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1175</v>
      </c>
      <c r="D413" s="304" t="s">
        <v>523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1486</v>
      </c>
      <c r="D414" s="304" t="s">
        <v>523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1514</v>
      </c>
      <c r="D415" s="304" t="s">
        <v>523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1068</v>
      </c>
      <c r="D416" s="304" t="s">
        <v>523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1045</v>
      </c>
      <c r="D417" s="304" t="s">
        <v>523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1070</v>
      </c>
      <c r="D418" s="304" t="s">
        <v>523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1116</v>
      </c>
      <c r="D419" s="304" t="s">
        <v>523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1502</v>
      </c>
      <c r="D420" s="304" t="s">
        <v>523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1117</v>
      </c>
      <c r="D421" s="304" t="s">
        <v>523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1463</v>
      </c>
      <c r="D422" s="304" t="s">
        <v>523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1530</v>
      </c>
      <c r="D423" s="304" t="s">
        <v>523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1125</v>
      </c>
      <c r="D424" s="304" t="s">
        <v>523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1195</v>
      </c>
      <c r="D425" s="304" t="s">
        <v>523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1194</v>
      </c>
      <c r="D426" s="304" t="s">
        <v>523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1147</v>
      </c>
      <c r="D427" s="304" t="s">
        <v>523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1520</v>
      </c>
      <c r="D428" s="304" t="s">
        <v>523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1478</v>
      </c>
      <c r="D429" s="304" t="s">
        <v>523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1504</v>
      </c>
      <c r="D430" s="304" t="s">
        <v>523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1107</v>
      </c>
      <c r="D431" s="304" t="s">
        <v>523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1105</v>
      </c>
      <c r="D432" s="304" t="s">
        <v>523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1487</v>
      </c>
      <c r="D433" s="304" t="s">
        <v>523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1490</v>
      </c>
      <c r="D434" s="304" t="s">
        <v>523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1096</v>
      </c>
      <c r="D435" s="304" t="s">
        <v>523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1193</v>
      </c>
      <c r="D436" s="304" t="s">
        <v>523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1135</v>
      </c>
      <c r="D437" s="304" t="s">
        <v>523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1110</v>
      </c>
      <c r="D438" s="304" t="s">
        <v>523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1515</v>
      </c>
      <c r="D439" s="304" t="s">
        <v>523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1477</v>
      </c>
      <c r="D440" s="304" t="s">
        <v>523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1466</v>
      </c>
      <c r="D441" s="304" t="s">
        <v>523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1512</v>
      </c>
      <c r="D442" s="304" t="s">
        <v>523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1489</v>
      </c>
      <c r="D443" s="304" t="s">
        <v>523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1516</v>
      </c>
      <c r="D444" s="304" t="s">
        <v>523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1473</v>
      </c>
      <c r="D445" s="304" t="s">
        <v>523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1115</v>
      </c>
      <c r="D446" s="304" t="s">
        <v>523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1479</v>
      </c>
      <c r="D447" s="304" t="s">
        <v>523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1480</v>
      </c>
      <c r="D448" s="304" t="s">
        <v>523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1517</v>
      </c>
      <c r="D449" s="304" t="s">
        <v>523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1108</v>
      </c>
      <c r="D450" s="304" t="s">
        <v>523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1469</v>
      </c>
      <c r="D451" s="304" t="s">
        <v>523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1109</v>
      </c>
      <c r="D452" s="304" t="s">
        <v>523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1178</v>
      </c>
      <c r="D453" s="304" t="s">
        <v>523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1140</v>
      </c>
      <c r="D454" s="304" t="s">
        <v>523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1500</v>
      </c>
      <c r="D455" s="304" t="s">
        <v>523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1132</v>
      </c>
      <c r="D456" s="304" t="s">
        <v>523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1210</v>
      </c>
      <c r="D457" s="304" t="s">
        <v>523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1213</v>
      </c>
      <c r="D458" s="304" t="s">
        <v>523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1467</v>
      </c>
      <c r="D459" s="304" t="s">
        <v>523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1468</v>
      </c>
      <c r="D460" s="304" t="s">
        <v>523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1093</v>
      </c>
      <c r="D461" s="304" t="s">
        <v>523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1112</v>
      </c>
      <c r="D462" s="304" t="s">
        <v>523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1179</v>
      </c>
      <c r="D463" s="304" t="s">
        <v>523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1111</v>
      </c>
      <c r="D464" s="304" t="s">
        <v>523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1119</v>
      </c>
      <c r="D465" s="304" t="s">
        <v>523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1146</v>
      </c>
      <c r="D466" s="304" t="s">
        <v>523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1521</v>
      </c>
      <c r="D467" s="304" t="s">
        <v>523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1124</v>
      </c>
      <c r="D468" s="304" t="s">
        <v>523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1475</v>
      </c>
      <c r="D469" s="304" t="s">
        <v>523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1483</v>
      </c>
      <c r="D470" s="304" t="s">
        <v>523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1118</v>
      </c>
      <c r="D471" s="304" t="s">
        <v>523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1092</v>
      </c>
      <c r="D472" s="304" t="s">
        <v>523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1120</v>
      </c>
      <c r="D473" s="304" t="s">
        <v>523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1481</v>
      </c>
      <c r="D474" s="304" t="s">
        <v>523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1510</v>
      </c>
      <c r="D475" s="304" t="s">
        <v>523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1532</v>
      </c>
      <c r="D476" s="304" t="s">
        <v>523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1471</v>
      </c>
      <c r="D477" s="304" t="s">
        <v>523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1485</v>
      </c>
      <c r="D478" s="304" t="s">
        <v>523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1501</v>
      </c>
      <c r="D479" s="304" t="s">
        <v>523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1497</v>
      </c>
      <c r="D480" s="304" t="s">
        <v>523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1494</v>
      </c>
      <c r="D481" s="304" t="s">
        <v>523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1513</v>
      </c>
      <c r="D482" s="304" t="s">
        <v>523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1518</v>
      </c>
      <c r="D483" s="304" t="s">
        <v>523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11" t="s">
        <v>1172</v>
      </c>
      <c r="D484" s="304" t="s">
        <v>523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1106</v>
      </c>
      <c r="D485" s="304" t="s">
        <v>523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1464</v>
      </c>
      <c r="D486" s="304" t="s">
        <v>523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1454</v>
      </c>
      <c r="D487" s="304" t="s">
        <v>523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1488</v>
      </c>
      <c r="D488" s="304" t="s">
        <v>523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1493</v>
      </c>
      <c r="D489" s="304" t="s">
        <v>523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1457</v>
      </c>
      <c r="D490" s="304" t="s">
        <v>523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1507</v>
      </c>
      <c r="D491" s="304" t="s">
        <v>523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1491</v>
      </c>
      <c r="D492" s="304" t="s">
        <v>523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1519</v>
      </c>
      <c r="D493" s="304" t="s">
        <v>523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1155</v>
      </c>
      <c r="D494" s="304" t="s">
        <v>523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1498</v>
      </c>
      <c r="D495" s="304" t="s">
        <v>523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1523</v>
      </c>
      <c r="D496" s="304" t="s">
        <v>523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1531</v>
      </c>
      <c r="D497" s="304" t="s">
        <v>523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1484</v>
      </c>
      <c r="D498" s="304" t="s">
        <v>523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1482</v>
      </c>
      <c r="D499" s="304" t="s">
        <v>523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1499</v>
      </c>
      <c r="D500" s="304" t="s">
        <v>523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1495</v>
      </c>
      <c r="D501" s="304" t="s">
        <v>523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1492</v>
      </c>
      <c r="D502" s="304" t="s">
        <v>523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1525</v>
      </c>
      <c r="D503" s="304" t="s">
        <v>523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1456</v>
      </c>
      <c r="D504" s="304" t="s">
        <v>523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1453</v>
      </c>
      <c r="D505" s="304" t="s">
        <v>523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1455</v>
      </c>
      <c r="D506" s="304" t="s">
        <v>523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1186</v>
      </c>
      <c r="D507" s="304" t="s">
        <v>523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1130</v>
      </c>
      <c r="D508" s="304" t="s">
        <v>523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11" t="s">
        <v>1169</v>
      </c>
      <c r="D509" s="304" t="s">
        <v>523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1127</v>
      </c>
      <c r="D510" s="304" t="s">
        <v>523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11" t="s">
        <v>1168</v>
      </c>
      <c r="D511" s="304" t="s">
        <v>523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1101</v>
      </c>
      <c r="D512" s="304" t="s">
        <v>523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11" t="s">
        <v>1170</v>
      </c>
      <c r="D513" s="304" t="s">
        <v>523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11" t="s">
        <v>1167</v>
      </c>
      <c r="D514" s="304" t="s">
        <v>523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11" t="s">
        <v>1171</v>
      </c>
      <c r="D515" s="304" t="s">
        <v>523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1176</v>
      </c>
      <c r="D516" s="304" t="s">
        <v>523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1207</v>
      </c>
      <c r="D517" s="304" t="s">
        <v>523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1008</v>
      </c>
      <c r="D518" s="304" t="s">
        <v>523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1136</v>
      </c>
      <c r="D519" s="304" t="s">
        <v>523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1126</v>
      </c>
      <c r="D520" s="304" t="s">
        <v>523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1128</v>
      </c>
      <c r="D521" s="304" t="s">
        <v>523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1138</v>
      </c>
      <c r="D522" s="304" t="s">
        <v>523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1137</v>
      </c>
      <c r="D523" s="304" t="s">
        <v>523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1129</v>
      </c>
      <c r="D524" s="304" t="s">
        <v>523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1139</v>
      </c>
      <c r="D525" s="304" t="s">
        <v>523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1150</v>
      </c>
      <c r="D526" s="304" t="s">
        <v>523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1145</v>
      </c>
      <c r="D527" s="304" t="s">
        <v>523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1149</v>
      </c>
      <c r="D528" s="304" t="s">
        <v>523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1156</v>
      </c>
      <c r="D529" s="304" t="s">
        <v>523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11" t="s">
        <v>1163</v>
      </c>
      <c r="D530" s="304" t="s">
        <v>523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11" t="s">
        <v>1162</v>
      </c>
      <c r="D531" s="304" t="s">
        <v>523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1212</v>
      </c>
      <c r="D532" s="304" t="s">
        <v>523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1100</v>
      </c>
      <c r="D533" s="304" t="s">
        <v>523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1181</v>
      </c>
      <c r="D534" s="304" t="s">
        <v>523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1209</v>
      </c>
      <c r="D535" s="304" t="s">
        <v>523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1134</v>
      </c>
      <c r="D536" s="304" t="s">
        <v>523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1534</v>
      </c>
      <c r="D537" s="304" t="s">
        <v>523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1465</v>
      </c>
      <c r="D538" s="304" t="s">
        <v>523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527</v>
      </c>
      <c r="D539" s="304" t="s">
        <v>523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927</v>
      </c>
      <c r="D540" s="304" t="s">
        <v>523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1177</v>
      </c>
      <c r="D541" s="304" t="s">
        <v>523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1103</v>
      </c>
      <c r="D542" s="304" t="s">
        <v>523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1097</v>
      </c>
      <c r="D543" s="304" t="s">
        <v>523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1012</v>
      </c>
      <c r="D544" s="304" t="s">
        <v>523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1143</v>
      </c>
      <c r="D545" s="304" t="s">
        <v>523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1144</v>
      </c>
      <c r="D546" s="304" t="s">
        <v>523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11" t="s">
        <v>1104</v>
      </c>
      <c r="D547" s="304" t="s">
        <v>523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1198</v>
      </c>
      <c r="D548" s="304" t="s">
        <v>523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1199</v>
      </c>
      <c r="D549" s="304" t="s">
        <v>523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1159</v>
      </c>
      <c r="D550" s="304" t="s">
        <v>523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1098</v>
      </c>
      <c r="D551" s="304" t="s">
        <v>523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1099</v>
      </c>
      <c r="D552" s="304" t="s">
        <v>523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1102</v>
      </c>
      <c r="D553" s="304" t="s">
        <v>523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1196</v>
      </c>
      <c r="D554" s="304" t="s">
        <v>523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1182</v>
      </c>
      <c r="D555" s="304" t="s">
        <v>523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1158</v>
      </c>
      <c r="D556" s="304" t="s">
        <v>523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952</v>
      </c>
      <c r="D557" s="304" t="s">
        <v>523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1089</v>
      </c>
      <c r="D558" s="304" t="s">
        <v>523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1184</v>
      </c>
      <c r="D559" s="304" t="s">
        <v>523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1161</v>
      </c>
      <c r="D560" s="304" t="s">
        <v>523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1208</v>
      </c>
      <c r="D561" s="304" t="s">
        <v>523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1160</v>
      </c>
      <c r="D562" s="304" t="s">
        <v>523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1114</v>
      </c>
      <c r="D563" s="304" t="s">
        <v>523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1090</v>
      </c>
      <c r="D564" s="304" t="s">
        <v>523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1091</v>
      </c>
      <c r="D565" s="304" t="s">
        <v>523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1133</v>
      </c>
      <c r="D566" s="304" t="s">
        <v>523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1200</v>
      </c>
      <c r="D567" s="304" t="s">
        <v>523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1714</v>
      </c>
      <c r="D568" s="304" t="s">
        <v>523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526</v>
      </c>
      <c r="D569" s="304" t="s">
        <v>523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1189</v>
      </c>
      <c r="D570" s="304" t="s">
        <v>523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900</v>
      </c>
      <c r="D571" s="304" t="s">
        <v>523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1538</v>
      </c>
      <c r="D572" s="304" t="s">
        <v>523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910</v>
      </c>
      <c r="D573" s="304" t="s">
        <v>523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1073</v>
      </c>
      <c r="D574" s="304" t="s">
        <v>523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1057</v>
      </c>
      <c r="D575" s="304" t="s">
        <v>523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1052</v>
      </c>
      <c r="D576" s="304" t="s">
        <v>523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1058</v>
      </c>
      <c r="D577" s="304" t="s">
        <v>523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1055</v>
      </c>
      <c r="D578" s="304" t="s">
        <v>523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1059</v>
      </c>
      <c r="D579" s="304" t="s">
        <v>523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1056</v>
      </c>
      <c r="D580" s="304" t="s">
        <v>523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1174</v>
      </c>
      <c r="D581" s="304" t="s">
        <v>523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1191</v>
      </c>
      <c r="D582" s="304" t="s">
        <v>523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1032</v>
      </c>
      <c r="D583" s="304" t="s">
        <v>523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1031</v>
      </c>
      <c r="D584" s="304" t="s">
        <v>523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1028</v>
      </c>
      <c r="D585" s="304" t="s">
        <v>523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1030</v>
      </c>
      <c r="D586" s="304" t="s">
        <v>523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0"/>
      <c r="C589" s="480"/>
      <c r="D589" s="479"/>
      <c r="E589" s="481"/>
      <c r="F589" s="481">
        <f>F588-CDPS!C24</f>
        <v>0</v>
      </c>
      <c r="G589" s="481"/>
      <c r="H589" s="481">
        <f>H588-CDPS!E24</f>
        <v>0</v>
      </c>
      <c r="I589" s="481"/>
      <c r="J589" s="481">
        <f>J588-CDPS!F24</f>
        <v>0</v>
      </c>
      <c r="K589" s="481"/>
      <c r="L589" s="481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975"/>
      <c r="D592" s="975"/>
      <c r="E592" s="975"/>
      <c r="F592" s="309"/>
      <c r="G592" s="309"/>
      <c r="H592" s="309"/>
      <c r="I592" s="309"/>
      <c r="J592" s="975" t="s">
        <v>218</v>
      </c>
      <c r="K592" s="975"/>
      <c r="L592" s="975"/>
    </row>
    <row r="593" spans="3:12" ht="19.5" customHeight="1">
      <c r="C593" s="310" t="s">
        <v>11</v>
      </c>
      <c r="D593" s="310"/>
      <c r="E593" s="310"/>
      <c r="F593" s="975" t="s">
        <v>12</v>
      </c>
      <c r="G593" s="975"/>
      <c r="H593" s="975"/>
      <c r="I593" s="309"/>
      <c r="J593" s="975" t="s">
        <v>110</v>
      </c>
      <c r="K593" s="975"/>
      <c r="L593" s="975"/>
    </row>
    <row r="594" spans="3:12" ht="19.5" customHeight="1">
      <c r="C594" s="310" t="s">
        <v>13</v>
      </c>
      <c r="D594" s="310" t="s">
        <v>219</v>
      </c>
      <c r="E594" s="310"/>
      <c r="F594" s="975" t="s">
        <v>13</v>
      </c>
      <c r="G594" s="975"/>
      <c r="H594" s="975"/>
      <c r="I594" s="288"/>
      <c r="J594" s="975" t="s">
        <v>138</v>
      </c>
      <c r="K594" s="975"/>
      <c r="L594" s="975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4:H594"/>
    <mergeCell ref="J594:L594"/>
    <mergeCell ref="C592:E592"/>
    <mergeCell ref="J592:L592"/>
    <mergeCell ref="F593:H593"/>
    <mergeCell ref="J593:L593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986" t="s">
        <v>190</v>
      </c>
      <c r="B5" s="986"/>
      <c r="C5" s="986"/>
      <c r="D5" s="986"/>
      <c r="E5" s="986"/>
      <c r="F5" s="986"/>
      <c r="G5" s="986"/>
      <c r="H5" s="986"/>
      <c r="I5" s="986"/>
      <c r="J5" s="986"/>
      <c r="K5" s="986"/>
      <c r="L5" s="986"/>
      <c r="M5" s="986"/>
      <c r="N5" s="986"/>
    </row>
    <row r="6" spans="1:14">
      <c r="A6" s="987" t="s">
        <v>166</v>
      </c>
      <c r="B6" s="987" t="s">
        <v>191</v>
      </c>
      <c r="C6" s="987"/>
      <c r="D6" s="987"/>
      <c r="E6" s="987"/>
      <c r="F6" s="987"/>
      <c r="G6" s="987"/>
      <c r="H6" s="987"/>
      <c r="I6" s="987"/>
      <c r="J6" s="987"/>
      <c r="K6" s="987"/>
      <c r="L6" s="987"/>
      <c r="M6" s="987"/>
      <c r="N6" s="987"/>
    </row>
    <row r="7" spans="1:14">
      <c r="C7" s="988"/>
      <c r="D7" s="988"/>
      <c r="E7" s="988"/>
      <c r="F7" s="988"/>
      <c r="G7" s="988"/>
      <c r="H7" s="988"/>
      <c r="I7" s="988"/>
      <c r="J7" s="988"/>
      <c r="K7" s="988"/>
      <c r="L7" s="988"/>
      <c r="M7" s="988"/>
      <c r="N7" s="988"/>
    </row>
    <row r="8" spans="1:14" ht="15.75" customHeight="1">
      <c r="A8" s="989" t="s">
        <v>20</v>
      </c>
      <c r="B8" s="990" t="s">
        <v>1</v>
      </c>
      <c r="C8" s="991"/>
      <c r="D8" s="989" t="s">
        <v>0</v>
      </c>
      <c r="E8" s="989" t="s">
        <v>14</v>
      </c>
      <c r="F8" s="994" t="s">
        <v>21</v>
      </c>
      <c r="G8" s="994"/>
      <c r="H8" s="994"/>
      <c r="I8" s="994"/>
      <c r="J8" s="994"/>
      <c r="K8" s="994"/>
      <c r="L8" s="994" t="s">
        <v>31</v>
      </c>
      <c r="M8" s="994"/>
      <c r="N8" s="994"/>
    </row>
    <row r="9" spans="1:14" ht="15.75" customHeight="1">
      <c r="A9" s="989"/>
      <c r="B9" s="992"/>
      <c r="C9" s="993"/>
      <c r="D9" s="989"/>
      <c r="E9" s="989"/>
      <c r="F9" s="994" t="s">
        <v>192</v>
      </c>
      <c r="G9" s="994"/>
      <c r="H9" s="994"/>
      <c r="I9" s="994" t="s">
        <v>193</v>
      </c>
      <c r="J9" s="994"/>
      <c r="K9" s="994"/>
      <c r="L9" s="989" t="s">
        <v>194</v>
      </c>
      <c r="M9" s="989" t="s">
        <v>195</v>
      </c>
      <c r="N9" s="989" t="s">
        <v>196</v>
      </c>
    </row>
    <row r="10" spans="1:14" ht="15.75" customHeight="1">
      <c r="A10" s="989"/>
      <c r="B10" s="996" t="s">
        <v>15</v>
      </c>
      <c r="C10" s="996" t="s">
        <v>32</v>
      </c>
      <c r="D10" s="989"/>
      <c r="E10" s="989"/>
      <c r="F10" s="998" t="s">
        <v>194</v>
      </c>
      <c r="G10" s="998" t="s">
        <v>195</v>
      </c>
      <c r="H10" s="998" t="s">
        <v>196</v>
      </c>
      <c r="I10" s="998" t="s">
        <v>194</v>
      </c>
      <c r="J10" s="998" t="s">
        <v>195</v>
      </c>
      <c r="K10" s="998" t="s">
        <v>196</v>
      </c>
      <c r="L10" s="995"/>
      <c r="M10" s="995"/>
      <c r="N10" s="995"/>
    </row>
    <row r="11" spans="1:14">
      <c r="A11" s="989"/>
      <c r="B11" s="997"/>
      <c r="C11" s="997"/>
      <c r="D11" s="989"/>
      <c r="E11" s="989"/>
      <c r="F11" s="999"/>
      <c r="G11" s="999"/>
      <c r="H11" s="999"/>
      <c r="I11" s="999"/>
      <c r="J11" s="999"/>
      <c r="K11" s="999"/>
      <c r="L11" s="995"/>
      <c r="M11" s="995"/>
      <c r="N11" s="995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14">
        <v>40634</v>
      </c>
      <c r="B14" s="715" t="s">
        <v>408</v>
      </c>
      <c r="C14" s="714">
        <v>40634</v>
      </c>
      <c r="D14" s="272" t="s">
        <v>518</v>
      </c>
      <c r="E14" s="715" t="s">
        <v>48</v>
      </c>
      <c r="F14" s="272"/>
      <c r="G14" s="272"/>
      <c r="H14" s="272"/>
      <c r="I14" s="349">
        <v>1700000000</v>
      </c>
      <c r="J14" s="272"/>
      <c r="K14" s="272"/>
      <c r="L14" s="718">
        <f>L13+I14-G14</f>
        <v>3600000000</v>
      </c>
      <c r="M14" s="272"/>
      <c r="N14" s="272"/>
    </row>
    <row r="15" spans="1:14">
      <c r="A15" s="714">
        <v>40634</v>
      </c>
      <c r="B15" s="715" t="s">
        <v>409</v>
      </c>
      <c r="C15" s="714">
        <v>40634</v>
      </c>
      <c r="D15" s="273" t="s">
        <v>519</v>
      </c>
      <c r="E15" s="716" t="s">
        <v>48</v>
      </c>
      <c r="F15" s="273"/>
      <c r="G15" s="273"/>
      <c r="H15" s="273"/>
      <c r="I15" s="364">
        <v>100000000</v>
      </c>
      <c r="J15" s="273"/>
      <c r="K15" s="273"/>
      <c r="L15" s="718">
        <f t="shared" ref="L15:L16" si="0">L14+I15-G15</f>
        <v>3700000000</v>
      </c>
      <c r="M15" s="273"/>
      <c r="N15" s="273"/>
    </row>
    <row r="16" spans="1:14">
      <c r="A16" s="714">
        <v>40634</v>
      </c>
      <c r="B16" s="715" t="s">
        <v>440</v>
      </c>
      <c r="C16" s="714">
        <v>40634</v>
      </c>
      <c r="D16" s="273" t="s">
        <v>520</v>
      </c>
      <c r="E16" s="716" t="s">
        <v>48</v>
      </c>
      <c r="F16" s="273"/>
      <c r="G16" s="273"/>
      <c r="H16" s="273"/>
      <c r="I16" s="364">
        <v>100000000</v>
      </c>
      <c r="J16" s="273"/>
      <c r="K16" s="273"/>
      <c r="L16" s="718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4" t="s">
        <v>19</v>
      </c>
      <c r="F18" s="275"/>
      <c r="G18" s="275"/>
      <c r="H18" s="275"/>
      <c r="I18" s="717">
        <f>SUM(I13:I17)</f>
        <v>1900000000</v>
      </c>
      <c r="J18" s="275"/>
      <c r="K18" s="275"/>
      <c r="L18" s="719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5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985" t="s">
        <v>199</v>
      </c>
      <c r="F23" s="985"/>
      <c r="G23" s="985"/>
      <c r="H23" s="985"/>
      <c r="I23" s="985"/>
      <c r="J23" s="985"/>
      <c r="K23" s="985"/>
      <c r="L23" s="985"/>
      <c r="M23" s="985"/>
      <c r="N23" s="985"/>
    </row>
    <row r="24" spans="1:14">
      <c r="A24" s="985" t="s">
        <v>11</v>
      </c>
      <c r="B24" s="985"/>
      <c r="C24" s="985"/>
      <c r="D24" s="985"/>
      <c r="E24" s="985" t="s">
        <v>12</v>
      </c>
      <c r="F24" s="985"/>
      <c r="G24" s="985"/>
      <c r="H24" s="985"/>
      <c r="I24" s="985"/>
      <c r="J24" s="985"/>
      <c r="K24" s="985"/>
      <c r="L24" s="985"/>
      <c r="M24" s="985"/>
      <c r="N24" s="985"/>
    </row>
    <row r="25" spans="1:14">
      <c r="A25" s="985" t="s">
        <v>13</v>
      </c>
      <c r="B25" s="985"/>
      <c r="C25" s="985"/>
      <c r="D25" s="985"/>
      <c r="E25" s="985" t="s">
        <v>13</v>
      </c>
      <c r="F25" s="985"/>
      <c r="G25" s="985"/>
      <c r="H25" s="985"/>
      <c r="I25" s="985"/>
      <c r="J25" s="985"/>
      <c r="K25" s="985"/>
      <c r="L25" s="985"/>
      <c r="M25" s="985"/>
      <c r="N25" s="985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74" customFormat="1" ht="12" customHeight="1">
      <c r="A2" s="673" t="str">
        <f>TH!A1</f>
        <v>Đơn vị: CÔNG TY TNHH SX TM KIM DUNG PHÁT</v>
      </c>
      <c r="G2" s="675" t="str">
        <f>+IF(LEFT($D$7,1)="N","Mẫu số 01 - VT","Mẫu số 02 - VT")</f>
        <v>Mẫu số 02 - VT</v>
      </c>
    </row>
    <row r="3" spans="1:17" s="674" customFormat="1" ht="12" customHeight="1">
      <c r="A3" s="67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5" t="s">
        <v>105</v>
      </c>
      <c r="O3" s="677"/>
      <c r="P3" s="678">
        <f>IF(J5="Quý I",1,IF(J5="Quý II",4,IF(J5="Quý III",7,IF(J5="Quý IV",10,""))))</f>
        <v>1</v>
      </c>
      <c r="Q3" s="678">
        <f>IF(J5="Quý I",3,IF(J5="Quý II",6,IF(J5="Quý III",9,IF(J5="Quý IV",12,""))))</f>
        <v>3</v>
      </c>
    </row>
    <row r="4" spans="1:17" s="67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9"/>
      <c r="M4" s="680"/>
      <c r="N4" s="675" t="s">
        <v>106</v>
      </c>
      <c r="O4" s="677"/>
    </row>
    <row r="5" spans="1:17" ht="18" customHeight="1" thickBot="1">
      <c r="D5" s="315" t="str">
        <f>+IF(LEFT($L$5,1)="N","PHIẾU NHẬP KHO","PHIẾU XUẤT KHO")</f>
        <v>PHIẾU XUẤT KHO</v>
      </c>
      <c r="J5" s="670" t="s">
        <v>1721</v>
      </c>
      <c r="K5" s="316"/>
      <c r="L5" s="671" t="s">
        <v>1719</v>
      </c>
      <c r="M5" s="317"/>
      <c r="N5" s="672">
        <v>29</v>
      </c>
      <c r="O5" s="312"/>
      <c r="P5" s="312"/>
    </row>
    <row r="6" spans="1:17" ht="11.25" customHeight="1">
      <c r="D6" s="68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683"/>
      <c r="M6" s="314"/>
      <c r="O6" s="312"/>
    </row>
    <row r="7" spans="1:17" ht="11.25" customHeight="1">
      <c r="C7" s="684" t="str">
        <f xml:space="preserve"> "Số:"</f>
        <v>Số:</v>
      </c>
      <c r="D7" s="685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686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00" t="s">
        <v>35</v>
      </c>
      <c r="B14" s="1000" t="s">
        <v>220</v>
      </c>
      <c r="C14" s="1000" t="s">
        <v>221</v>
      </c>
      <c r="D14" s="1000" t="s">
        <v>210</v>
      </c>
      <c r="E14" s="1002" t="s">
        <v>222</v>
      </c>
      <c r="F14" s="1002"/>
      <c r="G14" s="1000" t="s">
        <v>223</v>
      </c>
      <c r="H14" s="1000" t="s">
        <v>224</v>
      </c>
    </row>
    <row r="15" spans="1:17" ht="10.5" customHeight="1">
      <c r="A15" s="1001"/>
      <c r="B15" s="1001"/>
      <c r="C15" s="1001"/>
      <c r="D15" s="1001"/>
      <c r="E15" s="687" t="s">
        <v>225</v>
      </c>
      <c r="F15" s="687" t="str">
        <f>IF(LEFT($D$7,1)="N","Thực nhập","Thực xuất")</f>
        <v>Thực xuất</v>
      </c>
      <c r="G15" s="1001"/>
      <c r="H15" s="1001"/>
    </row>
    <row r="16" spans="1:17" s="71" customFormat="1" ht="8.25" customHeight="1">
      <c r="A16" s="688" t="s">
        <v>2</v>
      </c>
      <c r="B16" s="688" t="s">
        <v>3</v>
      </c>
      <c r="C16" s="688" t="s">
        <v>4</v>
      </c>
      <c r="D16" s="688" t="s">
        <v>5</v>
      </c>
      <c r="E16" s="688">
        <v>1</v>
      </c>
      <c r="F16" s="688">
        <v>2</v>
      </c>
      <c r="G16" s="688">
        <v>3</v>
      </c>
      <c r="H16" s="688">
        <v>4</v>
      </c>
    </row>
    <row r="17" spans="1:8" ht="11.25" customHeight="1">
      <c r="A17" s="689">
        <f ca="1">IF(B17="","",ROW()-16)</f>
        <v>1</v>
      </c>
      <c r="B17" s="690" t="str">
        <f ca="1">IF(ROWS($1:1)&gt;COUNT(Dong10),"",OFFSET(TH!F$1,SMALL(Dong10,ROWS($1:1)),))</f>
        <v>Thùng (520x265x265)</v>
      </c>
      <c r="C17" s="691"/>
      <c r="D17" s="692" t="str">
        <f ca="1">IF(ISNA(VLOOKUP(B17,NXT!$C$12:$D$587,2,0)),"",VLOOKUP(B17,NXT!$C$12:$D$587,2,0))</f>
        <v>cái</v>
      </c>
      <c r="E17" s="693"/>
      <c r="F17" s="694">
        <f ca="1">IF(ROWS($1:1)&gt;COUNT(Dong10),"",OFFSET(TH!I$1,SMALL(Dong10,ROWS($1:1)),))</f>
        <v>1277</v>
      </c>
      <c r="G17" s="695">
        <f ca="1">IF(ROWS($1:1)&gt;COUNT(Dong10),"",OFFSET(TH!J$1,SMALL(Dong10,ROWS($1:1)),))</f>
        <v>6210</v>
      </c>
      <c r="H17" s="693">
        <f ca="1">IF(F17&lt;&gt;"",ROUND(F17*G17,0),0)</f>
        <v>7930170</v>
      </c>
    </row>
    <row r="18" spans="1:8" ht="11.25" customHeight="1">
      <c r="A18" s="689">
        <f t="shared" ref="A18:A20" ca="1" si="0">IF(B18="","",A17+1)</f>
        <v>2</v>
      </c>
      <c r="B18" s="690" t="str">
        <f ca="1">IF(ROWS($1:2)&gt;COUNT(Dong10),"",OFFSET(TH!F$1,SMALL(Dong10,ROWS($1:2)),))</f>
        <v>Thùng (520x320x210)</v>
      </c>
      <c r="C18" s="691"/>
      <c r="D18" s="692" t="str">
        <f ca="1">IF(ISNA(VLOOKUP(B18,NXT!$C$12:$D$587,2,0)),"",VLOOKUP(B18,NXT!$C$12:$D$587,2,0))</f>
        <v>cái</v>
      </c>
      <c r="E18" s="693"/>
      <c r="F18" s="694">
        <f ca="1">IF(ROWS($1:2)&gt;COUNT(Dong10),"",OFFSET(TH!I$1,SMALL(Dong10,ROWS($1:2)),))</f>
        <v>1305</v>
      </c>
      <c r="G18" s="695">
        <f ca="1">IF(ROWS($1:2)&gt;COUNT(Dong10),"",OFFSET(TH!J$1,SMALL(Dong10,ROWS($1:2)),))</f>
        <v>6630</v>
      </c>
      <c r="H18" s="693">
        <f t="shared" ref="H18:H23" ca="1" si="1">IF(F18&lt;&gt;"",ROUND(F18*G18,0),0)</f>
        <v>8652150</v>
      </c>
    </row>
    <row r="19" spans="1:8" ht="11.25" customHeight="1">
      <c r="A19" s="689">
        <f t="shared" ca="1" si="0"/>
        <v>3</v>
      </c>
      <c r="B19" s="690" t="str">
        <f ca="1">IF(ROWS($1:3)&gt;COUNT(Dong10),"",OFFSET(TH!F$1,SMALL(Dong10,ROWS($1:3)),))</f>
        <v>Thùng (500x250x360)</v>
      </c>
      <c r="C19" s="691"/>
      <c r="D19" s="692" t="str">
        <f ca="1">IF(ISNA(VLOOKUP(B19,NXT!$C$12:$D$587,2,0)),"",VLOOKUP(B19,NXT!$C$12:$D$587,2,0))</f>
        <v>cái</v>
      </c>
      <c r="E19" s="693"/>
      <c r="F19" s="694">
        <f ca="1">IF(ROWS($1:3)&gt;COUNT(Dong10),"",OFFSET(TH!I$1,SMALL(Dong10,ROWS($1:3)),))</f>
        <v>301</v>
      </c>
      <c r="G19" s="695">
        <f ca="1">IF(ROWS($1:3)&gt;COUNT(Dong10),"",OFFSET(TH!J$1,SMALL(Dong10,ROWS($1:3)),))</f>
        <v>6830</v>
      </c>
      <c r="H19" s="693">
        <f t="shared" ca="1" si="1"/>
        <v>2055830</v>
      </c>
    </row>
    <row r="20" spans="1:8" ht="11.25" customHeight="1">
      <c r="A20" s="689">
        <f t="shared" ca="1" si="0"/>
        <v>4</v>
      </c>
      <c r="B20" s="690" t="str">
        <f ca="1">IF(ROWS($1:4)&gt;COUNT(Dong10),"",OFFSET(TH!F$1,SMALL(Dong10,ROWS($1:4)),))</f>
        <v>Thùng (62x51x29)</v>
      </c>
      <c r="C20" s="691"/>
      <c r="D20" s="692" t="str">
        <f ca="1">IF(ISNA(VLOOKUP(B20,NXT!$C$12:$D$587,2,0)),"",VLOOKUP(B20,NXT!$C$12:$D$587,2,0))</f>
        <v>cái</v>
      </c>
      <c r="E20" s="693"/>
      <c r="F20" s="694">
        <f ca="1">IF(ROWS($1:4)&gt;COUNT(Dong10),"",OFFSET(TH!I$1,SMALL(Dong10,ROWS($1:4)),))</f>
        <v>220</v>
      </c>
      <c r="G20" s="695">
        <f ca="1">IF(ROWS($1:4)&gt;COUNT(Dong10),"",OFFSET(TH!J$1,SMALL(Dong10,ROWS($1:4)),))</f>
        <v>13320</v>
      </c>
      <c r="H20" s="693">
        <f t="shared" ca="1" si="1"/>
        <v>2930400</v>
      </c>
    </row>
    <row r="21" spans="1:8" ht="11.25" customHeight="1">
      <c r="A21" s="689" t="str">
        <f t="shared" ref="A21:A23" ca="1" si="2">IF(B21="","",A20+1)</f>
        <v/>
      </c>
      <c r="B21" s="690" t="str">
        <f ca="1">IF(ROWS($1:5)&gt;COUNT(Dong10),"",OFFSET(TH!F$1,SMALL(Dong10,ROWS($1:5)),))</f>
        <v/>
      </c>
      <c r="C21" s="691"/>
      <c r="D21" s="692" t="str">
        <f ca="1">IF(ISNA(VLOOKUP(B21,NXT!$C$12:$D$587,2,0)),"",VLOOKUP(B21,NXT!$C$12:$D$587,2,0))</f>
        <v/>
      </c>
      <c r="E21" s="693"/>
      <c r="F21" s="694" t="str">
        <f ca="1">IF(ROWS($1:5)&gt;COUNT(Dong10),"",OFFSET(TH!I$1,SMALL(Dong10,ROWS($1:5)),))</f>
        <v/>
      </c>
      <c r="G21" s="695" t="str">
        <f ca="1">IF(ROWS($1:5)&gt;COUNT(Dong10),"",OFFSET(TH!J$1,SMALL(Dong10,ROWS($1:5)),))</f>
        <v/>
      </c>
      <c r="H21" s="693">
        <f t="shared" ca="1" si="1"/>
        <v>0</v>
      </c>
    </row>
    <row r="22" spans="1:8" ht="11.25" customHeight="1">
      <c r="A22" s="689" t="str">
        <f t="shared" ca="1" si="2"/>
        <v/>
      </c>
      <c r="B22" s="690" t="str">
        <f ca="1">IF(ROWS($1:6)&gt;COUNT(Dong10),"",OFFSET(TH!F$1,SMALL(Dong10,ROWS($1:6)),))</f>
        <v/>
      </c>
      <c r="C22" s="691"/>
      <c r="D22" s="692" t="str">
        <f ca="1">IF(ISNA(VLOOKUP(B22,NXT!$C$12:$D$587,2,0)),"",VLOOKUP(B22,NXT!$C$12:$D$587,2,0))</f>
        <v/>
      </c>
      <c r="E22" s="693"/>
      <c r="F22" s="694" t="str">
        <f ca="1">IF(ROWS($1:6)&gt;COUNT(Dong10),"",OFFSET(TH!I$1,SMALL(Dong10,ROWS($1:6)),))</f>
        <v/>
      </c>
      <c r="G22" s="695" t="str">
        <f ca="1">IF(ROWS($1:6)&gt;COUNT(Dong10),"",OFFSET(TH!J$1,SMALL(Dong10,ROWS($1:6)),))</f>
        <v/>
      </c>
      <c r="H22" s="693">
        <f t="shared" ca="1" si="1"/>
        <v>0</v>
      </c>
    </row>
    <row r="23" spans="1:8" ht="11.25" customHeight="1">
      <c r="A23" s="689" t="str">
        <f t="shared" ca="1" si="2"/>
        <v/>
      </c>
      <c r="B23" s="690" t="str">
        <f ca="1">IF(ROWS($1:7)&gt;COUNT(Dong10),"",OFFSET(TH!F$1,SMALL(Dong10,ROWS($1:7)),))</f>
        <v/>
      </c>
      <c r="C23" s="691"/>
      <c r="D23" s="692" t="str">
        <f ca="1">IF(ISNA(VLOOKUP(B23,NXT!$C$12:$D$587,2,0)),"",VLOOKUP(B23,NXT!$C$12:$D$587,2,0))</f>
        <v/>
      </c>
      <c r="E23" s="693"/>
      <c r="F23" s="694" t="str">
        <f ca="1">IF(ROWS($1:7)&gt;COUNT(Dong10),"",OFFSET(TH!I$1,SMALL(Dong10,ROWS($1:7)),))</f>
        <v/>
      </c>
      <c r="G23" s="695" t="str">
        <f ca="1">IF(ROWS($1:7)&gt;COUNT(Dong10),"",OFFSET(TH!J$1,SMALL(Dong10,ROWS($1:7)),))</f>
        <v/>
      </c>
      <c r="H23" s="693">
        <f t="shared" ca="1" si="1"/>
        <v>0</v>
      </c>
    </row>
    <row r="24" spans="1:8" ht="11.25" customHeight="1">
      <c r="A24" s="689" t="str">
        <f t="shared" ref="A24:A27" ca="1" si="3">IF(B24="","",A23+1)</f>
        <v/>
      </c>
      <c r="B24" s="690" t="str">
        <f ca="1">IF(ROWS($1:8)&gt;COUNT(Dong10),"",OFFSET(TH!F$1,SMALL(Dong10,ROWS($1:8)),))</f>
        <v/>
      </c>
      <c r="C24" s="691"/>
      <c r="D24" s="692" t="str">
        <f ca="1">IF(ISNA(VLOOKUP(B24,NXT!$C$12:$D$587,2,0)),"",VLOOKUP(B24,NXT!$C$12:$D$587,2,0))</f>
        <v/>
      </c>
      <c r="E24" s="693"/>
      <c r="F24" s="694" t="str">
        <f ca="1">IF(ROWS($1:8)&gt;COUNT(Dong10),"",OFFSET(TH!I$1,SMALL(Dong10,ROWS($1:8)),))</f>
        <v/>
      </c>
      <c r="G24" s="695" t="str">
        <f ca="1">IF(ROWS($1:8)&gt;COUNT(Dong10),"",OFFSET(TH!J$1,SMALL(Dong10,ROWS($1:8)),))</f>
        <v/>
      </c>
      <c r="H24" s="693">
        <f t="shared" ref="H24:H27" ca="1" si="4">IF(F24&lt;&gt;"",ROUND(F24*G24,0),0)</f>
        <v>0</v>
      </c>
    </row>
    <row r="25" spans="1:8" ht="11.25" customHeight="1">
      <c r="A25" s="689" t="str">
        <f t="shared" ca="1" si="3"/>
        <v/>
      </c>
      <c r="B25" s="690" t="str">
        <f ca="1">IF(ROWS($1:9)&gt;COUNT(Dong10),"",OFFSET(TH!F$1,SMALL(Dong10,ROWS($1:9)),))</f>
        <v/>
      </c>
      <c r="C25" s="691"/>
      <c r="D25" s="692" t="str">
        <f ca="1">IF(ISNA(VLOOKUP(B25,NXT!$C$12:$D$587,2,0)),"",VLOOKUP(B25,NXT!$C$12:$D$587,2,0))</f>
        <v/>
      </c>
      <c r="E25" s="693"/>
      <c r="F25" s="694" t="str">
        <f ca="1">IF(ROWS($1:9)&gt;COUNT(Dong10),"",OFFSET(TH!I$1,SMALL(Dong10,ROWS($1:9)),))</f>
        <v/>
      </c>
      <c r="G25" s="695" t="str">
        <f ca="1">IF(ROWS($1:9)&gt;COUNT(Dong10),"",OFFSET(TH!J$1,SMALL(Dong10,ROWS($1:9)),))</f>
        <v/>
      </c>
      <c r="H25" s="693">
        <f t="shared" ca="1" si="4"/>
        <v>0</v>
      </c>
    </row>
    <row r="26" spans="1:8" ht="11.25" customHeight="1">
      <c r="A26" s="689" t="str">
        <f t="shared" ca="1" si="3"/>
        <v/>
      </c>
      <c r="B26" s="690" t="str">
        <f ca="1">IF(ROWS($1:10)&gt;COUNT(Dong10),"",OFFSET(TH!F$1,SMALL(Dong10,ROWS($1:10)),))</f>
        <v/>
      </c>
      <c r="C26" s="691"/>
      <c r="D26" s="692" t="str">
        <f ca="1">IF(ISNA(VLOOKUP(B26,NXT!$C$12:$D$587,2,0)),"",VLOOKUP(B26,NXT!$C$12:$D$587,2,0))</f>
        <v/>
      </c>
      <c r="E26" s="693"/>
      <c r="F26" s="694" t="str">
        <f ca="1">IF(ROWS($1:10)&gt;COUNT(Dong10),"",OFFSET(TH!I$1,SMALL(Dong10,ROWS($1:10)),))</f>
        <v/>
      </c>
      <c r="G26" s="695" t="str">
        <f ca="1">IF(ROWS($1:10)&gt;COUNT(Dong10),"",OFFSET(TH!J$1,SMALL(Dong10,ROWS($1:10)),))</f>
        <v/>
      </c>
      <c r="H26" s="693">
        <f t="shared" ca="1" si="4"/>
        <v>0</v>
      </c>
    </row>
    <row r="27" spans="1:8" ht="11.25" customHeight="1">
      <c r="A27" s="689" t="str">
        <f t="shared" ca="1" si="3"/>
        <v/>
      </c>
      <c r="B27" s="690" t="str">
        <f ca="1">IF(ROWS($1:11)&gt;COUNT(Dong10),"",OFFSET(TH!F$1,SMALL(Dong10,ROWS($1:11)),))</f>
        <v/>
      </c>
      <c r="C27" s="691"/>
      <c r="D27" s="692" t="str">
        <f ca="1">IF(ISNA(VLOOKUP(B27,NXT!$C$12:$D$587,2,0)),"",VLOOKUP(B27,NXT!$C$12:$D$587,2,0))</f>
        <v/>
      </c>
      <c r="E27" s="693"/>
      <c r="F27" s="694" t="str">
        <f ca="1">IF(ROWS($1:11)&gt;COUNT(Dong10),"",OFFSET(TH!I$1,SMALL(Dong10,ROWS($1:11)),))</f>
        <v/>
      </c>
      <c r="G27" s="695" t="str">
        <f ca="1">IF(ROWS($1:11)&gt;COUNT(Dong10),"",OFFSET(TH!J$1,SMALL(Dong10,ROWS($1:11)),))</f>
        <v/>
      </c>
      <c r="H27" s="693">
        <f t="shared" ca="1" si="4"/>
        <v>0</v>
      </c>
    </row>
    <row r="28" spans="1:8" ht="6.75" customHeight="1">
      <c r="A28" s="689" t="str">
        <f t="shared" ref="A28" ca="1" si="5">IF(B28="","",A27+1)</f>
        <v/>
      </c>
      <c r="B28" s="690" t="str">
        <f ca="1">IF(ROWS($1:12)&gt;COUNT(Dong10),"",OFFSET(TH!F$1,SMALL(Dong10,ROWS($1:12)),))</f>
        <v/>
      </c>
      <c r="C28" s="691"/>
      <c r="D28" s="692" t="str">
        <f ca="1">IF(ISNA(VLOOKUP(B28,NXT!$C$12:$D$587,2,0)),"",VLOOKUP(B28,NXT!$C$12:$D$587,2,0))</f>
        <v/>
      </c>
      <c r="E28" s="693"/>
      <c r="F28" s="694" t="str">
        <f ca="1">IF(ROWS($1:12)&gt;COUNT(Dong10),"",OFFSET(TH!I$1,SMALL(Dong10,ROWS($1:12)),))</f>
        <v/>
      </c>
      <c r="G28" s="695" t="str">
        <f ca="1">IF(ROWS($1:12)&gt;COUNT(Dong10),"",OFFSET(TH!J$1,SMALL(Dong10,ROWS($1:12)),))</f>
        <v/>
      </c>
      <c r="H28" s="693">
        <f t="shared" ref="H28" ca="1" si="6">IF(F28&lt;&gt;"",ROUND(F28*G28,0),0)</f>
        <v>0</v>
      </c>
    </row>
    <row r="29" spans="1:8" ht="11.25" customHeight="1">
      <c r="A29" s="1002" t="s">
        <v>226</v>
      </c>
      <c r="B29" s="1002"/>
      <c r="C29" s="696"/>
      <c r="D29" s="696"/>
      <c r="E29" s="697"/>
      <c r="F29" s="697"/>
      <c r="G29" s="697"/>
      <c r="H29" s="697">
        <f ca="1">SUM(H17:H28)</f>
        <v>21568550</v>
      </c>
    </row>
    <row r="30" spans="1:8" ht="3" customHeight="1">
      <c r="A30" s="698"/>
      <c r="B30" s="698"/>
      <c r="C30" s="314"/>
      <c r="D30" s="314"/>
      <c r="E30" s="699"/>
      <c r="F30" s="699"/>
      <c r="G30" s="699"/>
      <c r="H30" s="699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00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685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685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81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23" activePane="bottomLeft" state="frozen"/>
      <selection activeCell="A7" sqref="A7"/>
      <selection pane="bottomLeft" activeCell="A34" sqref="A34:XFD4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03" t="s">
        <v>230</v>
      </c>
      <c r="K2" s="1003"/>
      <c r="L2" s="1003"/>
      <c r="M2" s="1003"/>
      <c r="N2" s="328"/>
    </row>
    <row r="3" spans="1:17" s="260" customFormat="1" ht="16.5" customHeight="1">
      <c r="B3" s="630" t="str">
        <f>TH!A2</f>
        <v>Địa chỉ: 1A227/1 Ấp 1, Phạm Văn Hai, Bình Chánh, TPHCM</v>
      </c>
      <c r="C3" s="324"/>
      <c r="D3" s="324"/>
      <c r="E3" s="329"/>
      <c r="F3" s="324"/>
      <c r="J3" s="1004" t="s">
        <v>47</v>
      </c>
      <c r="K3" s="1004"/>
      <c r="L3" s="1004"/>
      <c r="M3" s="1004"/>
      <c r="N3" s="330"/>
    </row>
    <row r="4" spans="1:17" s="260" customFormat="1" ht="16.5" customHeight="1">
      <c r="B4" s="324"/>
      <c r="C4" s="324"/>
      <c r="D4" s="324"/>
      <c r="E4" s="329"/>
      <c r="F4" s="324"/>
      <c r="J4" s="1004"/>
      <c r="K4" s="1004"/>
      <c r="L4" s="1004"/>
      <c r="M4" s="1004"/>
      <c r="N4" s="330"/>
    </row>
    <row r="5" spans="1:17" ht="18.75" customHeight="1">
      <c r="B5" s="1005" t="s">
        <v>231</v>
      </c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M5" s="1005"/>
      <c r="N5" s="331"/>
    </row>
    <row r="6" spans="1:17" s="332" customFormat="1" ht="12.75">
      <c r="B6" s="1006" t="s">
        <v>232</v>
      </c>
      <c r="C6" s="1006"/>
      <c r="D6" s="1006"/>
      <c r="E6" s="1006"/>
      <c r="F6" s="1006"/>
      <c r="G6" s="1006"/>
      <c r="H6" s="1006"/>
      <c r="I6" s="1006"/>
      <c r="J6" s="1006"/>
      <c r="K6" s="1006"/>
      <c r="L6" s="1006"/>
      <c r="M6" s="1006"/>
      <c r="N6" s="333"/>
    </row>
    <row r="7" spans="1:17">
      <c r="C7" s="334"/>
      <c r="D7" s="334"/>
      <c r="F7" s="336" t="s">
        <v>297</v>
      </c>
      <c r="G7" s="468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07" t="s">
        <v>1215</v>
      </c>
      <c r="K8" s="1007"/>
      <c r="L8" s="100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235</v>
      </c>
      <c r="F10" s="1010" t="s">
        <v>223</v>
      </c>
      <c r="G10" s="1012" t="s">
        <v>236</v>
      </c>
      <c r="H10" s="1013"/>
      <c r="I10" s="1012" t="s">
        <v>237</v>
      </c>
      <c r="J10" s="1013"/>
      <c r="K10" s="1012" t="s">
        <v>238</v>
      </c>
      <c r="L10" s="1013"/>
      <c r="M10" s="1010" t="s">
        <v>129</v>
      </c>
      <c r="N10" s="341"/>
      <c r="O10" s="342" t="s">
        <v>229</v>
      </c>
    </row>
    <row r="11" spans="1:17" ht="31.5" customHeight="1">
      <c r="A11" s="1008"/>
      <c r="B11" s="343" t="s">
        <v>15</v>
      </c>
      <c r="C11" s="343" t="s">
        <v>32</v>
      </c>
      <c r="D11" s="1010"/>
      <c r="E11" s="1010"/>
      <c r="F11" s="1010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10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26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26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26" ca="1" si="7">ROUND(F25*I25,0)</f>
        <v>0</v>
      </c>
      <c r="K25" s="357">
        <f t="shared" ref="K25:K26" ca="1" si="8">IF(D25&lt;&gt;"",K24+G25-I25,0)</f>
        <v>0</v>
      </c>
      <c r="L25" s="357">
        <f t="shared" ref="L25:L26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>IF(B27="","",#REF!+1)</f>
        <v/>
      </c>
      <c r="B27" s="360"/>
      <c r="C27" s="361"/>
      <c r="D27" s="355"/>
      <c r="E27" s="362"/>
      <c r="F27" s="363"/>
      <c r="G27" s="349"/>
      <c r="H27" s="349"/>
      <c r="I27" s="349"/>
      <c r="J27" s="349"/>
      <c r="K27" s="349"/>
      <c r="L27" s="349"/>
      <c r="M27" s="364"/>
      <c r="N27" s="347"/>
    </row>
    <row r="28" spans="1:16">
      <c r="A28" s="365"/>
      <c r="B28" s="365"/>
      <c r="C28" s="365"/>
      <c r="D28" s="365" t="s">
        <v>243</v>
      </c>
      <c r="E28" s="345" t="s">
        <v>19</v>
      </c>
      <c r="F28" s="345" t="s">
        <v>19</v>
      </c>
      <c r="G28" s="366">
        <f ca="1">SUM(G14:G27)</f>
        <v>0</v>
      </c>
      <c r="H28" s="366">
        <f ca="1">SUM(H14:H27)</f>
        <v>0</v>
      </c>
      <c r="I28" s="366">
        <f ca="1">SUM(I14:I27)</f>
        <v>12</v>
      </c>
      <c r="J28" s="366">
        <f ca="1">SUM(J14:J27)</f>
        <v>208488</v>
      </c>
      <c r="K28" s="366">
        <f ca="1">K13+G28-I28</f>
        <v>0</v>
      </c>
      <c r="L28" s="366">
        <f ca="1">L13+H28-J28</f>
        <v>0</v>
      </c>
      <c r="M28" s="365"/>
      <c r="N28" s="347"/>
    </row>
    <row r="29" spans="1:16">
      <c r="B29" s="367" t="s">
        <v>244</v>
      </c>
      <c r="G29" s="359"/>
      <c r="N29" s="347"/>
    </row>
    <row r="30" spans="1:16">
      <c r="B30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30" s="359"/>
      <c r="I30" s="359"/>
      <c r="N30" s="347"/>
    </row>
    <row r="31" spans="1:16">
      <c r="B31" s="334"/>
      <c r="C31" s="334"/>
      <c r="D31" s="334"/>
      <c r="F31" s="334"/>
      <c r="G31" s="369"/>
      <c r="H31" s="335"/>
      <c r="I31" s="370"/>
      <c r="J31" s="1011" t="s">
        <v>218</v>
      </c>
      <c r="K31" s="1011"/>
      <c r="L31" s="1011"/>
      <c r="M31" s="1011"/>
      <c r="N31" s="347"/>
    </row>
    <row r="32" spans="1:16">
      <c r="C32" s="334"/>
      <c r="D32" s="567" t="s">
        <v>11</v>
      </c>
      <c r="E32" s="1011" t="s">
        <v>12</v>
      </c>
      <c r="F32" s="1011"/>
      <c r="G32" s="1011"/>
      <c r="H32" s="1011"/>
      <c r="I32" s="1011"/>
      <c r="J32" s="1011" t="s">
        <v>110</v>
      </c>
      <c r="K32" s="1011"/>
      <c r="L32" s="1011"/>
      <c r="M32" s="1011"/>
      <c r="N32" s="347"/>
    </row>
    <row r="33" spans="3:14">
      <c r="C33" s="334"/>
      <c r="D33" s="567" t="s">
        <v>13</v>
      </c>
      <c r="E33" s="1011" t="s">
        <v>13</v>
      </c>
      <c r="F33" s="1011"/>
      <c r="G33" s="1011"/>
      <c r="H33" s="1011" t="s">
        <v>138</v>
      </c>
      <c r="I33" s="1011"/>
      <c r="J33" s="1011" t="s">
        <v>138</v>
      </c>
      <c r="K33" s="1011"/>
      <c r="L33" s="1011"/>
      <c r="M33" s="1011"/>
      <c r="N33" s="347"/>
    </row>
  </sheetData>
  <mergeCells count="19"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6" customWidth="1"/>
    <col min="2" max="2" width="9.140625" style="376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372"/>
      <c r="G1" s="374"/>
      <c r="H1" s="375" t="s">
        <v>245</v>
      </c>
      <c r="I1" s="376"/>
      <c r="J1" s="377"/>
      <c r="K1" s="377"/>
      <c r="L1" s="378"/>
    </row>
    <row r="2" spans="1:12" ht="15" customHeight="1">
      <c r="A2" s="631" t="str">
        <f>TH!A2</f>
        <v>Địa chỉ: 1A227/1 Ấp 1, Phạm Văn Hai, Bình Chánh, TPHCM</v>
      </c>
      <c r="B2" s="379"/>
      <c r="C2" s="379"/>
      <c r="D2" s="379"/>
      <c r="E2" s="380"/>
      <c r="F2" s="381"/>
      <c r="G2" s="382"/>
      <c r="H2" s="383" t="s">
        <v>203</v>
      </c>
      <c r="I2" s="376"/>
      <c r="J2" s="377"/>
      <c r="K2" s="377"/>
    </row>
    <row r="3" spans="1:12" ht="15">
      <c r="A3" s="379"/>
      <c r="B3" s="379"/>
      <c r="C3" s="379"/>
      <c r="D3" s="379"/>
      <c r="E3" s="380"/>
      <c r="F3" s="381"/>
      <c r="G3" s="382"/>
      <c r="H3" s="383" t="s">
        <v>163</v>
      </c>
      <c r="I3" s="376"/>
      <c r="J3" s="377"/>
      <c r="K3" s="377"/>
    </row>
    <row r="4" spans="1:12" ht="18.75" customHeight="1">
      <c r="A4" s="384"/>
      <c r="B4" s="384"/>
      <c r="C4" s="384"/>
      <c r="D4" s="384"/>
      <c r="E4" s="385" t="s">
        <v>246</v>
      </c>
      <c r="F4" s="384"/>
      <c r="G4" s="384"/>
      <c r="H4" s="384"/>
      <c r="I4" s="384"/>
      <c r="J4" s="377"/>
      <c r="K4" s="377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6"/>
      <c r="G5" s="386"/>
      <c r="H5" s="386"/>
      <c r="I5" s="386"/>
      <c r="J5" s="377"/>
      <c r="K5" s="377"/>
    </row>
    <row r="6" spans="1:12" ht="15">
      <c r="A6" s="386"/>
      <c r="B6" s="386"/>
      <c r="C6" s="386"/>
      <c r="D6" s="386"/>
      <c r="E6" s="387" t="s">
        <v>247</v>
      </c>
      <c r="F6" s="386"/>
      <c r="G6" s="386"/>
      <c r="H6" s="386"/>
      <c r="I6" s="386"/>
      <c r="J6" s="377"/>
      <c r="K6" s="377"/>
    </row>
    <row r="7" spans="1:12" ht="15">
      <c r="A7" s="368" t="s">
        <v>248</v>
      </c>
      <c r="B7" s="368"/>
      <c r="C7" s="388"/>
      <c r="D7" s="388"/>
      <c r="E7" s="389" t="s">
        <v>403</v>
      </c>
      <c r="F7" s="381"/>
      <c r="G7" s="390"/>
      <c r="H7" s="390"/>
      <c r="I7" s="390"/>
      <c r="J7" s="377"/>
      <c r="K7" s="377"/>
    </row>
    <row r="8" spans="1:12" ht="15">
      <c r="A8" s="368" t="s">
        <v>249</v>
      </c>
      <c r="B8" s="368"/>
      <c r="C8" s="377" t="str">
        <f>VLOOKUP($E$7,NXT!$C$12:$L$588,2,0)</f>
        <v>kg</v>
      </c>
      <c r="D8" s="368"/>
      <c r="E8" s="389"/>
      <c r="F8" s="381"/>
      <c r="G8" s="390"/>
      <c r="H8" s="390"/>
      <c r="I8" s="390"/>
      <c r="J8" s="377"/>
      <c r="K8" s="377"/>
    </row>
    <row r="9" spans="1:12" ht="15">
      <c r="A9" s="1024" t="s">
        <v>250</v>
      </c>
      <c r="B9" s="1025"/>
      <c r="C9" s="1025"/>
      <c r="D9" s="1025"/>
      <c r="E9" s="389"/>
      <c r="F9" s="381"/>
      <c r="G9" s="390"/>
      <c r="H9" s="390"/>
      <c r="I9" s="390"/>
      <c r="J9" s="391"/>
      <c r="K9" s="391"/>
    </row>
    <row r="10" spans="1:12" ht="19.5" customHeight="1">
      <c r="A10" s="1026" t="s">
        <v>251</v>
      </c>
      <c r="B10" s="1027" t="s">
        <v>252</v>
      </c>
      <c r="C10" s="1029" t="s">
        <v>15</v>
      </c>
      <c r="D10" s="1016"/>
      <c r="E10" s="1030" t="s">
        <v>0</v>
      </c>
      <c r="F10" s="1022" t="s">
        <v>253</v>
      </c>
      <c r="G10" s="1015" t="s">
        <v>222</v>
      </c>
      <c r="H10" s="1015"/>
      <c r="I10" s="1016"/>
      <c r="J10" s="1017" t="s">
        <v>254</v>
      </c>
      <c r="K10" s="392"/>
      <c r="L10" s="393" t="s">
        <v>239</v>
      </c>
    </row>
    <row r="11" spans="1:12" ht="19.5" customHeight="1">
      <c r="A11" s="1026"/>
      <c r="B11" s="1028"/>
      <c r="C11" s="394" t="s">
        <v>236</v>
      </c>
      <c r="D11" s="394" t="s">
        <v>237</v>
      </c>
      <c r="E11" s="1031"/>
      <c r="F11" s="1023"/>
      <c r="G11" s="395" t="s">
        <v>236</v>
      </c>
      <c r="H11" s="395" t="s">
        <v>237</v>
      </c>
      <c r="I11" s="395" t="s">
        <v>238</v>
      </c>
      <c r="J11" s="1018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132</v>
      </c>
      <c r="G12" s="400">
        <v>1</v>
      </c>
      <c r="H12" s="400">
        <v>2</v>
      </c>
      <c r="I12" s="400">
        <v>3</v>
      </c>
      <c r="J12" s="398" t="s">
        <v>133</v>
      </c>
      <c r="K12" s="401"/>
    </row>
    <row r="13" spans="1:12" ht="16.5" customHeight="1">
      <c r="A13" s="402"/>
      <c r="B13" s="403"/>
      <c r="C13" s="404"/>
      <c r="D13" s="404"/>
      <c r="E13" s="405" t="s">
        <v>211</v>
      </c>
      <c r="F13" s="403"/>
      <c r="G13" s="406"/>
      <c r="H13" s="406"/>
      <c r="I13" s="407">
        <f>VLOOKUP($E$7,NXT!$C$12:$L$588,3,0)</f>
        <v>50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40955</v>
      </c>
      <c r="C14" s="465" t="str">
        <f ca="1">IF(ROWS($1:1)&gt;COUNT(Dong12),"",IF(MID(OFFSET(TH!D$1,SMALL(Dong12,ROWS($1:1)),),4,1)="N",OFFSET(TH!D$1,SMALL(Dong12,ROWS($1:1)),),""))</f>
        <v>VL/N02</v>
      </c>
      <c r="D14" s="410" t="str">
        <f ca="1">IF(ROWS($1:1)&gt;COUNT(Dong12),"",IF(MID(OFFSET(TH!D$1,SMALL(Dong12,ROWS($1:1)),),4,1)="X",OFFSET(TH!D$1,SMALL(Dong12,ROWS($1:1)),),""))</f>
        <v/>
      </c>
      <c r="E14" s="668" t="str">
        <f ca="1">IF(ROWS($1:1)&gt;COUNT(Dong12),"",OFFSET(TH!H$1,SMALL(Dong12,ROWS($1:1)),))</f>
        <v>Cơ Sở Kéo Kẽm Thành Dũng</v>
      </c>
      <c r="F14" s="410">
        <f ca="1">B14</f>
        <v>40955</v>
      </c>
      <c r="G14" s="411">
        <f ca="1">IF(ROWS($1:1)&gt;COUNT(Dong12),0,IF(MID(OFFSET(TH!D$1,SMALL(Dong12,ROWS($1:1)),),4,1)="N",OFFSET(TH!I$1,SMALL(Dong12,ROWS($1:1)),),0))</f>
        <v>100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150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41052</v>
      </c>
      <c r="C15" s="465" t="str">
        <f ca="1">IF(ROWS($1:2)&gt;COUNT(Dong12),"",IF(MID(OFFSET(TH!D$1,SMALL(Dong12,ROWS($1:2)),),4,1)="N",OFFSET(TH!D$1,SMALL(Dong12,ROWS($1:2)),),""))</f>
        <v>VL/N01</v>
      </c>
      <c r="D15" s="410" t="str">
        <f ca="1">IF(ROWS($1:2)&gt;COUNT(Dong12),"",IF(MID(OFFSET(TH!D$1,SMALL(Dong12,ROWS($1:2)),),4,1)="X",OFFSET(TH!D$1,SMALL(Dong12,ROWS($1:2)),),""))</f>
        <v/>
      </c>
      <c r="E15" s="668" t="str">
        <f ca="1">IF(ROWS($1:2)&gt;COUNT(Dong12),"",OFFSET(TH!H$1,SMALL(Dong12,ROWS($1:2)),))</f>
        <v>Cơ Sở Kéo Kẽm Thành Dũng</v>
      </c>
      <c r="F15" s="410">
        <f t="shared" ref="F15:F30" ca="1" si="0">B15</f>
        <v>41052</v>
      </c>
      <c r="G15" s="411">
        <f ca="1">IF(ROWS($1:2)&gt;COUNT(Dong12),0,IF(MID(OFFSET(TH!D$1,SMALL(Dong12,ROWS($1:2)),),4,1)="N",OFFSET(TH!I$1,SMALL(Dong12,ROWS($1:2)),),0))</f>
        <v>100</v>
      </c>
      <c r="H15" s="411">
        <f ca="1">IF(ROWS($1:2)&gt;COUNT(Dong12),0,IF(MID(OFFSET(TH!D$1,SMALL(Dong12,ROWS($1:2)),),4,1)="X",OFFSET(TH!I$1,SMALL(Dong12,ROWS($1:2)),),0))</f>
        <v>0</v>
      </c>
      <c r="I15" s="412">
        <f t="shared" ref="I15:I30" ca="1" si="1">IF(E15&lt;&gt;"",I14+G15-H15,0)</f>
        <v>250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41099</v>
      </c>
      <c r="C16" s="465" t="str">
        <f ca="1">IF(ROWS($1:3)&gt;COUNT(Dong12),"",IF(MID(OFFSET(TH!D$1,SMALL(Dong12,ROWS($1:3)),),4,1)="N",OFFSET(TH!D$1,SMALL(Dong12,ROWS($1:3)),),""))</f>
        <v>VL/N01</v>
      </c>
      <c r="D16" s="410" t="str">
        <f ca="1">IF(ROWS($1:3)&gt;COUNT(Dong12),"",IF(MID(OFFSET(TH!D$1,SMALL(Dong12,ROWS($1:3)),),4,1)="X",OFFSET(TH!D$1,SMALL(Dong12,ROWS($1:3)),),""))</f>
        <v/>
      </c>
      <c r="E16" s="668" t="str">
        <f ca="1">IF(ROWS($1:3)&gt;COUNT(Dong12),"",OFFSET(TH!H$1,SMALL(Dong12,ROWS($1:3)),))</f>
        <v>Cơ Sở Kéo Kẽm Thành Dũng</v>
      </c>
      <c r="F16" s="410">
        <f t="shared" ca="1" si="0"/>
        <v>41099</v>
      </c>
      <c r="G16" s="411">
        <f ca="1">IF(ROWS($1:3)&gt;COUNT(Dong12),0,IF(MID(OFFSET(TH!D$1,SMALL(Dong12,ROWS($1:3)),),4,1)="N",OFFSET(TH!I$1,SMALL(Dong12,ROWS($1:3)),),0))</f>
        <v>100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350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41156</v>
      </c>
      <c r="C17" s="465" t="str">
        <f ca="1">IF(ROWS($1:4)&gt;COUNT(Dong12),"",IF(MID(OFFSET(TH!D$1,SMALL(Dong12,ROWS($1:4)),),4,1)="N",OFFSET(TH!D$1,SMALL(Dong12,ROWS($1:4)),),""))</f>
        <v>VL/N02</v>
      </c>
      <c r="D17" s="410" t="str">
        <f ca="1">IF(ROWS($1:4)&gt;COUNT(Dong12),"",IF(MID(OFFSET(TH!D$1,SMALL(Dong12,ROWS($1:4)),),4,1)="X",OFFSET(TH!D$1,SMALL(Dong12,ROWS($1:4)),),""))</f>
        <v/>
      </c>
      <c r="E17" s="668" t="str">
        <f ca="1">IF(ROWS($1:4)&gt;COUNT(Dong12),"",OFFSET(TH!H$1,SMALL(Dong12,ROWS($1:4)),))</f>
        <v>Cơ Sở Kéo Kẽm Thành Dũng</v>
      </c>
      <c r="F17" s="410">
        <f t="shared" ca="1" si="0"/>
        <v>41156</v>
      </c>
      <c r="G17" s="411">
        <f ca="1">IF(ROWS($1:4)&gt;COUNT(Dong12),0,IF(MID(OFFSET(TH!D$1,SMALL(Dong12,ROWS($1:4)),),4,1)="N",OFFSET(TH!I$1,SMALL(Dong12,ROWS($1:4)),),0))</f>
        <v>100</v>
      </c>
      <c r="H17" s="411">
        <f ca="1">IF(ROWS($1:4)&gt;COUNT(Dong12),0,IF(MID(OFFSET(TH!D$1,SMALL(Dong12,ROWS($1:4)),),4,1)="X",OFFSET(TH!I$1,SMALL(Dong12,ROWS($1:4)),),0))</f>
        <v>0</v>
      </c>
      <c r="I17" s="412">
        <f t="shared" ca="1" si="1"/>
        <v>450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40910</v>
      </c>
      <c r="C18" s="465" t="str">
        <f ca="1">IF(ROWS($1:5)&gt;COUNT(Dong12),"",IF(MID(OFFSET(TH!D$1,SMALL(Dong12,ROWS($1:5)),),4,1)="N",OFFSET(TH!D$1,SMALL(Dong12,ROWS($1:5)),),""))</f>
        <v/>
      </c>
      <c r="D18" s="410" t="str">
        <f ca="1">IF(ROWS($1:5)&gt;COUNT(Dong12),"",IF(MID(OFFSET(TH!D$1,SMALL(Dong12,ROWS($1:5)),),4,1)="X",OFFSET(TH!D$1,SMALL(Dong12,ROWS($1:5)),),""))</f>
        <v>VL/X01</v>
      </c>
      <c r="E18" s="668" t="str">
        <f ca="1">IF(ROWS($1:5)&gt;COUNT(Dong12),"",OFFSET(TH!H$1,SMALL(Dong12,ROWS($1:5)),))</f>
        <v>Xuất sản xuất</v>
      </c>
      <c r="F18" s="410">
        <f t="shared" ca="1" si="0"/>
        <v>40910</v>
      </c>
      <c r="G18" s="411">
        <f ca="1">IF(ROWS($1:5)&gt;COUNT(Dong12),0,IF(MID(OFFSET(TH!D$1,SMALL(Dong12,ROWS($1:5)),),4,1)="N",OFFSET(TH!I$1,SMALL(Dong12,ROWS($1:5)),),0))</f>
        <v>0</v>
      </c>
      <c r="H18" s="411">
        <f ca="1">IF(ROWS($1:5)&gt;COUNT(Dong12),0,IF(MID(OFFSET(TH!D$1,SMALL(Dong12,ROWS($1:5)),),4,1)="X",OFFSET(TH!I$1,SMALL(Dong12,ROWS($1:5)),),0))</f>
        <v>50</v>
      </c>
      <c r="I18" s="412">
        <f t="shared" ca="1" si="1"/>
        <v>400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40924</v>
      </c>
      <c r="C19" s="465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68" t="str">
        <f ca="1">IF(ROWS($1:6)&gt;COUNT(Dong12),"",OFFSET(TH!H$1,SMALL(Dong12,ROWS($1:6)),))</f>
        <v>Xuất sản xuất</v>
      </c>
      <c r="F19" s="410">
        <f t="shared" ca="1" si="0"/>
        <v>40924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350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41000</v>
      </c>
      <c r="C20" s="465" t="str">
        <f ca="1">IF(ROWS($1:7)&gt;COUNT(Dong12),"",IF(MID(OFFSET(TH!D$1,SMALL(Dong12,ROWS($1:7)),),4,1)="N",OFFSET(TH!D$1,SMALL(Dong12,ROWS($1:7)),),""))</f>
        <v/>
      </c>
      <c r="D20" s="410" t="str">
        <f ca="1">IF(ROWS($1:7)&gt;COUNT(Dong12),"",IF(MID(OFFSET(TH!D$1,SMALL(Dong12,ROWS($1:7)),),4,1)="X",OFFSET(TH!D$1,SMALL(Dong12,ROWS($1:7)),),""))</f>
        <v>VL/X01</v>
      </c>
      <c r="E20" s="668" t="str">
        <f ca="1">IF(ROWS($1:7)&gt;COUNT(Dong12),"",OFFSET(TH!H$1,SMALL(Dong12,ROWS($1:7)),))</f>
        <v>Xuất sản xuất</v>
      </c>
      <c r="F20" s="410">
        <f t="shared" ca="1" si="0"/>
        <v>41000</v>
      </c>
      <c r="G20" s="411">
        <f ca="1">IF(ROWS($1:7)&gt;COUNT(Dong12),0,IF(MID(OFFSET(TH!D$1,SMALL(Dong12,ROWS($1:7)),),4,1)="N",OFFSET(TH!I$1,SMALL(Dong12,ROWS($1:7)),),0))</f>
        <v>0</v>
      </c>
      <c r="H20" s="411">
        <f ca="1">IF(ROWS($1:7)&gt;COUNT(Dong12),0,IF(MID(OFFSET(TH!D$1,SMALL(Dong12,ROWS($1:7)),),4,1)="X",OFFSET(TH!I$1,SMALL(Dong12,ROWS($1:7)),),0))</f>
        <v>50</v>
      </c>
      <c r="I20" s="412">
        <f t="shared" ca="1" si="1"/>
        <v>300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41052</v>
      </c>
      <c r="C21" s="465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VL/X02</v>
      </c>
      <c r="E21" s="668" t="str">
        <f ca="1">IF(ROWS($1:8)&gt;COUNT(Dong12),"",OFFSET(TH!H$1,SMALL(Dong12,ROWS($1:8)),))</f>
        <v>Xuất sản xuất</v>
      </c>
      <c r="F21" s="410">
        <f t="shared" ca="1" si="0"/>
        <v>41052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250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41099</v>
      </c>
      <c r="C22" s="465" t="str">
        <f ca="1">IF(ROWS($1:9)&gt;COUNT(Dong12),"",IF(MID(OFFSET(TH!D$1,SMALL(Dong12,ROWS($1:9)),),4,1)="N",OFFSET(TH!D$1,SMALL(Dong12,ROWS($1:9)),),""))</f>
        <v/>
      </c>
      <c r="D22" s="410" t="str">
        <f ca="1">IF(ROWS($1:9)&gt;COUNT(Dong12),"",IF(MID(OFFSET(TH!D$1,SMALL(Dong12,ROWS($1:9)),),4,1)="X",OFFSET(TH!D$1,SMALL(Dong12,ROWS($1:9)),),""))</f>
        <v>VL/X01</v>
      </c>
      <c r="E22" s="668" t="str">
        <f ca="1">IF(ROWS($1:9)&gt;COUNT(Dong12),"",OFFSET(TH!H$1,SMALL(Dong12,ROWS($1:9)),))</f>
        <v>Xuất sản xuất</v>
      </c>
      <c r="F22" s="410">
        <f t="shared" ca="1" si="0"/>
        <v>41099</v>
      </c>
      <c r="G22" s="411">
        <f ca="1">IF(ROWS($1:9)&gt;COUNT(Dong12),0,IF(MID(OFFSET(TH!D$1,SMALL(Dong12,ROWS($1:9)),),4,1)="N",OFFSET(TH!I$1,SMALL(Dong12,ROWS($1:9)),),0))</f>
        <v>0</v>
      </c>
      <c r="H22" s="411">
        <f ca="1">IF(ROWS($1:9)&gt;COUNT(Dong12),0,IF(MID(OFFSET(TH!D$1,SMALL(Dong12,ROWS($1:9)),),4,1)="X",OFFSET(TH!I$1,SMALL(Dong12,ROWS($1:9)),),0))</f>
        <v>100</v>
      </c>
      <c r="I22" s="412">
        <f t="shared" ca="1" si="1"/>
        <v>150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41183</v>
      </c>
      <c r="C23" s="465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VL/X01</v>
      </c>
      <c r="E23" s="668" t="str">
        <f ca="1">IF(ROWS($1:10)&gt;COUNT(Dong12),"",OFFSET(TH!H$1,SMALL(Dong12,ROWS($1:10)),))</f>
        <v>Xuất sản xuất</v>
      </c>
      <c r="F23" s="410">
        <f t="shared" ca="1" si="0"/>
        <v>41183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100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65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68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65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68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65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68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65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68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65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68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65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68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65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68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69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255</v>
      </c>
      <c r="F32" s="422" t="s">
        <v>19</v>
      </c>
      <c r="G32" s="423">
        <f ca="1">SUM(G14:G31)</f>
        <v>400</v>
      </c>
      <c r="H32" s="423">
        <f ca="1">SUM(H14:H31)</f>
        <v>400</v>
      </c>
      <c r="I32" s="423">
        <f ca="1">I13+G32-H32</f>
        <v>50</v>
      </c>
      <c r="J32" s="404" t="s">
        <v>19</v>
      </c>
      <c r="K32" s="424"/>
    </row>
    <row r="33" spans="1:11" ht="12.75" customHeight="1">
      <c r="A33" s="425"/>
      <c r="B33" s="381"/>
      <c r="C33" s="425"/>
      <c r="D33" s="425"/>
      <c r="E33" s="389"/>
      <c r="F33" s="381"/>
      <c r="G33" s="390"/>
      <c r="H33" s="390"/>
      <c r="I33" s="390"/>
      <c r="J33" s="377"/>
      <c r="K33" s="377"/>
    </row>
    <row r="34" spans="1:11" ht="15">
      <c r="A34" s="426" t="s">
        <v>256</v>
      </c>
      <c r="B34" s="426"/>
      <c r="C34" s="427"/>
      <c r="D34" s="427"/>
      <c r="E34" s="389"/>
      <c r="F34" s="381"/>
      <c r="G34" s="390"/>
      <c r="H34" s="390"/>
      <c r="I34" s="390"/>
      <c r="J34" s="377"/>
      <c r="K34" s="377"/>
    </row>
    <row r="35" spans="1:11" ht="15">
      <c r="A35" s="10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0"/>
      <c r="C35" s="1020"/>
      <c r="D35" s="1020"/>
      <c r="E35" s="1020"/>
      <c r="F35" s="381"/>
      <c r="G35" s="390"/>
      <c r="H35" s="390"/>
      <c r="I35" s="390"/>
      <c r="J35" s="377"/>
      <c r="K35" s="377"/>
    </row>
    <row r="36" spans="1:11" ht="15">
      <c r="A36" s="428"/>
      <c r="B36" s="429"/>
      <c r="C36" s="430"/>
      <c r="D36" s="425"/>
      <c r="E36" s="389"/>
      <c r="F36" s="381"/>
      <c r="H36" s="309"/>
      <c r="I36" s="566" t="s">
        <v>218</v>
      </c>
      <c r="J36" s="309"/>
      <c r="K36" s="310"/>
    </row>
    <row r="37" spans="1:11" ht="15" customHeight="1">
      <c r="A37" s="428"/>
      <c r="C37" s="431" t="s">
        <v>257</v>
      </c>
      <c r="D37" s="425"/>
      <c r="E37" s="1021" t="s">
        <v>12</v>
      </c>
      <c r="F37" s="1021"/>
      <c r="G37" s="390"/>
      <c r="I37" s="600" t="s">
        <v>110</v>
      </c>
      <c r="J37" s="379"/>
      <c r="K37" s="428"/>
    </row>
    <row r="38" spans="1:11" ht="15" customHeight="1">
      <c r="A38" s="432"/>
      <c r="C38" s="433" t="s">
        <v>13</v>
      </c>
      <c r="D38" s="434"/>
      <c r="E38" s="1014" t="s">
        <v>13</v>
      </c>
      <c r="F38" s="1014"/>
      <c r="G38" s="390"/>
      <c r="I38" s="601" t="s">
        <v>138</v>
      </c>
      <c r="J38" s="599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2" t="s">
        <v>356</v>
      </c>
      <c r="H46" s="598"/>
      <c r="I46" s="597" t="s">
        <v>104</v>
      </c>
      <c r="J46" s="598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29" customWidth="1"/>
    <col min="2" max="2" width="20.85546875" style="729" customWidth="1"/>
    <col min="3" max="3" width="11.7109375" style="729" customWidth="1"/>
    <col min="4" max="4" width="12" style="729" customWidth="1"/>
    <col min="5" max="6" width="11" style="729" customWidth="1"/>
    <col min="7" max="7" width="11.5703125" style="729" customWidth="1"/>
    <col min="8" max="8" width="10.140625" style="729" customWidth="1"/>
    <col min="9" max="9" width="13.42578125" style="729" customWidth="1"/>
    <col min="10" max="10" width="7.28515625" style="729" customWidth="1"/>
    <col min="11" max="11" width="7.7109375" style="729" customWidth="1"/>
    <col min="12" max="13" width="2.42578125" style="740" customWidth="1"/>
    <col min="14" max="14" width="23" style="729" customWidth="1"/>
    <col min="15" max="16" width="8.5703125" style="741" customWidth="1"/>
    <col min="17" max="17" width="7.5703125" style="742" customWidth="1"/>
    <col min="18" max="18" width="7" style="788" customWidth="1"/>
    <col min="19" max="19" width="7.5703125" style="293" customWidth="1"/>
    <col min="20" max="20" width="12.42578125" style="729" customWidth="1"/>
    <col min="21" max="21" width="15.85546875" style="729" customWidth="1"/>
    <col min="22" max="22" width="8.28515625" style="741" customWidth="1"/>
    <col min="23" max="23" width="7.5703125" style="293" customWidth="1"/>
    <col min="24" max="24" width="9" style="293" customWidth="1"/>
    <col min="25" max="25" width="9.7109375" style="729" customWidth="1"/>
    <col min="26" max="16384" width="10.28515625" style="729"/>
  </cols>
  <sheetData>
    <row r="1" spans="1:27">
      <c r="B1" s="729">
        <v>1</v>
      </c>
      <c r="C1" s="729">
        <v>5</v>
      </c>
      <c r="D1" s="729">
        <v>6</v>
      </c>
      <c r="E1" s="729">
        <v>7</v>
      </c>
      <c r="F1" s="729">
        <v>8</v>
      </c>
      <c r="G1" s="729">
        <v>10</v>
      </c>
      <c r="H1" s="729">
        <v>11</v>
      </c>
      <c r="I1" s="729">
        <v>13</v>
      </c>
      <c r="J1" s="729">
        <v>14</v>
      </c>
      <c r="K1" s="729">
        <v>15</v>
      </c>
    </row>
    <row r="2" spans="1:27" ht="18" hidden="1" customHeight="1">
      <c r="A2" s="582" t="s">
        <v>532</v>
      </c>
      <c r="B2" s="730"/>
      <c r="C2" s="293"/>
      <c r="D2" s="293"/>
      <c r="E2" s="293"/>
      <c r="F2" s="293"/>
      <c r="G2" s="293"/>
      <c r="H2" s="293"/>
      <c r="I2" s="293"/>
      <c r="J2" s="610"/>
      <c r="K2" s="293"/>
      <c r="L2" s="743"/>
      <c r="M2" s="743"/>
      <c r="N2" s="293"/>
      <c r="O2" s="724"/>
      <c r="P2" s="724"/>
      <c r="U2" s="293"/>
      <c r="V2" s="724"/>
    </row>
    <row r="3" spans="1:27" ht="18.75" customHeight="1">
      <c r="A3" s="731" t="s">
        <v>1079</v>
      </c>
      <c r="B3" s="731"/>
      <c r="C3" s="731"/>
      <c r="D3" s="731"/>
      <c r="E3" s="731"/>
      <c r="F3" s="731"/>
      <c r="G3" s="731"/>
      <c r="H3" s="731"/>
      <c r="I3" s="731"/>
      <c r="J3" s="731"/>
      <c r="K3" s="731"/>
      <c r="L3" s="743"/>
      <c r="M3" s="743"/>
      <c r="N3" s="293"/>
      <c r="O3" s="724"/>
      <c r="P3" s="724"/>
      <c r="U3" s="293"/>
      <c r="V3" s="724"/>
    </row>
    <row r="4" spans="1:27" ht="12.75" customHeight="1">
      <c r="A4" s="779"/>
      <c r="B4" s="774"/>
      <c r="C4" s="774"/>
      <c r="D4" s="774"/>
      <c r="E4" s="774"/>
      <c r="F4" s="774"/>
      <c r="G4" s="774"/>
      <c r="H4" s="774"/>
      <c r="I4" s="774"/>
      <c r="J4" s="744"/>
      <c r="K4" s="774"/>
      <c r="L4" s="743"/>
      <c r="M4" s="743"/>
      <c r="N4" s="738"/>
      <c r="O4" s="779"/>
      <c r="P4" s="779"/>
      <c r="Q4" s="779"/>
      <c r="R4" s="789"/>
      <c r="S4" s="745"/>
      <c r="T4" s="779"/>
      <c r="U4" s="779"/>
      <c r="V4" s="779"/>
      <c r="W4" s="779"/>
      <c r="X4" s="779"/>
      <c r="Y4" s="779"/>
      <c r="Z4" s="738"/>
      <c r="AA4" s="738"/>
    </row>
    <row r="5" spans="1:27" s="448" customFormat="1" ht="30.75" customHeight="1">
      <c r="A5" s="798" t="s">
        <v>35</v>
      </c>
      <c r="B5" s="443" t="s">
        <v>258</v>
      </c>
      <c r="C5" s="444" t="s">
        <v>262</v>
      </c>
      <c r="D5" s="444" t="s">
        <v>512</v>
      </c>
      <c r="E5" s="444" t="s">
        <v>263</v>
      </c>
      <c r="F5" s="444" t="s">
        <v>504</v>
      </c>
      <c r="G5" s="445" t="s">
        <v>264</v>
      </c>
      <c r="H5" s="444" t="s">
        <v>503</v>
      </c>
      <c r="I5" s="444" t="s">
        <v>265</v>
      </c>
      <c r="J5" s="446" t="s">
        <v>260</v>
      </c>
      <c r="K5" s="444" t="s">
        <v>266</v>
      </c>
      <c r="L5" s="447"/>
      <c r="M5" s="447"/>
      <c r="N5" s="443" t="s">
        <v>258</v>
      </c>
      <c r="O5" s="444" t="s">
        <v>252</v>
      </c>
      <c r="P5" s="444" t="s">
        <v>252</v>
      </c>
      <c r="Q5" s="725" t="s">
        <v>259</v>
      </c>
      <c r="R5" s="790" t="s">
        <v>215</v>
      </c>
      <c r="S5" s="444" t="s">
        <v>261</v>
      </c>
      <c r="T5" s="444" t="s">
        <v>267</v>
      </c>
      <c r="U5" s="443" t="s">
        <v>258</v>
      </c>
      <c r="V5" s="444" t="s">
        <v>252</v>
      </c>
      <c r="W5" s="444" t="s">
        <v>215</v>
      </c>
      <c r="X5" s="444" t="s">
        <v>261</v>
      </c>
      <c r="Y5" s="443" t="s">
        <v>267</v>
      </c>
    </row>
    <row r="6" spans="1:27">
      <c r="A6" s="732">
        <f>IF(B6&lt;&gt;"",1,"")</f>
        <v>1</v>
      </c>
      <c r="B6" s="297" t="s">
        <v>1453</v>
      </c>
      <c r="C6" s="25">
        <f>T6</f>
        <v>1047296</v>
      </c>
      <c r="D6" s="733">
        <f t="shared" ref="D6:H15" si="0">IF($J$192&lt;&gt;0,D$192/$J$192*$J6,0)</f>
        <v>18336.574991365676</v>
      </c>
      <c r="E6" s="733">
        <f t="shared" si="0"/>
        <v>2052.24219729882</v>
      </c>
      <c r="F6" s="733">
        <f t="shared" si="0"/>
        <v>11192.8089724247</v>
      </c>
      <c r="G6" s="733">
        <f t="shared" si="0"/>
        <v>8293.4942649919103</v>
      </c>
      <c r="H6" s="733">
        <f t="shared" si="0"/>
        <v>2075.3362841510188</v>
      </c>
      <c r="I6" s="25">
        <f t="shared" ref="I6:I190" si="1">SUM(C6:H6)</f>
        <v>1089246.4567102322</v>
      </c>
      <c r="J6" s="733">
        <v>25</v>
      </c>
      <c r="K6" s="733">
        <f>IF(J6&lt;&gt;"",I6/J6,"")</f>
        <v>43569.858268409291</v>
      </c>
      <c r="L6" s="667"/>
      <c r="M6" s="667"/>
      <c r="N6" s="189" t="s">
        <v>1232</v>
      </c>
      <c r="O6" s="746">
        <f>P6-3</f>
        <v>40912</v>
      </c>
      <c r="P6" s="746">
        <v>40915</v>
      </c>
      <c r="Q6" s="747" t="s">
        <v>1452</v>
      </c>
      <c r="R6" s="304">
        <v>32</v>
      </c>
      <c r="S6" s="778">
        <v>32728</v>
      </c>
      <c r="T6" s="25">
        <f>ROUND(R6*S6,0)</f>
        <v>1047296</v>
      </c>
      <c r="U6" s="189" t="s">
        <v>403</v>
      </c>
      <c r="V6" s="746">
        <v>40910</v>
      </c>
      <c r="W6" s="778">
        <v>50</v>
      </c>
      <c r="X6" s="778">
        <v>25000</v>
      </c>
      <c r="Y6" s="25">
        <f>W6*X6</f>
        <v>1250000</v>
      </c>
    </row>
    <row r="7" spans="1:27">
      <c r="A7" s="780">
        <f>IF(B7&lt;&gt;"",A6+1,"")</f>
        <v>2</v>
      </c>
      <c r="B7" s="297" t="s">
        <v>1454</v>
      </c>
      <c r="C7" s="25">
        <f t="shared" ref="C7:C190" si="2">T7</f>
        <v>1100785</v>
      </c>
      <c r="D7" s="733">
        <f t="shared" si="0"/>
        <v>36673.149982731353</v>
      </c>
      <c r="E7" s="733">
        <f t="shared" si="0"/>
        <v>4104.4843945976399</v>
      </c>
      <c r="F7" s="733">
        <f t="shared" si="0"/>
        <v>22385.6179448494</v>
      </c>
      <c r="G7" s="733">
        <f t="shared" si="0"/>
        <v>16586.988529983821</v>
      </c>
      <c r="H7" s="733">
        <f t="shared" si="0"/>
        <v>4150.6725683020377</v>
      </c>
      <c r="I7" s="25">
        <f t="shared" si="1"/>
        <v>1184685.9134204644</v>
      </c>
      <c r="J7" s="733">
        <v>50</v>
      </c>
      <c r="K7" s="733">
        <f t="shared" ref="K7:K190" si="3">IF(J7&lt;&gt;"",I7/J7,"")</f>
        <v>23693.718268409288</v>
      </c>
      <c r="L7" s="667"/>
      <c r="M7" s="667"/>
      <c r="N7" s="297" t="s">
        <v>1224</v>
      </c>
      <c r="O7" s="746">
        <f t="shared" ref="O7:O14" si="4">P7-3</f>
        <v>40912</v>
      </c>
      <c r="P7" s="746">
        <v>40915</v>
      </c>
      <c r="Q7" s="747" t="s">
        <v>1452</v>
      </c>
      <c r="R7" s="304">
        <v>35</v>
      </c>
      <c r="S7" s="778">
        <v>31451</v>
      </c>
      <c r="T7" s="25">
        <f t="shared" ref="T7:T190" si="5">ROUND(R7*S7,0)</f>
        <v>1100785</v>
      </c>
      <c r="U7" s="189" t="s">
        <v>403</v>
      </c>
      <c r="V7" s="746">
        <v>40924</v>
      </c>
      <c r="W7" s="778">
        <v>50</v>
      </c>
      <c r="X7" s="778">
        <v>25000</v>
      </c>
      <c r="Y7" s="25">
        <f t="shared" ref="Y7:Y190" si="6">W7*X7</f>
        <v>1250000</v>
      </c>
    </row>
    <row r="8" spans="1:27">
      <c r="A8" s="780">
        <f t="shared" ref="A8:A190" si="7">IF(B8&lt;&gt;"",A7+1,"")</f>
        <v>3</v>
      </c>
      <c r="B8" s="297" t="s">
        <v>1455</v>
      </c>
      <c r="C8" s="25">
        <f t="shared" si="2"/>
        <v>1178208</v>
      </c>
      <c r="D8" s="733">
        <f t="shared" si="0"/>
        <v>18336.574991365676</v>
      </c>
      <c r="E8" s="733">
        <f t="shared" si="0"/>
        <v>2052.24219729882</v>
      </c>
      <c r="F8" s="733">
        <f t="shared" si="0"/>
        <v>11192.8089724247</v>
      </c>
      <c r="G8" s="733">
        <f t="shared" si="0"/>
        <v>8293.4942649919103</v>
      </c>
      <c r="H8" s="733">
        <f t="shared" si="0"/>
        <v>2075.3362841510188</v>
      </c>
      <c r="I8" s="25">
        <f t="shared" si="1"/>
        <v>1220158.4567102322</v>
      </c>
      <c r="J8" s="733">
        <v>25</v>
      </c>
      <c r="K8" s="733">
        <f t="shared" si="3"/>
        <v>48806.338268409287</v>
      </c>
      <c r="L8" s="667"/>
      <c r="M8" s="667"/>
      <c r="N8" s="189" t="s">
        <v>1232</v>
      </c>
      <c r="O8" s="746">
        <f t="shared" si="4"/>
        <v>40912</v>
      </c>
      <c r="P8" s="746">
        <v>40915</v>
      </c>
      <c r="Q8" s="747" t="s">
        <v>1452</v>
      </c>
      <c r="R8" s="304">
        <v>36</v>
      </c>
      <c r="S8" s="778">
        <v>32728</v>
      </c>
      <c r="T8" s="25">
        <f t="shared" si="5"/>
        <v>1178208</v>
      </c>
      <c r="U8" s="189" t="s">
        <v>370</v>
      </c>
      <c r="V8" s="746">
        <v>40941</v>
      </c>
      <c r="W8" s="778">
        <v>48</v>
      </c>
      <c r="X8" s="778">
        <v>42000</v>
      </c>
      <c r="Y8" s="25">
        <f t="shared" si="6"/>
        <v>2016000</v>
      </c>
    </row>
    <row r="9" spans="1:27">
      <c r="A9" s="780">
        <f t="shared" si="7"/>
        <v>4</v>
      </c>
      <c r="B9" s="297" t="s">
        <v>1456</v>
      </c>
      <c r="C9" s="25">
        <f t="shared" si="2"/>
        <v>1538216</v>
      </c>
      <c r="D9" s="733">
        <f t="shared" si="0"/>
        <v>33005.834984458219</v>
      </c>
      <c r="E9" s="733">
        <f t="shared" si="0"/>
        <v>3694.0359551378765</v>
      </c>
      <c r="F9" s="733">
        <f t="shared" si="0"/>
        <v>20147.05615036446</v>
      </c>
      <c r="G9" s="733">
        <f t="shared" si="0"/>
        <v>14928.28967698544</v>
      </c>
      <c r="H9" s="733">
        <f t="shared" si="0"/>
        <v>3735.6053114718338</v>
      </c>
      <c r="I9" s="25">
        <f t="shared" si="1"/>
        <v>1613726.8220784178</v>
      </c>
      <c r="J9" s="733">
        <v>45</v>
      </c>
      <c r="K9" s="733">
        <f t="shared" si="3"/>
        <v>35860.596046187064</v>
      </c>
      <c r="L9" s="667"/>
      <c r="M9" s="667"/>
      <c r="N9" s="189" t="s">
        <v>1232</v>
      </c>
      <c r="O9" s="746">
        <f t="shared" si="4"/>
        <v>40912</v>
      </c>
      <c r="P9" s="746">
        <v>40915</v>
      </c>
      <c r="Q9" s="747" t="s">
        <v>1452</v>
      </c>
      <c r="R9" s="304">
        <v>47</v>
      </c>
      <c r="S9" s="778">
        <v>32728</v>
      </c>
      <c r="T9" s="25">
        <f t="shared" si="5"/>
        <v>1538216</v>
      </c>
      <c r="U9" s="189" t="s">
        <v>553</v>
      </c>
      <c r="V9" s="746">
        <v>40941</v>
      </c>
      <c r="W9" s="778"/>
      <c r="X9" s="778"/>
      <c r="Y9" s="25">
        <f t="shared" si="6"/>
        <v>0</v>
      </c>
    </row>
    <row r="10" spans="1:27">
      <c r="A10" s="780">
        <f t="shared" si="7"/>
        <v>5</v>
      </c>
      <c r="B10" s="297" t="s">
        <v>1457</v>
      </c>
      <c r="C10" s="25">
        <f t="shared" si="2"/>
        <v>2561600</v>
      </c>
      <c r="D10" s="733">
        <f t="shared" si="0"/>
        <v>73346.299965462706</v>
      </c>
      <c r="E10" s="733">
        <f t="shared" si="0"/>
        <v>8208.9687891952799</v>
      </c>
      <c r="F10" s="733">
        <f t="shared" si="0"/>
        <v>44771.235889698801</v>
      </c>
      <c r="G10" s="733">
        <f t="shared" si="0"/>
        <v>33173.977059967641</v>
      </c>
      <c r="H10" s="733">
        <f t="shared" si="0"/>
        <v>8301.3451366040754</v>
      </c>
      <c r="I10" s="25">
        <f t="shared" si="1"/>
        <v>2729401.8268409288</v>
      </c>
      <c r="J10" s="733">
        <v>100</v>
      </c>
      <c r="K10" s="733">
        <f t="shared" si="3"/>
        <v>27294.018268409287</v>
      </c>
      <c r="L10" s="667"/>
      <c r="M10" s="667"/>
      <c r="N10" s="189" t="s">
        <v>1220</v>
      </c>
      <c r="O10" s="746">
        <f t="shared" si="4"/>
        <v>40912</v>
      </c>
      <c r="P10" s="746">
        <v>40915</v>
      </c>
      <c r="Q10" s="747" t="s">
        <v>1452</v>
      </c>
      <c r="R10" s="304">
        <v>100</v>
      </c>
      <c r="S10" s="778">
        <v>25616</v>
      </c>
      <c r="T10" s="25">
        <f t="shared" si="5"/>
        <v>2561600</v>
      </c>
      <c r="U10" s="449"/>
      <c r="V10" s="746"/>
      <c r="W10" s="778"/>
      <c r="X10" s="778"/>
      <c r="Y10" s="25">
        <f t="shared" si="6"/>
        <v>0</v>
      </c>
    </row>
    <row r="11" spans="1:27">
      <c r="A11" s="780">
        <f t="shared" si="7"/>
        <v>6</v>
      </c>
      <c r="B11" s="297" t="s">
        <v>1458</v>
      </c>
      <c r="C11" s="25">
        <f t="shared" si="2"/>
        <v>2289700</v>
      </c>
      <c r="D11" s="733">
        <f t="shared" si="0"/>
        <v>109285.98694853943</v>
      </c>
      <c r="E11" s="733">
        <f t="shared" si="0"/>
        <v>12231.363495900969</v>
      </c>
      <c r="F11" s="733">
        <f t="shared" si="0"/>
        <v>66709.141475651209</v>
      </c>
      <c r="G11" s="733">
        <f t="shared" si="0"/>
        <v>49429.225819351792</v>
      </c>
      <c r="H11" s="733">
        <f t="shared" si="0"/>
        <v>12369.004253540072</v>
      </c>
      <c r="I11" s="25">
        <f t="shared" si="1"/>
        <v>2539724.7219929835</v>
      </c>
      <c r="J11" s="733">
        <v>149</v>
      </c>
      <c r="K11" s="733">
        <f t="shared" si="3"/>
        <v>17045.132362369015</v>
      </c>
      <c r="L11" s="667"/>
      <c r="M11" s="667"/>
      <c r="N11" s="189" t="s">
        <v>1228</v>
      </c>
      <c r="O11" s="746">
        <f t="shared" si="4"/>
        <v>40912</v>
      </c>
      <c r="P11" s="746">
        <v>40915</v>
      </c>
      <c r="Q11" s="747" t="s">
        <v>899</v>
      </c>
      <c r="R11" s="304">
        <v>100</v>
      </c>
      <c r="S11" s="778">
        <v>22897</v>
      </c>
      <c r="T11" s="25">
        <f t="shared" si="5"/>
        <v>2289700</v>
      </c>
      <c r="U11" s="449"/>
      <c r="V11" s="746"/>
      <c r="W11" s="778"/>
      <c r="X11" s="778"/>
      <c r="Y11" s="25">
        <f t="shared" si="6"/>
        <v>0</v>
      </c>
    </row>
    <row r="12" spans="1:27">
      <c r="A12" s="780">
        <f t="shared" si="7"/>
        <v>7</v>
      </c>
      <c r="B12" s="297" t="s">
        <v>1086</v>
      </c>
      <c r="C12" s="25">
        <f t="shared" si="2"/>
        <v>68440</v>
      </c>
      <c r="D12" s="733">
        <f t="shared" si="0"/>
        <v>220038.89989638812</v>
      </c>
      <c r="E12" s="733">
        <f t="shared" si="0"/>
        <v>24626.906367585842</v>
      </c>
      <c r="F12" s="733">
        <f t="shared" si="0"/>
        <v>134313.70766909642</v>
      </c>
      <c r="G12" s="733">
        <f t="shared" si="0"/>
        <v>99521.931179902924</v>
      </c>
      <c r="H12" s="733">
        <f t="shared" si="0"/>
        <v>24904.035409812226</v>
      </c>
      <c r="I12" s="25">
        <f t="shared" si="1"/>
        <v>571845.48052278545</v>
      </c>
      <c r="J12" s="733">
        <v>300</v>
      </c>
      <c r="K12" s="733">
        <f t="shared" si="3"/>
        <v>1906.1516017426181</v>
      </c>
      <c r="L12" s="667"/>
      <c r="M12" s="667"/>
      <c r="N12" s="192" t="s">
        <v>645</v>
      </c>
      <c r="O12" s="746">
        <f t="shared" si="4"/>
        <v>40912</v>
      </c>
      <c r="P12" s="746">
        <v>40915</v>
      </c>
      <c r="Q12" s="747" t="s">
        <v>899</v>
      </c>
      <c r="R12" s="304">
        <v>8</v>
      </c>
      <c r="S12" s="778">
        <v>8555</v>
      </c>
      <c r="T12" s="25">
        <f t="shared" si="5"/>
        <v>68440</v>
      </c>
      <c r="U12" s="449"/>
      <c r="V12" s="746"/>
      <c r="W12" s="778"/>
      <c r="X12" s="778"/>
      <c r="Y12" s="25">
        <f t="shared" si="6"/>
        <v>0</v>
      </c>
    </row>
    <row r="13" spans="1:27">
      <c r="A13" s="780">
        <f t="shared" si="7"/>
        <v>8</v>
      </c>
      <c r="B13" s="297" t="s">
        <v>1459</v>
      </c>
      <c r="C13" s="25">
        <f t="shared" si="2"/>
        <v>4091000</v>
      </c>
      <c r="D13" s="733">
        <f t="shared" si="0"/>
        <v>87282.096958900627</v>
      </c>
      <c r="E13" s="733">
        <f t="shared" si="0"/>
        <v>9768.6728591423835</v>
      </c>
      <c r="F13" s="733">
        <f t="shared" si="0"/>
        <v>53277.770708741577</v>
      </c>
      <c r="G13" s="733">
        <f t="shared" si="0"/>
        <v>39477.032701361495</v>
      </c>
      <c r="H13" s="733">
        <f t="shared" si="0"/>
        <v>9878.6007125588494</v>
      </c>
      <c r="I13" s="25">
        <f t="shared" si="1"/>
        <v>4290684.1739407061</v>
      </c>
      <c r="J13" s="733">
        <v>119</v>
      </c>
      <c r="K13" s="733">
        <f t="shared" si="3"/>
        <v>36056.169528913495</v>
      </c>
      <c r="L13" s="667"/>
      <c r="M13" s="667"/>
      <c r="N13" s="189" t="s">
        <v>1232</v>
      </c>
      <c r="O13" s="746">
        <f t="shared" si="4"/>
        <v>40912</v>
      </c>
      <c r="P13" s="746">
        <v>40915</v>
      </c>
      <c r="Q13" s="747" t="s">
        <v>899</v>
      </c>
      <c r="R13" s="304">
        <v>125</v>
      </c>
      <c r="S13" s="778">
        <v>32728</v>
      </c>
      <c r="T13" s="25">
        <f t="shared" si="5"/>
        <v>4091000</v>
      </c>
      <c r="U13" s="449"/>
      <c r="V13" s="746"/>
      <c r="W13" s="778"/>
      <c r="X13" s="778"/>
      <c r="Y13" s="25">
        <f t="shared" si="6"/>
        <v>0</v>
      </c>
    </row>
    <row r="14" spans="1:27">
      <c r="A14" s="780">
        <f t="shared" si="7"/>
        <v>9</v>
      </c>
      <c r="B14" s="297" t="s">
        <v>1460</v>
      </c>
      <c r="C14" s="25">
        <f t="shared" si="2"/>
        <v>210432</v>
      </c>
      <c r="D14" s="733">
        <f t="shared" si="0"/>
        <v>176031.11991711051</v>
      </c>
      <c r="E14" s="733">
        <f t="shared" si="0"/>
        <v>19701.525094068675</v>
      </c>
      <c r="F14" s="733">
        <f t="shared" si="0"/>
        <v>107450.96613527712</v>
      </c>
      <c r="G14" s="733">
        <f t="shared" si="0"/>
        <v>79617.544943922345</v>
      </c>
      <c r="H14" s="733">
        <f t="shared" si="0"/>
        <v>19923.228327849782</v>
      </c>
      <c r="I14" s="25">
        <f t="shared" si="1"/>
        <v>613156.38441822841</v>
      </c>
      <c r="J14" s="733">
        <v>240</v>
      </c>
      <c r="K14" s="733">
        <f t="shared" si="3"/>
        <v>2554.8182684092849</v>
      </c>
      <c r="L14" s="667"/>
      <c r="M14" s="667"/>
      <c r="N14" s="297" t="s">
        <v>1341</v>
      </c>
      <c r="O14" s="746">
        <f t="shared" si="4"/>
        <v>40912</v>
      </c>
      <c r="P14" s="746">
        <v>40915</v>
      </c>
      <c r="Q14" s="747" t="s">
        <v>899</v>
      </c>
      <c r="R14" s="304">
        <v>24</v>
      </c>
      <c r="S14" s="778">
        <v>8768</v>
      </c>
      <c r="T14" s="25">
        <f t="shared" si="5"/>
        <v>210432</v>
      </c>
      <c r="U14" s="449"/>
      <c r="V14" s="746"/>
      <c r="W14" s="778"/>
      <c r="X14" s="778"/>
      <c r="Y14" s="25">
        <f t="shared" si="6"/>
        <v>0</v>
      </c>
    </row>
    <row r="15" spans="1:27">
      <c r="A15" s="780">
        <f t="shared" ref="A15:A46" si="8">IF(B15&lt;&gt;"",A14+1,"")</f>
        <v>10</v>
      </c>
      <c r="B15" s="297" t="s">
        <v>1087</v>
      </c>
      <c r="C15" s="25">
        <f t="shared" ref="C15:C46" si="9">T15</f>
        <v>513900</v>
      </c>
      <c r="D15" s="733">
        <f t="shared" si="0"/>
        <v>2860505.6986530456</v>
      </c>
      <c r="E15" s="733">
        <f t="shared" si="0"/>
        <v>320149.78277861595</v>
      </c>
      <c r="F15" s="733">
        <f t="shared" si="0"/>
        <v>1746078.1996982533</v>
      </c>
      <c r="G15" s="733">
        <f t="shared" si="0"/>
        <v>1293785.1053387381</v>
      </c>
      <c r="H15" s="733">
        <f t="shared" si="0"/>
        <v>323752.46032755892</v>
      </c>
      <c r="I15" s="25">
        <f t="shared" ref="I15:I46" si="10">SUM(C15:H15)</f>
        <v>7058171.2467962122</v>
      </c>
      <c r="J15" s="733">
        <v>3900</v>
      </c>
      <c r="K15" s="733">
        <f t="shared" ref="K15:K46" si="11">IF(J15&lt;&gt;"",I15/J15,"")</f>
        <v>1809.7874991785159</v>
      </c>
      <c r="L15" s="667"/>
      <c r="M15" s="667"/>
      <c r="N15" s="189" t="s">
        <v>628</v>
      </c>
      <c r="O15" s="746">
        <f t="shared" ref="O15:O46" si="12">P15-3</f>
        <v>40912</v>
      </c>
      <c r="P15" s="746">
        <v>40915</v>
      </c>
      <c r="Q15" s="747" t="s">
        <v>899</v>
      </c>
      <c r="R15" s="304">
        <v>900</v>
      </c>
      <c r="S15" s="778">
        <v>571</v>
      </c>
      <c r="T15" s="25">
        <f t="shared" ref="T15:T46" si="13">ROUND(R15*S15,0)</f>
        <v>513900</v>
      </c>
      <c r="U15" s="449"/>
      <c r="V15" s="746"/>
      <c r="W15" s="778"/>
      <c r="X15" s="778"/>
      <c r="Y15" s="25">
        <f t="shared" ref="Y15:Y46" si="14">W15*X15</f>
        <v>0</v>
      </c>
    </row>
    <row r="16" spans="1:27">
      <c r="A16" s="780">
        <f t="shared" si="8"/>
        <v>11</v>
      </c>
      <c r="B16" s="297" t="s">
        <v>1161</v>
      </c>
      <c r="C16" s="25">
        <f t="shared" si="9"/>
        <v>15079000</v>
      </c>
      <c r="D16" s="733">
        <f t="shared" ref="D16:H25" si="15">IF($J$192&lt;&gt;0,D$192/$J$192*$J16,0)</f>
        <v>713659.49866395211</v>
      </c>
      <c r="E16" s="733">
        <f t="shared" si="15"/>
        <v>79873.266318870083</v>
      </c>
      <c r="F16" s="733">
        <f t="shared" si="15"/>
        <v>435624.12520676933</v>
      </c>
      <c r="G16" s="733">
        <f t="shared" si="15"/>
        <v>322782.79679348518</v>
      </c>
      <c r="H16" s="733">
        <f t="shared" si="15"/>
        <v>80772.088179157654</v>
      </c>
      <c r="I16" s="25">
        <f t="shared" si="10"/>
        <v>16711711.775162235</v>
      </c>
      <c r="J16" s="733">
        <v>973</v>
      </c>
      <c r="K16" s="733">
        <f t="shared" si="11"/>
        <v>17175.448895336314</v>
      </c>
      <c r="L16" s="667"/>
      <c r="M16" s="667"/>
      <c r="N16" s="189" t="s">
        <v>1227</v>
      </c>
      <c r="O16" s="746">
        <f t="shared" si="12"/>
        <v>40914</v>
      </c>
      <c r="P16" s="746">
        <v>40917</v>
      </c>
      <c r="Q16" s="747" t="s">
        <v>901</v>
      </c>
      <c r="R16" s="304">
        <v>500</v>
      </c>
      <c r="S16" s="778">
        <v>30158</v>
      </c>
      <c r="T16" s="25">
        <f t="shared" si="13"/>
        <v>15079000</v>
      </c>
      <c r="U16" s="449"/>
      <c r="V16" s="746"/>
      <c r="W16" s="778"/>
      <c r="X16" s="778"/>
      <c r="Y16" s="25">
        <f t="shared" si="14"/>
        <v>0</v>
      </c>
    </row>
    <row r="17" spans="1:25">
      <c r="A17" s="780">
        <f t="shared" si="8"/>
        <v>12</v>
      </c>
      <c r="B17" s="297" t="s">
        <v>900</v>
      </c>
      <c r="C17" s="25">
        <f t="shared" si="9"/>
        <v>7523984</v>
      </c>
      <c r="D17" s="733">
        <f t="shared" si="15"/>
        <v>733462.99965462706</v>
      </c>
      <c r="E17" s="733">
        <f t="shared" si="15"/>
        <v>82089.68789195281</v>
      </c>
      <c r="F17" s="733">
        <f t="shared" si="15"/>
        <v>447712.35889698798</v>
      </c>
      <c r="G17" s="733">
        <f t="shared" si="15"/>
        <v>331739.77059967641</v>
      </c>
      <c r="H17" s="733">
        <f t="shared" si="15"/>
        <v>83013.451366040754</v>
      </c>
      <c r="I17" s="25">
        <f t="shared" si="10"/>
        <v>9202002.2684092857</v>
      </c>
      <c r="J17" s="733">
        <v>1000</v>
      </c>
      <c r="K17" s="733">
        <f t="shared" si="11"/>
        <v>9202.0022684092855</v>
      </c>
      <c r="L17" s="667"/>
      <c r="M17" s="667"/>
      <c r="N17" s="189" t="s">
        <v>605</v>
      </c>
      <c r="O17" s="746">
        <f t="shared" si="12"/>
        <v>40914</v>
      </c>
      <c r="P17" s="746">
        <v>40917</v>
      </c>
      <c r="Q17" s="747" t="s">
        <v>903</v>
      </c>
      <c r="R17" s="304">
        <v>244</v>
      </c>
      <c r="S17" s="778">
        <v>30836</v>
      </c>
      <c r="T17" s="25">
        <f t="shared" si="13"/>
        <v>7523984</v>
      </c>
      <c r="U17" s="449"/>
      <c r="V17" s="746"/>
      <c r="W17" s="778"/>
      <c r="X17" s="778"/>
      <c r="Y17" s="25">
        <f t="shared" si="14"/>
        <v>0</v>
      </c>
    </row>
    <row r="18" spans="1:25">
      <c r="A18" s="780">
        <f t="shared" si="8"/>
        <v>13</v>
      </c>
      <c r="B18" s="297" t="s">
        <v>900</v>
      </c>
      <c r="C18" s="25">
        <f t="shared" si="9"/>
        <v>8383890</v>
      </c>
      <c r="D18" s="733">
        <f t="shared" si="15"/>
        <v>148159.52593023467</v>
      </c>
      <c r="E18" s="733">
        <f t="shared" si="15"/>
        <v>16582.116954174468</v>
      </c>
      <c r="F18" s="733">
        <f t="shared" si="15"/>
        <v>90437.89649719157</v>
      </c>
      <c r="G18" s="733">
        <f t="shared" si="15"/>
        <v>67011.433661134637</v>
      </c>
      <c r="H18" s="733">
        <f t="shared" si="15"/>
        <v>16768.717175940234</v>
      </c>
      <c r="I18" s="25">
        <f t="shared" si="10"/>
        <v>8722849.6902186759</v>
      </c>
      <c r="J18" s="733">
        <v>202</v>
      </c>
      <c r="K18" s="733">
        <f t="shared" si="11"/>
        <v>43182.424209003344</v>
      </c>
      <c r="L18" s="667"/>
      <c r="M18" s="667"/>
      <c r="N18" s="189" t="s">
        <v>1235</v>
      </c>
      <c r="O18" s="746">
        <f t="shared" si="12"/>
        <v>40915</v>
      </c>
      <c r="P18" s="746">
        <v>40918</v>
      </c>
      <c r="Q18" s="747" t="s">
        <v>904</v>
      </c>
      <c r="R18" s="304">
        <v>255</v>
      </c>
      <c r="S18" s="778">
        <v>32878</v>
      </c>
      <c r="T18" s="25">
        <f t="shared" si="13"/>
        <v>8383890</v>
      </c>
      <c r="U18" s="449"/>
      <c r="V18" s="746"/>
      <c r="W18" s="778"/>
      <c r="X18" s="778"/>
      <c r="Y18" s="25">
        <f t="shared" si="14"/>
        <v>0</v>
      </c>
    </row>
    <row r="19" spans="1:25">
      <c r="A19" s="780">
        <f t="shared" si="8"/>
        <v>14</v>
      </c>
      <c r="B19" s="297" t="s">
        <v>1088</v>
      </c>
      <c r="C19" s="25">
        <f t="shared" si="9"/>
        <v>1472900</v>
      </c>
      <c r="D19" s="733">
        <f t="shared" si="15"/>
        <v>360863.7958300765</v>
      </c>
      <c r="E19" s="733">
        <f t="shared" si="15"/>
        <v>40388.126442840781</v>
      </c>
      <c r="F19" s="733">
        <f t="shared" si="15"/>
        <v>220274.48057731811</v>
      </c>
      <c r="G19" s="733">
        <f t="shared" si="15"/>
        <v>163215.96713504082</v>
      </c>
      <c r="H19" s="733">
        <f t="shared" si="15"/>
        <v>40842.618072092053</v>
      </c>
      <c r="I19" s="25">
        <f t="shared" si="10"/>
        <v>2298484.9880573684</v>
      </c>
      <c r="J19" s="733">
        <v>492</v>
      </c>
      <c r="K19" s="733">
        <f t="shared" si="11"/>
        <v>4671.7174554011553</v>
      </c>
      <c r="L19" s="667"/>
      <c r="M19" s="667"/>
      <c r="N19" s="189" t="s">
        <v>1354</v>
      </c>
      <c r="O19" s="746">
        <f t="shared" si="12"/>
        <v>40919</v>
      </c>
      <c r="P19" s="746">
        <v>40922</v>
      </c>
      <c r="Q19" s="747" t="s">
        <v>905</v>
      </c>
      <c r="R19" s="304">
        <v>100</v>
      </c>
      <c r="S19" s="778">
        <v>14729</v>
      </c>
      <c r="T19" s="25">
        <f t="shared" si="13"/>
        <v>1472900</v>
      </c>
      <c r="U19" s="449"/>
      <c r="V19" s="746"/>
      <c r="W19" s="778"/>
      <c r="X19" s="778"/>
      <c r="Y19" s="25">
        <f t="shared" si="14"/>
        <v>0</v>
      </c>
    </row>
    <row r="20" spans="1:25">
      <c r="A20" s="780">
        <f t="shared" si="8"/>
        <v>15</v>
      </c>
      <c r="B20" s="297" t="s">
        <v>1461</v>
      </c>
      <c r="C20" s="25">
        <f t="shared" si="9"/>
        <v>894336</v>
      </c>
      <c r="D20" s="733">
        <f t="shared" si="15"/>
        <v>222972.75189500663</v>
      </c>
      <c r="E20" s="733">
        <f t="shared" si="15"/>
        <v>24955.265119153653</v>
      </c>
      <c r="F20" s="733">
        <f t="shared" si="15"/>
        <v>136104.55710468435</v>
      </c>
      <c r="G20" s="733">
        <f t="shared" si="15"/>
        <v>100848.89026230163</v>
      </c>
      <c r="H20" s="733">
        <f t="shared" si="15"/>
        <v>25236.089215276388</v>
      </c>
      <c r="I20" s="25">
        <f t="shared" si="10"/>
        <v>1404453.5535964225</v>
      </c>
      <c r="J20" s="733">
        <v>304</v>
      </c>
      <c r="K20" s="733">
        <f t="shared" si="11"/>
        <v>4619.9130052513901</v>
      </c>
      <c r="L20" s="667"/>
      <c r="M20" s="667"/>
      <c r="N20" s="297" t="s">
        <v>1341</v>
      </c>
      <c r="O20" s="746">
        <f t="shared" si="12"/>
        <v>40919</v>
      </c>
      <c r="P20" s="746">
        <v>40922</v>
      </c>
      <c r="Q20" s="747" t="s">
        <v>905</v>
      </c>
      <c r="R20" s="304">
        <v>102</v>
      </c>
      <c r="S20" s="778">
        <v>8768</v>
      </c>
      <c r="T20" s="25">
        <f t="shared" si="13"/>
        <v>894336</v>
      </c>
      <c r="U20" s="449"/>
      <c r="V20" s="746"/>
      <c r="W20" s="778"/>
      <c r="X20" s="778"/>
      <c r="Y20" s="25">
        <f t="shared" si="14"/>
        <v>0</v>
      </c>
    </row>
    <row r="21" spans="1:25">
      <c r="A21" s="780">
        <f t="shared" si="8"/>
        <v>16</v>
      </c>
      <c r="B21" s="297" t="s">
        <v>1462</v>
      </c>
      <c r="C21" s="25">
        <f t="shared" si="9"/>
        <v>7198380</v>
      </c>
      <c r="D21" s="733">
        <f t="shared" si="15"/>
        <v>733462.99965462706</v>
      </c>
      <c r="E21" s="733">
        <f t="shared" si="15"/>
        <v>82089.68789195281</v>
      </c>
      <c r="F21" s="733">
        <f t="shared" si="15"/>
        <v>447712.35889698798</v>
      </c>
      <c r="G21" s="733">
        <f t="shared" si="15"/>
        <v>331739.77059967641</v>
      </c>
      <c r="H21" s="733">
        <f t="shared" si="15"/>
        <v>83013.451366040754</v>
      </c>
      <c r="I21" s="25">
        <f t="shared" si="10"/>
        <v>8876398.2684092857</v>
      </c>
      <c r="J21" s="733">
        <v>1000</v>
      </c>
      <c r="K21" s="733">
        <f t="shared" si="11"/>
        <v>8876.3982684092862</v>
      </c>
      <c r="L21" s="667"/>
      <c r="M21" s="667"/>
      <c r="N21" s="189" t="s">
        <v>1219</v>
      </c>
      <c r="O21" s="746">
        <f t="shared" si="12"/>
        <v>40919</v>
      </c>
      <c r="P21" s="746">
        <v>40922</v>
      </c>
      <c r="Q21" s="747" t="s">
        <v>905</v>
      </c>
      <c r="R21" s="304">
        <v>420</v>
      </c>
      <c r="S21" s="778">
        <v>17139</v>
      </c>
      <c r="T21" s="25">
        <f t="shared" si="13"/>
        <v>7198380</v>
      </c>
      <c r="U21" s="449"/>
      <c r="V21" s="746"/>
      <c r="W21" s="778"/>
      <c r="X21" s="778"/>
      <c r="Y21" s="25">
        <f t="shared" si="14"/>
        <v>0</v>
      </c>
    </row>
    <row r="22" spans="1:25">
      <c r="A22" s="780">
        <f t="shared" si="8"/>
        <v>17</v>
      </c>
      <c r="B22" s="297" t="s">
        <v>1463</v>
      </c>
      <c r="C22" s="25">
        <f t="shared" si="9"/>
        <v>2454165</v>
      </c>
      <c r="D22" s="733">
        <f t="shared" si="15"/>
        <v>366731.49982731353</v>
      </c>
      <c r="E22" s="733">
        <f t="shared" si="15"/>
        <v>41044.843945976405</v>
      </c>
      <c r="F22" s="733">
        <f t="shared" si="15"/>
        <v>223856.17944849399</v>
      </c>
      <c r="G22" s="733">
        <f t="shared" si="15"/>
        <v>165869.88529983821</v>
      </c>
      <c r="H22" s="733">
        <f t="shared" si="15"/>
        <v>41506.725683020377</v>
      </c>
      <c r="I22" s="25">
        <f t="shared" si="10"/>
        <v>3293174.1342046428</v>
      </c>
      <c r="J22" s="733">
        <v>500</v>
      </c>
      <c r="K22" s="733">
        <f t="shared" si="11"/>
        <v>6586.348268409286</v>
      </c>
      <c r="L22" s="667"/>
      <c r="M22" s="667"/>
      <c r="N22" s="192" t="s">
        <v>632</v>
      </c>
      <c r="O22" s="746">
        <f t="shared" si="12"/>
        <v>40919</v>
      </c>
      <c r="P22" s="746">
        <v>40922</v>
      </c>
      <c r="Q22" s="747" t="s">
        <v>905</v>
      </c>
      <c r="R22" s="304">
        <v>105</v>
      </c>
      <c r="S22" s="778">
        <v>23373</v>
      </c>
      <c r="T22" s="25">
        <f t="shared" si="13"/>
        <v>2454165</v>
      </c>
      <c r="U22" s="449"/>
      <c r="V22" s="746"/>
      <c r="W22" s="778"/>
      <c r="X22" s="778"/>
      <c r="Y22" s="25">
        <f t="shared" si="14"/>
        <v>0</v>
      </c>
    </row>
    <row r="23" spans="1:25">
      <c r="A23" s="780">
        <f t="shared" si="8"/>
        <v>18</v>
      </c>
      <c r="B23" s="297" t="s">
        <v>1456</v>
      </c>
      <c r="C23" s="25">
        <f t="shared" si="9"/>
        <v>157255</v>
      </c>
      <c r="D23" s="733">
        <f t="shared" si="15"/>
        <v>3667.3149982731356</v>
      </c>
      <c r="E23" s="733">
        <f t="shared" si="15"/>
        <v>410.44843945976402</v>
      </c>
      <c r="F23" s="733">
        <f t="shared" si="15"/>
        <v>2238.56179448494</v>
      </c>
      <c r="G23" s="733">
        <f t="shared" si="15"/>
        <v>1658.6988529983821</v>
      </c>
      <c r="H23" s="733">
        <f t="shared" si="15"/>
        <v>415.06725683020375</v>
      </c>
      <c r="I23" s="25">
        <f t="shared" si="10"/>
        <v>165645.09134204639</v>
      </c>
      <c r="J23" s="733">
        <v>5</v>
      </c>
      <c r="K23" s="733">
        <f t="shared" si="11"/>
        <v>33129.01826840928</v>
      </c>
      <c r="L23" s="667"/>
      <c r="M23" s="667"/>
      <c r="N23" s="297" t="s">
        <v>1224</v>
      </c>
      <c r="O23" s="746">
        <f t="shared" si="12"/>
        <v>40921</v>
      </c>
      <c r="P23" s="746">
        <v>40924</v>
      </c>
      <c r="Q23" s="747" t="s">
        <v>906</v>
      </c>
      <c r="R23" s="304">
        <v>5</v>
      </c>
      <c r="S23" s="778">
        <v>31451</v>
      </c>
      <c r="T23" s="25">
        <f t="shared" si="13"/>
        <v>157255</v>
      </c>
      <c r="U23" s="449"/>
      <c r="V23" s="746"/>
      <c r="W23" s="778"/>
      <c r="X23" s="778"/>
      <c r="Y23" s="25">
        <f t="shared" si="14"/>
        <v>0</v>
      </c>
    </row>
    <row r="24" spans="1:25">
      <c r="A24" s="780">
        <f t="shared" si="8"/>
        <v>19</v>
      </c>
      <c r="B24" s="297" t="s">
        <v>1458</v>
      </c>
      <c r="C24" s="25">
        <f t="shared" si="9"/>
        <v>15385</v>
      </c>
      <c r="D24" s="733">
        <f t="shared" si="15"/>
        <v>733.46299965462708</v>
      </c>
      <c r="E24" s="733">
        <f t="shared" si="15"/>
        <v>82.089687891952806</v>
      </c>
      <c r="F24" s="733">
        <f t="shared" si="15"/>
        <v>447.71235889698801</v>
      </c>
      <c r="G24" s="733">
        <f t="shared" si="15"/>
        <v>331.73977059967643</v>
      </c>
      <c r="H24" s="733">
        <f t="shared" si="15"/>
        <v>83.013451366040755</v>
      </c>
      <c r="I24" s="25">
        <f t="shared" si="10"/>
        <v>17063.018268409283</v>
      </c>
      <c r="J24" s="733">
        <v>1</v>
      </c>
      <c r="K24" s="733">
        <f t="shared" si="11"/>
        <v>17063.018268409283</v>
      </c>
      <c r="L24" s="667"/>
      <c r="M24" s="667"/>
      <c r="N24" s="189" t="s">
        <v>592</v>
      </c>
      <c r="O24" s="746">
        <f t="shared" si="12"/>
        <v>40921</v>
      </c>
      <c r="P24" s="746">
        <v>40924</v>
      </c>
      <c r="Q24" s="747" t="s">
        <v>906</v>
      </c>
      <c r="R24" s="304">
        <f>J24</f>
        <v>1</v>
      </c>
      <c r="S24" s="778">
        <v>15385</v>
      </c>
      <c r="T24" s="25">
        <f t="shared" si="13"/>
        <v>15385</v>
      </c>
      <c r="U24" s="449"/>
      <c r="V24" s="746"/>
      <c r="W24" s="778"/>
      <c r="X24" s="778"/>
      <c r="Y24" s="25">
        <f t="shared" si="14"/>
        <v>0</v>
      </c>
    </row>
    <row r="25" spans="1:25">
      <c r="A25" s="780">
        <f t="shared" si="8"/>
        <v>20</v>
      </c>
      <c r="B25" s="297" t="s">
        <v>1459</v>
      </c>
      <c r="C25" s="25">
        <f t="shared" si="9"/>
        <v>3123410</v>
      </c>
      <c r="D25" s="733">
        <f t="shared" si="15"/>
        <v>66745.132968571066</v>
      </c>
      <c r="E25" s="733">
        <f t="shared" si="15"/>
        <v>7470.1615981677051</v>
      </c>
      <c r="F25" s="733">
        <f t="shared" si="15"/>
        <v>40741.824659625912</v>
      </c>
      <c r="G25" s="733">
        <f t="shared" si="15"/>
        <v>30188.319124570557</v>
      </c>
      <c r="H25" s="733">
        <f t="shared" si="15"/>
        <v>7554.2240743097091</v>
      </c>
      <c r="I25" s="25">
        <f t="shared" si="10"/>
        <v>3276109.6624252452</v>
      </c>
      <c r="J25" s="733">
        <v>91</v>
      </c>
      <c r="K25" s="733">
        <f t="shared" si="11"/>
        <v>36001.205081596097</v>
      </c>
      <c r="L25" s="667"/>
      <c r="M25" s="667"/>
      <c r="N25" s="189" t="s">
        <v>1235</v>
      </c>
      <c r="O25" s="746">
        <f t="shared" si="12"/>
        <v>40921</v>
      </c>
      <c r="P25" s="746">
        <v>40924</v>
      </c>
      <c r="Q25" s="747" t="s">
        <v>906</v>
      </c>
      <c r="R25" s="304">
        <v>95</v>
      </c>
      <c r="S25" s="778">
        <v>32878</v>
      </c>
      <c r="T25" s="25">
        <f t="shared" si="13"/>
        <v>3123410</v>
      </c>
      <c r="U25" s="449"/>
      <c r="V25" s="746"/>
      <c r="W25" s="778"/>
      <c r="X25" s="778"/>
      <c r="Y25" s="25">
        <f t="shared" si="14"/>
        <v>0</v>
      </c>
    </row>
    <row r="26" spans="1:25">
      <c r="A26" s="780">
        <f t="shared" si="8"/>
        <v>21</v>
      </c>
      <c r="B26" s="297" t="s">
        <v>1210</v>
      </c>
      <c r="C26" s="25">
        <f t="shared" si="9"/>
        <v>5428440</v>
      </c>
      <c r="D26" s="733">
        <f t="shared" ref="D26:H35" si="16">IF($J$192&lt;&gt;0,D$192/$J$192*$J26,0)</f>
        <v>154027.22992747169</v>
      </c>
      <c r="E26" s="733">
        <f t="shared" si="16"/>
        <v>17238.834457310088</v>
      </c>
      <c r="F26" s="733">
        <f t="shared" si="16"/>
        <v>94019.595368367474</v>
      </c>
      <c r="G26" s="733">
        <f t="shared" si="16"/>
        <v>69665.351825932055</v>
      </c>
      <c r="H26" s="733">
        <f t="shared" si="16"/>
        <v>17432.824786868558</v>
      </c>
      <c r="I26" s="25">
        <f t="shared" si="10"/>
        <v>5780823.8363659503</v>
      </c>
      <c r="J26" s="733">
        <v>210</v>
      </c>
      <c r="K26" s="733">
        <f t="shared" si="11"/>
        <v>27527.732554123573</v>
      </c>
      <c r="L26" s="667"/>
      <c r="M26" s="667"/>
      <c r="N26" s="189" t="s">
        <v>1227</v>
      </c>
      <c r="O26" s="746">
        <f t="shared" si="12"/>
        <v>40921</v>
      </c>
      <c r="P26" s="746">
        <v>40924</v>
      </c>
      <c r="Q26" s="747" t="s">
        <v>906</v>
      </c>
      <c r="R26" s="304">
        <v>180</v>
      </c>
      <c r="S26" s="778">
        <v>30158</v>
      </c>
      <c r="T26" s="25">
        <f t="shared" si="13"/>
        <v>5428440</v>
      </c>
      <c r="U26" s="449"/>
      <c r="V26" s="746"/>
      <c r="W26" s="778"/>
      <c r="X26" s="778"/>
      <c r="Y26" s="25">
        <f t="shared" si="14"/>
        <v>0</v>
      </c>
    </row>
    <row r="27" spans="1:25">
      <c r="A27" s="780">
        <f t="shared" si="8"/>
        <v>22</v>
      </c>
      <c r="B27" s="297" t="s">
        <v>1211</v>
      </c>
      <c r="C27" s="25">
        <f t="shared" si="9"/>
        <v>184128</v>
      </c>
      <c r="D27" s="733">
        <f t="shared" si="16"/>
        <v>308054.45985494339</v>
      </c>
      <c r="E27" s="733">
        <f t="shared" si="16"/>
        <v>34477.668914620175</v>
      </c>
      <c r="F27" s="733">
        <f t="shared" si="16"/>
        <v>188039.19073673495</v>
      </c>
      <c r="G27" s="733">
        <f t="shared" si="16"/>
        <v>139330.70365186411</v>
      </c>
      <c r="H27" s="733">
        <f t="shared" si="16"/>
        <v>34865.649573737115</v>
      </c>
      <c r="I27" s="25">
        <f t="shared" si="10"/>
        <v>888895.67273189966</v>
      </c>
      <c r="J27" s="733">
        <v>420</v>
      </c>
      <c r="K27" s="733">
        <f t="shared" si="11"/>
        <v>2116.4182684092848</v>
      </c>
      <c r="L27" s="667"/>
      <c r="M27" s="667"/>
      <c r="N27" s="297" t="s">
        <v>1341</v>
      </c>
      <c r="O27" s="746">
        <f t="shared" si="12"/>
        <v>40921</v>
      </c>
      <c r="P27" s="746">
        <v>40924</v>
      </c>
      <c r="Q27" s="747" t="s">
        <v>906</v>
      </c>
      <c r="R27" s="304">
        <v>21</v>
      </c>
      <c r="S27" s="778">
        <v>8768</v>
      </c>
      <c r="T27" s="25">
        <f t="shared" si="13"/>
        <v>184128</v>
      </c>
      <c r="U27" s="449"/>
      <c r="V27" s="746"/>
      <c r="W27" s="778"/>
      <c r="X27" s="778"/>
      <c r="Y27" s="25">
        <f t="shared" si="14"/>
        <v>0</v>
      </c>
    </row>
    <row r="28" spans="1:25">
      <c r="A28" s="780">
        <f t="shared" si="8"/>
        <v>23</v>
      </c>
      <c r="B28" s="297" t="s">
        <v>1460</v>
      </c>
      <c r="C28" s="25">
        <f t="shared" si="9"/>
        <v>157824</v>
      </c>
      <c r="D28" s="733">
        <f t="shared" si="16"/>
        <v>132023.33993783288</v>
      </c>
      <c r="E28" s="733">
        <f t="shared" si="16"/>
        <v>14776.143820551506</v>
      </c>
      <c r="F28" s="733">
        <f t="shared" si="16"/>
        <v>80588.224601457841</v>
      </c>
      <c r="G28" s="733">
        <f t="shared" si="16"/>
        <v>59713.158707941759</v>
      </c>
      <c r="H28" s="733">
        <f t="shared" si="16"/>
        <v>14942.421245887335</v>
      </c>
      <c r="I28" s="25">
        <f t="shared" si="10"/>
        <v>459867.28831367136</v>
      </c>
      <c r="J28" s="733">
        <v>180</v>
      </c>
      <c r="K28" s="733">
        <f t="shared" si="11"/>
        <v>2554.8182684092853</v>
      </c>
      <c r="L28" s="667"/>
      <c r="M28" s="667"/>
      <c r="N28" s="297" t="s">
        <v>1341</v>
      </c>
      <c r="O28" s="746">
        <f t="shared" si="12"/>
        <v>40921</v>
      </c>
      <c r="P28" s="746">
        <v>40924</v>
      </c>
      <c r="Q28" s="747" t="s">
        <v>906</v>
      </c>
      <c r="R28" s="304">
        <v>18</v>
      </c>
      <c r="S28" s="778">
        <v>8768</v>
      </c>
      <c r="T28" s="25">
        <f t="shared" si="13"/>
        <v>157824</v>
      </c>
      <c r="U28" s="449"/>
      <c r="V28" s="746"/>
      <c r="W28" s="778"/>
      <c r="X28" s="778"/>
      <c r="Y28" s="25">
        <f t="shared" si="14"/>
        <v>0</v>
      </c>
    </row>
    <row r="29" spans="1:25">
      <c r="A29" s="780">
        <f t="shared" si="8"/>
        <v>24</v>
      </c>
      <c r="B29" s="297" t="s">
        <v>1471</v>
      </c>
      <c r="C29" s="25">
        <f t="shared" si="9"/>
        <v>1076185</v>
      </c>
      <c r="D29" s="733">
        <f t="shared" si="16"/>
        <v>66011.669968916438</v>
      </c>
      <c r="E29" s="733">
        <f t="shared" si="16"/>
        <v>7388.071910275753</v>
      </c>
      <c r="F29" s="733">
        <f t="shared" si="16"/>
        <v>40294.112300728921</v>
      </c>
      <c r="G29" s="733">
        <f t="shared" si="16"/>
        <v>29856.579353970879</v>
      </c>
      <c r="H29" s="733">
        <f t="shared" si="16"/>
        <v>7471.2106229436677</v>
      </c>
      <c r="I29" s="25">
        <f t="shared" si="10"/>
        <v>1227206.6441568357</v>
      </c>
      <c r="J29" s="733">
        <v>90</v>
      </c>
      <c r="K29" s="733">
        <f t="shared" si="11"/>
        <v>13635.629379520396</v>
      </c>
      <c r="L29" s="667"/>
      <c r="M29" s="667"/>
      <c r="N29" s="189" t="s">
        <v>1348</v>
      </c>
      <c r="O29" s="746">
        <f t="shared" si="12"/>
        <v>40922</v>
      </c>
      <c r="P29" s="746">
        <v>40925</v>
      </c>
      <c r="Q29" s="747" t="s">
        <v>1522</v>
      </c>
      <c r="R29" s="304">
        <v>55</v>
      </c>
      <c r="S29" s="778">
        <v>19567</v>
      </c>
      <c r="T29" s="25">
        <f t="shared" si="13"/>
        <v>1076185</v>
      </c>
      <c r="U29" s="449"/>
      <c r="V29" s="746"/>
      <c r="W29" s="778"/>
      <c r="X29" s="778"/>
      <c r="Y29" s="25">
        <f t="shared" si="14"/>
        <v>0</v>
      </c>
    </row>
    <row r="30" spans="1:25">
      <c r="A30" s="780">
        <f t="shared" si="8"/>
        <v>25</v>
      </c>
      <c r="B30" s="297" t="s">
        <v>1472</v>
      </c>
      <c r="C30" s="25">
        <f t="shared" si="9"/>
        <v>916290</v>
      </c>
      <c r="D30" s="733">
        <f t="shared" si="16"/>
        <v>132023.33993783288</v>
      </c>
      <c r="E30" s="733">
        <f t="shared" si="16"/>
        <v>14776.143820551506</v>
      </c>
      <c r="F30" s="733">
        <f t="shared" si="16"/>
        <v>80588.224601457841</v>
      </c>
      <c r="G30" s="733">
        <f t="shared" si="16"/>
        <v>59713.158707941759</v>
      </c>
      <c r="H30" s="733">
        <f t="shared" si="16"/>
        <v>14942.421245887335</v>
      </c>
      <c r="I30" s="25">
        <f t="shared" si="10"/>
        <v>1218333.2883136712</v>
      </c>
      <c r="J30" s="733">
        <v>180</v>
      </c>
      <c r="K30" s="733">
        <f t="shared" si="11"/>
        <v>6768.5182684092852</v>
      </c>
      <c r="L30" s="667"/>
      <c r="M30" s="667"/>
      <c r="N30" s="189" t="s">
        <v>1346</v>
      </c>
      <c r="O30" s="746">
        <f t="shared" si="12"/>
        <v>40922</v>
      </c>
      <c r="P30" s="746">
        <v>40925</v>
      </c>
      <c r="Q30" s="747" t="s">
        <v>1522</v>
      </c>
      <c r="R30" s="304">
        <f>J30/4</f>
        <v>45</v>
      </c>
      <c r="S30" s="778">
        <v>20362</v>
      </c>
      <c r="T30" s="25">
        <f t="shared" si="13"/>
        <v>916290</v>
      </c>
      <c r="U30" s="449"/>
      <c r="V30" s="746"/>
      <c r="W30" s="778"/>
      <c r="X30" s="778"/>
      <c r="Y30" s="25">
        <f t="shared" si="14"/>
        <v>0</v>
      </c>
    </row>
    <row r="31" spans="1:25">
      <c r="A31" s="780">
        <f t="shared" si="8"/>
        <v>26</v>
      </c>
      <c r="B31" s="297" t="s">
        <v>1473</v>
      </c>
      <c r="C31" s="25">
        <f t="shared" si="9"/>
        <v>222430</v>
      </c>
      <c r="D31" s="733">
        <f t="shared" si="16"/>
        <v>14669.259993092543</v>
      </c>
      <c r="E31" s="733">
        <f t="shared" si="16"/>
        <v>1641.7937578390561</v>
      </c>
      <c r="F31" s="733">
        <f t="shared" si="16"/>
        <v>8954.2471779397601</v>
      </c>
      <c r="G31" s="733">
        <f t="shared" si="16"/>
        <v>6634.7954119935284</v>
      </c>
      <c r="H31" s="733">
        <f t="shared" si="16"/>
        <v>1660.269027320815</v>
      </c>
      <c r="I31" s="25">
        <f t="shared" si="10"/>
        <v>255990.36536818571</v>
      </c>
      <c r="J31" s="733">
        <v>20</v>
      </c>
      <c r="K31" s="733">
        <f t="shared" si="11"/>
        <v>12799.518268409285</v>
      </c>
      <c r="L31" s="667"/>
      <c r="M31" s="667"/>
      <c r="N31" s="192" t="s">
        <v>645</v>
      </c>
      <c r="O31" s="746">
        <f t="shared" si="12"/>
        <v>40922</v>
      </c>
      <c r="P31" s="746">
        <v>40925</v>
      </c>
      <c r="Q31" s="747" t="s">
        <v>1522</v>
      </c>
      <c r="R31" s="304">
        <v>26</v>
      </c>
      <c r="S31" s="778">
        <v>8555</v>
      </c>
      <c r="T31" s="25">
        <f t="shared" si="13"/>
        <v>222430</v>
      </c>
      <c r="U31" s="449"/>
      <c r="V31" s="746"/>
      <c r="W31" s="778"/>
      <c r="X31" s="778"/>
      <c r="Y31" s="25">
        <f t="shared" si="14"/>
        <v>0</v>
      </c>
    </row>
    <row r="32" spans="1:25">
      <c r="A32" s="780">
        <f t="shared" si="8"/>
        <v>27</v>
      </c>
      <c r="B32" s="297" t="s">
        <v>1474</v>
      </c>
      <c r="C32" s="25">
        <f t="shared" si="9"/>
        <v>2592368</v>
      </c>
      <c r="D32" s="733">
        <f t="shared" si="16"/>
        <v>432743.16979622998</v>
      </c>
      <c r="E32" s="733">
        <f t="shared" si="16"/>
        <v>48432.915856252155</v>
      </c>
      <c r="F32" s="733">
        <f t="shared" si="16"/>
        <v>264150.2917492229</v>
      </c>
      <c r="G32" s="733">
        <f t="shared" si="16"/>
        <v>195726.46465380909</v>
      </c>
      <c r="H32" s="733">
        <f t="shared" si="16"/>
        <v>48977.936305964045</v>
      </c>
      <c r="I32" s="25">
        <f t="shared" si="10"/>
        <v>3582398.7783614779</v>
      </c>
      <c r="J32" s="733">
        <v>590</v>
      </c>
      <c r="K32" s="733">
        <f t="shared" si="11"/>
        <v>6071.8623362058943</v>
      </c>
      <c r="L32" s="667"/>
      <c r="M32" s="667"/>
      <c r="N32" s="189" t="s">
        <v>1347</v>
      </c>
      <c r="O32" s="746">
        <f t="shared" si="12"/>
        <v>40922</v>
      </c>
      <c r="P32" s="746">
        <v>40925</v>
      </c>
      <c r="Q32" s="747" t="s">
        <v>1522</v>
      </c>
      <c r="R32" s="304">
        <v>116</v>
      </c>
      <c r="S32" s="778">
        <v>22348</v>
      </c>
      <c r="T32" s="25">
        <f t="shared" si="13"/>
        <v>2592368</v>
      </c>
      <c r="U32" s="449"/>
      <c r="V32" s="746"/>
      <c r="W32" s="778"/>
      <c r="X32" s="778"/>
      <c r="Y32" s="25">
        <f t="shared" si="14"/>
        <v>0</v>
      </c>
    </row>
    <row r="33" spans="1:25">
      <c r="A33" s="780">
        <f t="shared" si="8"/>
        <v>28</v>
      </c>
      <c r="B33" s="297" t="s">
        <v>1475</v>
      </c>
      <c r="C33" s="25">
        <f t="shared" si="9"/>
        <v>171100</v>
      </c>
      <c r="D33" s="733">
        <f t="shared" si="16"/>
        <v>44007.779979277628</v>
      </c>
      <c r="E33" s="733">
        <f t="shared" si="16"/>
        <v>4925.3812735171687</v>
      </c>
      <c r="F33" s="733">
        <f t="shared" si="16"/>
        <v>26862.74153381928</v>
      </c>
      <c r="G33" s="733">
        <f t="shared" si="16"/>
        <v>19904.386235980586</v>
      </c>
      <c r="H33" s="733">
        <f t="shared" si="16"/>
        <v>4980.8070819624454</v>
      </c>
      <c r="I33" s="25">
        <f t="shared" si="10"/>
        <v>271781.09610455716</v>
      </c>
      <c r="J33" s="733">
        <v>60</v>
      </c>
      <c r="K33" s="733">
        <f t="shared" si="11"/>
        <v>4529.684935075953</v>
      </c>
      <c r="L33" s="667"/>
      <c r="M33" s="667"/>
      <c r="N33" s="192" t="s">
        <v>645</v>
      </c>
      <c r="O33" s="746">
        <f t="shared" si="12"/>
        <v>40922</v>
      </c>
      <c r="P33" s="746">
        <v>40925</v>
      </c>
      <c r="Q33" s="747" t="s">
        <v>1522</v>
      </c>
      <c r="R33" s="304">
        <v>20</v>
      </c>
      <c r="S33" s="778">
        <v>8555</v>
      </c>
      <c r="T33" s="25">
        <f t="shared" si="13"/>
        <v>171100</v>
      </c>
      <c r="U33" s="449"/>
      <c r="V33" s="746"/>
      <c r="W33" s="778"/>
      <c r="X33" s="778"/>
      <c r="Y33" s="25">
        <f t="shared" si="14"/>
        <v>0</v>
      </c>
    </row>
    <row r="34" spans="1:25">
      <c r="A34" s="780">
        <f t="shared" si="8"/>
        <v>29</v>
      </c>
      <c r="B34" s="297" t="s">
        <v>1476</v>
      </c>
      <c r="C34" s="25">
        <f t="shared" si="9"/>
        <v>1018100</v>
      </c>
      <c r="D34" s="733">
        <f t="shared" si="16"/>
        <v>110019.44994819406</v>
      </c>
      <c r="E34" s="733">
        <f t="shared" si="16"/>
        <v>12313.453183792921</v>
      </c>
      <c r="F34" s="733">
        <f t="shared" si="16"/>
        <v>67156.853834548208</v>
      </c>
      <c r="G34" s="733">
        <f t="shared" si="16"/>
        <v>49760.965589951462</v>
      </c>
      <c r="H34" s="733">
        <f t="shared" si="16"/>
        <v>12452.017704906113</v>
      </c>
      <c r="I34" s="25">
        <f t="shared" si="10"/>
        <v>1269802.7402613929</v>
      </c>
      <c r="J34" s="733">
        <v>150</v>
      </c>
      <c r="K34" s="733">
        <f t="shared" si="11"/>
        <v>8465.3516017426191</v>
      </c>
      <c r="L34" s="667"/>
      <c r="M34" s="667"/>
      <c r="N34" s="189" t="s">
        <v>1346</v>
      </c>
      <c r="O34" s="746">
        <f t="shared" si="12"/>
        <v>40922</v>
      </c>
      <c r="P34" s="746">
        <v>40925</v>
      </c>
      <c r="Q34" s="747" t="s">
        <v>1522</v>
      </c>
      <c r="R34" s="304">
        <v>50</v>
      </c>
      <c r="S34" s="778">
        <v>20362</v>
      </c>
      <c r="T34" s="25">
        <f t="shared" si="13"/>
        <v>1018100</v>
      </c>
      <c r="U34" s="449"/>
      <c r="V34" s="746"/>
      <c r="W34" s="778"/>
      <c r="X34" s="778"/>
      <c r="Y34" s="25">
        <f t="shared" si="14"/>
        <v>0</v>
      </c>
    </row>
    <row r="35" spans="1:25">
      <c r="A35" s="780">
        <f t="shared" si="8"/>
        <v>30</v>
      </c>
      <c r="B35" s="297" t="s">
        <v>1477</v>
      </c>
      <c r="C35" s="25">
        <f t="shared" si="9"/>
        <v>1628960</v>
      </c>
      <c r="D35" s="733">
        <f t="shared" si="16"/>
        <v>159894.93392470869</v>
      </c>
      <c r="E35" s="733">
        <f t="shared" si="16"/>
        <v>17895.551960445711</v>
      </c>
      <c r="F35" s="733">
        <f t="shared" si="16"/>
        <v>97601.294239543378</v>
      </c>
      <c r="G35" s="733">
        <f t="shared" si="16"/>
        <v>72319.269990729459</v>
      </c>
      <c r="H35" s="733">
        <f t="shared" si="16"/>
        <v>18096.932397796885</v>
      </c>
      <c r="I35" s="25">
        <f t="shared" si="10"/>
        <v>1994767.982513224</v>
      </c>
      <c r="J35" s="733">
        <v>218</v>
      </c>
      <c r="K35" s="733">
        <f t="shared" si="11"/>
        <v>9150.3118463909359</v>
      </c>
      <c r="L35" s="667"/>
      <c r="M35" s="667"/>
      <c r="N35" s="189" t="s">
        <v>1346</v>
      </c>
      <c r="O35" s="746">
        <f t="shared" si="12"/>
        <v>40922</v>
      </c>
      <c r="P35" s="746">
        <v>40925</v>
      </c>
      <c r="Q35" s="747" t="s">
        <v>1522</v>
      </c>
      <c r="R35" s="304">
        <v>80</v>
      </c>
      <c r="S35" s="778">
        <v>20362</v>
      </c>
      <c r="T35" s="25">
        <f t="shared" si="13"/>
        <v>1628960</v>
      </c>
      <c r="U35" s="449"/>
      <c r="V35" s="746"/>
      <c r="W35" s="778"/>
      <c r="X35" s="778"/>
      <c r="Y35" s="25">
        <f t="shared" si="14"/>
        <v>0</v>
      </c>
    </row>
    <row r="36" spans="1:25">
      <c r="A36" s="780">
        <f t="shared" si="8"/>
        <v>31</v>
      </c>
      <c r="B36" s="297" t="s">
        <v>1523</v>
      </c>
      <c r="C36" s="25">
        <f t="shared" si="9"/>
        <v>489175</v>
      </c>
      <c r="D36" s="733">
        <f t="shared" ref="D36:H45" si="17">IF($J$192&lt;&gt;0,D$192/$J$192*$J36,0)</f>
        <v>29338.519986185085</v>
      </c>
      <c r="E36" s="733">
        <f t="shared" si="17"/>
        <v>3283.5875156781121</v>
      </c>
      <c r="F36" s="733">
        <f t="shared" si="17"/>
        <v>17908.49435587952</v>
      </c>
      <c r="G36" s="733">
        <f t="shared" si="17"/>
        <v>13269.590823987057</v>
      </c>
      <c r="H36" s="733">
        <f t="shared" si="17"/>
        <v>3320.53805464163</v>
      </c>
      <c r="I36" s="25">
        <f t="shared" si="10"/>
        <v>556295.73073637148</v>
      </c>
      <c r="J36" s="733">
        <v>40</v>
      </c>
      <c r="K36" s="733">
        <f t="shared" si="11"/>
        <v>13907.393268409287</v>
      </c>
      <c r="L36" s="667"/>
      <c r="M36" s="667"/>
      <c r="N36" s="189" t="s">
        <v>1348</v>
      </c>
      <c r="O36" s="746">
        <f t="shared" si="12"/>
        <v>40922</v>
      </c>
      <c r="P36" s="746">
        <v>40925</v>
      </c>
      <c r="Q36" s="747" t="s">
        <v>1522</v>
      </c>
      <c r="R36" s="304">
        <v>25</v>
      </c>
      <c r="S36" s="778">
        <v>19567</v>
      </c>
      <c r="T36" s="25">
        <f t="shared" si="13"/>
        <v>489175</v>
      </c>
      <c r="U36" s="449"/>
      <c r="V36" s="746"/>
      <c r="W36" s="778"/>
      <c r="X36" s="778"/>
      <c r="Y36" s="25">
        <f t="shared" si="14"/>
        <v>0</v>
      </c>
    </row>
    <row r="37" spans="1:25">
      <c r="A37" s="780">
        <f t="shared" si="8"/>
        <v>32</v>
      </c>
      <c r="B37" s="297" t="s">
        <v>1479</v>
      </c>
      <c r="C37" s="25">
        <f t="shared" si="9"/>
        <v>2257920</v>
      </c>
      <c r="D37" s="733">
        <f t="shared" si="17"/>
        <v>256712.04987911947</v>
      </c>
      <c r="E37" s="733">
        <f t="shared" si="17"/>
        <v>28731.390762183481</v>
      </c>
      <c r="F37" s="733">
        <f t="shared" si="17"/>
        <v>156699.32561394581</v>
      </c>
      <c r="G37" s="733">
        <f t="shared" si="17"/>
        <v>116108.91970988674</v>
      </c>
      <c r="H37" s="733">
        <f t="shared" si="17"/>
        <v>29054.707978114264</v>
      </c>
      <c r="I37" s="25">
        <f t="shared" si="10"/>
        <v>2845226.3939432497</v>
      </c>
      <c r="J37" s="733">
        <v>350</v>
      </c>
      <c r="K37" s="733">
        <f t="shared" si="11"/>
        <v>8129.218268409285</v>
      </c>
      <c r="L37" s="667"/>
      <c r="M37" s="667"/>
      <c r="N37" s="192" t="s">
        <v>603</v>
      </c>
      <c r="O37" s="746">
        <f t="shared" si="12"/>
        <v>40922</v>
      </c>
      <c r="P37" s="746">
        <v>40925</v>
      </c>
      <c r="Q37" s="747" t="s">
        <v>1522</v>
      </c>
      <c r="R37" s="304">
        <v>140</v>
      </c>
      <c r="S37" s="778">
        <v>16128</v>
      </c>
      <c r="T37" s="25">
        <f t="shared" si="13"/>
        <v>2257920</v>
      </c>
      <c r="U37" s="449"/>
      <c r="V37" s="746"/>
      <c r="W37" s="778"/>
      <c r="X37" s="778"/>
      <c r="Y37" s="25">
        <f t="shared" si="14"/>
        <v>0</v>
      </c>
    </row>
    <row r="38" spans="1:25">
      <c r="A38" s="780">
        <f t="shared" si="8"/>
        <v>33</v>
      </c>
      <c r="B38" s="297" t="s">
        <v>1480</v>
      </c>
      <c r="C38" s="25">
        <f t="shared" si="9"/>
        <v>2702260</v>
      </c>
      <c r="D38" s="733">
        <f t="shared" si="17"/>
        <v>268447.45787359349</v>
      </c>
      <c r="E38" s="733">
        <f t="shared" si="17"/>
        <v>30044.825768454728</v>
      </c>
      <c r="F38" s="733">
        <f t="shared" si="17"/>
        <v>163862.72335629762</v>
      </c>
      <c r="G38" s="733">
        <f t="shared" si="17"/>
        <v>121416.75603948158</v>
      </c>
      <c r="H38" s="733">
        <f t="shared" si="17"/>
        <v>30382.923199970915</v>
      </c>
      <c r="I38" s="25">
        <f t="shared" si="10"/>
        <v>3316414.6862377985</v>
      </c>
      <c r="J38" s="733">
        <v>366</v>
      </c>
      <c r="K38" s="733">
        <f t="shared" si="11"/>
        <v>9061.2423121251322</v>
      </c>
      <c r="L38" s="667"/>
      <c r="M38" s="667"/>
      <c r="N38" s="189" t="s">
        <v>1230</v>
      </c>
      <c r="O38" s="746">
        <f t="shared" si="12"/>
        <v>40922</v>
      </c>
      <c r="P38" s="746">
        <v>40925</v>
      </c>
      <c r="Q38" s="747" t="s">
        <v>1522</v>
      </c>
      <c r="R38" s="304">
        <v>110</v>
      </c>
      <c r="S38" s="778">
        <v>24566</v>
      </c>
      <c r="T38" s="25">
        <f t="shared" si="13"/>
        <v>2702260</v>
      </c>
      <c r="U38" s="449"/>
      <c r="V38" s="746"/>
      <c r="W38" s="778"/>
      <c r="X38" s="778"/>
      <c r="Y38" s="25">
        <f t="shared" si="14"/>
        <v>0</v>
      </c>
    </row>
    <row r="39" spans="1:25">
      <c r="A39" s="780">
        <f t="shared" si="8"/>
        <v>34</v>
      </c>
      <c r="B39" s="297" t="s">
        <v>1487</v>
      </c>
      <c r="C39" s="25">
        <f t="shared" si="9"/>
        <v>3224520</v>
      </c>
      <c r="D39" s="733">
        <f t="shared" si="17"/>
        <v>366731.49982731353</v>
      </c>
      <c r="E39" s="733">
        <f t="shared" si="17"/>
        <v>41044.843945976405</v>
      </c>
      <c r="F39" s="733">
        <f t="shared" si="17"/>
        <v>223856.17944849399</v>
      </c>
      <c r="G39" s="733">
        <f t="shared" si="17"/>
        <v>165869.88529983821</v>
      </c>
      <c r="H39" s="733">
        <f t="shared" si="17"/>
        <v>41506.725683020377</v>
      </c>
      <c r="I39" s="25">
        <f t="shared" si="10"/>
        <v>4063529.1342046428</v>
      </c>
      <c r="J39" s="733">
        <v>500</v>
      </c>
      <c r="K39" s="733">
        <f t="shared" si="11"/>
        <v>8127.058268409286</v>
      </c>
      <c r="L39" s="667"/>
      <c r="M39" s="667"/>
      <c r="N39" s="189" t="s">
        <v>624</v>
      </c>
      <c r="O39" s="746">
        <f t="shared" si="12"/>
        <v>40923</v>
      </c>
      <c r="P39" s="746">
        <v>40926</v>
      </c>
      <c r="Q39" s="747" t="s">
        <v>1524</v>
      </c>
      <c r="R39" s="304">
        <v>169</v>
      </c>
      <c r="S39" s="778">
        <v>19080</v>
      </c>
      <c r="T39" s="25">
        <f t="shared" si="13"/>
        <v>3224520</v>
      </c>
      <c r="U39" s="449"/>
      <c r="V39" s="746"/>
      <c r="W39" s="778"/>
      <c r="X39" s="778"/>
      <c r="Y39" s="25">
        <f t="shared" si="14"/>
        <v>0</v>
      </c>
    </row>
    <row r="40" spans="1:25">
      <c r="A40" s="780">
        <f t="shared" si="8"/>
        <v>35</v>
      </c>
      <c r="B40" s="297" t="s">
        <v>1488</v>
      </c>
      <c r="C40" s="25">
        <f t="shared" si="9"/>
        <v>3126018</v>
      </c>
      <c r="D40" s="733">
        <f t="shared" si="17"/>
        <v>176031.11991711051</v>
      </c>
      <c r="E40" s="733">
        <f t="shared" si="17"/>
        <v>19701.525094068675</v>
      </c>
      <c r="F40" s="733">
        <f t="shared" si="17"/>
        <v>107450.96613527712</v>
      </c>
      <c r="G40" s="733">
        <f t="shared" si="17"/>
        <v>79617.544943922345</v>
      </c>
      <c r="H40" s="733">
        <f t="shared" si="17"/>
        <v>19923.228327849782</v>
      </c>
      <c r="I40" s="25">
        <f t="shared" si="10"/>
        <v>3528742.3844182282</v>
      </c>
      <c r="J40" s="733">
        <v>240</v>
      </c>
      <c r="K40" s="733">
        <f t="shared" si="11"/>
        <v>14703.093268409284</v>
      </c>
      <c r="L40" s="667"/>
      <c r="M40" s="667"/>
      <c r="N40" s="192" t="s">
        <v>635</v>
      </c>
      <c r="O40" s="746">
        <f t="shared" si="12"/>
        <v>40923</v>
      </c>
      <c r="P40" s="746">
        <v>40926</v>
      </c>
      <c r="Q40" s="747" t="s">
        <v>1524</v>
      </c>
      <c r="R40" s="304">
        <v>263</v>
      </c>
      <c r="S40" s="778">
        <v>11886</v>
      </c>
      <c r="T40" s="25">
        <f t="shared" si="13"/>
        <v>3126018</v>
      </c>
      <c r="U40" s="449"/>
      <c r="V40" s="746"/>
      <c r="W40" s="778"/>
      <c r="X40" s="778"/>
      <c r="Y40" s="25">
        <f t="shared" si="14"/>
        <v>0</v>
      </c>
    </row>
    <row r="41" spans="1:25">
      <c r="A41" s="780">
        <f t="shared" si="8"/>
        <v>36</v>
      </c>
      <c r="B41" s="297" t="s">
        <v>1489</v>
      </c>
      <c r="C41" s="25">
        <f t="shared" si="9"/>
        <v>1663195</v>
      </c>
      <c r="D41" s="733">
        <f t="shared" si="17"/>
        <v>124688.70994128661</v>
      </c>
      <c r="E41" s="733">
        <f t="shared" si="17"/>
        <v>13955.246941631976</v>
      </c>
      <c r="F41" s="733">
        <f t="shared" si="17"/>
        <v>76111.101012487954</v>
      </c>
      <c r="G41" s="733">
        <f t="shared" si="17"/>
        <v>56395.761001944993</v>
      </c>
      <c r="H41" s="733">
        <f t="shared" si="17"/>
        <v>14112.286732226929</v>
      </c>
      <c r="I41" s="25">
        <f t="shared" si="10"/>
        <v>1948458.1056295782</v>
      </c>
      <c r="J41" s="733">
        <v>170</v>
      </c>
      <c r="K41" s="733">
        <f t="shared" si="11"/>
        <v>11461.518268409283</v>
      </c>
      <c r="L41" s="667"/>
      <c r="M41" s="667"/>
      <c r="N41" s="189" t="s">
        <v>1348</v>
      </c>
      <c r="O41" s="746">
        <f t="shared" si="12"/>
        <v>40923</v>
      </c>
      <c r="P41" s="746">
        <v>40926</v>
      </c>
      <c r="Q41" s="747" t="s">
        <v>1524</v>
      </c>
      <c r="R41" s="304">
        <v>85</v>
      </c>
      <c r="S41" s="778">
        <v>19567</v>
      </c>
      <c r="T41" s="25">
        <f t="shared" si="13"/>
        <v>1663195</v>
      </c>
      <c r="U41" s="449"/>
      <c r="V41" s="746"/>
      <c r="W41" s="778"/>
      <c r="X41" s="778"/>
      <c r="Y41" s="25">
        <f t="shared" si="14"/>
        <v>0</v>
      </c>
    </row>
    <row r="42" spans="1:25">
      <c r="A42" s="780">
        <f t="shared" si="8"/>
        <v>37</v>
      </c>
      <c r="B42" s="297" t="s">
        <v>1473</v>
      </c>
      <c r="C42" s="25">
        <f t="shared" si="9"/>
        <v>293505</v>
      </c>
      <c r="D42" s="733">
        <f t="shared" si="17"/>
        <v>22003.889989638814</v>
      </c>
      <c r="E42" s="733">
        <f t="shared" si="17"/>
        <v>2462.6906367585843</v>
      </c>
      <c r="F42" s="733">
        <f t="shared" si="17"/>
        <v>13431.37076690964</v>
      </c>
      <c r="G42" s="733">
        <f t="shared" si="17"/>
        <v>9952.1931179902931</v>
      </c>
      <c r="H42" s="733">
        <f t="shared" si="17"/>
        <v>2490.4035409812227</v>
      </c>
      <c r="I42" s="25">
        <f t="shared" si="10"/>
        <v>343845.54805227852</v>
      </c>
      <c r="J42" s="733">
        <v>30</v>
      </c>
      <c r="K42" s="733">
        <f t="shared" si="11"/>
        <v>11461.518268409283</v>
      </c>
      <c r="L42" s="667"/>
      <c r="M42" s="667"/>
      <c r="N42" s="189" t="s">
        <v>1348</v>
      </c>
      <c r="O42" s="746">
        <f t="shared" si="12"/>
        <v>40923</v>
      </c>
      <c r="P42" s="746">
        <v>40926</v>
      </c>
      <c r="Q42" s="747" t="s">
        <v>1524</v>
      </c>
      <c r="R42" s="304">
        <v>15</v>
      </c>
      <c r="S42" s="778">
        <v>19567</v>
      </c>
      <c r="T42" s="25">
        <f t="shared" si="13"/>
        <v>293505</v>
      </c>
      <c r="U42" s="449"/>
      <c r="V42" s="746"/>
      <c r="W42" s="778"/>
      <c r="X42" s="778"/>
      <c r="Y42" s="25">
        <f t="shared" si="14"/>
        <v>0</v>
      </c>
    </row>
    <row r="43" spans="1:25">
      <c r="A43" s="780">
        <f t="shared" si="8"/>
        <v>38</v>
      </c>
      <c r="B43" s="297" t="s">
        <v>1484</v>
      </c>
      <c r="C43" s="25">
        <f t="shared" si="9"/>
        <v>4648990</v>
      </c>
      <c r="D43" s="733">
        <f t="shared" si="17"/>
        <v>256712.04987911947</v>
      </c>
      <c r="E43" s="733">
        <f t="shared" si="17"/>
        <v>28731.390762183481</v>
      </c>
      <c r="F43" s="733">
        <f t="shared" si="17"/>
        <v>156699.32561394581</v>
      </c>
      <c r="G43" s="733">
        <f t="shared" si="17"/>
        <v>116108.91970988674</v>
      </c>
      <c r="H43" s="733">
        <f t="shared" si="17"/>
        <v>29054.707978114264</v>
      </c>
      <c r="I43" s="25">
        <f t="shared" si="10"/>
        <v>5236296.3939432502</v>
      </c>
      <c r="J43" s="733">
        <v>350</v>
      </c>
      <c r="K43" s="733">
        <f t="shared" si="11"/>
        <v>14960.846839837857</v>
      </c>
      <c r="L43" s="667"/>
      <c r="M43" s="667"/>
      <c r="N43" s="189" t="s">
        <v>585</v>
      </c>
      <c r="O43" s="746">
        <f t="shared" si="12"/>
        <v>40923</v>
      </c>
      <c r="P43" s="746">
        <v>40926</v>
      </c>
      <c r="Q43" s="747" t="s">
        <v>1524</v>
      </c>
      <c r="R43" s="304">
        <v>230</v>
      </c>
      <c r="S43" s="778">
        <v>20213</v>
      </c>
      <c r="T43" s="25">
        <f t="shared" si="13"/>
        <v>4648990</v>
      </c>
      <c r="U43" s="449"/>
      <c r="V43" s="746"/>
      <c r="W43" s="778"/>
      <c r="X43" s="778"/>
      <c r="Y43" s="25">
        <f t="shared" si="14"/>
        <v>0</v>
      </c>
    </row>
    <row r="44" spans="1:25">
      <c r="A44" s="780">
        <f t="shared" si="8"/>
        <v>39</v>
      </c>
      <c r="B44" s="297" t="s">
        <v>1525</v>
      </c>
      <c r="C44" s="25">
        <f t="shared" si="9"/>
        <v>326920</v>
      </c>
      <c r="D44" s="733">
        <f t="shared" si="17"/>
        <v>14669.259993092543</v>
      </c>
      <c r="E44" s="733">
        <f t="shared" si="17"/>
        <v>1641.7937578390561</v>
      </c>
      <c r="F44" s="733">
        <f t="shared" si="17"/>
        <v>8954.2471779397601</v>
      </c>
      <c r="G44" s="733">
        <f t="shared" si="17"/>
        <v>6634.7954119935284</v>
      </c>
      <c r="H44" s="733">
        <f t="shared" si="17"/>
        <v>1660.269027320815</v>
      </c>
      <c r="I44" s="25">
        <f t="shared" si="10"/>
        <v>360480.36536818574</v>
      </c>
      <c r="J44" s="733">
        <v>20</v>
      </c>
      <c r="K44" s="733">
        <f t="shared" si="11"/>
        <v>18024.018268409287</v>
      </c>
      <c r="L44" s="667"/>
      <c r="M44" s="667"/>
      <c r="N44" s="189" t="s">
        <v>613</v>
      </c>
      <c r="O44" s="746">
        <f t="shared" si="12"/>
        <v>40923</v>
      </c>
      <c r="P44" s="746">
        <v>40926</v>
      </c>
      <c r="Q44" s="747" t="s">
        <v>1524</v>
      </c>
      <c r="R44" s="304">
        <v>20</v>
      </c>
      <c r="S44" s="778">
        <v>16346</v>
      </c>
      <c r="T44" s="25">
        <f t="shared" si="13"/>
        <v>326920</v>
      </c>
      <c r="U44" s="449"/>
      <c r="V44" s="746"/>
      <c r="W44" s="778"/>
      <c r="X44" s="778"/>
      <c r="Y44" s="25">
        <f t="shared" si="14"/>
        <v>0</v>
      </c>
    </row>
    <row r="45" spans="1:25">
      <c r="A45" s="780">
        <f t="shared" si="8"/>
        <v>40</v>
      </c>
      <c r="B45" s="297" t="s">
        <v>1491</v>
      </c>
      <c r="C45" s="25">
        <f t="shared" si="9"/>
        <v>4286800</v>
      </c>
      <c r="D45" s="733">
        <f t="shared" si="17"/>
        <v>220038.89989638812</v>
      </c>
      <c r="E45" s="733">
        <f t="shared" si="17"/>
        <v>24626.906367585842</v>
      </c>
      <c r="F45" s="733">
        <f t="shared" si="17"/>
        <v>134313.70766909642</v>
      </c>
      <c r="G45" s="733">
        <f t="shared" si="17"/>
        <v>99521.931179902924</v>
      </c>
      <c r="H45" s="733">
        <f t="shared" si="17"/>
        <v>24904.035409812226</v>
      </c>
      <c r="I45" s="25">
        <f t="shared" si="10"/>
        <v>4790205.4805227844</v>
      </c>
      <c r="J45" s="733">
        <v>300</v>
      </c>
      <c r="K45" s="733">
        <f t="shared" si="11"/>
        <v>15967.351601742615</v>
      </c>
      <c r="L45" s="667"/>
      <c r="M45" s="667"/>
      <c r="N45" s="192" t="s">
        <v>637</v>
      </c>
      <c r="O45" s="746">
        <f t="shared" si="12"/>
        <v>40923</v>
      </c>
      <c r="P45" s="746">
        <v>40926</v>
      </c>
      <c r="Q45" s="747" t="s">
        <v>1524</v>
      </c>
      <c r="R45" s="304">
        <v>200</v>
      </c>
      <c r="S45" s="778">
        <v>21434</v>
      </c>
      <c r="T45" s="25">
        <f t="shared" si="13"/>
        <v>4286800</v>
      </c>
      <c r="U45" s="449"/>
      <c r="V45" s="746"/>
      <c r="W45" s="778"/>
      <c r="X45" s="778"/>
      <c r="Y45" s="25">
        <f t="shared" si="14"/>
        <v>0</v>
      </c>
    </row>
    <row r="46" spans="1:25">
      <c r="A46" s="780">
        <f t="shared" si="8"/>
        <v>41</v>
      </c>
      <c r="B46" s="297" t="s">
        <v>1492</v>
      </c>
      <c r="C46" s="25">
        <f t="shared" si="9"/>
        <v>690983</v>
      </c>
      <c r="D46" s="733">
        <f t="shared" ref="D46:H55" si="18">IF($J$192&lt;&gt;0,D$192/$J$192*$J46,0)</f>
        <v>29338.519986185085</v>
      </c>
      <c r="E46" s="733">
        <f t="shared" si="18"/>
        <v>3283.5875156781121</v>
      </c>
      <c r="F46" s="733">
        <f t="shared" si="18"/>
        <v>17908.49435587952</v>
      </c>
      <c r="G46" s="733">
        <f t="shared" si="18"/>
        <v>13269.590823987057</v>
      </c>
      <c r="H46" s="733">
        <f t="shared" si="18"/>
        <v>3320.53805464163</v>
      </c>
      <c r="I46" s="25">
        <f t="shared" si="10"/>
        <v>758103.73073637148</v>
      </c>
      <c r="J46" s="733">
        <v>40</v>
      </c>
      <c r="K46" s="733">
        <f t="shared" si="11"/>
        <v>18952.593268409288</v>
      </c>
      <c r="L46" s="667"/>
      <c r="M46" s="667"/>
      <c r="N46" s="189" t="s">
        <v>584</v>
      </c>
      <c r="O46" s="746">
        <f t="shared" si="12"/>
        <v>40923</v>
      </c>
      <c r="P46" s="746">
        <v>40926</v>
      </c>
      <c r="Q46" s="747" t="s">
        <v>1524</v>
      </c>
      <c r="R46" s="304">
        <v>29</v>
      </c>
      <c r="S46" s="778">
        <v>23827</v>
      </c>
      <c r="T46" s="25">
        <f t="shared" si="13"/>
        <v>690983</v>
      </c>
      <c r="U46" s="449"/>
      <c r="V46" s="746"/>
      <c r="W46" s="778"/>
      <c r="X46" s="778"/>
      <c r="Y46" s="25">
        <f t="shared" si="14"/>
        <v>0</v>
      </c>
    </row>
    <row r="47" spans="1:25">
      <c r="A47" s="780">
        <f t="shared" ref="A47:A78" si="19">IF(B47&lt;&gt;"",A46+1,"")</f>
        <v>42</v>
      </c>
      <c r="B47" s="297" t="s">
        <v>1493</v>
      </c>
      <c r="C47" s="25">
        <f t="shared" ref="C47:C78" si="20">T47</f>
        <v>3511560</v>
      </c>
      <c r="D47" s="733">
        <f t="shared" si="18"/>
        <v>190700.37991020305</v>
      </c>
      <c r="E47" s="733">
        <f t="shared" si="18"/>
        <v>21343.31885190773</v>
      </c>
      <c r="F47" s="733">
        <f t="shared" si="18"/>
        <v>116405.21331321688</v>
      </c>
      <c r="G47" s="733">
        <f t="shared" si="18"/>
        <v>86252.340355915876</v>
      </c>
      <c r="H47" s="733">
        <f t="shared" si="18"/>
        <v>21583.497355170595</v>
      </c>
      <c r="I47" s="25">
        <f t="shared" ref="I47:I78" si="21">SUM(C47:H47)</f>
        <v>3947844.7497864142</v>
      </c>
      <c r="J47" s="733">
        <v>260</v>
      </c>
      <c r="K47" s="733">
        <f t="shared" ref="K47:K78" si="22">IF(J47&lt;&gt;"",I47/J47,"")</f>
        <v>15184.018268409285</v>
      </c>
      <c r="L47" s="667"/>
      <c r="M47" s="667"/>
      <c r="N47" s="192" t="s">
        <v>631</v>
      </c>
      <c r="O47" s="746">
        <f t="shared" ref="O47:O78" si="23">P47-3</f>
        <v>40923</v>
      </c>
      <c r="P47" s="746">
        <v>40926</v>
      </c>
      <c r="Q47" s="747" t="s">
        <v>1524</v>
      </c>
      <c r="R47" s="304">
        <v>195</v>
      </c>
      <c r="S47" s="778">
        <v>18008</v>
      </c>
      <c r="T47" s="25">
        <f t="shared" ref="T47:T78" si="24">ROUND(R47*S47,0)</f>
        <v>3511560</v>
      </c>
      <c r="U47" s="449"/>
      <c r="V47" s="746"/>
      <c r="W47" s="778"/>
      <c r="X47" s="778"/>
      <c r="Y47" s="25">
        <f t="shared" ref="Y47:Y78" si="25">W47*X47</f>
        <v>0</v>
      </c>
    </row>
    <row r="48" spans="1:25">
      <c r="A48" s="780">
        <f t="shared" si="19"/>
        <v>43</v>
      </c>
      <c r="B48" s="297" t="s">
        <v>1494</v>
      </c>
      <c r="C48" s="25">
        <f t="shared" si="20"/>
        <v>1076185</v>
      </c>
      <c r="D48" s="733">
        <f t="shared" si="18"/>
        <v>55009.724974097029</v>
      </c>
      <c r="E48" s="733">
        <f t="shared" si="18"/>
        <v>6156.7265918964604</v>
      </c>
      <c r="F48" s="733">
        <f t="shared" si="18"/>
        <v>33578.426917274104</v>
      </c>
      <c r="G48" s="733">
        <f t="shared" si="18"/>
        <v>24880.482794975731</v>
      </c>
      <c r="H48" s="733">
        <f t="shared" si="18"/>
        <v>6226.0088524530565</v>
      </c>
      <c r="I48" s="25">
        <f t="shared" si="21"/>
        <v>1202036.3701306961</v>
      </c>
      <c r="J48" s="733">
        <v>75</v>
      </c>
      <c r="K48" s="733">
        <f t="shared" si="22"/>
        <v>16027.151601742615</v>
      </c>
      <c r="L48" s="667"/>
      <c r="M48" s="667"/>
      <c r="N48" s="189" t="s">
        <v>1348</v>
      </c>
      <c r="O48" s="746">
        <f t="shared" si="23"/>
        <v>40923</v>
      </c>
      <c r="P48" s="746">
        <v>40926</v>
      </c>
      <c r="Q48" s="747" t="s">
        <v>1524</v>
      </c>
      <c r="R48" s="304">
        <v>55</v>
      </c>
      <c r="S48" s="778">
        <v>19567</v>
      </c>
      <c r="T48" s="25">
        <f t="shared" si="24"/>
        <v>1076185</v>
      </c>
      <c r="U48" s="449"/>
      <c r="V48" s="746"/>
      <c r="W48" s="778"/>
      <c r="X48" s="778"/>
      <c r="Y48" s="25">
        <f t="shared" si="25"/>
        <v>0</v>
      </c>
    </row>
    <row r="49" spans="1:25">
      <c r="A49" s="780">
        <f t="shared" si="19"/>
        <v>44</v>
      </c>
      <c r="B49" s="297" t="s">
        <v>1471</v>
      </c>
      <c r="C49" s="25">
        <f t="shared" si="20"/>
        <v>1840650</v>
      </c>
      <c r="D49" s="733">
        <f t="shared" si="18"/>
        <v>154027.22992747169</v>
      </c>
      <c r="E49" s="733">
        <f t="shared" si="18"/>
        <v>17238.834457310088</v>
      </c>
      <c r="F49" s="733">
        <f t="shared" si="18"/>
        <v>94019.595368367474</v>
      </c>
      <c r="G49" s="733">
        <f t="shared" si="18"/>
        <v>69665.351825932055</v>
      </c>
      <c r="H49" s="733">
        <f t="shared" si="18"/>
        <v>17432.824786868558</v>
      </c>
      <c r="I49" s="25">
        <f t="shared" si="21"/>
        <v>2193033.8363659498</v>
      </c>
      <c r="J49" s="733">
        <v>210</v>
      </c>
      <c r="K49" s="733">
        <f t="shared" si="22"/>
        <v>10443.018268409285</v>
      </c>
      <c r="L49" s="667"/>
      <c r="M49" s="667"/>
      <c r="N49" s="189" t="s">
        <v>626</v>
      </c>
      <c r="O49" s="746">
        <f t="shared" si="23"/>
        <v>40935</v>
      </c>
      <c r="P49" s="746">
        <v>40938</v>
      </c>
      <c r="Q49" s="747" t="s">
        <v>1526</v>
      </c>
      <c r="R49" s="304">
        <v>105</v>
      </c>
      <c r="S49" s="778">
        <v>17530</v>
      </c>
      <c r="T49" s="25">
        <f t="shared" si="24"/>
        <v>1840650</v>
      </c>
      <c r="U49" s="449"/>
      <c r="V49" s="746"/>
      <c r="W49" s="778"/>
      <c r="X49" s="778"/>
      <c r="Y49" s="25">
        <f t="shared" si="25"/>
        <v>0</v>
      </c>
    </row>
    <row r="50" spans="1:25">
      <c r="A50" s="780">
        <f t="shared" si="19"/>
        <v>45</v>
      </c>
      <c r="B50" s="297" t="s">
        <v>1530</v>
      </c>
      <c r="C50" s="25">
        <f t="shared" si="20"/>
        <v>534880</v>
      </c>
      <c r="D50" s="733">
        <f t="shared" si="18"/>
        <v>58677.03997237017</v>
      </c>
      <c r="E50" s="733">
        <f t="shared" si="18"/>
        <v>6567.1750313562243</v>
      </c>
      <c r="F50" s="733">
        <f t="shared" si="18"/>
        <v>35816.988711759041</v>
      </c>
      <c r="G50" s="733">
        <f t="shared" si="18"/>
        <v>26539.181647974114</v>
      </c>
      <c r="H50" s="733">
        <f t="shared" si="18"/>
        <v>6641.0761092832599</v>
      </c>
      <c r="I50" s="25">
        <f t="shared" si="21"/>
        <v>669121.46147274284</v>
      </c>
      <c r="J50" s="733">
        <v>80</v>
      </c>
      <c r="K50" s="733">
        <f t="shared" si="22"/>
        <v>8364.0182684092852</v>
      </c>
      <c r="L50" s="667"/>
      <c r="M50" s="667"/>
      <c r="N50" s="189" t="s">
        <v>593</v>
      </c>
      <c r="O50" s="746">
        <f t="shared" si="23"/>
        <v>40935</v>
      </c>
      <c r="P50" s="746">
        <v>40938</v>
      </c>
      <c r="Q50" s="747" t="s">
        <v>1526</v>
      </c>
      <c r="R50" s="304">
        <v>40</v>
      </c>
      <c r="S50" s="778">
        <v>13372</v>
      </c>
      <c r="T50" s="25">
        <f t="shared" si="24"/>
        <v>534880</v>
      </c>
      <c r="U50" s="449"/>
      <c r="V50" s="746"/>
      <c r="W50" s="778"/>
      <c r="X50" s="778"/>
      <c r="Y50" s="25">
        <f t="shared" si="25"/>
        <v>0</v>
      </c>
    </row>
    <row r="51" spans="1:25">
      <c r="A51" s="780">
        <f t="shared" si="19"/>
        <v>46</v>
      </c>
      <c r="B51" s="297" t="s">
        <v>1501</v>
      </c>
      <c r="C51" s="25">
        <f t="shared" si="20"/>
        <v>2564550</v>
      </c>
      <c r="D51" s="733">
        <f t="shared" si="18"/>
        <v>154027.22992747169</v>
      </c>
      <c r="E51" s="733">
        <f t="shared" si="18"/>
        <v>17238.834457310088</v>
      </c>
      <c r="F51" s="733">
        <f t="shared" si="18"/>
        <v>94019.595368367474</v>
      </c>
      <c r="G51" s="733">
        <f t="shared" si="18"/>
        <v>69665.351825932055</v>
      </c>
      <c r="H51" s="733">
        <f t="shared" si="18"/>
        <v>17432.824786868558</v>
      </c>
      <c r="I51" s="25">
        <f t="shared" si="21"/>
        <v>2916933.8363659498</v>
      </c>
      <c r="J51" s="733">
        <v>210</v>
      </c>
      <c r="K51" s="733">
        <f t="shared" si="22"/>
        <v>13890.161125552142</v>
      </c>
      <c r="L51" s="667"/>
      <c r="M51" s="667"/>
      <c r="N51" s="297" t="s">
        <v>1217</v>
      </c>
      <c r="O51" s="746">
        <f t="shared" si="23"/>
        <v>40935</v>
      </c>
      <c r="P51" s="746">
        <v>40938</v>
      </c>
      <c r="Q51" s="747" t="s">
        <v>1526</v>
      </c>
      <c r="R51" s="304">
        <v>150</v>
      </c>
      <c r="S51" s="778">
        <v>17097</v>
      </c>
      <c r="T51" s="25">
        <f t="shared" si="24"/>
        <v>2564550</v>
      </c>
      <c r="U51" s="449"/>
      <c r="V51" s="746"/>
      <c r="W51" s="778"/>
      <c r="X51" s="778"/>
      <c r="Y51" s="25">
        <f t="shared" si="25"/>
        <v>0</v>
      </c>
    </row>
    <row r="52" spans="1:25">
      <c r="A52" s="780">
        <f t="shared" si="19"/>
        <v>47</v>
      </c>
      <c r="B52" s="297" t="s">
        <v>1497</v>
      </c>
      <c r="C52" s="25">
        <f t="shared" si="20"/>
        <v>3759600</v>
      </c>
      <c r="D52" s="733">
        <f t="shared" si="18"/>
        <v>168696.48992056423</v>
      </c>
      <c r="E52" s="733">
        <f t="shared" si="18"/>
        <v>18880.628215149147</v>
      </c>
      <c r="F52" s="733">
        <f t="shared" si="18"/>
        <v>102973.84254630725</v>
      </c>
      <c r="G52" s="733">
        <f t="shared" si="18"/>
        <v>76300.147237925587</v>
      </c>
      <c r="H52" s="733">
        <f t="shared" si="18"/>
        <v>19093.093814189375</v>
      </c>
      <c r="I52" s="25">
        <f t="shared" si="21"/>
        <v>4145544.2017341359</v>
      </c>
      <c r="J52" s="733">
        <v>230</v>
      </c>
      <c r="K52" s="733">
        <f t="shared" si="22"/>
        <v>18024.105224931027</v>
      </c>
      <c r="L52" s="667"/>
      <c r="M52" s="667"/>
      <c r="N52" s="189" t="s">
        <v>612</v>
      </c>
      <c r="O52" s="746">
        <f t="shared" si="23"/>
        <v>40935</v>
      </c>
      <c r="P52" s="746">
        <v>40938</v>
      </c>
      <c r="Q52" s="747" t="s">
        <v>1526</v>
      </c>
      <c r="R52" s="304">
        <v>240</v>
      </c>
      <c r="S52" s="778">
        <v>15665</v>
      </c>
      <c r="T52" s="25">
        <f t="shared" si="24"/>
        <v>3759600</v>
      </c>
      <c r="U52" s="449"/>
      <c r="V52" s="746"/>
      <c r="W52" s="778"/>
      <c r="X52" s="778"/>
      <c r="Y52" s="25">
        <f t="shared" si="25"/>
        <v>0</v>
      </c>
    </row>
    <row r="53" spans="1:25">
      <c r="A53" s="780">
        <f t="shared" si="19"/>
        <v>48</v>
      </c>
      <c r="B53" s="297" t="s">
        <v>1491</v>
      </c>
      <c r="C53" s="25">
        <f t="shared" si="20"/>
        <v>5011212</v>
      </c>
      <c r="D53" s="733">
        <f t="shared" si="18"/>
        <v>227373.5298929344</v>
      </c>
      <c r="E53" s="733">
        <f t="shared" si="18"/>
        <v>25447.803246505369</v>
      </c>
      <c r="F53" s="733">
        <f t="shared" si="18"/>
        <v>138790.83125806629</v>
      </c>
      <c r="G53" s="733">
        <f t="shared" si="18"/>
        <v>102839.3288858997</v>
      </c>
      <c r="H53" s="733">
        <f t="shared" si="18"/>
        <v>25734.169923472633</v>
      </c>
      <c r="I53" s="25">
        <f t="shared" si="21"/>
        <v>5531397.6632068781</v>
      </c>
      <c r="J53" s="733">
        <v>310</v>
      </c>
      <c r="K53" s="733">
        <f t="shared" si="22"/>
        <v>17843.218268409284</v>
      </c>
      <c r="L53" s="667"/>
      <c r="M53" s="667"/>
      <c r="N53" s="297" t="s">
        <v>1344</v>
      </c>
      <c r="O53" s="746">
        <f t="shared" si="23"/>
        <v>40935</v>
      </c>
      <c r="P53" s="746">
        <v>40938</v>
      </c>
      <c r="Q53" s="747" t="s">
        <v>1526</v>
      </c>
      <c r="R53" s="304">
        <v>372</v>
      </c>
      <c r="S53" s="778">
        <v>13471</v>
      </c>
      <c r="T53" s="25">
        <f t="shared" si="24"/>
        <v>5011212</v>
      </c>
      <c r="U53" s="449"/>
      <c r="V53" s="746"/>
      <c r="W53" s="778"/>
      <c r="X53" s="778"/>
      <c r="Y53" s="25">
        <f t="shared" si="25"/>
        <v>0</v>
      </c>
    </row>
    <row r="54" spans="1:25">
      <c r="A54" s="780">
        <f t="shared" si="19"/>
        <v>49</v>
      </c>
      <c r="B54" s="297" t="s">
        <v>1499</v>
      </c>
      <c r="C54" s="25">
        <f t="shared" si="20"/>
        <v>6180000</v>
      </c>
      <c r="D54" s="733">
        <f t="shared" si="18"/>
        <v>271381.309872212</v>
      </c>
      <c r="E54" s="733">
        <f t="shared" si="18"/>
        <v>30373.18452002254</v>
      </c>
      <c r="F54" s="733">
        <f t="shared" si="18"/>
        <v>165653.57279188556</v>
      </c>
      <c r="G54" s="733">
        <f t="shared" si="18"/>
        <v>122743.71512188028</v>
      </c>
      <c r="H54" s="733">
        <f t="shared" si="18"/>
        <v>30714.977005435081</v>
      </c>
      <c r="I54" s="25">
        <f t="shared" si="21"/>
        <v>6800866.7593114357</v>
      </c>
      <c r="J54" s="733">
        <v>370</v>
      </c>
      <c r="K54" s="733">
        <f t="shared" si="22"/>
        <v>18380.720971111987</v>
      </c>
      <c r="L54" s="667"/>
      <c r="M54" s="667"/>
      <c r="N54" s="192" t="s">
        <v>647</v>
      </c>
      <c r="O54" s="746">
        <f t="shared" si="23"/>
        <v>40935</v>
      </c>
      <c r="P54" s="746">
        <v>40938</v>
      </c>
      <c r="Q54" s="747" t="s">
        <v>1526</v>
      </c>
      <c r="R54" s="304">
        <v>250</v>
      </c>
      <c r="S54" s="778">
        <v>24720</v>
      </c>
      <c r="T54" s="25">
        <f t="shared" si="24"/>
        <v>6180000</v>
      </c>
      <c r="U54" s="449"/>
      <c r="V54" s="746"/>
      <c r="W54" s="778"/>
      <c r="X54" s="778"/>
      <c r="Y54" s="25">
        <f t="shared" si="25"/>
        <v>0</v>
      </c>
    </row>
    <row r="55" spans="1:25">
      <c r="A55" s="780">
        <f t="shared" si="19"/>
        <v>50</v>
      </c>
      <c r="B55" s="297" t="s">
        <v>1473</v>
      </c>
      <c r="C55" s="25">
        <f t="shared" si="20"/>
        <v>1150800</v>
      </c>
      <c r="D55" s="733">
        <f t="shared" si="18"/>
        <v>126889.09894025048</v>
      </c>
      <c r="E55" s="733">
        <f t="shared" si="18"/>
        <v>14201.516005307836</v>
      </c>
      <c r="F55" s="733">
        <f t="shared" si="18"/>
        <v>77454.238089178922</v>
      </c>
      <c r="G55" s="733">
        <f t="shared" si="18"/>
        <v>57390.980313744025</v>
      </c>
      <c r="H55" s="733">
        <f t="shared" si="18"/>
        <v>14361.327086325051</v>
      </c>
      <c r="I55" s="25">
        <f t="shared" si="21"/>
        <v>1441097.1604348063</v>
      </c>
      <c r="J55" s="733">
        <v>173</v>
      </c>
      <c r="K55" s="733">
        <f t="shared" si="22"/>
        <v>8330.0413897965682</v>
      </c>
      <c r="L55" s="667"/>
      <c r="M55" s="667"/>
      <c r="N55" s="189" t="s">
        <v>1351</v>
      </c>
      <c r="O55" s="746">
        <f t="shared" si="23"/>
        <v>40935</v>
      </c>
      <c r="P55" s="746">
        <v>40938</v>
      </c>
      <c r="Q55" s="747" t="s">
        <v>1526</v>
      </c>
      <c r="R55" s="304">
        <v>100</v>
      </c>
      <c r="S55" s="778">
        <v>11508</v>
      </c>
      <c r="T55" s="25">
        <f t="shared" si="24"/>
        <v>1150800</v>
      </c>
      <c r="U55" s="449"/>
      <c r="V55" s="746"/>
      <c r="W55" s="778"/>
      <c r="X55" s="778"/>
      <c r="Y55" s="25">
        <f t="shared" si="25"/>
        <v>0</v>
      </c>
    </row>
    <row r="56" spans="1:25">
      <c r="A56" s="780">
        <f t="shared" si="19"/>
        <v>51</v>
      </c>
      <c r="B56" s="297" t="s">
        <v>1484</v>
      </c>
      <c r="C56" s="25">
        <f t="shared" si="20"/>
        <v>1202200</v>
      </c>
      <c r="D56" s="733">
        <f t="shared" ref="D56:H65" si="26">IF($J$192&lt;&gt;0,D$192/$J$192*$J56,0)</f>
        <v>110019.44994819406</v>
      </c>
      <c r="E56" s="733">
        <f t="shared" si="26"/>
        <v>12313.453183792921</v>
      </c>
      <c r="F56" s="733">
        <f t="shared" si="26"/>
        <v>67156.853834548208</v>
      </c>
      <c r="G56" s="733">
        <f t="shared" si="26"/>
        <v>49760.965589951462</v>
      </c>
      <c r="H56" s="733">
        <f t="shared" si="26"/>
        <v>12452.017704906113</v>
      </c>
      <c r="I56" s="25">
        <f t="shared" si="21"/>
        <v>1453902.7402613929</v>
      </c>
      <c r="J56" s="733">
        <v>150</v>
      </c>
      <c r="K56" s="733">
        <f t="shared" si="22"/>
        <v>9692.684935075953</v>
      </c>
      <c r="L56" s="667"/>
      <c r="M56" s="667"/>
      <c r="N56" s="189" t="s">
        <v>1350</v>
      </c>
      <c r="O56" s="746">
        <f t="shared" si="23"/>
        <v>40935</v>
      </c>
      <c r="P56" s="746">
        <v>40938</v>
      </c>
      <c r="Q56" s="747" t="s">
        <v>1526</v>
      </c>
      <c r="R56" s="304">
        <v>100</v>
      </c>
      <c r="S56" s="778">
        <v>12022</v>
      </c>
      <c r="T56" s="25">
        <f t="shared" si="24"/>
        <v>1202200</v>
      </c>
      <c r="U56" s="449"/>
      <c r="V56" s="746"/>
      <c r="W56" s="778"/>
      <c r="X56" s="778"/>
      <c r="Y56" s="25">
        <f t="shared" si="25"/>
        <v>0</v>
      </c>
    </row>
    <row r="57" spans="1:25">
      <c r="A57" s="780">
        <f t="shared" si="19"/>
        <v>52</v>
      </c>
      <c r="B57" s="297" t="s">
        <v>1494</v>
      </c>
      <c r="C57" s="25">
        <f t="shared" si="20"/>
        <v>2763000</v>
      </c>
      <c r="D57" s="733">
        <f t="shared" si="26"/>
        <v>154027.22992747169</v>
      </c>
      <c r="E57" s="733">
        <f t="shared" si="26"/>
        <v>17238.834457310088</v>
      </c>
      <c r="F57" s="733">
        <f t="shared" si="26"/>
        <v>94019.595368367474</v>
      </c>
      <c r="G57" s="733">
        <f t="shared" si="26"/>
        <v>69665.351825932055</v>
      </c>
      <c r="H57" s="733">
        <f t="shared" si="26"/>
        <v>17432.824786868558</v>
      </c>
      <c r="I57" s="25">
        <f t="shared" si="21"/>
        <v>3115383.8363659498</v>
      </c>
      <c r="J57" s="733">
        <v>210</v>
      </c>
      <c r="K57" s="733">
        <f t="shared" si="22"/>
        <v>14835.161125552142</v>
      </c>
      <c r="L57" s="667"/>
      <c r="M57" s="667"/>
      <c r="N57" s="189" t="s">
        <v>1233</v>
      </c>
      <c r="O57" s="746">
        <f t="shared" si="23"/>
        <v>40935</v>
      </c>
      <c r="P57" s="746">
        <v>40938</v>
      </c>
      <c r="Q57" s="747" t="s">
        <v>1526</v>
      </c>
      <c r="R57" s="304">
        <v>100</v>
      </c>
      <c r="S57" s="778">
        <v>27630</v>
      </c>
      <c r="T57" s="25">
        <f t="shared" si="24"/>
        <v>2763000</v>
      </c>
      <c r="U57" s="449"/>
      <c r="V57" s="746"/>
      <c r="W57" s="778"/>
      <c r="X57" s="778"/>
      <c r="Y57" s="25">
        <f t="shared" si="25"/>
        <v>0</v>
      </c>
    </row>
    <row r="58" spans="1:25">
      <c r="A58" s="780">
        <f t="shared" si="19"/>
        <v>53</v>
      </c>
      <c r="B58" s="297" t="s">
        <v>1491</v>
      </c>
      <c r="C58" s="25">
        <f t="shared" si="20"/>
        <v>3643780</v>
      </c>
      <c r="D58" s="733">
        <f t="shared" si="26"/>
        <v>183365.74991365676</v>
      </c>
      <c r="E58" s="733">
        <f t="shared" si="26"/>
        <v>20522.421972988202</v>
      </c>
      <c r="F58" s="733">
        <f t="shared" si="26"/>
        <v>111928.08972424699</v>
      </c>
      <c r="G58" s="733">
        <f t="shared" si="26"/>
        <v>82934.942649919103</v>
      </c>
      <c r="H58" s="733">
        <f t="shared" si="26"/>
        <v>20753.362841510188</v>
      </c>
      <c r="I58" s="25">
        <f t="shared" si="21"/>
        <v>4063284.567102321</v>
      </c>
      <c r="J58" s="733">
        <v>250</v>
      </c>
      <c r="K58" s="733">
        <f t="shared" si="22"/>
        <v>16253.138268409284</v>
      </c>
      <c r="L58" s="667"/>
      <c r="M58" s="667"/>
      <c r="N58" s="192" t="s">
        <v>637</v>
      </c>
      <c r="O58" s="746">
        <f t="shared" si="23"/>
        <v>40935</v>
      </c>
      <c r="P58" s="746">
        <v>40938</v>
      </c>
      <c r="Q58" s="747" t="s">
        <v>1526</v>
      </c>
      <c r="R58" s="304">
        <v>170</v>
      </c>
      <c r="S58" s="778">
        <v>21434</v>
      </c>
      <c r="T58" s="25">
        <f t="shared" si="24"/>
        <v>3643780</v>
      </c>
      <c r="U58" s="449"/>
      <c r="V58" s="746"/>
      <c r="W58" s="778"/>
      <c r="X58" s="778"/>
      <c r="Y58" s="25">
        <f t="shared" si="25"/>
        <v>0</v>
      </c>
    </row>
    <row r="59" spans="1:25">
      <c r="A59" s="780">
        <f t="shared" si="19"/>
        <v>54</v>
      </c>
      <c r="B59" s="297" t="s">
        <v>1473</v>
      </c>
      <c r="C59" s="25">
        <f t="shared" si="20"/>
        <v>1369690</v>
      </c>
      <c r="D59" s="733">
        <f t="shared" si="26"/>
        <v>95350.189955101523</v>
      </c>
      <c r="E59" s="733">
        <f t="shared" si="26"/>
        <v>10671.659425953865</v>
      </c>
      <c r="F59" s="733">
        <f t="shared" si="26"/>
        <v>58202.606656608441</v>
      </c>
      <c r="G59" s="733">
        <f t="shared" si="26"/>
        <v>43126.170177957938</v>
      </c>
      <c r="H59" s="733">
        <f t="shared" si="26"/>
        <v>10791.748677585298</v>
      </c>
      <c r="I59" s="25">
        <f t="shared" si="21"/>
        <v>1587832.3748932071</v>
      </c>
      <c r="J59" s="733">
        <v>130</v>
      </c>
      <c r="K59" s="733">
        <f t="shared" si="22"/>
        <v>12214.095191486209</v>
      </c>
      <c r="L59" s="667"/>
      <c r="M59" s="667"/>
      <c r="N59" s="189" t="s">
        <v>1348</v>
      </c>
      <c r="O59" s="746">
        <f t="shared" si="23"/>
        <v>40936</v>
      </c>
      <c r="P59" s="746">
        <v>40939</v>
      </c>
      <c r="Q59" s="747" t="s">
        <v>1527</v>
      </c>
      <c r="R59" s="304">
        <v>70</v>
      </c>
      <c r="S59" s="778">
        <v>19567</v>
      </c>
      <c r="T59" s="25">
        <f t="shared" si="24"/>
        <v>1369690</v>
      </c>
      <c r="U59" s="449"/>
      <c r="V59" s="746"/>
      <c r="W59" s="778"/>
      <c r="X59" s="778"/>
      <c r="Y59" s="25">
        <f t="shared" si="25"/>
        <v>0</v>
      </c>
    </row>
    <row r="60" spans="1:25">
      <c r="A60" s="780">
        <f t="shared" si="19"/>
        <v>55</v>
      </c>
      <c r="B60" s="297" t="s">
        <v>1531</v>
      </c>
      <c r="C60" s="25">
        <f t="shared" si="20"/>
        <v>162896</v>
      </c>
      <c r="D60" s="733">
        <f t="shared" si="26"/>
        <v>8801.5559958555241</v>
      </c>
      <c r="E60" s="733">
        <f t="shared" si="26"/>
        <v>985.07625470343373</v>
      </c>
      <c r="F60" s="733">
        <f t="shared" si="26"/>
        <v>5372.5483067638561</v>
      </c>
      <c r="G60" s="733">
        <f t="shared" si="26"/>
        <v>3980.8772471961174</v>
      </c>
      <c r="H60" s="733">
        <f t="shared" si="26"/>
        <v>996.16141639248906</v>
      </c>
      <c r="I60" s="25">
        <f t="shared" si="21"/>
        <v>183032.21922091141</v>
      </c>
      <c r="J60" s="733">
        <v>12</v>
      </c>
      <c r="K60" s="733">
        <f t="shared" si="22"/>
        <v>15252.684935075951</v>
      </c>
      <c r="L60" s="667"/>
      <c r="M60" s="667"/>
      <c r="N60" s="189" t="s">
        <v>1346</v>
      </c>
      <c r="O60" s="746">
        <f t="shared" si="23"/>
        <v>40936</v>
      </c>
      <c r="P60" s="746">
        <v>40939</v>
      </c>
      <c r="Q60" s="747" t="s">
        <v>1527</v>
      </c>
      <c r="R60" s="304">
        <v>8</v>
      </c>
      <c r="S60" s="778">
        <v>20362</v>
      </c>
      <c r="T60" s="25">
        <f t="shared" si="24"/>
        <v>162896</v>
      </c>
      <c r="U60" s="449"/>
      <c r="V60" s="746"/>
      <c r="W60" s="778"/>
      <c r="X60" s="778"/>
      <c r="Y60" s="25">
        <f t="shared" si="25"/>
        <v>0</v>
      </c>
    </row>
    <row r="61" spans="1:25">
      <c r="A61" s="780">
        <f t="shared" si="19"/>
        <v>56</v>
      </c>
      <c r="B61" s="297" t="s">
        <v>1525</v>
      </c>
      <c r="C61" s="25">
        <f t="shared" si="20"/>
        <v>2072694</v>
      </c>
      <c r="D61" s="733">
        <f t="shared" si="26"/>
        <v>102684.81995164779</v>
      </c>
      <c r="E61" s="733">
        <f t="shared" si="26"/>
        <v>11492.556304873393</v>
      </c>
      <c r="F61" s="733">
        <f t="shared" si="26"/>
        <v>62679.730245578321</v>
      </c>
      <c r="G61" s="733">
        <f t="shared" si="26"/>
        <v>46443.567883954704</v>
      </c>
      <c r="H61" s="733">
        <f t="shared" si="26"/>
        <v>11621.883191245706</v>
      </c>
      <c r="I61" s="25">
        <f t="shared" si="21"/>
        <v>2307616.5575772999</v>
      </c>
      <c r="J61" s="733">
        <v>140</v>
      </c>
      <c r="K61" s="733">
        <f t="shared" si="22"/>
        <v>16482.975411266427</v>
      </c>
      <c r="L61" s="667"/>
      <c r="M61" s="667"/>
      <c r="N61" s="192" t="s">
        <v>634</v>
      </c>
      <c r="O61" s="746">
        <f t="shared" si="23"/>
        <v>40936</v>
      </c>
      <c r="P61" s="746">
        <v>40939</v>
      </c>
      <c r="Q61" s="747" t="s">
        <v>1527</v>
      </c>
      <c r="R61" s="304">
        <v>78</v>
      </c>
      <c r="S61" s="778">
        <v>26573</v>
      </c>
      <c r="T61" s="25">
        <f t="shared" si="24"/>
        <v>2072694</v>
      </c>
      <c r="U61" s="449"/>
      <c r="V61" s="746"/>
      <c r="W61" s="778"/>
      <c r="X61" s="778"/>
      <c r="Y61" s="25">
        <f t="shared" si="25"/>
        <v>0</v>
      </c>
    </row>
    <row r="62" spans="1:25">
      <c r="A62" s="780">
        <f t="shared" si="19"/>
        <v>57</v>
      </c>
      <c r="B62" s="297" t="s">
        <v>1491</v>
      </c>
      <c r="C62" s="25">
        <f t="shared" si="20"/>
        <v>3215100</v>
      </c>
      <c r="D62" s="733">
        <f t="shared" si="26"/>
        <v>132023.33993783288</v>
      </c>
      <c r="E62" s="733">
        <f t="shared" si="26"/>
        <v>14776.143820551506</v>
      </c>
      <c r="F62" s="733">
        <f t="shared" si="26"/>
        <v>80588.224601457841</v>
      </c>
      <c r="G62" s="733">
        <f t="shared" si="26"/>
        <v>59713.158707941759</v>
      </c>
      <c r="H62" s="733">
        <f t="shared" si="26"/>
        <v>14942.421245887335</v>
      </c>
      <c r="I62" s="25">
        <f t="shared" si="21"/>
        <v>3517143.2883136715</v>
      </c>
      <c r="J62" s="733">
        <v>180</v>
      </c>
      <c r="K62" s="733">
        <f t="shared" si="22"/>
        <v>19539.684935075951</v>
      </c>
      <c r="L62" s="667"/>
      <c r="M62" s="667"/>
      <c r="N62" s="192" t="s">
        <v>637</v>
      </c>
      <c r="O62" s="746">
        <f t="shared" si="23"/>
        <v>40936</v>
      </c>
      <c r="P62" s="746">
        <v>40939</v>
      </c>
      <c r="Q62" s="747" t="s">
        <v>1527</v>
      </c>
      <c r="R62" s="304">
        <v>150</v>
      </c>
      <c r="S62" s="778">
        <v>21434</v>
      </c>
      <c r="T62" s="25">
        <f t="shared" si="24"/>
        <v>3215100</v>
      </c>
      <c r="U62" s="449"/>
      <c r="V62" s="746"/>
      <c r="W62" s="778"/>
      <c r="X62" s="778"/>
      <c r="Y62" s="25">
        <f t="shared" si="25"/>
        <v>0</v>
      </c>
    </row>
    <row r="63" spans="1:25">
      <c r="A63" s="780">
        <f t="shared" si="19"/>
        <v>58</v>
      </c>
      <c r="B63" s="297" t="s">
        <v>1492</v>
      </c>
      <c r="C63" s="25">
        <f t="shared" si="20"/>
        <v>5160400</v>
      </c>
      <c r="D63" s="733">
        <f t="shared" si="26"/>
        <v>227373.5298929344</v>
      </c>
      <c r="E63" s="733">
        <f t="shared" si="26"/>
        <v>25447.803246505369</v>
      </c>
      <c r="F63" s="733">
        <f t="shared" si="26"/>
        <v>138790.83125806629</v>
      </c>
      <c r="G63" s="733">
        <f t="shared" si="26"/>
        <v>102839.3288858997</v>
      </c>
      <c r="H63" s="733">
        <f t="shared" si="26"/>
        <v>25734.169923472633</v>
      </c>
      <c r="I63" s="25">
        <f t="shared" si="21"/>
        <v>5680585.6632068781</v>
      </c>
      <c r="J63" s="733">
        <v>310</v>
      </c>
      <c r="K63" s="733">
        <f t="shared" si="22"/>
        <v>18324.469881312511</v>
      </c>
      <c r="L63" s="667"/>
      <c r="M63" s="667"/>
      <c r="N63" s="189" t="s">
        <v>1229</v>
      </c>
      <c r="O63" s="746">
        <f t="shared" si="23"/>
        <v>40936</v>
      </c>
      <c r="P63" s="746">
        <v>40939</v>
      </c>
      <c r="Q63" s="747" t="s">
        <v>1527</v>
      </c>
      <c r="R63" s="304">
        <v>200</v>
      </c>
      <c r="S63" s="778">
        <v>25802</v>
      </c>
      <c r="T63" s="25">
        <f t="shared" si="24"/>
        <v>5160400</v>
      </c>
      <c r="U63" s="449"/>
      <c r="V63" s="746"/>
      <c r="W63" s="778"/>
      <c r="X63" s="778"/>
      <c r="Y63" s="25">
        <f t="shared" si="25"/>
        <v>0</v>
      </c>
    </row>
    <row r="64" spans="1:25">
      <c r="A64" s="780">
        <f t="shared" si="19"/>
        <v>59</v>
      </c>
      <c r="B64" s="297" t="s">
        <v>1501</v>
      </c>
      <c r="C64" s="25">
        <f t="shared" si="20"/>
        <v>1337000</v>
      </c>
      <c r="D64" s="733">
        <f t="shared" si="26"/>
        <v>117354.07994474034</v>
      </c>
      <c r="E64" s="733">
        <f t="shared" si="26"/>
        <v>13134.350062712449</v>
      </c>
      <c r="F64" s="733">
        <f t="shared" si="26"/>
        <v>71633.977423518081</v>
      </c>
      <c r="G64" s="733">
        <f t="shared" si="26"/>
        <v>53078.363295948227</v>
      </c>
      <c r="H64" s="733">
        <f t="shared" si="26"/>
        <v>13282.15221856652</v>
      </c>
      <c r="I64" s="25">
        <f t="shared" si="21"/>
        <v>1605482.9229454857</v>
      </c>
      <c r="J64" s="733">
        <v>160</v>
      </c>
      <c r="K64" s="733">
        <f t="shared" si="22"/>
        <v>10034.268268409285</v>
      </c>
      <c r="L64" s="667"/>
      <c r="M64" s="667"/>
      <c r="N64" s="192" t="s">
        <v>650</v>
      </c>
      <c r="O64" s="746">
        <f t="shared" si="23"/>
        <v>40936</v>
      </c>
      <c r="P64" s="746">
        <v>40939</v>
      </c>
      <c r="Q64" s="747" t="s">
        <v>1527</v>
      </c>
      <c r="R64" s="304">
        <v>100</v>
      </c>
      <c r="S64" s="778">
        <v>13370</v>
      </c>
      <c r="T64" s="25">
        <f t="shared" si="24"/>
        <v>1337000</v>
      </c>
      <c r="U64" s="449"/>
      <c r="V64" s="746"/>
      <c r="W64" s="778"/>
      <c r="X64" s="778"/>
      <c r="Y64" s="25">
        <f t="shared" si="25"/>
        <v>0</v>
      </c>
    </row>
    <row r="65" spans="1:25">
      <c r="A65" s="780">
        <f t="shared" si="19"/>
        <v>60</v>
      </c>
      <c r="B65" s="297" t="s">
        <v>1497</v>
      </c>
      <c r="C65" s="25">
        <f t="shared" si="20"/>
        <v>4064190</v>
      </c>
      <c r="D65" s="733">
        <f t="shared" si="26"/>
        <v>198035.0099067493</v>
      </c>
      <c r="E65" s="733">
        <f t="shared" si="26"/>
        <v>22164.215730827258</v>
      </c>
      <c r="F65" s="733">
        <f t="shared" si="26"/>
        <v>120882.33690218677</v>
      </c>
      <c r="G65" s="733">
        <f t="shared" si="26"/>
        <v>89569.738061912634</v>
      </c>
      <c r="H65" s="733">
        <f t="shared" si="26"/>
        <v>22413.631868831002</v>
      </c>
      <c r="I65" s="25">
        <f t="shared" si="21"/>
        <v>4517254.932470507</v>
      </c>
      <c r="J65" s="733">
        <v>270</v>
      </c>
      <c r="K65" s="733">
        <f t="shared" si="22"/>
        <v>16730.573823964842</v>
      </c>
      <c r="L65" s="667"/>
      <c r="M65" s="667"/>
      <c r="N65" s="189" t="s">
        <v>625</v>
      </c>
      <c r="O65" s="746">
        <f t="shared" si="23"/>
        <v>40936</v>
      </c>
      <c r="P65" s="746">
        <v>40939</v>
      </c>
      <c r="Q65" s="747" t="s">
        <v>1527</v>
      </c>
      <c r="R65" s="304">
        <v>195</v>
      </c>
      <c r="S65" s="778">
        <v>20842</v>
      </c>
      <c r="T65" s="25">
        <f t="shared" si="24"/>
        <v>4064190</v>
      </c>
      <c r="U65" s="449"/>
      <c r="V65" s="746"/>
      <c r="W65" s="778"/>
      <c r="X65" s="778"/>
      <c r="Y65" s="25">
        <f t="shared" si="25"/>
        <v>0</v>
      </c>
    </row>
    <row r="66" spans="1:25">
      <c r="A66" s="780">
        <f t="shared" si="19"/>
        <v>61</v>
      </c>
      <c r="B66" s="297" t="s">
        <v>1491</v>
      </c>
      <c r="C66" s="25">
        <f t="shared" si="20"/>
        <v>2233881</v>
      </c>
      <c r="D66" s="733">
        <f t="shared" ref="D66:H75" si="27">IF($J$192&lt;&gt;0,D$192/$J$192*$J66,0)</f>
        <v>110752.91294784869</v>
      </c>
      <c r="E66" s="733">
        <f t="shared" si="27"/>
        <v>12395.542871684875</v>
      </c>
      <c r="F66" s="733">
        <f t="shared" si="27"/>
        <v>67604.566193445193</v>
      </c>
      <c r="G66" s="733">
        <f t="shared" si="27"/>
        <v>50092.705360551139</v>
      </c>
      <c r="H66" s="733">
        <f t="shared" si="27"/>
        <v>12535.031156272154</v>
      </c>
      <c r="I66" s="25">
        <f t="shared" si="21"/>
        <v>2487261.7585298023</v>
      </c>
      <c r="J66" s="733">
        <v>151</v>
      </c>
      <c r="K66" s="733">
        <f t="shared" si="22"/>
        <v>16471.932175694055</v>
      </c>
      <c r="L66" s="667"/>
      <c r="M66" s="667"/>
      <c r="N66" s="297" t="s">
        <v>1343</v>
      </c>
      <c r="O66" s="746">
        <f t="shared" si="23"/>
        <v>40936</v>
      </c>
      <c r="P66" s="746">
        <v>40939</v>
      </c>
      <c r="Q66" s="747" t="s">
        <v>1527</v>
      </c>
      <c r="R66" s="304">
        <v>183</v>
      </c>
      <c r="S66" s="778">
        <v>12207</v>
      </c>
      <c r="T66" s="25">
        <f t="shared" si="24"/>
        <v>2233881</v>
      </c>
      <c r="U66" s="449"/>
      <c r="V66" s="746"/>
      <c r="W66" s="778"/>
      <c r="X66" s="778"/>
      <c r="Y66" s="25">
        <f t="shared" si="25"/>
        <v>0</v>
      </c>
    </row>
    <row r="67" spans="1:25">
      <c r="A67" s="780">
        <f t="shared" si="19"/>
        <v>62</v>
      </c>
      <c r="B67" s="297" t="s">
        <v>1499</v>
      </c>
      <c r="C67" s="25">
        <f t="shared" si="20"/>
        <v>1041250</v>
      </c>
      <c r="D67" s="733">
        <f t="shared" si="27"/>
        <v>44007.779979277628</v>
      </c>
      <c r="E67" s="733">
        <f t="shared" si="27"/>
        <v>4925.3812735171687</v>
      </c>
      <c r="F67" s="733">
        <f t="shared" si="27"/>
        <v>26862.74153381928</v>
      </c>
      <c r="G67" s="733">
        <f t="shared" si="27"/>
        <v>19904.386235980586</v>
      </c>
      <c r="H67" s="733">
        <f t="shared" si="27"/>
        <v>4980.8070819624454</v>
      </c>
      <c r="I67" s="25">
        <f t="shared" si="21"/>
        <v>1141931.0961045572</v>
      </c>
      <c r="J67" s="733">
        <v>60</v>
      </c>
      <c r="K67" s="733">
        <f t="shared" si="22"/>
        <v>19032.184935075951</v>
      </c>
      <c r="L67" s="667"/>
      <c r="M67" s="667"/>
      <c r="N67" s="189" t="s">
        <v>591</v>
      </c>
      <c r="O67" s="746">
        <f t="shared" si="23"/>
        <v>40936</v>
      </c>
      <c r="P67" s="746">
        <v>40939</v>
      </c>
      <c r="Q67" s="747" t="s">
        <v>1527</v>
      </c>
      <c r="R67" s="304">
        <v>70</v>
      </c>
      <c r="S67" s="778">
        <v>14875</v>
      </c>
      <c r="T67" s="25">
        <f t="shared" si="24"/>
        <v>1041250</v>
      </c>
      <c r="U67" s="449"/>
      <c r="V67" s="746"/>
      <c r="W67" s="778"/>
      <c r="X67" s="778"/>
      <c r="Y67" s="25">
        <f t="shared" si="25"/>
        <v>0</v>
      </c>
    </row>
    <row r="68" spans="1:25">
      <c r="A68" s="780">
        <f t="shared" si="19"/>
        <v>63</v>
      </c>
      <c r="B68" s="297" t="s">
        <v>1473</v>
      </c>
      <c r="C68" s="25">
        <f t="shared" si="20"/>
        <v>1565360</v>
      </c>
      <c r="D68" s="733">
        <f t="shared" si="27"/>
        <v>110019.44994819406</v>
      </c>
      <c r="E68" s="733">
        <f t="shared" si="27"/>
        <v>12313.453183792921</v>
      </c>
      <c r="F68" s="733">
        <f t="shared" si="27"/>
        <v>67156.853834548208</v>
      </c>
      <c r="G68" s="733">
        <f t="shared" si="27"/>
        <v>49760.965589951462</v>
      </c>
      <c r="H68" s="733">
        <f t="shared" si="27"/>
        <v>12452.017704906113</v>
      </c>
      <c r="I68" s="25">
        <f t="shared" si="21"/>
        <v>1817062.7402613929</v>
      </c>
      <c r="J68" s="733">
        <v>150</v>
      </c>
      <c r="K68" s="733">
        <f t="shared" si="22"/>
        <v>12113.751601742619</v>
      </c>
      <c r="L68" s="667"/>
      <c r="M68" s="667"/>
      <c r="N68" s="189" t="s">
        <v>1348</v>
      </c>
      <c r="O68" s="746">
        <f t="shared" si="23"/>
        <v>40936</v>
      </c>
      <c r="P68" s="746">
        <v>40939</v>
      </c>
      <c r="Q68" s="747" t="s">
        <v>1527</v>
      </c>
      <c r="R68" s="304">
        <v>80</v>
      </c>
      <c r="S68" s="778">
        <v>19567</v>
      </c>
      <c r="T68" s="25">
        <f t="shared" si="24"/>
        <v>1565360</v>
      </c>
      <c r="U68" s="449"/>
      <c r="V68" s="746"/>
      <c r="W68" s="778"/>
      <c r="X68" s="778"/>
      <c r="Y68" s="25">
        <f t="shared" si="25"/>
        <v>0</v>
      </c>
    </row>
    <row r="69" spans="1:25">
      <c r="A69" s="780">
        <f t="shared" si="19"/>
        <v>64</v>
      </c>
      <c r="B69" s="297" t="s">
        <v>1209</v>
      </c>
      <c r="C69" s="25">
        <f t="shared" si="20"/>
        <v>10317033</v>
      </c>
      <c r="D69" s="733">
        <f t="shared" si="27"/>
        <v>440077.79979277623</v>
      </c>
      <c r="E69" s="733">
        <f t="shared" si="27"/>
        <v>49253.812735171683</v>
      </c>
      <c r="F69" s="733">
        <f t="shared" si="27"/>
        <v>268627.41533819283</v>
      </c>
      <c r="G69" s="733">
        <f t="shared" si="27"/>
        <v>199043.86235980585</v>
      </c>
      <c r="H69" s="733">
        <f t="shared" si="27"/>
        <v>49808.070819624452</v>
      </c>
      <c r="I69" s="25">
        <f t="shared" si="21"/>
        <v>11323843.961045569</v>
      </c>
      <c r="J69" s="733">
        <v>600</v>
      </c>
      <c r="K69" s="733">
        <f t="shared" si="22"/>
        <v>18873.07326840928</v>
      </c>
      <c r="L69" s="667"/>
      <c r="M69" s="667"/>
      <c r="N69" s="189" t="s">
        <v>611</v>
      </c>
      <c r="O69" s="746">
        <f t="shared" si="23"/>
        <v>40943</v>
      </c>
      <c r="P69" s="746">
        <v>40946</v>
      </c>
      <c r="Q69" s="747" t="s">
        <v>907</v>
      </c>
      <c r="R69" s="304">
        <v>503</v>
      </c>
      <c r="S69" s="778">
        <v>20511</v>
      </c>
      <c r="T69" s="25">
        <f t="shared" si="24"/>
        <v>10317033</v>
      </c>
      <c r="U69" s="449"/>
      <c r="V69" s="746"/>
      <c r="W69" s="778"/>
      <c r="X69" s="778"/>
      <c r="Y69" s="25">
        <f t="shared" si="25"/>
        <v>0</v>
      </c>
    </row>
    <row r="70" spans="1:25">
      <c r="A70" s="780">
        <f t="shared" si="19"/>
        <v>65</v>
      </c>
      <c r="B70" s="297" t="s">
        <v>1181</v>
      </c>
      <c r="C70" s="25">
        <f t="shared" si="20"/>
        <v>2176600</v>
      </c>
      <c r="D70" s="733">
        <f t="shared" si="27"/>
        <v>146692.59993092541</v>
      </c>
      <c r="E70" s="733">
        <f t="shared" si="27"/>
        <v>16417.93757839056</v>
      </c>
      <c r="F70" s="733">
        <f t="shared" si="27"/>
        <v>89542.471779397601</v>
      </c>
      <c r="G70" s="733">
        <f t="shared" si="27"/>
        <v>66347.954119935283</v>
      </c>
      <c r="H70" s="733">
        <f t="shared" si="27"/>
        <v>16602.690273208151</v>
      </c>
      <c r="I70" s="25">
        <f t="shared" si="21"/>
        <v>2512203.6536818566</v>
      </c>
      <c r="J70" s="733">
        <v>200</v>
      </c>
      <c r="K70" s="733">
        <f t="shared" si="22"/>
        <v>12561.018268409283</v>
      </c>
      <c r="L70" s="667"/>
      <c r="M70" s="667"/>
      <c r="N70" s="189" t="s">
        <v>1340</v>
      </c>
      <c r="O70" s="746">
        <f t="shared" si="23"/>
        <v>40943</v>
      </c>
      <c r="P70" s="746">
        <v>40946</v>
      </c>
      <c r="Q70" s="747" t="s">
        <v>907</v>
      </c>
      <c r="R70" s="304">
        <v>100</v>
      </c>
      <c r="S70" s="778">
        <v>21766</v>
      </c>
      <c r="T70" s="25">
        <f t="shared" si="24"/>
        <v>2176600</v>
      </c>
      <c r="U70" s="449"/>
      <c r="V70" s="746"/>
      <c r="W70" s="778"/>
      <c r="X70" s="778"/>
      <c r="Y70" s="25">
        <f t="shared" si="25"/>
        <v>0</v>
      </c>
    </row>
    <row r="71" spans="1:25">
      <c r="A71" s="780">
        <f t="shared" si="19"/>
        <v>66</v>
      </c>
      <c r="B71" s="297" t="s">
        <v>1208</v>
      </c>
      <c r="C71" s="25">
        <f t="shared" si="20"/>
        <v>6076500</v>
      </c>
      <c r="D71" s="733">
        <f t="shared" si="27"/>
        <v>220038.89989638812</v>
      </c>
      <c r="E71" s="733">
        <f t="shared" si="27"/>
        <v>24626.906367585842</v>
      </c>
      <c r="F71" s="733">
        <f t="shared" si="27"/>
        <v>134313.70766909642</v>
      </c>
      <c r="G71" s="733">
        <f t="shared" si="27"/>
        <v>99521.931179902924</v>
      </c>
      <c r="H71" s="733">
        <f t="shared" si="27"/>
        <v>24904.035409812226</v>
      </c>
      <c r="I71" s="25">
        <f t="shared" si="21"/>
        <v>6579905.4805227844</v>
      </c>
      <c r="J71" s="733">
        <v>300</v>
      </c>
      <c r="K71" s="733">
        <f t="shared" si="22"/>
        <v>21933.01826840928</v>
      </c>
      <c r="L71" s="667"/>
      <c r="M71" s="667"/>
      <c r="N71" s="189" t="s">
        <v>1226</v>
      </c>
      <c r="O71" s="746">
        <f t="shared" si="23"/>
        <v>40943</v>
      </c>
      <c r="P71" s="746">
        <v>40946</v>
      </c>
      <c r="Q71" s="747" t="s">
        <v>907</v>
      </c>
      <c r="R71" s="304">
        <v>300</v>
      </c>
      <c r="S71" s="778">
        <v>20255</v>
      </c>
      <c r="T71" s="25">
        <f t="shared" si="24"/>
        <v>6076500</v>
      </c>
      <c r="U71" s="449"/>
      <c r="V71" s="746"/>
      <c r="W71" s="778"/>
      <c r="X71" s="778"/>
      <c r="Y71" s="25">
        <f t="shared" si="25"/>
        <v>0</v>
      </c>
    </row>
    <row r="72" spans="1:25">
      <c r="A72" s="780">
        <f t="shared" si="19"/>
        <v>67</v>
      </c>
      <c r="B72" s="297" t="s">
        <v>908</v>
      </c>
      <c r="C72" s="25">
        <f t="shared" si="20"/>
        <v>175360</v>
      </c>
      <c r="D72" s="733">
        <f t="shared" si="27"/>
        <v>660116.69968916441</v>
      </c>
      <c r="E72" s="733">
        <f t="shared" si="27"/>
        <v>73880.719102757532</v>
      </c>
      <c r="F72" s="733">
        <f t="shared" si="27"/>
        <v>402941.12300728919</v>
      </c>
      <c r="G72" s="733">
        <f t="shared" si="27"/>
        <v>298565.79353970877</v>
      </c>
      <c r="H72" s="733">
        <f t="shared" si="27"/>
        <v>74712.106229436686</v>
      </c>
      <c r="I72" s="25">
        <f t="shared" si="21"/>
        <v>1685576.4415683565</v>
      </c>
      <c r="J72" s="733">
        <v>900</v>
      </c>
      <c r="K72" s="733">
        <f t="shared" si="22"/>
        <v>1872.8627128537294</v>
      </c>
      <c r="L72" s="667"/>
      <c r="M72" s="667"/>
      <c r="N72" s="297" t="s">
        <v>1341</v>
      </c>
      <c r="O72" s="746">
        <f t="shared" si="23"/>
        <v>40943</v>
      </c>
      <c r="P72" s="746">
        <v>40946</v>
      </c>
      <c r="Q72" s="747" t="s">
        <v>907</v>
      </c>
      <c r="R72" s="304">
        <v>20</v>
      </c>
      <c r="S72" s="778">
        <v>8768</v>
      </c>
      <c r="T72" s="25">
        <f t="shared" si="24"/>
        <v>175360</v>
      </c>
      <c r="U72" s="449"/>
      <c r="V72" s="746"/>
      <c r="W72" s="778"/>
      <c r="X72" s="778"/>
      <c r="Y72" s="25">
        <f t="shared" si="25"/>
        <v>0</v>
      </c>
    </row>
    <row r="73" spans="1:25">
      <c r="A73" s="780">
        <f t="shared" si="19"/>
        <v>68</v>
      </c>
      <c r="B73" s="297" t="s">
        <v>909</v>
      </c>
      <c r="C73" s="25">
        <f t="shared" si="20"/>
        <v>175360</v>
      </c>
      <c r="D73" s="733">
        <f t="shared" si="27"/>
        <v>660116.69968916441</v>
      </c>
      <c r="E73" s="733">
        <f t="shared" si="27"/>
        <v>73880.719102757532</v>
      </c>
      <c r="F73" s="733">
        <f t="shared" si="27"/>
        <v>402941.12300728919</v>
      </c>
      <c r="G73" s="733">
        <f t="shared" si="27"/>
        <v>298565.79353970877</v>
      </c>
      <c r="H73" s="733">
        <f t="shared" si="27"/>
        <v>74712.106229436686</v>
      </c>
      <c r="I73" s="25">
        <f t="shared" si="21"/>
        <v>1685576.4415683565</v>
      </c>
      <c r="J73" s="733">
        <v>900</v>
      </c>
      <c r="K73" s="733">
        <f t="shared" si="22"/>
        <v>1872.8627128537294</v>
      </c>
      <c r="L73" s="667"/>
      <c r="M73" s="667"/>
      <c r="N73" s="297" t="s">
        <v>1341</v>
      </c>
      <c r="O73" s="746">
        <f t="shared" si="23"/>
        <v>40943</v>
      </c>
      <c r="P73" s="746">
        <v>40946</v>
      </c>
      <c r="Q73" s="747" t="s">
        <v>907</v>
      </c>
      <c r="R73" s="304">
        <v>20</v>
      </c>
      <c r="S73" s="778">
        <v>8768</v>
      </c>
      <c r="T73" s="25">
        <f t="shared" si="24"/>
        <v>175360</v>
      </c>
      <c r="U73" s="449"/>
      <c r="V73" s="746"/>
      <c r="W73" s="778"/>
      <c r="X73" s="778"/>
      <c r="Y73" s="25">
        <f t="shared" si="25"/>
        <v>0</v>
      </c>
    </row>
    <row r="74" spans="1:25">
      <c r="A74" s="780">
        <f t="shared" si="19"/>
        <v>69</v>
      </c>
      <c r="B74" s="297" t="s">
        <v>910</v>
      </c>
      <c r="C74" s="25">
        <f t="shared" si="20"/>
        <v>2808260</v>
      </c>
      <c r="D74" s="733">
        <f t="shared" si="27"/>
        <v>365264.5738280043</v>
      </c>
      <c r="E74" s="733">
        <f t="shared" si="27"/>
        <v>40880.664570192501</v>
      </c>
      <c r="F74" s="733">
        <f t="shared" si="27"/>
        <v>222960.75473070002</v>
      </c>
      <c r="G74" s="733">
        <f t="shared" si="27"/>
        <v>165206.40575863887</v>
      </c>
      <c r="H74" s="733">
        <f t="shared" si="27"/>
        <v>41340.698780288294</v>
      </c>
      <c r="I74" s="25">
        <f t="shared" si="21"/>
        <v>3643913.097667824</v>
      </c>
      <c r="J74" s="733">
        <v>498</v>
      </c>
      <c r="K74" s="733">
        <f t="shared" si="22"/>
        <v>7317.0945736301683</v>
      </c>
      <c r="L74" s="667"/>
      <c r="M74" s="667"/>
      <c r="N74" s="189" t="s">
        <v>1223</v>
      </c>
      <c r="O74" s="746">
        <f t="shared" si="23"/>
        <v>40950</v>
      </c>
      <c r="P74" s="746">
        <v>40953</v>
      </c>
      <c r="Q74" s="747" t="s">
        <v>911</v>
      </c>
      <c r="R74" s="304">
        <v>140</v>
      </c>
      <c r="S74" s="778">
        <v>20059</v>
      </c>
      <c r="T74" s="25">
        <f t="shared" si="24"/>
        <v>2808260</v>
      </c>
      <c r="U74" s="449"/>
      <c r="V74" s="746"/>
      <c r="W74" s="778"/>
      <c r="X74" s="778"/>
      <c r="Y74" s="25">
        <f t="shared" si="25"/>
        <v>0</v>
      </c>
    </row>
    <row r="75" spans="1:25">
      <c r="A75" s="780">
        <f t="shared" si="19"/>
        <v>70</v>
      </c>
      <c r="B75" s="297" t="s">
        <v>1132</v>
      </c>
      <c r="C75" s="25">
        <f t="shared" si="20"/>
        <v>6806348</v>
      </c>
      <c r="D75" s="733">
        <f t="shared" si="27"/>
        <v>623443.54970643297</v>
      </c>
      <c r="E75" s="733">
        <f t="shared" si="27"/>
        <v>69776.234708159885</v>
      </c>
      <c r="F75" s="733">
        <f t="shared" si="27"/>
        <v>380555.50506243983</v>
      </c>
      <c r="G75" s="733">
        <f t="shared" si="27"/>
        <v>281978.80500972498</v>
      </c>
      <c r="H75" s="733">
        <f t="shared" si="27"/>
        <v>70561.433661134637</v>
      </c>
      <c r="I75" s="25">
        <f t="shared" si="21"/>
        <v>8232663.5281478921</v>
      </c>
      <c r="J75" s="733">
        <v>850</v>
      </c>
      <c r="K75" s="733">
        <f t="shared" si="22"/>
        <v>9685.4865037034033</v>
      </c>
      <c r="L75" s="667"/>
      <c r="M75" s="667"/>
      <c r="N75" s="189" t="s">
        <v>579</v>
      </c>
      <c r="O75" s="746">
        <f t="shared" si="23"/>
        <v>40950</v>
      </c>
      <c r="P75" s="746">
        <v>40953</v>
      </c>
      <c r="Q75" s="747" t="s">
        <v>1528</v>
      </c>
      <c r="R75" s="304">
        <v>509</v>
      </c>
      <c r="S75" s="778">
        <v>13372</v>
      </c>
      <c r="T75" s="25">
        <f t="shared" si="24"/>
        <v>6806348</v>
      </c>
      <c r="U75" s="449"/>
      <c r="V75" s="746"/>
      <c r="W75" s="778"/>
      <c r="X75" s="778"/>
      <c r="Y75" s="25">
        <f t="shared" si="25"/>
        <v>0</v>
      </c>
    </row>
    <row r="76" spans="1:25">
      <c r="A76" s="780">
        <f t="shared" si="19"/>
        <v>71</v>
      </c>
      <c r="B76" s="297" t="s">
        <v>526</v>
      </c>
      <c r="C76" s="25">
        <f t="shared" si="20"/>
        <v>4207510</v>
      </c>
      <c r="D76" s="733">
        <f t="shared" ref="D76:H85" si="28">IF($J$192&lt;&gt;0,D$192/$J$192*$J76,0)</f>
        <v>366731.49982731353</v>
      </c>
      <c r="E76" s="733">
        <f t="shared" si="28"/>
        <v>41044.843945976405</v>
      </c>
      <c r="F76" s="733">
        <f t="shared" si="28"/>
        <v>223856.17944849399</v>
      </c>
      <c r="G76" s="733">
        <f t="shared" si="28"/>
        <v>165869.88529983821</v>
      </c>
      <c r="H76" s="733">
        <f t="shared" si="28"/>
        <v>41506.725683020377</v>
      </c>
      <c r="I76" s="25">
        <f t="shared" si="21"/>
        <v>5046519.1342046419</v>
      </c>
      <c r="J76" s="733">
        <v>500</v>
      </c>
      <c r="K76" s="733">
        <f t="shared" si="22"/>
        <v>10093.038268409284</v>
      </c>
      <c r="L76" s="667"/>
      <c r="M76" s="667"/>
      <c r="N76" s="192" t="s">
        <v>642</v>
      </c>
      <c r="O76" s="746">
        <f t="shared" si="23"/>
        <v>40953</v>
      </c>
      <c r="P76" s="746">
        <v>40956</v>
      </c>
      <c r="Q76" s="747" t="s">
        <v>912</v>
      </c>
      <c r="R76" s="304">
        <v>254</v>
      </c>
      <c r="S76" s="778">
        <v>16565</v>
      </c>
      <c r="T76" s="25">
        <f t="shared" si="24"/>
        <v>4207510</v>
      </c>
      <c r="U76" s="449"/>
      <c r="V76" s="746"/>
      <c r="W76" s="778"/>
      <c r="X76" s="778"/>
      <c r="Y76" s="25">
        <f t="shared" si="25"/>
        <v>0</v>
      </c>
    </row>
    <row r="77" spans="1:25">
      <c r="A77" s="780">
        <f t="shared" si="19"/>
        <v>72</v>
      </c>
      <c r="B77" s="297" t="s">
        <v>1132</v>
      </c>
      <c r="C77" s="25">
        <f t="shared" si="20"/>
        <v>7164004</v>
      </c>
      <c r="D77" s="733">
        <f t="shared" si="28"/>
        <v>682120.58967880323</v>
      </c>
      <c r="E77" s="733">
        <f t="shared" si="28"/>
        <v>76343.409739516108</v>
      </c>
      <c r="F77" s="733">
        <f t="shared" si="28"/>
        <v>416372.49377419887</v>
      </c>
      <c r="G77" s="733">
        <f t="shared" si="28"/>
        <v>308517.9866576991</v>
      </c>
      <c r="H77" s="733">
        <f t="shared" si="28"/>
        <v>77202.509770417906</v>
      </c>
      <c r="I77" s="25">
        <f t="shared" si="21"/>
        <v>8724560.9896206353</v>
      </c>
      <c r="J77" s="733">
        <v>930</v>
      </c>
      <c r="K77" s="733">
        <f t="shared" si="22"/>
        <v>9381.2483759361676</v>
      </c>
      <c r="L77" s="667"/>
      <c r="M77" s="667"/>
      <c r="N77" s="189" t="s">
        <v>606</v>
      </c>
      <c r="O77" s="746">
        <f t="shared" si="23"/>
        <v>40956</v>
      </c>
      <c r="P77" s="746">
        <v>40959</v>
      </c>
      <c r="Q77" s="747" t="s">
        <v>1529</v>
      </c>
      <c r="R77" s="304">
        <v>274</v>
      </c>
      <c r="S77" s="778">
        <v>26146</v>
      </c>
      <c r="T77" s="25">
        <f t="shared" si="24"/>
        <v>7164004</v>
      </c>
      <c r="U77" s="449"/>
      <c r="V77" s="746"/>
      <c r="W77" s="778"/>
      <c r="X77" s="778"/>
      <c r="Y77" s="25">
        <f t="shared" si="25"/>
        <v>0</v>
      </c>
    </row>
    <row r="78" spans="1:25">
      <c r="A78" s="780">
        <f t="shared" si="19"/>
        <v>73</v>
      </c>
      <c r="B78" s="297" t="s">
        <v>1532</v>
      </c>
      <c r="C78" s="25">
        <f t="shared" si="20"/>
        <v>15462452</v>
      </c>
      <c r="D78" s="733">
        <f t="shared" si="28"/>
        <v>726128.36965808086</v>
      </c>
      <c r="E78" s="733">
        <f t="shared" si="28"/>
        <v>81268.791013033275</v>
      </c>
      <c r="F78" s="733">
        <f t="shared" si="28"/>
        <v>443235.23530801811</v>
      </c>
      <c r="G78" s="733">
        <f t="shared" si="28"/>
        <v>328422.37289367965</v>
      </c>
      <c r="H78" s="733">
        <f t="shared" si="28"/>
        <v>82183.316852380347</v>
      </c>
      <c r="I78" s="25">
        <f t="shared" si="21"/>
        <v>17123690.085725192</v>
      </c>
      <c r="J78" s="733">
        <v>990</v>
      </c>
      <c r="K78" s="733">
        <f t="shared" si="22"/>
        <v>17296.656652247668</v>
      </c>
      <c r="L78" s="667"/>
      <c r="M78" s="667"/>
      <c r="N78" s="297" t="s">
        <v>1225</v>
      </c>
      <c r="O78" s="746">
        <f t="shared" si="23"/>
        <v>40956</v>
      </c>
      <c r="P78" s="746">
        <v>40959</v>
      </c>
      <c r="Q78" s="747" t="s">
        <v>1529</v>
      </c>
      <c r="R78" s="304">
        <v>493</v>
      </c>
      <c r="S78" s="778">
        <v>31364</v>
      </c>
      <c r="T78" s="25">
        <f t="shared" si="24"/>
        <v>15462452</v>
      </c>
      <c r="U78" s="449"/>
      <c r="V78" s="746"/>
      <c r="W78" s="778"/>
      <c r="X78" s="778"/>
      <c r="Y78" s="25">
        <f t="shared" si="25"/>
        <v>0</v>
      </c>
    </row>
    <row r="79" spans="1:25">
      <c r="A79" s="780">
        <f t="shared" ref="A79:A110" si="29">IF(B79&lt;&gt;"",A78+1,"")</f>
        <v>74</v>
      </c>
      <c r="B79" s="297" t="s">
        <v>1465</v>
      </c>
      <c r="C79" s="25">
        <f t="shared" ref="C79:C110" si="30">T79</f>
        <v>1467525</v>
      </c>
      <c r="D79" s="733">
        <f t="shared" si="28"/>
        <v>73346.299965462706</v>
      </c>
      <c r="E79" s="733">
        <f t="shared" si="28"/>
        <v>8208.9687891952799</v>
      </c>
      <c r="F79" s="733">
        <f t="shared" si="28"/>
        <v>44771.235889698801</v>
      </c>
      <c r="G79" s="733">
        <f t="shared" si="28"/>
        <v>33173.977059967641</v>
      </c>
      <c r="H79" s="733">
        <f t="shared" si="28"/>
        <v>8301.3451366040754</v>
      </c>
      <c r="I79" s="25">
        <f t="shared" ref="I79:I110" si="31">SUM(C79:H79)</f>
        <v>1635326.8268409283</v>
      </c>
      <c r="J79" s="733">
        <v>100</v>
      </c>
      <c r="K79" s="733">
        <f t="shared" ref="K79:K110" si="32">IF(J79&lt;&gt;"",I79/J79,"")</f>
        <v>16353.268268409283</v>
      </c>
      <c r="L79" s="667"/>
      <c r="M79" s="667"/>
      <c r="N79" s="189" t="s">
        <v>1348</v>
      </c>
      <c r="O79" s="746">
        <f t="shared" ref="O79:O110" si="33">P79-3</f>
        <v>40959</v>
      </c>
      <c r="P79" s="746">
        <v>40962</v>
      </c>
      <c r="Q79" s="747" t="s">
        <v>913</v>
      </c>
      <c r="R79" s="304">
        <v>75</v>
      </c>
      <c r="S79" s="778">
        <v>19567</v>
      </c>
      <c r="T79" s="25">
        <f t="shared" ref="T79:T110" si="34">ROUND(R79*S79,0)</f>
        <v>1467525</v>
      </c>
      <c r="U79" s="449"/>
      <c r="V79" s="746"/>
      <c r="W79" s="778"/>
      <c r="X79" s="778"/>
      <c r="Y79" s="25">
        <f t="shared" ref="Y79:Y110" si="35">W79*X79</f>
        <v>0</v>
      </c>
    </row>
    <row r="80" spans="1:25">
      <c r="A80" s="780">
        <f t="shared" si="29"/>
        <v>75</v>
      </c>
      <c r="B80" s="297" t="s">
        <v>1534</v>
      </c>
      <c r="C80" s="25">
        <f t="shared" si="30"/>
        <v>1870428</v>
      </c>
      <c r="D80" s="733">
        <f t="shared" si="28"/>
        <v>146692.59993092541</v>
      </c>
      <c r="E80" s="733">
        <f t="shared" si="28"/>
        <v>16417.93757839056</v>
      </c>
      <c r="F80" s="733">
        <f t="shared" si="28"/>
        <v>89542.471779397601</v>
      </c>
      <c r="G80" s="733">
        <f t="shared" si="28"/>
        <v>66347.954119935283</v>
      </c>
      <c r="H80" s="733">
        <f t="shared" si="28"/>
        <v>16602.690273208151</v>
      </c>
      <c r="I80" s="25">
        <f t="shared" si="31"/>
        <v>2206031.6536818566</v>
      </c>
      <c r="J80" s="733">
        <v>200</v>
      </c>
      <c r="K80" s="733">
        <f t="shared" si="32"/>
        <v>11030.158268409283</v>
      </c>
      <c r="L80" s="667"/>
      <c r="M80" s="667"/>
      <c r="N80" s="189" t="s">
        <v>627</v>
      </c>
      <c r="O80" s="746">
        <f t="shared" si="33"/>
        <v>40960</v>
      </c>
      <c r="P80" s="746">
        <v>40963</v>
      </c>
      <c r="Q80" s="747" t="s">
        <v>1533</v>
      </c>
      <c r="R80" s="304">
        <v>98</v>
      </c>
      <c r="S80" s="778">
        <v>19086</v>
      </c>
      <c r="T80" s="25">
        <f t="shared" si="34"/>
        <v>1870428</v>
      </c>
      <c r="U80" s="449"/>
      <c r="V80" s="746"/>
      <c r="W80" s="778"/>
      <c r="X80" s="778"/>
      <c r="Y80" s="25">
        <f t="shared" si="35"/>
        <v>0</v>
      </c>
    </row>
    <row r="81" spans="1:25">
      <c r="A81" s="780">
        <f t="shared" si="29"/>
        <v>76</v>
      </c>
      <c r="B81" s="297" t="s">
        <v>1535</v>
      </c>
      <c r="C81" s="25">
        <f t="shared" si="30"/>
        <v>114200</v>
      </c>
      <c r="D81" s="733">
        <f t="shared" si="28"/>
        <v>146692.59993092541</v>
      </c>
      <c r="E81" s="733">
        <f t="shared" si="28"/>
        <v>16417.93757839056</v>
      </c>
      <c r="F81" s="733">
        <f t="shared" si="28"/>
        <v>89542.471779397601</v>
      </c>
      <c r="G81" s="733">
        <f t="shared" si="28"/>
        <v>66347.954119935283</v>
      </c>
      <c r="H81" s="733">
        <f t="shared" si="28"/>
        <v>16602.690273208151</v>
      </c>
      <c r="I81" s="25">
        <f t="shared" si="31"/>
        <v>449803.65368185699</v>
      </c>
      <c r="J81" s="733">
        <v>200</v>
      </c>
      <c r="K81" s="733">
        <f t="shared" si="32"/>
        <v>2249.0182684092852</v>
      </c>
      <c r="L81" s="667"/>
      <c r="M81" s="667"/>
      <c r="N81" s="189" t="s">
        <v>628</v>
      </c>
      <c r="O81" s="746">
        <f t="shared" si="33"/>
        <v>40960</v>
      </c>
      <c r="P81" s="746">
        <v>40963</v>
      </c>
      <c r="Q81" s="747" t="s">
        <v>1533</v>
      </c>
      <c r="R81" s="304">
        <f>J81</f>
        <v>200</v>
      </c>
      <c r="S81" s="778">
        <v>571</v>
      </c>
      <c r="T81" s="25">
        <f t="shared" si="34"/>
        <v>114200</v>
      </c>
      <c r="U81" s="449"/>
      <c r="V81" s="746"/>
      <c r="W81" s="778"/>
      <c r="X81" s="778"/>
      <c r="Y81" s="25">
        <f t="shared" si="35"/>
        <v>0</v>
      </c>
    </row>
    <row r="82" spans="1:25">
      <c r="A82" s="780">
        <f t="shared" si="29"/>
        <v>77</v>
      </c>
      <c r="B82" s="297" t="s">
        <v>1471</v>
      </c>
      <c r="C82" s="25">
        <f t="shared" si="30"/>
        <v>8755660</v>
      </c>
      <c r="D82" s="733">
        <f t="shared" si="28"/>
        <v>539095.30474615085</v>
      </c>
      <c r="E82" s="733">
        <f t="shared" si="28"/>
        <v>60335.920600585312</v>
      </c>
      <c r="F82" s="733">
        <f t="shared" si="28"/>
        <v>329068.5837892862</v>
      </c>
      <c r="G82" s="733">
        <f t="shared" si="28"/>
        <v>243828.73139076217</v>
      </c>
      <c r="H82" s="733">
        <f t="shared" si="28"/>
        <v>61014.886754039951</v>
      </c>
      <c r="I82" s="25">
        <f t="shared" si="31"/>
        <v>9989003.4272808246</v>
      </c>
      <c r="J82" s="733">
        <v>735</v>
      </c>
      <c r="K82" s="733">
        <f t="shared" si="32"/>
        <v>13590.4808534433</v>
      </c>
      <c r="L82" s="667"/>
      <c r="M82" s="667"/>
      <c r="N82" s="189" t="s">
        <v>1346</v>
      </c>
      <c r="O82" s="746">
        <f t="shared" si="33"/>
        <v>40962</v>
      </c>
      <c r="P82" s="746">
        <v>40965</v>
      </c>
      <c r="Q82" s="747" t="s">
        <v>1470</v>
      </c>
      <c r="R82" s="304">
        <v>430</v>
      </c>
      <c r="S82" s="778">
        <v>20362</v>
      </c>
      <c r="T82" s="25">
        <f t="shared" si="34"/>
        <v>8755660</v>
      </c>
      <c r="U82" s="449"/>
      <c r="V82" s="746"/>
      <c r="W82" s="778"/>
      <c r="X82" s="778"/>
      <c r="Y82" s="25">
        <f t="shared" si="35"/>
        <v>0</v>
      </c>
    </row>
    <row r="83" spans="1:25">
      <c r="A83" s="780">
        <f t="shared" si="29"/>
        <v>78</v>
      </c>
      <c r="B83" s="297" t="s">
        <v>1472</v>
      </c>
      <c r="C83" s="25">
        <f t="shared" si="30"/>
        <v>8555</v>
      </c>
      <c r="D83" s="733">
        <f t="shared" si="28"/>
        <v>1466.9259993092542</v>
      </c>
      <c r="E83" s="733">
        <f t="shared" si="28"/>
        <v>164.17937578390561</v>
      </c>
      <c r="F83" s="733">
        <f t="shared" si="28"/>
        <v>895.42471779397601</v>
      </c>
      <c r="G83" s="733">
        <f t="shared" si="28"/>
        <v>663.47954119935287</v>
      </c>
      <c r="H83" s="733">
        <f t="shared" si="28"/>
        <v>166.02690273208151</v>
      </c>
      <c r="I83" s="25">
        <f t="shared" si="31"/>
        <v>11911.03653681857</v>
      </c>
      <c r="J83" s="733">
        <v>2</v>
      </c>
      <c r="K83" s="733">
        <f t="shared" si="32"/>
        <v>5955.5182684092852</v>
      </c>
      <c r="L83" s="667"/>
      <c r="M83" s="667"/>
      <c r="N83" s="192" t="s">
        <v>645</v>
      </c>
      <c r="O83" s="746">
        <f t="shared" si="33"/>
        <v>40962</v>
      </c>
      <c r="P83" s="746">
        <v>40965</v>
      </c>
      <c r="Q83" s="747" t="s">
        <v>1470</v>
      </c>
      <c r="R83" s="304">
        <v>1</v>
      </c>
      <c r="S83" s="778">
        <v>8555</v>
      </c>
      <c r="T83" s="25">
        <f t="shared" si="34"/>
        <v>8555</v>
      </c>
      <c r="U83" s="449"/>
      <c r="V83" s="746"/>
      <c r="W83" s="778"/>
      <c r="X83" s="778"/>
      <c r="Y83" s="25">
        <f t="shared" si="35"/>
        <v>0</v>
      </c>
    </row>
    <row r="84" spans="1:25">
      <c r="A84" s="780">
        <f t="shared" si="29"/>
        <v>79</v>
      </c>
      <c r="B84" s="297" t="s">
        <v>1473</v>
      </c>
      <c r="C84" s="25">
        <f t="shared" si="30"/>
        <v>25662</v>
      </c>
      <c r="D84" s="733">
        <f t="shared" si="28"/>
        <v>1466.9259993092542</v>
      </c>
      <c r="E84" s="733">
        <f t="shared" si="28"/>
        <v>164.17937578390561</v>
      </c>
      <c r="F84" s="733">
        <f t="shared" si="28"/>
        <v>895.42471779397601</v>
      </c>
      <c r="G84" s="733">
        <f t="shared" si="28"/>
        <v>663.47954119935287</v>
      </c>
      <c r="H84" s="733">
        <f t="shared" si="28"/>
        <v>166.02690273208151</v>
      </c>
      <c r="I84" s="25">
        <f t="shared" si="31"/>
        <v>29018.03653681857</v>
      </c>
      <c r="J84" s="733">
        <v>2</v>
      </c>
      <c r="K84" s="733">
        <f t="shared" si="32"/>
        <v>14509.018268409285</v>
      </c>
      <c r="L84" s="667"/>
      <c r="M84" s="667"/>
      <c r="N84" s="192" t="s">
        <v>645</v>
      </c>
      <c r="O84" s="746">
        <f t="shared" si="33"/>
        <v>40962</v>
      </c>
      <c r="P84" s="746">
        <v>40965</v>
      </c>
      <c r="Q84" s="747" t="s">
        <v>1470</v>
      </c>
      <c r="R84" s="304">
        <v>3</v>
      </c>
      <c r="S84" s="778">
        <f>8555-1</f>
        <v>8554</v>
      </c>
      <c r="T84" s="25">
        <f t="shared" si="34"/>
        <v>25662</v>
      </c>
      <c r="U84" s="449"/>
      <c r="V84" s="746"/>
      <c r="W84" s="778"/>
      <c r="X84" s="778"/>
      <c r="Y84" s="25">
        <f t="shared" si="35"/>
        <v>0</v>
      </c>
    </row>
    <row r="85" spans="1:25">
      <c r="A85" s="780">
        <f t="shared" si="29"/>
        <v>80</v>
      </c>
      <c r="B85" s="297" t="s">
        <v>1474</v>
      </c>
      <c r="C85" s="25">
        <f t="shared" si="30"/>
        <v>4278</v>
      </c>
      <c r="D85" s="733">
        <f t="shared" si="28"/>
        <v>733.46299965462708</v>
      </c>
      <c r="E85" s="733">
        <f t="shared" si="28"/>
        <v>82.089687891952806</v>
      </c>
      <c r="F85" s="733">
        <f t="shared" si="28"/>
        <v>447.71235889698801</v>
      </c>
      <c r="G85" s="733">
        <f t="shared" si="28"/>
        <v>331.73977059967643</v>
      </c>
      <c r="H85" s="733">
        <f t="shared" si="28"/>
        <v>83.013451366040755</v>
      </c>
      <c r="I85" s="25">
        <f t="shared" si="31"/>
        <v>5956.0182684092852</v>
      </c>
      <c r="J85" s="733">
        <v>1</v>
      </c>
      <c r="K85" s="733">
        <f t="shared" si="32"/>
        <v>5956.0182684092852</v>
      </c>
      <c r="L85" s="667"/>
      <c r="M85" s="667"/>
      <c r="N85" s="192" t="s">
        <v>645</v>
      </c>
      <c r="O85" s="746">
        <f t="shared" si="33"/>
        <v>40962</v>
      </c>
      <c r="P85" s="746">
        <v>40965</v>
      </c>
      <c r="Q85" s="747" t="s">
        <v>1470</v>
      </c>
      <c r="R85" s="304">
        <v>0.5</v>
      </c>
      <c r="S85" s="778">
        <v>8555</v>
      </c>
      <c r="T85" s="25">
        <f t="shared" si="34"/>
        <v>4278</v>
      </c>
      <c r="U85" s="449"/>
      <c r="V85" s="746"/>
      <c r="W85" s="778"/>
      <c r="X85" s="778"/>
      <c r="Y85" s="25">
        <f t="shared" si="35"/>
        <v>0</v>
      </c>
    </row>
    <row r="86" spans="1:25">
      <c r="A86" s="780">
        <f t="shared" si="29"/>
        <v>81</v>
      </c>
      <c r="B86" s="297" t="s">
        <v>1475</v>
      </c>
      <c r="C86" s="25">
        <f t="shared" si="30"/>
        <v>8555</v>
      </c>
      <c r="D86" s="733">
        <f t="shared" ref="D86:H95" si="36">IF($J$192&lt;&gt;0,D$192/$J$192*$J86,0)</f>
        <v>733.46299965462708</v>
      </c>
      <c r="E86" s="733">
        <f t="shared" si="36"/>
        <v>82.089687891952806</v>
      </c>
      <c r="F86" s="733">
        <f t="shared" si="36"/>
        <v>447.71235889698801</v>
      </c>
      <c r="G86" s="733">
        <f t="shared" si="36"/>
        <v>331.73977059967643</v>
      </c>
      <c r="H86" s="733">
        <f t="shared" si="36"/>
        <v>83.013451366040755</v>
      </c>
      <c r="I86" s="25">
        <f t="shared" si="31"/>
        <v>10233.018268409285</v>
      </c>
      <c r="J86" s="733">
        <v>1</v>
      </c>
      <c r="K86" s="733">
        <f t="shared" si="32"/>
        <v>10233.018268409285</v>
      </c>
      <c r="L86" s="667"/>
      <c r="M86" s="667"/>
      <c r="N86" s="192" t="s">
        <v>645</v>
      </c>
      <c r="O86" s="746">
        <f t="shared" si="33"/>
        <v>40962</v>
      </c>
      <c r="P86" s="746">
        <v>40965</v>
      </c>
      <c r="Q86" s="747" t="s">
        <v>1470</v>
      </c>
      <c r="R86" s="304">
        <v>1</v>
      </c>
      <c r="S86" s="778">
        <v>8555</v>
      </c>
      <c r="T86" s="25">
        <f t="shared" si="34"/>
        <v>8555</v>
      </c>
      <c r="U86" s="449"/>
      <c r="V86" s="746"/>
      <c r="W86" s="778"/>
      <c r="X86" s="778"/>
      <c r="Y86" s="25">
        <f t="shared" si="35"/>
        <v>0</v>
      </c>
    </row>
    <row r="87" spans="1:25">
      <c r="A87" s="780">
        <f t="shared" si="29"/>
        <v>82</v>
      </c>
      <c r="B87" s="297" t="s">
        <v>1476</v>
      </c>
      <c r="C87" s="25">
        <f t="shared" si="30"/>
        <v>4278</v>
      </c>
      <c r="D87" s="733">
        <f t="shared" si="36"/>
        <v>733.46299965462708</v>
      </c>
      <c r="E87" s="733">
        <f t="shared" si="36"/>
        <v>82.089687891952806</v>
      </c>
      <c r="F87" s="733">
        <f t="shared" si="36"/>
        <v>447.71235889698801</v>
      </c>
      <c r="G87" s="733">
        <f t="shared" si="36"/>
        <v>331.73977059967643</v>
      </c>
      <c r="H87" s="733">
        <f t="shared" si="36"/>
        <v>83.013451366040755</v>
      </c>
      <c r="I87" s="25">
        <f t="shared" si="31"/>
        <v>5956.0182684092852</v>
      </c>
      <c r="J87" s="733">
        <v>1</v>
      </c>
      <c r="K87" s="733">
        <f t="shared" si="32"/>
        <v>5956.0182684092852</v>
      </c>
      <c r="L87" s="667"/>
      <c r="M87" s="667"/>
      <c r="N87" s="192" t="s">
        <v>645</v>
      </c>
      <c r="O87" s="746">
        <f t="shared" si="33"/>
        <v>40962</v>
      </c>
      <c r="P87" s="746">
        <v>40965</v>
      </c>
      <c r="Q87" s="747" t="s">
        <v>1470</v>
      </c>
      <c r="R87" s="304">
        <v>0.5</v>
      </c>
      <c r="S87" s="778">
        <v>8555</v>
      </c>
      <c r="T87" s="25">
        <f t="shared" si="34"/>
        <v>4278</v>
      </c>
      <c r="U87" s="449"/>
      <c r="V87" s="746"/>
      <c r="W87" s="778"/>
      <c r="X87" s="778"/>
      <c r="Y87" s="25">
        <f t="shared" si="35"/>
        <v>0</v>
      </c>
    </row>
    <row r="88" spans="1:25">
      <c r="A88" s="780">
        <f t="shared" si="29"/>
        <v>83</v>
      </c>
      <c r="B88" s="297" t="s">
        <v>1477</v>
      </c>
      <c r="C88" s="25">
        <f t="shared" si="30"/>
        <v>4278</v>
      </c>
      <c r="D88" s="733">
        <f t="shared" si="36"/>
        <v>733.46299965462708</v>
      </c>
      <c r="E88" s="733">
        <f t="shared" si="36"/>
        <v>82.089687891952806</v>
      </c>
      <c r="F88" s="733">
        <f t="shared" si="36"/>
        <v>447.71235889698801</v>
      </c>
      <c r="G88" s="733">
        <f t="shared" si="36"/>
        <v>331.73977059967643</v>
      </c>
      <c r="H88" s="733">
        <f t="shared" si="36"/>
        <v>83.013451366040755</v>
      </c>
      <c r="I88" s="25">
        <f t="shared" si="31"/>
        <v>5956.0182684092852</v>
      </c>
      <c r="J88" s="733">
        <v>1</v>
      </c>
      <c r="K88" s="733">
        <f t="shared" si="32"/>
        <v>5956.0182684092852</v>
      </c>
      <c r="L88" s="667"/>
      <c r="M88" s="667"/>
      <c r="N88" s="192" t="s">
        <v>645</v>
      </c>
      <c r="O88" s="746">
        <f t="shared" si="33"/>
        <v>40962</v>
      </c>
      <c r="P88" s="746">
        <v>40965</v>
      </c>
      <c r="Q88" s="747" t="s">
        <v>1470</v>
      </c>
      <c r="R88" s="304">
        <v>0.5</v>
      </c>
      <c r="S88" s="778">
        <v>8555</v>
      </c>
      <c r="T88" s="25">
        <f t="shared" si="34"/>
        <v>4278</v>
      </c>
      <c r="U88" s="449"/>
      <c r="V88" s="746"/>
      <c r="W88" s="778"/>
      <c r="X88" s="778"/>
      <c r="Y88" s="25">
        <f t="shared" si="35"/>
        <v>0</v>
      </c>
    </row>
    <row r="89" spans="1:25">
      <c r="A89" s="780">
        <f t="shared" si="29"/>
        <v>84</v>
      </c>
      <c r="B89" s="297" t="s">
        <v>1478</v>
      </c>
      <c r="C89" s="25">
        <f t="shared" si="30"/>
        <v>4278</v>
      </c>
      <c r="D89" s="733">
        <f t="shared" si="36"/>
        <v>733.46299965462708</v>
      </c>
      <c r="E89" s="733">
        <f t="shared" si="36"/>
        <v>82.089687891952806</v>
      </c>
      <c r="F89" s="733">
        <f t="shared" si="36"/>
        <v>447.71235889698801</v>
      </c>
      <c r="G89" s="733">
        <f t="shared" si="36"/>
        <v>331.73977059967643</v>
      </c>
      <c r="H89" s="733">
        <f t="shared" si="36"/>
        <v>83.013451366040755</v>
      </c>
      <c r="I89" s="25">
        <f t="shared" si="31"/>
        <v>5956.0182684092852</v>
      </c>
      <c r="J89" s="733">
        <v>1</v>
      </c>
      <c r="K89" s="733">
        <f t="shared" si="32"/>
        <v>5956.0182684092852</v>
      </c>
      <c r="L89" s="667"/>
      <c r="M89" s="667"/>
      <c r="N89" s="192" t="s">
        <v>645</v>
      </c>
      <c r="O89" s="746">
        <f t="shared" si="33"/>
        <v>40962</v>
      </c>
      <c r="P89" s="746">
        <v>40965</v>
      </c>
      <c r="Q89" s="747" t="s">
        <v>1470</v>
      </c>
      <c r="R89" s="304">
        <v>0.5</v>
      </c>
      <c r="S89" s="778">
        <v>8555</v>
      </c>
      <c r="T89" s="25">
        <f t="shared" si="34"/>
        <v>4278</v>
      </c>
      <c r="U89" s="449"/>
      <c r="V89" s="746"/>
      <c r="W89" s="778"/>
      <c r="X89" s="778"/>
      <c r="Y89" s="25">
        <f t="shared" si="35"/>
        <v>0</v>
      </c>
    </row>
    <row r="90" spans="1:25">
      <c r="A90" s="780">
        <f t="shared" si="29"/>
        <v>85</v>
      </c>
      <c r="B90" s="297" t="s">
        <v>1479</v>
      </c>
      <c r="C90" s="25">
        <f t="shared" si="30"/>
        <v>1174020</v>
      </c>
      <c r="D90" s="733">
        <f t="shared" si="36"/>
        <v>122488.32094232272</v>
      </c>
      <c r="E90" s="733">
        <f t="shared" si="36"/>
        <v>13708.977877956118</v>
      </c>
      <c r="F90" s="733">
        <f t="shared" si="36"/>
        <v>74767.963935797001</v>
      </c>
      <c r="G90" s="733">
        <f t="shared" si="36"/>
        <v>55400.541690145961</v>
      </c>
      <c r="H90" s="733">
        <f t="shared" si="36"/>
        <v>13863.246378128806</v>
      </c>
      <c r="I90" s="25">
        <f t="shared" si="31"/>
        <v>1454249.0508243507</v>
      </c>
      <c r="J90" s="733">
        <v>167</v>
      </c>
      <c r="K90" s="733">
        <f t="shared" si="32"/>
        <v>8708.0781486488067</v>
      </c>
      <c r="L90" s="667"/>
      <c r="M90" s="667"/>
      <c r="N90" s="189" t="s">
        <v>1348</v>
      </c>
      <c r="O90" s="746">
        <f t="shared" si="33"/>
        <v>40962</v>
      </c>
      <c r="P90" s="746">
        <v>40965</v>
      </c>
      <c r="Q90" s="747" t="s">
        <v>1470</v>
      </c>
      <c r="R90" s="304">
        <v>60</v>
      </c>
      <c r="S90" s="778">
        <v>19567</v>
      </c>
      <c r="T90" s="25">
        <f t="shared" si="34"/>
        <v>1174020</v>
      </c>
      <c r="U90" s="449"/>
      <c r="V90" s="746"/>
      <c r="W90" s="778"/>
      <c r="X90" s="778"/>
      <c r="Y90" s="25">
        <f t="shared" si="35"/>
        <v>0</v>
      </c>
    </row>
    <row r="91" spans="1:25">
      <c r="A91" s="780">
        <f t="shared" si="29"/>
        <v>86</v>
      </c>
      <c r="B91" s="297" t="s">
        <v>1480</v>
      </c>
      <c r="C91" s="25">
        <f t="shared" si="30"/>
        <v>3068275</v>
      </c>
      <c r="D91" s="733">
        <f t="shared" si="36"/>
        <v>266980.53187428426</v>
      </c>
      <c r="E91" s="733">
        <f t="shared" si="36"/>
        <v>29880.64639267082</v>
      </c>
      <c r="F91" s="733">
        <f t="shared" si="36"/>
        <v>162967.29863850365</v>
      </c>
      <c r="G91" s="733">
        <f t="shared" si="36"/>
        <v>120753.27649828223</v>
      </c>
      <c r="H91" s="733">
        <f t="shared" si="36"/>
        <v>30216.896297238836</v>
      </c>
      <c r="I91" s="25">
        <f t="shared" si="31"/>
        <v>3679073.6497009797</v>
      </c>
      <c r="J91" s="733">
        <v>364</v>
      </c>
      <c r="K91" s="733">
        <f t="shared" si="32"/>
        <v>10107.345191486207</v>
      </c>
      <c r="L91" s="667"/>
      <c r="M91" s="667"/>
      <c r="N91" s="297" t="s">
        <v>1218</v>
      </c>
      <c r="O91" s="746">
        <f t="shared" si="33"/>
        <v>40962</v>
      </c>
      <c r="P91" s="746">
        <v>40965</v>
      </c>
      <c r="Q91" s="747" t="s">
        <v>1470</v>
      </c>
      <c r="R91" s="304">
        <v>175</v>
      </c>
      <c r="S91" s="778">
        <v>17533</v>
      </c>
      <c r="T91" s="25">
        <f t="shared" si="34"/>
        <v>3068275</v>
      </c>
      <c r="U91" s="449"/>
      <c r="V91" s="746"/>
      <c r="W91" s="778"/>
      <c r="X91" s="778"/>
      <c r="Y91" s="25">
        <f t="shared" si="35"/>
        <v>0</v>
      </c>
    </row>
    <row r="92" spans="1:25">
      <c r="A92" s="780">
        <f t="shared" si="29"/>
        <v>87</v>
      </c>
      <c r="B92" s="297" t="s">
        <v>1481</v>
      </c>
      <c r="C92" s="25">
        <f t="shared" si="30"/>
        <v>3924195</v>
      </c>
      <c r="D92" s="733">
        <f t="shared" si="36"/>
        <v>308054.45985494339</v>
      </c>
      <c r="E92" s="733">
        <f t="shared" si="36"/>
        <v>34477.668914620175</v>
      </c>
      <c r="F92" s="733">
        <f t="shared" si="36"/>
        <v>188039.19073673495</v>
      </c>
      <c r="G92" s="733">
        <f t="shared" si="36"/>
        <v>139330.70365186411</v>
      </c>
      <c r="H92" s="733">
        <f t="shared" si="36"/>
        <v>34865.649573737115</v>
      </c>
      <c r="I92" s="25">
        <f t="shared" si="31"/>
        <v>4628962.6727318997</v>
      </c>
      <c r="J92" s="733">
        <v>420</v>
      </c>
      <c r="K92" s="733">
        <f t="shared" si="32"/>
        <v>11021.339696980713</v>
      </c>
      <c r="L92" s="667"/>
      <c r="M92" s="667"/>
      <c r="N92" s="189" t="s">
        <v>1349</v>
      </c>
      <c r="O92" s="746">
        <f t="shared" si="33"/>
        <v>40962</v>
      </c>
      <c r="P92" s="746">
        <v>40965</v>
      </c>
      <c r="Q92" s="747" t="s">
        <v>1470</v>
      </c>
      <c r="R92" s="304">
        <v>165</v>
      </c>
      <c r="S92" s="778">
        <v>23783</v>
      </c>
      <c r="T92" s="25">
        <f t="shared" si="34"/>
        <v>3924195</v>
      </c>
      <c r="U92" s="449"/>
      <c r="V92" s="746"/>
      <c r="W92" s="778"/>
      <c r="X92" s="778"/>
      <c r="Y92" s="25">
        <f t="shared" si="35"/>
        <v>0</v>
      </c>
    </row>
    <row r="93" spans="1:25">
      <c r="A93" s="780">
        <f t="shared" si="29"/>
        <v>88</v>
      </c>
      <c r="B93" s="297" t="s">
        <v>1482</v>
      </c>
      <c r="C93" s="25">
        <f t="shared" si="30"/>
        <v>104244</v>
      </c>
      <c r="D93" s="733">
        <f t="shared" si="36"/>
        <v>5867.7039972370167</v>
      </c>
      <c r="E93" s="733">
        <f t="shared" si="36"/>
        <v>656.71750313562245</v>
      </c>
      <c r="F93" s="733">
        <f t="shared" si="36"/>
        <v>3581.6988711759041</v>
      </c>
      <c r="G93" s="733">
        <f t="shared" si="36"/>
        <v>2653.9181647974115</v>
      </c>
      <c r="H93" s="733">
        <f t="shared" si="36"/>
        <v>664.10761092832604</v>
      </c>
      <c r="I93" s="25">
        <f t="shared" si="31"/>
        <v>117668.14614727428</v>
      </c>
      <c r="J93" s="733">
        <v>8</v>
      </c>
      <c r="K93" s="733">
        <f t="shared" si="32"/>
        <v>14708.518268409285</v>
      </c>
      <c r="L93" s="667"/>
      <c r="M93" s="667"/>
      <c r="N93" s="192" t="s">
        <v>1215</v>
      </c>
      <c r="O93" s="746">
        <f t="shared" si="33"/>
        <v>40962</v>
      </c>
      <c r="P93" s="746">
        <v>40965</v>
      </c>
      <c r="Q93" s="747" t="s">
        <v>1470</v>
      </c>
      <c r="R93" s="304">
        <v>6</v>
      </c>
      <c r="S93" s="778">
        <v>17374</v>
      </c>
      <c r="T93" s="25">
        <f t="shared" si="34"/>
        <v>104244</v>
      </c>
      <c r="U93" s="449"/>
      <c r="V93" s="746"/>
      <c r="W93" s="778"/>
      <c r="X93" s="778"/>
      <c r="Y93" s="25">
        <f t="shared" si="35"/>
        <v>0</v>
      </c>
    </row>
    <row r="94" spans="1:25">
      <c r="A94" s="780">
        <f t="shared" si="29"/>
        <v>89</v>
      </c>
      <c r="B94" s="297" t="s">
        <v>1483</v>
      </c>
      <c r="C94" s="25">
        <f t="shared" si="30"/>
        <v>85550</v>
      </c>
      <c r="D94" s="733">
        <f t="shared" si="36"/>
        <v>7334.6299965462713</v>
      </c>
      <c r="E94" s="733">
        <f t="shared" si="36"/>
        <v>820.89687891952804</v>
      </c>
      <c r="F94" s="733">
        <f t="shared" si="36"/>
        <v>4477.1235889698801</v>
      </c>
      <c r="G94" s="733">
        <f t="shared" si="36"/>
        <v>3317.3977059967642</v>
      </c>
      <c r="H94" s="733">
        <f t="shared" si="36"/>
        <v>830.13451366040749</v>
      </c>
      <c r="I94" s="25">
        <f t="shared" si="31"/>
        <v>102330.18268409286</v>
      </c>
      <c r="J94" s="733">
        <v>10</v>
      </c>
      <c r="K94" s="733">
        <f t="shared" si="32"/>
        <v>10233.018268409285</v>
      </c>
      <c r="L94" s="667"/>
      <c r="M94" s="667"/>
      <c r="N94" s="192" t="s">
        <v>645</v>
      </c>
      <c r="O94" s="746">
        <f t="shared" si="33"/>
        <v>40962</v>
      </c>
      <c r="P94" s="746">
        <v>40965</v>
      </c>
      <c r="Q94" s="747" t="s">
        <v>1470</v>
      </c>
      <c r="R94" s="304">
        <f>J94</f>
        <v>10</v>
      </c>
      <c r="S94" s="778">
        <v>8555</v>
      </c>
      <c r="T94" s="25">
        <f t="shared" si="34"/>
        <v>85550</v>
      </c>
      <c r="U94" s="449"/>
      <c r="V94" s="746"/>
      <c r="W94" s="778"/>
      <c r="X94" s="778"/>
      <c r="Y94" s="25">
        <f t="shared" si="35"/>
        <v>0</v>
      </c>
    </row>
    <row r="95" spans="1:25">
      <c r="A95" s="780">
        <f t="shared" si="29"/>
        <v>90</v>
      </c>
      <c r="B95" s="297" t="s">
        <v>1484</v>
      </c>
      <c r="C95" s="25">
        <f t="shared" si="30"/>
        <v>190040</v>
      </c>
      <c r="D95" s="733">
        <f t="shared" si="36"/>
        <v>12468.87099412866</v>
      </c>
      <c r="E95" s="733">
        <f t="shared" si="36"/>
        <v>1395.5246941631976</v>
      </c>
      <c r="F95" s="733">
        <f t="shared" si="36"/>
        <v>7611.1101012487961</v>
      </c>
      <c r="G95" s="733">
        <f t="shared" si="36"/>
        <v>5639.5761001944993</v>
      </c>
      <c r="H95" s="733">
        <f t="shared" si="36"/>
        <v>1411.2286732226928</v>
      </c>
      <c r="I95" s="25">
        <f t="shared" si="31"/>
        <v>218566.31056295786</v>
      </c>
      <c r="J95" s="733">
        <v>17</v>
      </c>
      <c r="K95" s="733">
        <f t="shared" si="32"/>
        <v>12856.841797821051</v>
      </c>
      <c r="L95" s="667"/>
      <c r="M95" s="667"/>
      <c r="N95" s="189" t="s">
        <v>1231</v>
      </c>
      <c r="O95" s="746">
        <f t="shared" si="33"/>
        <v>40962</v>
      </c>
      <c r="P95" s="746">
        <v>40965</v>
      </c>
      <c r="Q95" s="747" t="s">
        <v>1470</v>
      </c>
      <c r="R95" s="304">
        <v>10</v>
      </c>
      <c r="S95" s="778">
        <v>19004</v>
      </c>
      <c r="T95" s="25">
        <f t="shared" si="34"/>
        <v>190040</v>
      </c>
      <c r="U95" s="449"/>
      <c r="V95" s="746"/>
      <c r="W95" s="778"/>
      <c r="X95" s="778"/>
      <c r="Y95" s="25">
        <f t="shared" si="35"/>
        <v>0</v>
      </c>
    </row>
    <row r="96" spans="1:25">
      <c r="A96" s="780">
        <f t="shared" si="29"/>
        <v>91</v>
      </c>
      <c r="B96" s="297" t="s">
        <v>1485</v>
      </c>
      <c r="C96" s="25">
        <f t="shared" si="30"/>
        <v>684845</v>
      </c>
      <c r="D96" s="733">
        <f t="shared" ref="D96:H105" si="37">IF($J$192&lt;&gt;0,D$192/$J$192*$J96,0)</f>
        <v>44741.242978932249</v>
      </c>
      <c r="E96" s="733">
        <f t="shared" si="37"/>
        <v>5007.4709614091216</v>
      </c>
      <c r="F96" s="733">
        <f t="shared" si="37"/>
        <v>27310.453892716268</v>
      </c>
      <c r="G96" s="733">
        <f t="shared" si="37"/>
        <v>20236.126006580263</v>
      </c>
      <c r="H96" s="733">
        <f t="shared" si="37"/>
        <v>5063.8205333284859</v>
      </c>
      <c r="I96" s="25">
        <f t="shared" si="31"/>
        <v>787204.11437296646</v>
      </c>
      <c r="J96" s="733">
        <v>61</v>
      </c>
      <c r="K96" s="733">
        <f t="shared" si="32"/>
        <v>12904.98548152404</v>
      </c>
      <c r="L96" s="667"/>
      <c r="M96" s="667"/>
      <c r="N96" s="189" t="s">
        <v>1348</v>
      </c>
      <c r="O96" s="746">
        <f t="shared" si="33"/>
        <v>40962</v>
      </c>
      <c r="P96" s="746">
        <v>40965</v>
      </c>
      <c r="Q96" s="747" t="s">
        <v>1470</v>
      </c>
      <c r="R96" s="304">
        <v>35</v>
      </c>
      <c r="S96" s="778">
        <v>19567</v>
      </c>
      <c r="T96" s="25">
        <f t="shared" si="34"/>
        <v>684845</v>
      </c>
      <c r="U96" s="449"/>
      <c r="V96" s="746"/>
      <c r="W96" s="778"/>
      <c r="X96" s="778"/>
      <c r="Y96" s="25">
        <f t="shared" si="35"/>
        <v>0</v>
      </c>
    </row>
    <row r="97" spans="1:25">
      <c r="A97" s="780">
        <f t="shared" si="29"/>
        <v>92</v>
      </c>
      <c r="B97" s="297" t="s">
        <v>1486</v>
      </c>
      <c r="C97" s="25">
        <f t="shared" si="30"/>
        <v>111215</v>
      </c>
      <c r="D97" s="733">
        <f t="shared" si="37"/>
        <v>16136.185992401795</v>
      </c>
      <c r="E97" s="733">
        <f t="shared" si="37"/>
        <v>1805.9731336229618</v>
      </c>
      <c r="F97" s="733">
        <f t="shared" si="37"/>
        <v>9849.6718957337362</v>
      </c>
      <c r="G97" s="733">
        <f t="shared" si="37"/>
        <v>7298.2749531928812</v>
      </c>
      <c r="H97" s="733">
        <f t="shared" si="37"/>
        <v>1826.2959300528967</v>
      </c>
      <c r="I97" s="25">
        <f t="shared" si="31"/>
        <v>148131.40190500428</v>
      </c>
      <c r="J97" s="733">
        <v>22</v>
      </c>
      <c r="K97" s="733">
        <f t="shared" si="32"/>
        <v>6733.2455411365581</v>
      </c>
      <c r="L97" s="667"/>
      <c r="M97" s="667"/>
      <c r="N97" s="192" t="s">
        <v>645</v>
      </c>
      <c r="O97" s="746">
        <f t="shared" si="33"/>
        <v>40962</v>
      </c>
      <c r="P97" s="746">
        <v>40965</v>
      </c>
      <c r="Q97" s="747" t="s">
        <v>1470</v>
      </c>
      <c r="R97" s="304">
        <v>13</v>
      </c>
      <c r="S97" s="778">
        <v>8555</v>
      </c>
      <c r="T97" s="25">
        <f t="shared" si="34"/>
        <v>111215</v>
      </c>
      <c r="U97" s="449"/>
      <c r="V97" s="746"/>
      <c r="W97" s="778"/>
      <c r="X97" s="778"/>
      <c r="Y97" s="25">
        <f t="shared" si="35"/>
        <v>0</v>
      </c>
    </row>
    <row r="98" spans="1:25">
      <c r="A98" s="780">
        <f t="shared" si="29"/>
        <v>93</v>
      </c>
      <c r="B98" s="297" t="s">
        <v>1487</v>
      </c>
      <c r="C98" s="25">
        <f t="shared" si="30"/>
        <v>320180</v>
      </c>
      <c r="D98" s="733">
        <f t="shared" si="37"/>
        <v>36673.149982731353</v>
      </c>
      <c r="E98" s="733">
        <f t="shared" si="37"/>
        <v>4104.4843945976399</v>
      </c>
      <c r="F98" s="733">
        <f t="shared" si="37"/>
        <v>22385.6179448494</v>
      </c>
      <c r="G98" s="733">
        <f t="shared" si="37"/>
        <v>16586.988529983821</v>
      </c>
      <c r="H98" s="733">
        <f t="shared" si="37"/>
        <v>4150.6725683020377</v>
      </c>
      <c r="I98" s="25">
        <f t="shared" si="31"/>
        <v>404080.91342046426</v>
      </c>
      <c r="J98" s="733">
        <v>50</v>
      </c>
      <c r="K98" s="733">
        <f t="shared" si="32"/>
        <v>8081.6182684092855</v>
      </c>
      <c r="L98" s="667"/>
      <c r="M98" s="667"/>
      <c r="N98" s="189" t="s">
        <v>1221</v>
      </c>
      <c r="O98" s="746">
        <f t="shared" si="33"/>
        <v>40962</v>
      </c>
      <c r="P98" s="746">
        <v>40965</v>
      </c>
      <c r="Q98" s="747" t="s">
        <v>1470</v>
      </c>
      <c r="R98" s="304">
        <v>28</v>
      </c>
      <c r="S98" s="778">
        <v>11435</v>
      </c>
      <c r="T98" s="25">
        <f t="shared" si="34"/>
        <v>320180</v>
      </c>
      <c r="U98" s="449"/>
      <c r="V98" s="746"/>
      <c r="W98" s="778"/>
      <c r="X98" s="778"/>
      <c r="Y98" s="25">
        <f t="shared" si="35"/>
        <v>0</v>
      </c>
    </row>
    <row r="99" spans="1:25">
      <c r="A99" s="780">
        <f t="shared" si="29"/>
        <v>94</v>
      </c>
      <c r="B99" s="297" t="s">
        <v>1488</v>
      </c>
      <c r="C99" s="25">
        <f t="shared" si="30"/>
        <v>285068</v>
      </c>
      <c r="D99" s="733">
        <f t="shared" si="37"/>
        <v>13935.796993437914</v>
      </c>
      <c r="E99" s="733">
        <f t="shared" si="37"/>
        <v>1559.7040699471033</v>
      </c>
      <c r="F99" s="733">
        <f t="shared" si="37"/>
        <v>8506.5348190427721</v>
      </c>
      <c r="G99" s="733">
        <f t="shared" si="37"/>
        <v>6303.0556413938521</v>
      </c>
      <c r="H99" s="733">
        <f t="shared" si="37"/>
        <v>1577.2555759547743</v>
      </c>
      <c r="I99" s="25">
        <f t="shared" si="31"/>
        <v>316950.3470997765</v>
      </c>
      <c r="J99" s="733">
        <v>19</v>
      </c>
      <c r="K99" s="733">
        <f t="shared" si="32"/>
        <v>16681.597215777711</v>
      </c>
      <c r="L99" s="667"/>
      <c r="M99" s="667"/>
      <c r="N99" s="189" t="s">
        <v>1346</v>
      </c>
      <c r="O99" s="746">
        <f t="shared" si="33"/>
        <v>40962</v>
      </c>
      <c r="P99" s="746">
        <v>40965</v>
      </c>
      <c r="Q99" s="747" t="s">
        <v>1470</v>
      </c>
      <c r="R99" s="304">
        <v>14</v>
      </c>
      <c r="S99" s="778">
        <v>20362</v>
      </c>
      <c r="T99" s="25">
        <f t="shared" si="34"/>
        <v>285068</v>
      </c>
      <c r="U99" s="449"/>
      <c r="V99" s="746"/>
      <c r="W99" s="778"/>
      <c r="X99" s="778"/>
      <c r="Y99" s="25">
        <f t="shared" si="35"/>
        <v>0</v>
      </c>
    </row>
    <row r="100" spans="1:25">
      <c r="A100" s="780">
        <f t="shared" si="29"/>
        <v>95</v>
      </c>
      <c r="B100" s="297" t="s">
        <v>1489</v>
      </c>
      <c r="C100" s="25">
        <f t="shared" si="30"/>
        <v>29943</v>
      </c>
      <c r="D100" s="733">
        <f t="shared" si="37"/>
        <v>2200.388998963881</v>
      </c>
      <c r="E100" s="733">
        <f t="shared" si="37"/>
        <v>246.26906367585843</v>
      </c>
      <c r="F100" s="733">
        <f t="shared" si="37"/>
        <v>1343.137076690964</v>
      </c>
      <c r="G100" s="733">
        <f t="shared" si="37"/>
        <v>995.21931179902936</v>
      </c>
      <c r="H100" s="733">
        <f t="shared" si="37"/>
        <v>249.04035409812226</v>
      </c>
      <c r="I100" s="25">
        <f t="shared" si="31"/>
        <v>34977.054805227854</v>
      </c>
      <c r="J100" s="733">
        <v>3</v>
      </c>
      <c r="K100" s="733">
        <f t="shared" si="32"/>
        <v>11659.018268409285</v>
      </c>
      <c r="L100" s="667"/>
      <c r="M100" s="667"/>
      <c r="N100" s="192" t="s">
        <v>645</v>
      </c>
      <c r="O100" s="746">
        <f t="shared" si="33"/>
        <v>40962</v>
      </c>
      <c r="P100" s="746">
        <v>40965</v>
      </c>
      <c r="Q100" s="747" t="s">
        <v>1470</v>
      </c>
      <c r="R100" s="304">
        <v>3.5</v>
      </c>
      <c r="S100" s="778">
        <v>8555</v>
      </c>
      <c r="T100" s="25">
        <f t="shared" si="34"/>
        <v>29943</v>
      </c>
      <c r="U100" s="449"/>
      <c r="V100" s="746"/>
      <c r="W100" s="778"/>
      <c r="X100" s="778"/>
      <c r="Y100" s="25">
        <f t="shared" si="35"/>
        <v>0</v>
      </c>
    </row>
    <row r="101" spans="1:25">
      <c r="A101" s="780">
        <f t="shared" si="29"/>
        <v>96</v>
      </c>
      <c r="B101" s="297" t="s">
        <v>1473</v>
      </c>
      <c r="C101" s="25">
        <f t="shared" si="30"/>
        <v>21388</v>
      </c>
      <c r="D101" s="733">
        <f t="shared" si="37"/>
        <v>1466.9259993092542</v>
      </c>
      <c r="E101" s="733">
        <f t="shared" si="37"/>
        <v>164.17937578390561</v>
      </c>
      <c r="F101" s="733">
        <f t="shared" si="37"/>
        <v>895.42471779397601</v>
      </c>
      <c r="G101" s="733">
        <f t="shared" si="37"/>
        <v>663.47954119935287</v>
      </c>
      <c r="H101" s="733">
        <f t="shared" si="37"/>
        <v>166.02690273208151</v>
      </c>
      <c r="I101" s="25">
        <f t="shared" si="31"/>
        <v>24744.03653681857</v>
      </c>
      <c r="J101" s="733">
        <v>2</v>
      </c>
      <c r="K101" s="733">
        <f t="shared" si="32"/>
        <v>12372.018268409285</v>
      </c>
      <c r="L101" s="667"/>
      <c r="M101" s="667"/>
      <c r="N101" s="192" t="s">
        <v>645</v>
      </c>
      <c r="O101" s="746">
        <f t="shared" si="33"/>
        <v>40962</v>
      </c>
      <c r="P101" s="746">
        <v>40965</v>
      </c>
      <c r="Q101" s="747" t="s">
        <v>1470</v>
      </c>
      <c r="R101" s="304">
        <v>2.5</v>
      </c>
      <c r="S101" s="778">
        <v>8555</v>
      </c>
      <c r="T101" s="25">
        <f t="shared" si="34"/>
        <v>21388</v>
      </c>
      <c r="U101" s="449"/>
      <c r="V101" s="746"/>
      <c r="W101" s="778"/>
      <c r="X101" s="778"/>
      <c r="Y101" s="25">
        <f t="shared" si="35"/>
        <v>0</v>
      </c>
    </row>
    <row r="102" spans="1:25">
      <c r="A102" s="780">
        <f t="shared" si="29"/>
        <v>97</v>
      </c>
      <c r="B102" s="297" t="s">
        <v>1484</v>
      </c>
      <c r="C102" s="25">
        <f t="shared" si="30"/>
        <v>34748</v>
      </c>
      <c r="D102" s="733">
        <f t="shared" si="37"/>
        <v>1466.9259993092542</v>
      </c>
      <c r="E102" s="733">
        <f t="shared" si="37"/>
        <v>164.17937578390561</v>
      </c>
      <c r="F102" s="733">
        <f t="shared" si="37"/>
        <v>895.42471779397601</v>
      </c>
      <c r="G102" s="733">
        <f t="shared" si="37"/>
        <v>663.47954119935287</v>
      </c>
      <c r="H102" s="733">
        <f t="shared" si="37"/>
        <v>166.02690273208151</v>
      </c>
      <c r="I102" s="25">
        <f t="shared" si="31"/>
        <v>38104.036536818574</v>
      </c>
      <c r="J102" s="733">
        <v>2</v>
      </c>
      <c r="K102" s="733">
        <f t="shared" si="32"/>
        <v>19052.018268409287</v>
      </c>
      <c r="L102" s="667"/>
      <c r="M102" s="667"/>
      <c r="N102" s="192" t="s">
        <v>1215</v>
      </c>
      <c r="O102" s="746">
        <f t="shared" si="33"/>
        <v>40962</v>
      </c>
      <c r="P102" s="746">
        <v>40965</v>
      </c>
      <c r="Q102" s="747" t="s">
        <v>1470</v>
      </c>
      <c r="R102" s="304">
        <v>2</v>
      </c>
      <c r="S102" s="778">
        <v>17374</v>
      </c>
      <c r="T102" s="25">
        <f t="shared" si="34"/>
        <v>34748</v>
      </c>
      <c r="U102" s="449"/>
      <c r="V102" s="746"/>
      <c r="W102" s="778"/>
      <c r="X102" s="778"/>
      <c r="Y102" s="25">
        <f t="shared" si="35"/>
        <v>0</v>
      </c>
    </row>
    <row r="103" spans="1:25">
      <c r="A103" s="780">
        <f t="shared" si="29"/>
        <v>98</v>
      </c>
      <c r="B103" s="297" t="s">
        <v>1490</v>
      </c>
      <c r="C103" s="25">
        <f t="shared" si="30"/>
        <v>8555</v>
      </c>
      <c r="D103" s="733">
        <f t="shared" si="37"/>
        <v>733.46299965462708</v>
      </c>
      <c r="E103" s="733">
        <f t="shared" si="37"/>
        <v>82.089687891952806</v>
      </c>
      <c r="F103" s="733">
        <f t="shared" si="37"/>
        <v>447.71235889698801</v>
      </c>
      <c r="G103" s="733">
        <f t="shared" si="37"/>
        <v>331.73977059967643</v>
      </c>
      <c r="H103" s="733">
        <f t="shared" si="37"/>
        <v>83.013451366040755</v>
      </c>
      <c r="I103" s="25">
        <f t="shared" si="31"/>
        <v>10233.018268409285</v>
      </c>
      <c r="J103" s="733">
        <v>1</v>
      </c>
      <c r="K103" s="733">
        <f t="shared" si="32"/>
        <v>10233.018268409285</v>
      </c>
      <c r="L103" s="667"/>
      <c r="M103" s="667"/>
      <c r="N103" s="192" t="s">
        <v>645</v>
      </c>
      <c r="O103" s="746">
        <f t="shared" si="33"/>
        <v>40962</v>
      </c>
      <c r="P103" s="746">
        <v>40965</v>
      </c>
      <c r="Q103" s="747" t="s">
        <v>1470</v>
      </c>
      <c r="R103" s="304">
        <v>1</v>
      </c>
      <c r="S103" s="778">
        <v>8555</v>
      </c>
      <c r="T103" s="25">
        <f t="shared" si="34"/>
        <v>8555</v>
      </c>
      <c r="U103" s="449"/>
      <c r="V103" s="746"/>
      <c r="W103" s="778"/>
      <c r="X103" s="778"/>
      <c r="Y103" s="25">
        <f t="shared" si="35"/>
        <v>0</v>
      </c>
    </row>
    <row r="104" spans="1:25">
      <c r="A104" s="780">
        <f t="shared" si="29"/>
        <v>99</v>
      </c>
      <c r="B104" s="297" t="s">
        <v>1491</v>
      </c>
      <c r="C104" s="25">
        <f t="shared" si="30"/>
        <v>61540</v>
      </c>
      <c r="D104" s="733">
        <f t="shared" si="37"/>
        <v>2933.8519986185083</v>
      </c>
      <c r="E104" s="733">
        <f t="shared" si="37"/>
        <v>328.35875156781123</v>
      </c>
      <c r="F104" s="733">
        <f t="shared" si="37"/>
        <v>1790.849435587952</v>
      </c>
      <c r="G104" s="733">
        <f t="shared" si="37"/>
        <v>1326.9590823987057</v>
      </c>
      <c r="H104" s="733">
        <f t="shared" si="37"/>
        <v>332.05380546416302</v>
      </c>
      <c r="I104" s="25">
        <f t="shared" si="31"/>
        <v>68252.073073637133</v>
      </c>
      <c r="J104" s="733">
        <v>4</v>
      </c>
      <c r="K104" s="733">
        <f t="shared" si="32"/>
        <v>17063.018268409283</v>
      </c>
      <c r="L104" s="667"/>
      <c r="M104" s="667"/>
      <c r="N104" s="189" t="s">
        <v>592</v>
      </c>
      <c r="O104" s="746">
        <f t="shared" si="33"/>
        <v>40962</v>
      </c>
      <c r="P104" s="746">
        <v>40965</v>
      </c>
      <c r="Q104" s="747" t="s">
        <v>1470</v>
      </c>
      <c r="R104" s="304">
        <f t="shared" ref="R104:R106" si="38">J104</f>
        <v>4</v>
      </c>
      <c r="S104" s="778">
        <v>15385</v>
      </c>
      <c r="T104" s="25">
        <f t="shared" si="34"/>
        <v>61540</v>
      </c>
      <c r="U104" s="449"/>
      <c r="V104" s="746"/>
      <c r="W104" s="778"/>
      <c r="X104" s="778"/>
      <c r="Y104" s="25">
        <f t="shared" si="35"/>
        <v>0</v>
      </c>
    </row>
    <row r="105" spans="1:25">
      <c r="A105" s="780">
        <f t="shared" si="29"/>
        <v>100</v>
      </c>
      <c r="B105" s="297" t="s">
        <v>1492</v>
      </c>
      <c r="C105" s="25">
        <f t="shared" si="30"/>
        <v>61540</v>
      </c>
      <c r="D105" s="733">
        <f t="shared" si="37"/>
        <v>2933.8519986185083</v>
      </c>
      <c r="E105" s="733">
        <f t="shared" si="37"/>
        <v>328.35875156781123</v>
      </c>
      <c r="F105" s="733">
        <f t="shared" si="37"/>
        <v>1790.849435587952</v>
      </c>
      <c r="G105" s="733">
        <f t="shared" si="37"/>
        <v>1326.9590823987057</v>
      </c>
      <c r="H105" s="733">
        <f t="shared" si="37"/>
        <v>332.05380546416302</v>
      </c>
      <c r="I105" s="25">
        <f t="shared" si="31"/>
        <v>68252.073073637133</v>
      </c>
      <c r="J105" s="733">
        <v>4</v>
      </c>
      <c r="K105" s="733">
        <f t="shared" si="32"/>
        <v>17063.018268409283</v>
      </c>
      <c r="L105" s="667"/>
      <c r="M105" s="667"/>
      <c r="N105" s="189" t="s">
        <v>592</v>
      </c>
      <c r="O105" s="746">
        <f t="shared" si="33"/>
        <v>40962</v>
      </c>
      <c r="P105" s="746">
        <v>40965</v>
      </c>
      <c r="Q105" s="747" t="s">
        <v>1470</v>
      </c>
      <c r="R105" s="304">
        <f t="shared" si="38"/>
        <v>4</v>
      </c>
      <c r="S105" s="778">
        <v>15385</v>
      </c>
      <c r="T105" s="25">
        <f t="shared" si="34"/>
        <v>61540</v>
      </c>
      <c r="U105" s="449"/>
      <c r="V105" s="746"/>
      <c r="W105" s="778"/>
      <c r="X105" s="778"/>
      <c r="Y105" s="25">
        <f t="shared" si="35"/>
        <v>0</v>
      </c>
    </row>
    <row r="106" spans="1:25">
      <c r="A106" s="780">
        <f t="shared" si="29"/>
        <v>101</v>
      </c>
      <c r="B106" s="297" t="s">
        <v>1493</v>
      </c>
      <c r="C106" s="25">
        <f t="shared" si="30"/>
        <v>153850</v>
      </c>
      <c r="D106" s="733">
        <f t="shared" ref="D106:H115" si="39">IF($J$192&lt;&gt;0,D$192/$J$192*$J106,0)</f>
        <v>7334.6299965462713</v>
      </c>
      <c r="E106" s="733">
        <f t="shared" si="39"/>
        <v>820.89687891952804</v>
      </c>
      <c r="F106" s="733">
        <f t="shared" si="39"/>
        <v>4477.1235889698801</v>
      </c>
      <c r="G106" s="733">
        <f t="shared" si="39"/>
        <v>3317.3977059967642</v>
      </c>
      <c r="H106" s="733">
        <f t="shared" si="39"/>
        <v>830.13451366040749</v>
      </c>
      <c r="I106" s="25">
        <f t="shared" si="31"/>
        <v>170630.18268409287</v>
      </c>
      <c r="J106" s="733">
        <v>10</v>
      </c>
      <c r="K106" s="733">
        <f t="shared" si="32"/>
        <v>17063.018268409287</v>
      </c>
      <c r="L106" s="667"/>
      <c r="M106" s="667"/>
      <c r="N106" s="189" t="s">
        <v>592</v>
      </c>
      <c r="O106" s="746">
        <f t="shared" si="33"/>
        <v>40962</v>
      </c>
      <c r="P106" s="746">
        <v>40965</v>
      </c>
      <c r="Q106" s="747" t="s">
        <v>1470</v>
      </c>
      <c r="R106" s="304">
        <f t="shared" si="38"/>
        <v>10</v>
      </c>
      <c r="S106" s="778">
        <v>15385</v>
      </c>
      <c r="T106" s="25">
        <f t="shared" si="34"/>
        <v>153850</v>
      </c>
      <c r="U106" s="449"/>
      <c r="V106" s="746"/>
      <c r="W106" s="778"/>
      <c r="X106" s="778"/>
      <c r="Y106" s="25">
        <f t="shared" si="35"/>
        <v>0</v>
      </c>
    </row>
    <row r="107" spans="1:25">
      <c r="A107" s="780">
        <f t="shared" si="29"/>
        <v>102</v>
      </c>
      <c r="B107" s="297" t="s">
        <v>1494</v>
      </c>
      <c r="C107" s="25">
        <f t="shared" si="30"/>
        <v>7705260</v>
      </c>
      <c r="D107" s="733">
        <f t="shared" si="39"/>
        <v>372599.20382455055</v>
      </c>
      <c r="E107" s="733">
        <f t="shared" si="39"/>
        <v>41701.561449112029</v>
      </c>
      <c r="F107" s="733">
        <f t="shared" si="39"/>
        <v>227437.87831966992</v>
      </c>
      <c r="G107" s="733">
        <f t="shared" si="39"/>
        <v>168523.80346463562</v>
      </c>
      <c r="H107" s="733">
        <f t="shared" si="39"/>
        <v>42170.833293948701</v>
      </c>
      <c r="I107" s="25">
        <f t="shared" si="31"/>
        <v>8557693.2803519163</v>
      </c>
      <c r="J107" s="733">
        <v>508</v>
      </c>
      <c r="K107" s="733">
        <f t="shared" si="32"/>
        <v>16845.852914078576</v>
      </c>
      <c r="L107" s="667"/>
      <c r="M107" s="667"/>
      <c r="N107" s="192" t="s">
        <v>638</v>
      </c>
      <c r="O107" s="746">
        <f t="shared" si="33"/>
        <v>40962</v>
      </c>
      <c r="P107" s="746">
        <v>40965</v>
      </c>
      <c r="Q107" s="747" t="s">
        <v>1470</v>
      </c>
      <c r="R107" s="304">
        <v>270</v>
      </c>
      <c r="S107" s="778">
        <v>28538</v>
      </c>
      <c r="T107" s="25">
        <f t="shared" si="34"/>
        <v>7705260</v>
      </c>
      <c r="U107" s="449"/>
      <c r="V107" s="746"/>
      <c r="W107" s="778"/>
      <c r="X107" s="778"/>
      <c r="Y107" s="25">
        <f t="shared" si="35"/>
        <v>0</v>
      </c>
    </row>
    <row r="108" spans="1:25">
      <c r="A108" s="780">
        <f t="shared" si="29"/>
        <v>103</v>
      </c>
      <c r="B108" s="297" t="s">
        <v>909</v>
      </c>
      <c r="C108" s="25">
        <f t="shared" si="30"/>
        <v>1899840</v>
      </c>
      <c r="D108" s="733">
        <f t="shared" si="39"/>
        <v>381400.75982040609</v>
      </c>
      <c r="E108" s="733">
        <f t="shared" si="39"/>
        <v>42686.637703815461</v>
      </c>
      <c r="F108" s="733">
        <f t="shared" si="39"/>
        <v>232810.42662643376</v>
      </c>
      <c r="G108" s="733">
        <f t="shared" si="39"/>
        <v>172504.68071183175</v>
      </c>
      <c r="H108" s="733">
        <f t="shared" si="39"/>
        <v>43166.994710341191</v>
      </c>
      <c r="I108" s="25">
        <f t="shared" si="31"/>
        <v>2772409.4995728284</v>
      </c>
      <c r="J108" s="733">
        <v>520</v>
      </c>
      <c r="K108" s="733">
        <f t="shared" si="32"/>
        <v>5331.556729947747</v>
      </c>
      <c r="L108" s="667"/>
      <c r="M108" s="667"/>
      <c r="N108" s="189" t="s">
        <v>620</v>
      </c>
      <c r="O108" s="746">
        <f t="shared" si="33"/>
        <v>40962</v>
      </c>
      <c r="P108" s="746">
        <v>40965</v>
      </c>
      <c r="Q108" s="747" t="s">
        <v>1470</v>
      </c>
      <c r="R108" s="304">
        <v>80</v>
      </c>
      <c r="S108" s="778">
        <v>23748</v>
      </c>
      <c r="T108" s="25">
        <f t="shared" si="34"/>
        <v>1899840</v>
      </c>
      <c r="U108" s="449"/>
      <c r="V108" s="746"/>
      <c r="W108" s="778"/>
      <c r="X108" s="778"/>
      <c r="Y108" s="25">
        <f t="shared" si="35"/>
        <v>0</v>
      </c>
    </row>
    <row r="109" spans="1:25">
      <c r="A109" s="780">
        <f t="shared" si="29"/>
        <v>104</v>
      </c>
      <c r="B109" s="297" t="s">
        <v>1495</v>
      </c>
      <c r="C109" s="25">
        <f t="shared" si="30"/>
        <v>30770</v>
      </c>
      <c r="D109" s="733">
        <f t="shared" si="39"/>
        <v>1466.9259993092542</v>
      </c>
      <c r="E109" s="733">
        <f t="shared" si="39"/>
        <v>164.17937578390561</v>
      </c>
      <c r="F109" s="733">
        <f t="shared" si="39"/>
        <v>895.42471779397601</v>
      </c>
      <c r="G109" s="733">
        <f t="shared" si="39"/>
        <v>663.47954119935287</v>
      </c>
      <c r="H109" s="733">
        <f t="shared" si="39"/>
        <v>166.02690273208151</v>
      </c>
      <c r="I109" s="25">
        <f t="shared" si="31"/>
        <v>34126.036536818567</v>
      </c>
      <c r="J109" s="733">
        <v>2</v>
      </c>
      <c r="K109" s="733">
        <f t="shared" si="32"/>
        <v>17063.018268409283</v>
      </c>
      <c r="L109" s="667"/>
      <c r="M109" s="667"/>
      <c r="N109" s="189" t="s">
        <v>592</v>
      </c>
      <c r="O109" s="746">
        <f t="shared" si="33"/>
        <v>40962</v>
      </c>
      <c r="P109" s="746">
        <v>40965</v>
      </c>
      <c r="Q109" s="747" t="s">
        <v>1470</v>
      </c>
      <c r="R109" s="304">
        <f t="shared" ref="R109:R110" si="40">J109</f>
        <v>2</v>
      </c>
      <c r="S109" s="778">
        <v>15385</v>
      </c>
      <c r="T109" s="25">
        <f t="shared" si="34"/>
        <v>30770</v>
      </c>
      <c r="U109" s="449"/>
      <c r="V109" s="746"/>
      <c r="W109" s="778"/>
      <c r="X109" s="778"/>
      <c r="Y109" s="25">
        <f t="shared" si="35"/>
        <v>0</v>
      </c>
    </row>
    <row r="110" spans="1:25">
      <c r="A110" s="780">
        <f t="shared" si="29"/>
        <v>105</v>
      </c>
      <c r="B110" s="297" t="s">
        <v>1506</v>
      </c>
      <c r="C110" s="25">
        <f t="shared" si="30"/>
        <v>138465</v>
      </c>
      <c r="D110" s="733">
        <f t="shared" si="39"/>
        <v>6601.166996891644</v>
      </c>
      <c r="E110" s="733">
        <f t="shared" si="39"/>
        <v>738.8071910275753</v>
      </c>
      <c r="F110" s="733">
        <f t="shared" si="39"/>
        <v>4029.4112300728921</v>
      </c>
      <c r="G110" s="733">
        <f t="shared" si="39"/>
        <v>2985.6579353970878</v>
      </c>
      <c r="H110" s="733">
        <f t="shared" si="39"/>
        <v>747.12106229436677</v>
      </c>
      <c r="I110" s="25">
        <f t="shared" si="31"/>
        <v>153567.16441568357</v>
      </c>
      <c r="J110" s="733">
        <v>9</v>
      </c>
      <c r="K110" s="733">
        <f t="shared" si="32"/>
        <v>17063.018268409287</v>
      </c>
      <c r="L110" s="667"/>
      <c r="M110" s="667"/>
      <c r="N110" s="189" t="s">
        <v>592</v>
      </c>
      <c r="O110" s="746">
        <f t="shared" si="33"/>
        <v>40965</v>
      </c>
      <c r="P110" s="746">
        <v>40968</v>
      </c>
      <c r="Q110" s="747" t="s">
        <v>1496</v>
      </c>
      <c r="R110" s="304">
        <f t="shared" si="40"/>
        <v>9</v>
      </c>
      <c r="S110" s="778">
        <v>15385</v>
      </c>
      <c r="T110" s="25">
        <f t="shared" si="34"/>
        <v>138465</v>
      </c>
      <c r="U110" s="449"/>
      <c r="V110" s="746"/>
      <c r="W110" s="778"/>
      <c r="X110" s="778"/>
      <c r="Y110" s="25">
        <f t="shared" si="35"/>
        <v>0</v>
      </c>
    </row>
    <row r="111" spans="1:25">
      <c r="A111" s="780">
        <f t="shared" ref="A111:A142" si="41">IF(B111&lt;&gt;"",A110+1,"")</f>
        <v>106</v>
      </c>
      <c r="B111" s="297" t="s">
        <v>1505</v>
      </c>
      <c r="C111" s="25">
        <f t="shared" ref="C111:C142" si="42">T111</f>
        <v>8555</v>
      </c>
      <c r="D111" s="733">
        <f t="shared" si="39"/>
        <v>1466.9259993092542</v>
      </c>
      <c r="E111" s="733">
        <f t="shared" si="39"/>
        <v>164.17937578390561</v>
      </c>
      <c r="F111" s="733">
        <f t="shared" si="39"/>
        <v>895.42471779397601</v>
      </c>
      <c r="G111" s="733">
        <f t="shared" si="39"/>
        <v>663.47954119935287</v>
      </c>
      <c r="H111" s="733">
        <f t="shared" si="39"/>
        <v>166.02690273208151</v>
      </c>
      <c r="I111" s="25">
        <f t="shared" ref="I111:I142" si="43">SUM(C111:H111)</f>
        <v>11911.03653681857</v>
      </c>
      <c r="J111" s="733">
        <v>2</v>
      </c>
      <c r="K111" s="733">
        <f t="shared" ref="K111:K142" si="44">IF(J111&lt;&gt;"",I111/J111,"")</f>
        <v>5955.5182684092852</v>
      </c>
      <c r="L111" s="667"/>
      <c r="M111" s="667"/>
      <c r="N111" s="192" t="s">
        <v>645</v>
      </c>
      <c r="O111" s="746">
        <f t="shared" ref="O111:O142" si="45">P111-3</f>
        <v>40965</v>
      </c>
      <c r="P111" s="746">
        <v>40968</v>
      </c>
      <c r="Q111" s="747" t="s">
        <v>1496</v>
      </c>
      <c r="R111" s="304">
        <v>1</v>
      </c>
      <c r="S111" s="778">
        <v>8555</v>
      </c>
      <c r="T111" s="25">
        <f t="shared" ref="T111:T142" si="46">ROUND(R111*S111,0)</f>
        <v>8555</v>
      </c>
      <c r="U111" s="449"/>
      <c r="V111" s="746"/>
      <c r="W111" s="778"/>
      <c r="X111" s="778"/>
      <c r="Y111" s="25">
        <f t="shared" ref="Y111:Y142" si="47">W111*X111</f>
        <v>0</v>
      </c>
    </row>
    <row r="112" spans="1:25">
      <c r="A112" s="780">
        <f t="shared" si="41"/>
        <v>107</v>
      </c>
      <c r="B112" s="297" t="s">
        <v>1472</v>
      </c>
      <c r="C112" s="25">
        <f t="shared" si="42"/>
        <v>8555</v>
      </c>
      <c r="D112" s="733">
        <f t="shared" si="39"/>
        <v>1466.9259993092542</v>
      </c>
      <c r="E112" s="733">
        <f t="shared" si="39"/>
        <v>164.17937578390561</v>
      </c>
      <c r="F112" s="733">
        <f t="shared" si="39"/>
        <v>895.42471779397601</v>
      </c>
      <c r="G112" s="733">
        <f t="shared" si="39"/>
        <v>663.47954119935287</v>
      </c>
      <c r="H112" s="733">
        <f t="shared" si="39"/>
        <v>166.02690273208151</v>
      </c>
      <c r="I112" s="25">
        <f t="shared" si="43"/>
        <v>11911.03653681857</v>
      </c>
      <c r="J112" s="733">
        <v>2</v>
      </c>
      <c r="K112" s="733">
        <f t="shared" si="44"/>
        <v>5955.5182684092852</v>
      </c>
      <c r="L112" s="667"/>
      <c r="M112" s="667"/>
      <c r="N112" s="192" t="s">
        <v>645</v>
      </c>
      <c r="O112" s="746">
        <f t="shared" si="45"/>
        <v>40965</v>
      </c>
      <c r="P112" s="746">
        <v>40968</v>
      </c>
      <c r="Q112" s="747" t="s">
        <v>1496</v>
      </c>
      <c r="R112" s="304">
        <v>1</v>
      </c>
      <c r="S112" s="778">
        <v>8555</v>
      </c>
      <c r="T112" s="25">
        <f t="shared" si="46"/>
        <v>8555</v>
      </c>
      <c r="U112" s="449"/>
      <c r="V112" s="746"/>
      <c r="W112" s="778"/>
      <c r="X112" s="778"/>
      <c r="Y112" s="25">
        <f t="shared" si="47"/>
        <v>0</v>
      </c>
    </row>
    <row r="113" spans="1:25">
      <c r="A113" s="780">
        <f t="shared" si="41"/>
        <v>108</v>
      </c>
      <c r="B113" s="297" t="s">
        <v>1503</v>
      </c>
      <c r="C113" s="25">
        <f t="shared" si="42"/>
        <v>25665</v>
      </c>
      <c r="D113" s="733">
        <f t="shared" si="39"/>
        <v>2200.388998963881</v>
      </c>
      <c r="E113" s="733">
        <f t="shared" si="39"/>
        <v>246.26906367585843</v>
      </c>
      <c r="F113" s="733">
        <f t="shared" si="39"/>
        <v>1343.137076690964</v>
      </c>
      <c r="G113" s="733">
        <f t="shared" si="39"/>
        <v>995.21931179902936</v>
      </c>
      <c r="H113" s="733">
        <f t="shared" si="39"/>
        <v>249.04035409812226</v>
      </c>
      <c r="I113" s="25">
        <f t="shared" si="43"/>
        <v>30699.054805227854</v>
      </c>
      <c r="J113" s="733">
        <v>3</v>
      </c>
      <c r="K113" s="733">
        <f t="shared" si="44"/>
        <v>10233.018268409285</v>
      </c>
      <c r="L113" s="667"/>
      <c r="M113" s="667"/>
      <c r="N113" s="192" t="s">
        <v>645</v>
      </c>
      <c r="O113" s="746">
        <f t="shared" si="45"/>
        <v>40965</v>
      </c>
      <c r="P113" s="746">
        <v>40968</v>
      </c>
      <c r="Q113" s="747" t="s">
        <v>1496</v>
      </c>
      <c r="R113" s="304">
        <f>J113</f>
        <v>3</v>
      </c>
      <c r="S113" s="778">
        <v>8555</v>
      </c>
      <c r="T113" s="25">
        <f t="shared" si="46"/>
        <v>25665</v>
      </c>
      <c r="U113" s="449"/>
      <c r="V113" s="746"/>
      <c r="W113" s="778"/>
      <c r="X113" s="778"/>
      <c r="Y113" s="25">
        <f t="shared" si="47"/>
        <v>0</v>
      </c>
    </row>
    <row r="114" spans="1:25">
      <c r="A114" s="780">
        <f t="shared" si="41"/>
        <v>109</v>
      </c>
      <c r="B114" s="297" t="s">
        <v>1486</v>
      </c>
      <c r="C114" s="25">
        <f t="shared" si="42"/>
        <v>8555</v>
      </c>
      <c r="D114" s="733">
        <f t="shared" si="39"/>
        <v>1466.9259993092542</v>
      </c>
      <c r="E114" s="733">
        <f t="shared" si="39"/>
        <v>164.17937578390561</v>
      </c>
      <c r="F114" s="733">
        <f t="shared" si="39"/>
        <v>895.42471779397601</v>
      </c>
      <c r="G114" s="733">
        <f t="shared" si="39"/>
        <v>663.47954119935287</v>
      </c>
      <c r="H114" s="733">
        <f t="shared" si="39"/>
        <v>166.02690273208151</v>
      </c>
      <c r="I114" s="25">
        <f t="shared" si="43"/>
        <v>11911.03653681857</v>
      </c>
      <c r="J114" s="733">
        <v>2</v>
      </c>
      <c r="K114" s="733">
        <f t="shared" si="44"/>
        <v>5955.5182684092852</v>
      </c>
      <c r="L114" s="667"/>
      <c r="M114" s="667"/>
      <c r="N114" s="192" t="s">
        <v>645</v>
      </c>
      <c r="O114" s="746">
        <f t="shared" si="45"/>
        <v>40965</v>
      </c>
      <c r="P114" s="746">
        <v>40968</v>
      </c>
      <c r="Q114" s="747" t="s">
        <v>1496</v>
      </c>
      <c r="R114" s="304">
        <v>1</v>
      </c>
      <c r="S114" s="778">
        <v>8555</v>
      </c>
      <c r="T114" s="25">
        <f t="shared" si="46"/>
        <v>8555</v>
      </c>
      <c r="U114" s="449"/>
      <c r="V114" s="746"/>
      <c r="W114" s="778"/>
      <c r="X114" s="778"/>
      <c r="Y114" s="25">
        <f t="shared" si="47"/>
        <v>0</v>
      </c>
    </row>
    <row r="115" spans="1:25">
      <c r="A115" s="780">
        <f t="shared" si="41"/>
        <v>110</v>
      </c>
      <c r="B115" s="297" t="s">
        <v>1502</v>
      </c>
      <c r="C115" s="25">
        <f t="shared" si="42"/>
        <v>17110</v>
      </c>
      <c r="D115" s="733">
        <f t="shared" si="39"/>
        <v>1466.9259993092542</v>
      </c>
      <c r="E115" s="733">
        <f t="shared" si="39"/>
        <v>164.17937578390561</v>
      </c>
      <c r="F115" s="733">
        <f t="shared" si="39"/>
        <v>895.42471779397601</v>
      </c>
      <c r="G115" s="733">
        <f t="shared" si="39"/>
        <v>663.47954119935287</v>
      </c>
      <c r="H115" s="733">
        <f t="shared" si="39"/>
        <v>166.02690273208151</v>
      </c>
      <c r="I115" s="25">
        <f t="shared" si="43"/>
        <v>20466.03653681857</v>
      </c>
      <c r="J115" s="733">
        <v>2</v>
      </c>
      <c r="K115" s="733">
        <f t="shared" si="44"/>
        <v>10233.018268409285</v>
      </c>
      <c r="L115" s="667"/>
      <c r="M115" s="667"/>
      <c r="N115" s="192" t="s">
        <v>645</v>
      </c>
      <c r="O115" s="746">
        <f t="shared" si="45"/>
        <v>40965</v>
      </c>
      <c r="P115" s="746">
        <v>40968</v>
      </c>
      <c r="Q115" s="747" t="s">
        <v>1496</v>
      </c>
      <c r="R115" s="304">
        <f>J115</f>
        <v>2</v>
      </c>
      <c r="S115" s="778">
        <v>8555</v>
      </c>
      <c r="T115" s="25">
        <f t="shared" si="46"/>
        <v>17110</v>
      </c>
      <c r="U115" s="449"/>
      <c r="V115" s="746"/>
      <c r="W115" s="778"/>
      <c r="X115" s="778"/>
      <c r="Y115" s="25">
        <f t="shared" si="47"/>
        <v>0</v>
      </c>
    </row>
    <row r="116" spans="1:25">
      <c r="A116" s="780">
        <f t="shared" si="41"/>
        <v>111</v>
      </c>
      <c r="B116" s="297" t="s">
        <v>1504</v>
      </c>
      <c r="C116" s="25">
        <f t="shared" si="42"/>
        <v>17110</v>
      </c>
      <c r="D116" s="733">
        <f t="shared" ref="D116:H125" si="48">IF($J$192&lt;&gt;0,D$192/$J$192*$J116,0)</f>
        <v>1466.9259993092542</v>
      </c>
      <c r="E116" s="733">
        <f t="shared" si="48"/>
        <v>164.17937578390561</v>
      </c>
      <c r="F116" s="733">
        <f t="shared" si="48"/>
        <v>895.42471779397601</v>
      </c>
      <c r="G116" s="733">
        <f t="shared" si="48"/>
        <v>663.47954119935287</v>
      </c>
      <c r="H116" s="733">
        <f t="shared" si="48"/>
        <v>166.02690273208151</v>
      </c>
      <c r="I116" s="25">
        <f t="shared" si="43"/>
        <v>20466.03653681857</v>
      </c>
      <c r="J116" s="733">
        <v>2</v>
      </c>
      <c r="K116" s="733">
        <f t="shared" si="44"/>
        <v>10233.018268409285</v>
      </c>
      <c r="L116" s="667"/>
      <c r="M116" s="667"/>
      <c r="N116" s="192" t="s">
        <v>645</v>
      </c>
      <c r="O116" s="746">
        <f t="shared" si="45"/>
        <v>40965</v>
      </c>
      <c r="P116" s="746">
        <v>40968</v>
      </c>
      <c r="Q116" s="747" t="s">
        <v>1496</v>
      </c>
      <c r="R116" s="304">
        <f>J116</f>
        <v>2</v>
      </c>
      <c r="S116" s="778">
        <v>8555</v>
      </c>
      <c r="T116" s="25">
        <f t="shared" si="46"/>
        <v>17110</v>
      </c>
      <c r="U116" s="449"/>
      <c r="V116" s="746"/>
      <c r="W116" s="778"/>
      <c r="X116" s="778"/>
      <c r="Y116" s="25">
        <f t="shared" si="47"/>
        <v>0</v>
      </c>
    </row>
    <row r="117" spans="1:25">
      <c r="A117" s="780">
        <f t="shared" si="41"/>
        <v>112</v>
      </c>
      <c r="B117" s="297" t="s">
        <v>1487</v>
      </c>
      <c r="C117" s="25">
        <f t="shared" si="42"/>
        <v>387772</v>
      </c>
      <c r="D117" s="733">
        <f t="shared" si="48"/>
        <v>48408.55797720539</v>
      </c>
      <c r="E117" s="733">
        <f t="shared" si="48"/>
        <v>5417.9194008688855</v>
      </c>
      <c r="F117" s="733">
        <f t="shared" si="48"/>
        <v>29549.015687201208</v>
      </c>
      <c r="G117" s="733">
        <f t="shared" si="48"/>
        <v>21894.824859578646</v>
      </c>
      <c r="H117" s="733">
        <f t="shared" si="48"/>
        <v>5478.8877901586902</v>
      </c>
      <c r="I117" s="25">
        <f t="shared" si="43"/>
        <v>498521.20571501279</v>
      </c>
      <c r="J117" s="733">
        <v>66</v>
      </c>
      <c r="K117" s="733">
        <f t="shared" si="44"/>
        <v>7553.3516017426182</v>
      </c>
      <c r="L117" s="667"/>
      <c r="M117" s="667"/>
      <c r="N117" s="189" t="s">
        <v>582</v>
      </c>
      <c r="O117" s="746">
        <f t="shared" si="45"/>
        <v>40965</v>
      </c>
      <c r="P117" s="746">
        <v>40968</v>
      </c>
      <c r="Q117" s="747" t="s">
        <v>1496</v>
      </c>
      <c r="R117" s="304">
        <v>22</v>
      </c>
      <c r="S117" s="778">
        <v>17626</v>
      </c>
      <c r="T117" s="25">
        <f t="shared" si="46"/>
        <v>387772</v>
      </c>
      <c r="U117" s="449"/>
      <c r="V117" s="746"/>
      <c r="W117" s="778"/>
      <c r="X117" s="778"/>
      <c r="Y117" s="25">
        <f t="shared" si="47"/>
        <v>0</v>
      </c>
    </row>
    <row r="118" spans="1:25">
      <c r="A118" s="780">
        <f t="shared" si="41"/>
        <v>113</v>
      </c>
      <c r="B118" s="297" t="s">
        <v>1489</v>
      </c>
      <c r="C118" s="25">
        <f t="shared" si="42"/>
        <v>8555</v>
      </c>
      <c r="D118" s="733">
        <f t="shared" si="48"/>
        <v>733.46299965462708</v>
      </c>
      <c r="E118" s="733">
        <f t="shared" si="48"/>
        <v>82.089687891952806</v>
      </c>
      <c r="F118" s="733">
        <f t="shared" si="48"/>
        <v>447.71235889698801</v>
      </c>
      <c r="G118" s="733">
        <f t="shared" si="48"/>
        <v>331.73977059967643</v>
      </c>
      <c r="H118" s="733">
        <f t="shared" si="48"/>
        <v>83.013451366040755</v>
      </c>
      <c r="I118" s="25">
        <f t="shared" si="43"/>
        <v>10233.018268409285</v>
      </c>
      <c r="J118" s="733">
        <v>1</v>
      </c>
      <c r="K118" s="733">
        <f t="shared" si="44"/>
        <v>10233.018268409285</v>
      </c>
      <c r="L118" s="667"/>
      <c r="M118" s="667"/>
      <c r="N118" s="192" t="s">
        <v>645</v>
      </c>
      <c r="O118" s="746">
        <f t="shared" si="45"/>
        <v>40965</v>
      </c>
      <c r="P118" s="746">
        <v>40968</v>
      </c>
      <c r="Q118" s="747" t="s">
        <v>1496</v>
      </c>
      <c r="R118" s="304">
        <f>J118</f>
        <v>1</v>
      </c>
      <c r="S118" s="778">
        <v>8555</v>
      </c>
      <c r="T118" s="25">
        <f t="shared" si="46"/>
        <v>8555</v>
      </c>
      <c r="U118" s="449"/>
      <c r="V118" s="746"/>
      <c r="W118" s="778"/>
      <c r="X118" s="778"/>
      <c r="Y118" s="25">
        <f t="shared" si="47"/>
        <v>0</v>
      </c>
    </row>
    <row r="119" spans="1:25">
      <c r="A119" s="780">
        <f t="shared" si="41"/>
        <v>114</v>
      </c>
      <c r="B119" s="297" t="s">
        <v>1479</v>
      </c>
      <c r="C119" s="25">
        <f t="shared" si="42"/>
        <v>424530</v>
      </c>
      <c r="D119" s="733">
        <f t="shared" si="48"/>
        <v>49875.483976514639</v>
      </c>
      <c r="E119" s="733">
        <f t="shared" si="48"/>
        <v>5582.0987766527905</v>
      </c>
      <c r="F119" s="733">
        <f t="shared" si="48"/>
        <v>30444.440404995185</v>
      </c>
      <c r="G119" s="733">
        <f t="shared" si="48"/>
        <v>22558.304400777997</v>
      </c>
      <c r="H119" s="733">
        <f t="shared" si="48"/>
        <v>5644.9146928907712</v>
      </c>
      <c r="I119" s="25">
        <f t="shared" si="43"/>
        <v>538635.24225183134</v>
      </c>
      <c r="J119" s="733">
        <v>68</v>
      </c>
      <c r="K119" s="733">
        <f t="shared" si="44"/>
        <v>7921.1065037034023</v>
      </c>
      <c r="L119" s="667"/>
      <c r="M119" s="667"/>
      <c r="N119" s="189" t="s">
        <v>615</v>
      </c>
      <c r="O119" s="746">
        <f t="shared" si="45"/>
        <v>40965</v>
      </c>
      <c r="P119" s="746">
        <v>40968</v>
      </c>
      <c r="Q119" s="747" t="s">
        <v>1496</v>
      </c>
      <c r="R119" s="304">
        <v>30</v>
      </c>
      <c r="S119" s="778">
        <v>14151</v>
      </c>
      <c r="T119" s="25">
        <f t="shared" si="46"/>
        <v>424530</v>
      </c>
      <c r="U119" s="449"/>
      <c r="V119" s="746"/>
      <c r="W119" s="778"/>
      <c r="X119" s="778"/>
      <c r="Y119" s="25">
        <f t="shared" si="47"/>
        <v>0</v>
      </c>
    </row>
    <row r="120" spans="1:25">
      <c r="A120" s="780">
        <f t="shared" si="41"/>
        <v>115</v>
      </c>
      <c r="B120" s="297" t="s">
        <v>1480</v>
      </c>
      <c r="C120" s="25">
        <f t="shared" si="42"/>
        <v>1076185</v>
      </c>
      <c r="D120" s="733">
        <f t="shared" si="48"/>
        <v>99750.967953029278</v>
      </c>
      <c r="E120" s="733">
        <f t="shared" si="48"/>
        <v>11164.197553305581</v>
      </c>
      <c r="F120" s="733">
        <f t="shared" si="48"/>
        <v>60888.880809990369</v>
      </c>
      <c r="G120" s="733">
        <f t="shared" si="48"/>
        <v>45116.608801555994</v>
      </c>
      <c r="H120" s="733">
        <f t="shared" si="48"/>
        <v>11289.829385781542</v>
      </c>
      <c r="I120" s="25">
        <f t="shared" si="43"/>
        <v>1304395.4845036629</v>
      </c>
      <c r="J120" s="733">
        <v>136</v>
      </c>
      <c r="K120" s="733">
        <f t="shared" si="44"/>
        <v>9591.143268409287</v>
      </c>
      <c r="L120" s="667"/>
      <c r="M120" s="667"/>
      <c r="N120" s="189" t="s">
        <v>1348</v>
      </c>
      <c r="O120" s="746">
        <f t="shared" si="45"/>
        <v>40965</v>
      </c>
      <c r="P120" s="746">
        <v>40968</v>
      </c>
      <c r="Q120" s="747" t="s">
        <v>1496</v>
      </c>
      <c r="R120" s="304">
        <v>55</v>
      </c>
      <c r="S120" s="778">
        <v>19567</v>
      </c>
      <c r="T120" s="25">
        <f t="shared" si="46"/>
        <v>1076185</v>
      </c>
      <c r="U120" s="449"/>
      <c r="V120" s="746"/>
      <c r="W120" s="778"/>
      <c r="X120" s="778"/>
      <c r="Y120" s="25">
        <f t="shared" si="47"/>
        <v>0</v>
      </c>
    </row>
    <row r="121" spans="1:25">
      <c r="A121" s="780">
        <f t="shared" si="41"/>
        <v>116</v>
      </c>
      <c r="B121" s="297" t="s">
        <v>1500</v>
      </c>
      <c r="C121" s="25">
        <f t="shared" si="42"/>
        <v>391340</v>
      </c>
      <c r="D121" s="733">
        <f t="shared" si="48"/>
        <v>38140.075982040609</v>
      </c>
      <c r="E121" s="733">
        <f t="shared" si="48"/>
        <v>4268.6637703815459</v>
      </c>
      <c r="F121" s="733">
        <f t="shared" si="48"/>
        <v>23281.042662643376</v>
      </c>
      <c r="G121" s="733">
        <f t="shared" si="48"/>
        <v>17250.468071183175</v>
      </c>
      <c r="H121" s="733">
        <f t="shared" si="48"/>
        <v>4316.6994710341196</v>
      </c>
      <c r="I121" s="25">
        <f t="shared" si="43"/>
        <v>478596.94995728281</v>
      </c>
      <c r="J121" s="733">
        <v>52</v>
      </c>
      <c r="K121" s="733">
        <f t="shared" si="44"/>
        <v>9203.7874991785156</v>
      </c>
      <c r="L121" s="667"/>
      <c r="M121" s="667"/>
      <c r="N121" s="189" t="s">
        <v>1348</v>
      </c>
      <c r="O121" s="746">
        <f t="shared" si="45"/>
        <v>40965</v>
      </c>
      <c r="P121" s="746">
        <v>40968</v>
      </c>
      <c r="Q121" s="747" t="s">
        <v>1496</v>
      </c>
      <c r="R121" s="304">
        <v>20</v>
      </c>
      <c r="S121" s="778">
        <v>19567</v>
      </c>
      <c r="T121" s="25">
        <f t="shared" si="46"/>
        <v>391340</v>
      </c>
      <c r="U121" s="449"/>
      <c r="V121" s="746"/>
      <c r="W121" s="778"/>
      <c r="X121" s="778"/>
      <c r="Y121" s="25">
        <f t="shared" si="47"/>
        <v>0</v>
      </c>
    </row>
    <row r="122" spans="1:25">
      <c r="A122" s="780">
        <f t="shared" si="41"/>
        <v>117</v>
      </c>
      <c r="B122" s="297" t="s">
        <v>1481</v>
      </c>
      <c r="C122" s="25">
        <f t="shared" si="42"/>
        <v>5831000</v>
      </c>
      <c r="D122" s="733">
        <f t="shared" si="48"/>
        <v>390202.31581626163</v>
      </c>
      <c r="E122" s="733">
        <f t="shared" si="48"/>
        <v>43671.713958518892</v>
      </c>
      <c r="F122" s="733">
        <f t="shared" si="48"/>
        <v>238182.97493319761</v>
      </c>
      <c r="G122" s="733">
        <f t="shared" si="48"/>
        <v>176485.55795902785</v>
      </c>
      <c r="H122" s="733">
        <f t="shared" si="48"/>
        <v>44163.15612673368</v>
      </c>
      <c r="I122" s="25">
        <f t="shared" si="43"/>
        <v>6723705.7187937396</v>
      </c>
      <c r="J122" s="733">
        <v>532</v>
      </c>
      <c r="K122" s="733">
        <f t="shared" si="44"/>
        <v>12638.544584198758</v>
      </c>
      <c r="L122" s="667"/>
      <c r="M122" s="667"/>
      <c r="N122" s="189" t="s">
        <v>617</v>
      </c>
      <c r="O122" s="746">
        <f t="shared" si="45"/>
        <v>40965</v>
      </c>
      <c r="P122" s="746">
        <v>40968</v>
      </c>
      <c r="Q122" s="747" t="s">
        <v>1496</v>
      </c>
      <c r="R122" s="304">
        <v>350</v>
      </c>
      <c r="S122" s="778">
        <v>16660</v>
      </c>
      <c r="T122" s="25">
        <f t="shared" si="46"/>
        <v>5831000</v>
      </c>
      <c r="U122" s="449"/>
      <c r="V122" s="746"/>
      <c r="W122" s="778"/>
      <c r="X122" s="778"/>
      <c r="Y122" s="25">
        <f t="shared" si="47"/>
        <v>0</v>
      </c>
    </row>
    <row r="123" spans="1:25">
      <c r="A123" s="780">
        <f t="shared" si="41"/>
        <v>118</v>
      </c>
      <c r="B123" s="297" t="s">
        <v>1471</v>
      </c>
      <c r="C123" s="25">
        <f t="shared" si="42"/>
        <v>5534120</v>
      </c>
      <c r="D123" s="733">
        <f t="shared" si="48"/>
        <v>330791.81284423679</v>
      </c>
      <c r="E123" s="733">
        <f t="shared" si="48"/>
        <v>37022.449239270718</v>
      </c>
      <c r="F123" s="733">
        <f t="shared" si="48"/>
        <v>201918.2738625416</v>
      </c>
      <c r="G123" s="733">
        <f t="shared" si="48"/>
        <v>149614.63654045408</v>
      </c>
      <c r="H123" s="733">
        <f t="shared" si="48"/>
        <v>37439.066566084381</v>
      </c>
      <c r="I123" s="25">
        <f t="shared" si="43"/>
        <v>6290906.2390525872</v>
      </c>
      <c r="J123" s="733">
        <v>451</v>
      </c>
      <c r="K123" s="733">
        <f t="shared" si="44"/>
        <v>13948.794321624362</v>
      </c>
      <c r="L123" s="667"/>
      <c r="M123" s="667"/>
      <c r="N123" s="189" t="s">
        <v>616</v>
      </c>
      <c r="O123" s="746">
        <f t="shared" si="45"/>
        <v>40965</v>
      </c>
      <c r="P123" s="746">
        <v>40968</v>
      </c>
      <c r="Q123" s="747" t="s">
        <v>1496</v>
      </c>
      <c r="R123" s="304">
        <v>248</v>
      </c>
      <c r="S123" s="778">
        <v>22315</v>
      </c>
      <c r="T123" s="25">
        <f t="shared" si="46"/>
        <v>5534120</v>
      </c>
      <c r="U123" s="449"/>
      <c r="V123" s="746"/>
      <c r="W123" s="778"/>
      <c r="X123" s="778"/>
      <c r="Y123" s="25">
        <f t="shared" si="47"/>
        <v>0</v>
      </c>
    </row>
    <row r="124" spans="1:25">
      <c r="A124" s="780">
        <f t="shared" si="41"/>
        <v>119</v>
      </c>
      <c r="B124" s="297" t="s">
        <v>1485</v>
      </c>
      <c r="C124" s="25">
        <f t="shared" si="42"/>
        <v>52122</v>
      </c>
      <c r="D124" s="733">
        <f t="shared" si="48"/>
        <v>2933.8519986185083</v>
      </c>
      <c r="E124" s="733">
        <f t="shared" si="48"/>
        <v>328.35875156781123</v>
      </c>
      <c r="F124" s="733">
        <f t="shared" si="48"/>
        <v>1790.849435587952</v>
      </c>
      <c r="G124" s="733">
        <f t="shared" si="48"/>
        <v>1326.9590823987057</v>
      </c>
      <c r="H124" s="733">
        <f t="shared" si="48"/>
        <v>332.05380546416302</v>
      </c>
      <c r="I124" s="25">
        <f t="shared" si="43"/>
        <v>58834.073073637141</v>
      </c>
      <c r="J124" s="733">
        <v>4</v>
      </c>
      <c r="K124" s="733">
        <f t="shared" si="44"/>
        <v>14708.518268409285</v>
      </c>
      <c r="L124" s="667"/>
      <c r="M124" s="667"/>
      <c r="N124" s="192" t="s">
        <v>1215</v>
      </c>
      <c r="O124" s="746">
        <f t="shared" si="45"/>
        <v>40965</v>
      </c>
      <c r="P124" s="746">
        <v>40968</v>
      </c>
      <c r="Q124" s="747" t="s">
        <v>1496</v>
      </c>
      <c r="R124" s="304">
        <v>3</v>
      </c>
      <c r="S124" s="778">
        <v>17374</v>
      </c>
      <c r="T124" s="25">
        <f t="shared" si="46"/>
        <v>52122</v>
      </c>
      <c r="U124" s="449"/>
      <c r="V124" s="746"/>
      <c r="W124" s="778"/>
      <c r="X124" s="778"/>
      <c r="Y124" s="25">
        <f t="shared" si="47"/>
        <v>0</v>
      </c>
    </row>
    <row r="125" spans="1:25">
      <c r="A125" s="780">
        <f t="shared" si="41"/>
        <v>120</v>
      </c>
      <c r="B125" s="297" t="s">
        <v>1501</v>
      </c>
      <c r="C125" s="25">
        <f t="shared" si="42"/>
        <v>3944959</v>
      </c>
      <c r="D125" s="733">
        <f t="shared" si="48"/>
        <v>253778.19788050096</v>
      </c>
      <c r="E125" s="733">
        <f t="shared" si="48"/>
        <v>28403.032010615672</v>
      </c>
      <c r="F125" s="733">
        <f t="shared" si="48"/>
        <v>154908.47617835784</v>
      </c>
      <c r="G125" s="733">
        <f t="shared" si="48"/>
        <v>114781.96062748805</v>
      </c>
      <c r="H125" s="733">
        <f t="shared" si="48"/>
        <v>28722.654172650102</v>
      </c>
      <c r="I125" s="25">
        <f t="shared" si="43"/>
        <v>4525553.3208696134</v>
      </c>
      <c r="J125" s="733">
        <v>346</v>
      </c>
      <c r="K125" s="733">
        <f t="shared" si="44"/>
        <v>13079.633875345704</v>
      </c>
      <c r="L125" s="667"/>
      <c r="M125" s="667"/>
      <c r="N125" s="192" t="s">
        <v>633</v>
      </c>
      <c r="O125" s="746">
        <f t="shared" si="45"/>
        <v>40965</v>
      </c>
      <c r="P125" s="746">
        <v>40968</v>
      </c>
      <c r="Q125" s="747" t="s">
        <v>1496</v>
      </c>
      <c r="R125" s="304">
        <v>139</v>
      </c>
      <c r="S125" s="778">
        <v>28381</v>
      </c>
      <c r="T125" s="25">
        <f t="shared" si="46"/>
        <v>3944959</v>
      </c>
      <c r="U125" s="449"/>
      <c r="V125" s="746"/>
      <c r="W125" s="778"/>
      <c r="X125" s="778"/>
      <c r="Y125" s="25">
        <f t="shared" si="47"/>
        <v>0</v>
      </c>
    </row>
    <row r="126" spans="1:25">
      <c r="A126" s="780">
        <f t="shared" si="41"/>
        <v>121</v>
      </c>
      <c r="B126" s="297" t="s">
        <v>1497</v>
      </c>
      <c r="C126" s="25">
        <f t="shared" si="42"/>
        <v>2915500</v>
      </c>
      <c r="D126" s="733">
        <f t="shared" ref="D126:H135" si="49">IF($J$192&lt;&gt;0,D$192/$J$192*$J126,0)</f>
        <v>143758.7479323069</v>
      </c>
      <c r="E126" s="733">
        <f t="shared" si="49"/>
        <v>16089.57882682275</v>
      </c>
      <c r="F126" s="733">
        <f t="shared" si="49"/>
        <v>87751.622343809649</v>
      </c>
      <c r="G126" s="733">
        <f t="shared" si="49"/>
        <v>65020.995037536581</v>
      </c>
      <c r="H126" s="733">
        <f t="shared" si="49"/>
        <v>16270.636467743989</v>
      </c>
      <c r="I126" s="25">
        <f t="shared" si="43"/>
        <v>3244391.5806082203</v>
      </c>
      <c r="J126" s="733">
        <v>196</v>
      </c>
      <c r="K126" s="733">
        <f t="shared" si="44"/>
        <v>16553.018268409287</v>
      </c>
      <c r="L126" s="667"/>
      <c r="M126" s="667"/>
      <c r="N126" s="189" t="s">
        <v>618</v>
      </c>
      <c r="O126" s="746">
        <f t="shared" si="45"/>
        <v>40965</v>
      </c>
      <c r="P126" s="746">
        <v>40968</v>
      </c>
      <c r="Q126" s="747" t="s">
        <v>1496</v>
      </c>
      <c r="R126" s="304">
        <v>100</v>
      </c>
      <c r="S126" s="778">
        <v>29155</v>
      </c>
      <c r="T126" s="25">
        <f t="shared" si="46"/>
        <v>2915500</v>
      </c>
      <c r="U126" s="449"/>
      <c r="V126" s="746"/>
      <c r="W126" s="778"/>
      <c r="X126" s="778"/>
      <c r="Y126" s="25">
        <f t="shared" si="47"/>
        <v>0</v>
      </c>
    </row>
    <row r="127" spans="1:25">
      <c r="A127" s="780">
        <f t="shared" si="41"/>
        <v>122</v>
      </c>
      <c r="B127" s="297" t="s">
        <v>1488</v>
      </c>
      <c r="C127" s="25">
        <f t="shared" si="42"/>
        <v>684845</v>
      </c>
      <c r="D127" s="733">
        <f t="shared" si="49"/>
        <v>36673.149982731353</v>
      </c>
      <c r="E127" s="733">
        <f t="shared" si="49"/>
        <v>4104.4843945976399</v>
      </c>
      <c r="F127" s="733">
        <f t="shared" si="49"/>
        <v>22385.6179448494</v>
      </c>
      <c r="G127" s="733">
        <f t="shared" si="49"/>
        <v>16586.988529983821</v>
      </c>
      <c r="H127" s="733">
        <f t="shared" si="49"/>
        <v>4150.6725683020377</v>
      </c>
      <c r="I127" s="25">
        <f t="shared" si="43"/>
        <v>768745.91342046415</v>
      </c>
      <c r="J127" s="733">
        <v>50</v>
      </c>
      <c r="K127" s="733">
        <f t="shared" si="44"/>
        <v>15374.918268409283</v>
      </c>
      <c r="L127" s="667"/>
      <c r="M127" s="667"/>
      <c r="N127" s="189" t="s">
        <v>1348</v>
      </c>
      <c r="O127" s="746">
        <f t="shared" si="45"/>
        <v>40965</v>
      </c>
      <c r="P127" s="746">
        <v>40968</v>
      </c>
      <c r="Q127" s="747" t="s">
        <v>1496</v>
      </c>
      <c r="R127" s="304">
        <v>35</v>
      </c>
      <c r="S127" s="778">
        <v>19567</v>
      </c>
      <c r="T127" s="25">
        <f t="shared" si="46"/>
        <v>684845</v>
      </c>
      <c r="U127" s="449"/>
      <c r="V127" s="746"/>
      <c r="W127" s="778"/>
      <c r="X127" s="778"/>
      <c r="Y127" s="25">
        <f t="shared" si="47"/>
        <v>0</v>
      </c>
    </row>
    <row r="128" spans="1:25">
      <c r="A128" s="780">
        <f t="shared" si="41"/>
        <v>123</v>
      </c>
      <c r="B128" s="297" t="s">
        <v>1491</v>
      </c>
      <c r="C128" s="25">
        <f t="shared" si="42"/>
        <v>488280</v>
      </c>
      <c r="D128" s="733">
        <f t="shared" si="49"/>
        <v>22003.889989638814</v>
      </c>
      <c r="E128" s="733">
        <f t="shared" si="49"/>
        <v>2462.6906367585843</v>
      </c>
      <c r="F128" s="733">
        <f t="shared" si="49"/>
        <v>13431.37076690964</v>
      </c>
      <c r="G128" s="733">
        <f t="shared" si="49"/>
        <v>9952.1931179902931</v>
      </c>
      <c r="H128" s="733">
        <f t="shared" si="49"/>
        <v>2490.4035409812227</v>
      </c>
      <c r="I128" s="25">
        <f t="shared" si="43"/>
        <v>538620.54805227858</v>
      </c>
      <c r="J128" s="733">
        <v>30</v>
      </c>
      <c r="K128" s="733">
        <f t="shared" si="44"/>
        <v>17954.018268409287</v>
      </c>
      <c r="L128" s="667"/>
      <c r="M128" s="667"/>
      <c r="N128" s="297" t="s">
        <v>1343</v>
      </c>
      <c r="O128" s="746">
        <f t="shared" si="45"/>
        <v>40965</v>
      </c>
      <c r="P128" s="746">
        <v>40968</v>
      </c>
      <c r="Q128" s="747" t="s">
        <v>1496</v>
      </c>
      <c r="R128" s="304">
        <v>40</v>
      </c>
      <c r="S128" s="778">
        <v>12207</v>
      </c>
      <c r="T128" s="25">
        <f t="shared" si="46"/>
        <v>488280</v>
      </c>
      <c r="U128" s="449"/>
      <c r="V128" s="746"/>
      <c r="W128" s="778"/>
      <c r="X128" s="778"/>
      <c r="Y128" s="25">
        <f t="shared" si="47"/>
        <v>0</v>
      </c>
    </row>
    <row r="129" spans="1:25">
      <c r="A129" s="780">
        <f t="shared" si="41"/>
        <v>124</v>
      </c>
      <c r="B129" s="297" t="s">
        <v>1498</v>
      </c>
      <c r="C129" s="25">
        <f t="shared" si="42"/>
        <v>782680</v>
      </c>
      <c r="D129" s="733">
        <f t="shared" si="49"/>
        <v>46208.168978241505</v>
      </c>
      <c r="E129" s="733">
        <f t="shared" si="49"/>
        <v>5171.6503371930266</v>
      </c>
      <c r="F129" s="733">
        <f t="shared" si="49"/>
        <v>28205.878610510244</v>
      </c>
      <c r="G129" s="733">
        <f t="shared" si="49"/>
        <v>20899.605547779614</v>
      </c>
      <c r="H129" s="733">
        <f t="shared" si="49"/>
        <v>5229.8474360605678</v>
      </c>
      <c r="I129" s="25">
        <f t="shared" si="43"/>
        <v>888395.15090978495</v>
      </c>
      <c r="J129" s="733">
        <v>63</v>
      </c>
      <c r="K129" s="733">
        <f t="shared" si="44"/>
        <v>14101.510331901349</v>
      </c>
      <c r="L129" s="667"/>
      <c r="M129" s="667"/>
      <c r="N129" s="189" t="s">
        <v>1348</v>
      </c>
      <c r="O129" s="746">
        <f t="shared" si="45"/>
        <v>40965</v>
      </c>
      <c r="P129" s="746">
        <v>40968</v>
      </c>
      <c r="Q129" s="747" t="s">
        <v>1496</v>
      </c>
      <c r="R129" s="304">
        <v>40</v>
      </c>
      <c r="S129" s="778">
        <v>19567</v>
      </c>
      <c r="T129" s="25">
        <f t="shared" si="46"/>
        <v>782680</v>
      </c>
      <c r="U129" s="449"/>
      <c r="V129" s="746"/>
      <c r="W129" s="778"/>
      <c r="X129" s="778"/>
      <c r="Y129" s="25">
        <f t="shared" si="47"/>
        <v>0</v>
      </c>
    </row>
    <row r="130" spans="1:25">
      <c r="A130" s="780">
        <f t="shared" si="41"/>
        <v>125</v>
      </c>
      <c r="B130" s="297" t="s">
        <v>1484</v>
      </c>
      <c r="C130" s="25">
        <f t="shared" si="42"/>
        <v>1446680</v>
      </c>
      <c r="D130" s="733">
        <f t="shared" si="49"/>
        <v>121021.39494301347</v>
      </c>
      <c r="E130" s="733">
        <f t="shared" si="49"/>
        <v>13544.798502172212</v>
      </c>
      <c r="F130" s="733">
        <f t="shared" si="49"/>
        <v>73872.539218003018</v>
      </c>
      <c r="G130" s="733">
        <f t="shared" si="49"/>
        <v>54737.062148946614</v>
      </c>
      <c r="H130" s="733">
        <f t="shared" si="49"/>
        <v>13697.219475396725</v>
      </c>
      <c r="I130" s="25">
        <f t="shared" si="43"/>
        <v>1723553.0142875318</v>
      </c>
      <c r="J130" s="733">
        <v>165</v>
      </c>
      <c r="K130" s="733">
        <f t="shared" si="44"/>
        <v>10445.775844166859</v>
      </c>
      <c r="L130" s="667"/>
      <c r="M130" s="667"/>
      <c r="N130" s="192" t="s">
        <v>646</v>
      </c>
      <c r="O130" s="746">
        <f t="shared" si="45"/>
        <v>40965</v>
      </c>
      <c r="P130" s="746">
        <v>40968</v>
      </c>
      <c r="Q130" s="747" t="s">
        <v>1496</v>
      </c>
      <c r="R130" s="304">
        <v>118</v>
      </c>
      <c r="S130" s="778">
        <v>12260</v>
      </c>
      <c r="T130" s="25">
        <f t="shared" si="46"/>
        <v>1446680</v>
      </c>
      <c r="U130" s="449"/>
      <c r="V130" s="746"/>
      <c r="W130" s="778"/>
      <c r="X130" s="778"/>
      <c r="Y130" s="25">
        <f t="shared" si="47"/>
        <v>0</v>
      </c>
    </row>
    <row r="131" spans="1:25">
      <c r="A131" s="780">
        <f t="shared" si="41"/>
        <v>126</v>
      </c>
      <c r="B131" s="297" t="s">
        <v>1482</v>
      </c>
      <c r="C131" s="25">
        <f t="shared" si="42"/>
        <v>17374</v>
      </c>
      <c r="D131" s="733">
        <f t="shared" si="49"/>
        <v>733.46299965462708</v>
      </c>
      <c r="E131" s="733">
        <f t="shared" si="49"/>
        <v>82.089687891952806</v>
      </c>
      <c r="F131" s="733">
        <f t="shared" si="49"/>
        <v>447.71235889698801</v>
      </c>
      <c r="G131" s="733">
        <f t="shared" si="49"/>
        <v>331.73977059967643</v>
      </c>
      <c r="H131" s="733">
        <f t="shared" si="49"/>
        <v>83.013451366040755</v>
      </c>
      <c r="I131" s="25">
        <f t="shared" si="43"/>
        <v>19052.018268409287</v>
      </c>
      <c r="J131" s="733">
        <v>1</v>
      </c>
      <c r="K131" s="733">
        <f t="shared" si="44"/>
        <v>19052.018268409287</v>
      </c>
      <c r="L131" s="667"/>
      <c r="M131" s="667"/>
      <c r="N131" s="192" t="s">
        <v>1215</v>
      </c>
      <c r="O131" s="746">
        <f t="shared" si="45"/>
        <v>40965</v>
      </c>
      <c r="P131" s="746">
        <v>40968</v>
      </c>
      <c r="Q131" s="747" t="s">
        <v>1496</v>
      </c>
      <c r="R131" s="304">
        <v>1</v>
      </c>
      <c r="S131" s="778">
        <v>17374</v>
      </c>
      <c r="T131" s="25">
        <f t="shared" si="46"/>
        <v>17374</v>
      </c>
      <c r="U131" s="449"/>
      <c r="V131" s="746"/>
      <c r="W131" s="778"/>
      <c r="X131" s="778"/>
      <c r="Y131" s="25">
        <f t="shared" si="47"/>
        <v>0</v>
      </c>
    </row>
    <row r="132" spans="1:25">
      <c r="A132" s="780">
        <f t="shared" si="41"/>
        <v>127</v>
      </c>
      <c r="B132" s="297" t="s">
        <v>1499</v>
      </c>
      <c r="C132" s="25">
        <f t="shared" si="42"/>
        <v>872150</v>
      </c>
      <c r="D132" s="733">
        <f t="shared" si="49"/>
        <v>36673.149982731353</v>
      </c>
      <c r="E132" s="733">
        <f t="shared" si="49"/>
        <v>4104.4843945976399</v>
      </c>
      <c r="F132" s="733">
        <f t="shared" si="49"/>
        <v>22385.6179448494</v>
      </c>
      <c r="G132" s="733">
        <f t="shared" si="49"/>
        <v>16586.988529983821</v>
      </c>
      <c r="H132" s="733">
        <f t="shared" si="49"/>
        <v>4150.6725683020377</v>
      </c>
      <c r="I132" s="25">
        <f t="shared" si="43"/>
        <v>956050.91342046415</v>
      </c>
      <c r="J132" s="733">
        <v>50</v>
      </c>
      <c r="K132" s="733">
        <f t="shared" si="44"/>
        <v>19121.018268409283</v>
      </c>
      <c r="L132" s="667"/>
      <c r="M132" s="667"/>
      <c r="N132" s="189" t="s">
        <v>622</v>
      </c>
      <c r="O132" s="746">
        <f t="shared" si="45"/>
        <v>40965</v>
      </c>
      <c r="P132" s="746">
        <v>40968</v>
      </c>
      <c r="Q132" s="747" t="s">
        <v>1496</v>
      </c>
      <c r="R132" s="304">
        <v>50</v>
      </c>
      <c r="S132" s="778">
        <v>17443</v>
      </c>
      <c r="T132" s="25">
        <f t="shared" si="46"/>
        <v>872150</v>
      </c>
      <c r="U132" s="449"/>
      <c r="V132" s="746"/>
      <c r="W132" s="778"/>
      <c r="X132" s="778"/>
      <c r="Y132" s="25">
        <f t="shared" si="47"/>
        <v>0</v>
      </c>
    </row>
    <row r="133" spans="1:25">
      <c r="A133" s="780">
        <f t="shared" si="41"/>
        <v>128</v>
      </c>
      <c r="B133" s="297" t="s">
        <v>1464</v>
      </c>
      <c r="C133" s="25">
        <f t="shared" si="42"/>
        <v>5275200</v>
      </c>
      <c r="D133" s="733">
        <f t="shared" si="49"/>
        <v>359396.86983076727</v>
      </c>
      <c r="E133" s="733">
        <f t="shared" si="49"/>
        <v>40223.947067056877</v>
      </c>
      <c r="F133" s="733">
        <f t="shared" si="49"/>
        <v>219379.05585952412</v>
      </c>
      <c r="G133" s="733">
        <f t="shared" si="49"/>
        <v>162552.48759384145</v>
      </c>
      <c r="H133" s="733">
        <f t="shared" si="49"/>
        <v>40676.59116935997</v>
      </c>
      <c r="I133" s="25">
        <f t="shared" si="43"/>
        <v>6097428.9515205501</v>
      </c>
      <c r="J133" s="733">
        <v>490</v>
      </c>
      <c r="K133" s="733">
        <f t="shared" si="44"/>
        <v>12443.732554123571</v>
      </c>
      <c r="L133" s="667"/>
      <c r="M133" s="667"/>
      <c r="N133" s="189" t="s">
        <v>1236</v>
      </c>
      <c r="O133" s="746">
        <f t="shared" si="45"/>
        <v>40968</v>
      </c>
      <c r="P133" s="746">
        <v>40971</v>
      </c>
      <c r="Q133" s="747" t="s">
        <v>915</v>
      </c>
      <c r="R133" s="304">
        <v>280</v>
      </c>
      <c r="S133" s="778">
        <v>18840</v>
      </c>
      <c r="T133" s="25">
        <f t="shared" si="46"/>
        <v>5275200</v>
      </c>
      <c r="U133" s="449"/>
      <c r="V133" s="746"/>
      <c r="W133" s="778"/>
      <c r="X133" s="778"/>
      <c r="Y133" s="25">
        <f t="shared" si="47"/>
        <v>0</v>
      </c>
    </row>
    <row r="134" spans="1:25">
      <c r="A134" s="780">
        <f t="shared" si="41"/>
        <v>129</v>
      </c>
      <c r="B134" s="297" t="s">
        <v>1453</v>
      </c>
      <c r="C134" s="25">
        <f t="shared" si="42"/>
        <v>1808290</v>
      </c>
      <c r="D134" s="733">
        <f t="shared" si="49"/>
        <v>33005.834984458219</v>
      </c>
      <c r="E134" s="733">
        <f t="shared" si="49"/>
        <v>3694.0359551378765</v>
      </c>
      <c r="F134" s="733">
        <f t="shared" si="49"/>
        <v>20147.05615036446</v>
      </c>
      <c r="G134" s="733">
        <f t="shared" si="49"/>
        <v>14928.28967698544</v>
      </c>
      <c r="H134" s="733">
        <f t="shared" si="49"/>
        <v>3735.6053114718338</v>
      </c>
      <c r="I134" s="25">
        <f t="shared" si="43"/>
        <v>1883800.8220784178</v>
      </c>
      <c r="J134" s="733">
        <v>45</v>
      </c>
      <c r="K134" s="733">
        <f t="shared" si="44"/>
        <v>41862.240490631506</v>
      </c>
      <c r="L134" s="667"/>
      <c r="M134" s="667"/>
      <c r="N134" s="189" t="s">
        <v>1235</v>
      </c>
      <c r="O134" s="746">
        <f t="shared" si="45"/>
        <v>40968</v>
      </c>
      <c r="P134" s="746">
        <v>40971</v>
      </c>
      <c r="Q134" s="747" t="s">
        <v>916</v>
      </c>
      <c r="R134" s="304">
        <v>55</v>
      </c>
      <c r="S134" s="778">
        <v>32878</v>
      </c>
      <c r="T134" s="25">
        <f t="shared" si="46"/>
        <v>1808290</v>
      </c>
      <c r="U134" s="449"/>
      <c r="V134" s="746"/>
      <c r="W134" s="778"/>
      <c r="X134" s="778"/>
      <c r="Y134" s="25">
        <f t="shared" si="47"/>
        <v>0</v>
      </c>
    </row>
    <row r="135" spans="1:25">
      <c r="A135" s="780">
        <f t="shared" si="41"/>
        <v>130</v>
      </c>
      <c r="B135" s="297" t="s">
        <v>1454</v>
      </c>
      <c r="C135" s="25">
        <f t="shared" si="42"/>
        <v>9162900</v>
      </c>
      <c r="D135" s="733">
        <f t="shared" si="49"/>
        <v>308054.45985494339</v>
      </c>
      <c r="E135" s="733">
        <f t="shared" si="49"/>
        <v>34477.668914620175</v>
      </c>
      <c r="F135" s="733">
        <f t="shared" si="49"/>
        <v>188039.19073673495</v>
      </c>
      <c r="G135" s="733">
        <f t="shared" si="49"/>
        <v>139330.70365186411</v>
      </c>
      <c r="H135" s="733">
        <f t="shared" si="49"/>
        <v>34865.649573737115</v>
      </c>
      <c r="I135" s="25">
        <f t="shared" si="43"/>
        <v>9867667.6727319006</v>
      </c>
      <c r="J135" s="733">
        <v>420</v>
      </c>
      <c r="K135" s="733">
        <f t="shared" si="44"/>
        <v>23494.446839837859</v>
      </c>
      <c r="L135" s="667"/>
      <c r="M135" s="667"/>
      <c r="N135" s="189" t="s">
        <v>1346</v>
      </c>
      <c r="O135" s="746">
        <f t="shared" si="45"/>
        <v>40968</v>
      </c>
      <c r="P135" s="746">
        <v>40971</v>
      </c>
      <c r="Q135" s="747" t="s">
        <v>916</v>
      </c>
      <c r="R135" s="304">
        <v>450</v>
      </c>
      <c r="S135" s="778">
        <v>20362</v>
      </c>
      <c r="T135" s="25">
        <f t="shared" si="46"/>
        <v>9162900</v>
      </c>
      <c r="U135" s="449"/>
      <c r="V135" s="746"/>
      <c r="W135" s="778"/>
      <c r="X135" s="778"/>
      <c r="Y135" s="25">
        <f t="shared" si="47"/>
        <v>0</v>
      </c>
    </row>
    <row r="136" spans="1:25">
      <c r="A136" s="780">
        <f t="shared" si="41"/>
        <v>131</v>
      </c>
      <c r="B136" s="297" t="s">
        <v>1455</v>
      </c>
      <c r="C136" s="25">
        <f t="shared" si="42"/>
        <v>654560</v>
      </c>
      <c r="D136" s="733">
        <f t="shared" ref="D136:H145" si="50">IF($J$192&lt;&gt;0,D$192/$J$192*$J136,0)</f>
        <v>11001.944994819407</v>
      </c>
      <c r="E136" s="733">
        <f t="shared" si="50"/>
        <v>1231.3453183792922</v>
      </c>
      <c r="F136" s="733">
        <f t="shared" si="50"/>
        <v>6715.6853834548201</v>
      </c>
      <c r="G136" s="733">
        <f t="shared" si="50"/>
        <v>4976.0965589951466</v>
      </c>
      <c r="H136" s="733">
        <f t="shared" si="50"/>
        <v>1245.2017704906114</v>
      </c>
      <c r="I136" s="25">
        <f t="shared" si="43"/>
        <v>679730.27402613929</v>
      </c>
      <c r="J136" s="733">
        <v>15</v>
      </c>
      <c r="K136" s="733">
        <f t="shared" si="44"/>
        <v>45315.351601742623</v>
      </c>
      <c r="L136" s="667"/>
      <c r="M136" s="667"/>
      <c r="N136" s="189" t="s">
        <v>1232</v>
      </c>
      <c r="O136" s="746">
        <f t="shared" si="45"/>
        <v>40968</v>
      </c>
      <c r="P136" s="746">
        <v>40971</v>
      </c>
      <c r="Q136" s="747" t="s">
        <v>916</v>
      </c>
      <c r="R136" s="304">
        <v>20</v>
      </c>
      <c r="S136" s="778">
        <v>32728</v>
      </c>
      <c r="T136" s="25">
        <f t="shared" si="46"/>
        <v>654560</v>
      </c>
      <c r="U136" s="449"/>
      <c r="V136" s="746"/>
      <c r="W136" s="778"/>
      <c r="X136" s="778"/>
      <c r="Y136" s="25">
        <f t="shared" si="47"/>
        <v>0</v>
      </c>
    </row>
    <row r="137" spans="1:25">
      <c r="A137" s="780">
        <f t="shared" si="41"/>
        <v>132</v>
      </c>
      <c r="B137" s="297" t="s">
        <v>1456</v>
      </c>
      <c r="C137" s="25">
        <f t="shared" si="42"/>
        <v>1572550</v>
      </c>
      <c r="D137" s="733">
        <f t="shared" si="50"/>
        <v>33005.834984458219</v>
      </c>
      <c r="E137" s="733">
        <f t="shared" si="50"/>
        <v>3694.0359551378765</v>
      </c>
      <c r="F137" s="733">
        <f t="shared" si="50"/>
        <v>20147.05615036446</v>
      </c>
      <c r="G137" s="733">
        <f t="shared" si="50"/>
        <v>14928.28967698544</v>
      </c>
      <c r="H137" s="733">
        <f t="shared" si="50"/>
        <v>3735.6053114718338</v>
      </c>
      <c r="I137" s="25">
        <f t="shared" si="43"/>
        <v>1648060.8220784178</v>
      </c>
      <c r="J137" s="733">
        <v>45</v>
      </c>
      <c r="K137" s="733">
        <f t="shared" si="44"/>
        <v>36623.573823964842</v>
      </c>
      <c r="L137" s="667"/>
      <c r="M137" s="667"/>
      <c r="N137" s="297" t="s">
        <v>1224</v>
      </c>
      <c r="O137" s="746">
        <f t="shared" si="45"/>
        <v>40968</v>
      </c>
      <c r="P137" s="746">
        <v>40971</v>
      </c>
      <c r="Q137" s="747" t="s">
        <v>916</v>
      </c>
      <c r="R137" s="304">
        <v>50</v>
      </c>
      <c r="S137" s="778">
        <v>31451</v>
      </c>
      <c r="T137" s="25">
        <f t="shared" si="46"/>
        <v>1572550</v>
      </c>
      <c r="U137" s="449"/>
      <c r="V137" s="746"/>
      <c r="W137" s="778"/>
      <c r="X137" s="778"/>
      <c r="Y137" s="25">
        <f t="shared" si="47"/>
        <v>0</v>
      </c>
    </row>
    <row r="138" spans="1:25">
      <c r="A138" s="780">
        <f t="shared" si="41"/>
        <v>133</v>
      </c>
      <c r="B138" s="297" t="s">
        <v>1457</v>
      </c>
      <c r="C138" s="25">
        <f t="shared" si="42"/>
        <v>2420600</v>
      </c>
      <c r="D138" s="733">
        <f t="shared" si="50"/>
        <v>73346.299965462706</v>
      </c>
      <c r="E138" s="733">
        <f t="shared" si="50"/>
        <v>8208.9687891952799</v>
      </c>
      <c r="F138" s="733">
        <f t="shared" si="50"/>
        <v>44771.235889698801</v>
      </c>
      <c r="G138" s="733">
        <f t="shared" si="50"/>
        <v>33173.977059967641</v>
      </c>
      <c r="H138" s="733">
        <f t="shared" si="50"/>
        <v>8301.3451366040754</v>
      </c>
      <c r="I138" s="25">
        <f t="shared" si="43"/>
        <v>2588401.8268409288</v>
      </c>
      <c r="J138" s="733">
        <v>100</v>
      </c>
      <c r="K138" s="733">
        <f t="shared" si="44"/>
        <v>25884.018268409287</v>
      </c>
      <c r="L138" s="667"/>
      <c r="M138" s="667"/>
      <c r="N138" s="189" t="s">
        <v>1222</v>
      </c>
      <c r="O138" s="746">
        <f t="shared" si="45"/>
        <v>40968</v>
      </c>
      <c r="P138" s="746">
        <v>40971</v>
      </c>
      <c r="Q138" s="747" t="s">
        <v>916</v>
      </c>
      <c r="R138" s="304">
        <v>100</v>
      </c>
      <c r="S138" s="778">
        <v>24206</v>
      </c>
      <c r="T138" s="25">
        <f t="shared" si="46"/>
        <v>2420600</v>
      </c>
      <c r="U138" s="449"/>
      <c r="V138" s="746"/>
      <c r="W138" s="778"/>
      <c r="X138" s="778"/>
      <c r="Y138" s="25">
        <f t="shared" si="47"/>
        <v>0</v>
      </c>
    </row>
    <row r="139" spans="1:25">
      <c r="A139" s="780">
        <f t="shared" si="41"/>
        <v>134</v>
      </c>
      <c r="B139" s="297" t="s">
        <v>1458</v>
      </c>
      <c r="C139" s="25">
        <f t="shared" si="42"/>
        <v>708050</v>
      </c>
      <c r="D139" s="733">
        <f t="shared" si="50"/>
        <v>34472.760983767475</v>
      </c>
      <c r="E139" s="733">
        <f t="shared" si="50"/>
        <v>3858.215330921782</v>
      </c>
      <c r="F139" s="733">
        <f t="shared" si="50"/>
        <v>21042.480868158436</v>
      </c>
      <c r="G139" s="733">
        <f t="shared" si="50"/>
        <v>15591.769218184792</v>
      </c>
      <c r="H139" s="733">
        <f t="shared" si="50"/>
        <v>3901.6322142039153</v>
      </c>
      <c r="I139" s="25">
        <f t="shared" si="43"/>
        <v>786916.85861523636</v>
      </c>
      <c r="J139" s="733">
        <v>47</v>
      </c>
      <c r="K139" s="733">
        <f t="shared" si="44"/>
        <v>16742.91188543056</v>
      </c>
      <c r="L139" s="667"/>
      <c r="M139" s="667"/>
      <c r="N139" s="189" t="s">
        <v>590</v>
      </c>
      <c r="O139" s="746">
        <f t="shared" si="45"/>
        <v>40968</v>
      </c>
      <c r="P139" s="746">
        <v>40971</v>
      </c>
      <c r="Q139" s="747" t="s">
        <v>916</v>
      </c>
      <c r="R139" s="304">
        <v>50</v>
      </c>
      <c r="S139" s="778">
        <v>14161</v>
      </c>
      <c r="T139" s="25">
        <f t="shared" si="46"/>
        <v>708050</v>
      </c>
      <c r="U139" s="449"/>
      <c r="V139" s="746"/>
      <c r="W139" s="778"/>
      <c r="X139" s="778"/>
      <c r="Y139" s="25">
        <f t="shared" si="47"/>
        <v>0</v>
      </c>
    </row>
    <row r="140" spans="1:25">
      <c r="A140" s="780">
        <f t="shared" si="41"/>
        <v>135</v>
      </c>
      <c r="B140" s="297" t="s">
        <v>1086</v>
      </c>
      <c r="C140" s="25">
        <f t="shared" si="42"/>
        <v>8555</v>
      </c>
      <c r="D140" s="733">
        <f t="shared" si="50"/>
        <v>22003.889989638814</v>
      </c>
      <c r="E140" s="733">
        <f t="shared" si="50"/>
        <v>2462.6906367585843</v>
      </c>
      <c r="F140" s="733">
        <f t="shared" si="50"/>
        <v>13431.37076690964</v>
      </c>
      <c r="G140" s="733">
        <f t="shared" si="50"/>
        <v>9952.1931179902931</v>
      </c>
      <c r="H140" s="733">
        <f t="shared" si="50"/>
        <v>2490.4035409812227</v>
      </c>
      <c r="I140" s="25">
        <f t="shared" si="43"/>
        <v>58895.548052278551</v>
      </c>
      <c r="J140" s="733">
        <v>30</v>
      </c>
      <c r="K140" s="733">
        <f t="shared" si="44"/>
        <v>1963.1849350759517</v>
      </c>
      <c r="L140" s="667"/>
      <c r="M140" s="667"/>
      <c r="N140" s="192" t="s">
        <v>645</v>
      </c>
      <c r="O140" s="746">
        <f t="shared" si="45"/>
        <v>40968</v>
      </c>
      <c r="P140" s="746">
        <v>40971</v>
      </c>
      <c r="Q140" s="747" t="s">
        <v>916</v>
      </c>
      <c r="R140" s="304">
        <v>1</v>
      </c>
      <c r="S140" s="778">
        <v>8555</v>
      </c>
      <c r="T140" s="25">
        <f t="shared" si="46"/>
        <v>8555</v>
      </c>
      <c r="U140" s="449"/>
      <c r="V140" s="746"/>
      <c r="W140" s="778"/>
      <c r="X140" s="778"/>
      <c r="Y140" s="25">
        <f t="shared" si="47"/>
        <v>0</v>
      </c>
    </row>
    <row r="141" spans="1:25">
      <c r="A141" s="780">
        <f t="shared" si="41"/>
        <v>136</v>
      </c>
      <c r="B141" s="297" t="s">
        <v>1459</v>
      </c>
      <c r="C141" s="25">
        <f t="shared" si="42"/>
        <v>657560</v>
      </c>
      <c r="D141" s="733">
        <f t="shared" si="50"/>
        <v>14669.259993092543</v>
      </c>
      <c r="E141" s="733">
        <f t="shared" si="50"/>
        <v>1641.7937578390561</v>
      </c>
      <c r="F141" s="733">
        <f t="shared" si="50"/>
        <v>8954.2471779397601</v>
      </c>
      <c r="G141" s="733">
        <f t="shared" si="50"/>
        <v>6634.7954119935284</v>
      </c>
      <c r="H141" s="733">
        <f t="shared" si="50"/>
        <v>1660.269027320815</v>
      </c>
      <c r="I141" s="25">
        <f t="shared" si="43"/>
        <v>691120.36536818556</v>
      </c>
      <c r="J141" s="733">
        <v>20</v>
      </c>
      <c r="K141" s="733">
        <f t="shared" si="44"/>
        <v>34556.01826840928</v>
      </c>
      <c r="L141" s="667"/>
      <c r="M141" s="667"/>
      <c r="N141" s="189" t="s">
        <v>1235</v>
      </c>
      <c r="O141" s="746">
        <f t="shared" si="45"/>
        <v>40968</v>
      </c>
      <c r="P141" s="746">
        <v>40971</v>
      </c>
      <c r="Q141" s="747" t="s">
        <v>916</v>
      </c>
      <c r="R141" s="304">
        <v>20</v>
      </c>
      <c r="S141" s="778">
        <v>32878</v>
      </c>
      <c r="T141" s="25">
        <f t="shared" si="46"/>
        <v>657560</v>
      </c>
      <c r="U141" s="449"/>
      <c r="V141" s="746"/>
      <c r="W141" s="778"/>
      <c r="X141" s="778"/>
      <c r="Y141" s="25">
        <f t="shared" si="47"/>
        <v>0</v>
      </c>
    </row>
    <row r="142" spans="1:25">
      <c r="A142" s="780">
        <f t="shared" si="41"/>
        <v>137</v>
      </c>
      <c r="B142" s="297" t="s">
        <v>1460</v>
      </c>
      <c r="C142" s="25">
        <f t="shared" si="42"/>
        <v>227968</v>
      </c>
      <c r="D142" s="733">
        <f t="shared" si="50"/>
        <v>188499.99091123915</v>
      </c>
      <c r="E142" s="733">
        <f t="shared" si="50"/>
        <v>21097.04978823187</v>
      </c>
      <c r="F142" s="733">
        <f t="shared" si="50"/>
        <v>115062.07623652591</v>
      </c>
      <c r="G142" s="733">
        <f t="shared" si="50"/>
        <v>85257.121044116837</v>
      </c>
      <c r="H142" s="733">
        <f t="shared" si="50"/>
        <v>21334.457001072475</v>
      </c>
      <c r="I142" s="25">
        <f t="shared" si="43"/>
        <v>659218.69498118619</v>
      </c>
      <c r="J142" s="733">
        <v>257</v>
      </c>
      <c r="K142" s="733">
        <f t="shared" si="44"/>
        <v>2565.0532878645377</v>
      </c>
      <c r="L142" s="667"/>
      <c r="M142" s="667"/>
      <c r="N142" s="297" t="s">
        <v>1341</v>
      </c>
      <c r="O142" s="746">
        <f t="shared" si="45"/>
        <v>40968</v>
      </c>
      <c r="P142" s="746">
        <v>40971</v>
      </c>
      <c r="Q142" s="747" t="s">
        <v>916</v>
      </c>
      <c r="R142" s="304">
        <v>26</v>
      </c>
      <c r="S142" s="778">
        <v>8768</v>
      </c>
      <c r="T142" s="25">
        <f t="shared" si="46"/>
        <v>227968</v>
      </c>
      <c r="U142" s="449"/>
      <c r="V142" s="746"/>
      <c r="W142" s="778"/>
      <c r="X142" s="778"/>
      <c r="Y142" s="25">
        <f t="shared" si="47"/>
        <v>0</v>
      </c>
    </row>
    <row r="143" spans="1:25">
      <c r="A143" s="780">
        <f t="shared" ref="A143:A164" si="51">IF(B143&lt;&gt;"",A142+1,"")</f>
        <v>138</v>
      </c>
      <c r="B143" s="297" t="s">
        <v>1465</v>
      </c>
      <c r="C143" s="25">
        <f t="shared" ref="C143:C164" si="52">T143</f>
        <v>1885725</v>
      </c>
      <c r="D143" s="733">
        <f t="shared" si="50"/>
        <v>168696.48992056423</v>
      </c>
      <c r="E143" s="733">
        <f t="shared" si="50"/>
        <v>18880.628215149147</v>
      </c>
      <c r="F143" s="733">
        <f t="shared" si="50"/>
        <v>102973.84254630725</v>
      </c>
      <c r="G143" s="733">
        <f t="shared" si="50"/>
        <v>76300.147237925587</v>
      </c>
      <c r="H143" s="733">
        <f t="shared" si="50"/>
        <v>19093.093814189375</v>
      </c>
      <c r="I143" s="25">
        <f t="shared" ref="I143:I164" si="53">SUM(C143:H143)</f>
        <v>2271669.2017341359</v>
      </c>
      <c r="J143" s="733">
        <v>230</v>
      </c>
      <c r="K143" s="733">
        <f t="shared" ref="K143:K164" si="54">IF(J143&lt;&gt;"",I143/J143,"")</f>
        <v>9876.8226162353731</v>
      </c>
      <c r="L143" s="667"/>
      <c r="M143" s="667"/>
      <c r="N143" s="189" t="s">
        <v>586</v>
      </c>
      <c r="O143" s="746">
        <f t="shared" ref="O143:O164" si="55">P143-3</f>
        <v>40971</v>
      </c>
      <c r="P143" s="746">
        <v>40974</v>
      </c>
      <c r="Q143" s="747" t="s">
        <v>917</v>
      </c>
      <c r="R143" s="304">
        <v>85</v>
      </c>
      <c r="S143" s="778">
        <v>22185</v>
      </c>
      <c r="T143" s="25">
        <f t="shared" ref="T143:T164" si="56">ROUND(R143*S143,0)</f>
        <v>1885725</v>
      </c>
      <c r="U143" s="449"/>
      <c r="V143" s="746"/>
      <c r="W143" s="778"/>
      <c r="X143" s="778"/>
      <c r="Y143" s="25">
        <f t="shared" ref="Y143:Y164" si="57">W143*X143</f>
        <v>0</v>
      </c>
    </row>
    <row r="144" spans="1:25">
      <c r="A144" s="780">
        <f t="shared" si="51"/>
        <v>139</v>
      </c>
      <c r="B144" s="297" t="s">
        <v>1130</v>
      </c>
      <c r="C144" s="25">
        <f t="shared" si="52"/>
        <v>1534400</v>
      </c>
      <c r="D144" s="733">
        <f t="shared" si="50"/>
        <v>73346.299965462706</v>
      </c>
      <c r="E144" s="733">
        <f t="shared" si="50"/>
        <v>8208.9687891952799</v>
      </c>
      <c r="F144" s="733">
        <f t="shared" si="50"/>
        <v>44771.235889698801</v>
      </c>
      <c r="G144" s="733">
        <f t="shared" si="50"/>
        <v>33173.977059967641</v>
      </c>
      <c r="H144" s="733">
        <f t="shared" si="50"/>
        <v>8301.3451366040754</v>
      </c>
      <c r="I144" s="25">
        <f t="shared" si="53"/>
        <v>1702201.8268409283</v>
      </c>
      <c r="J144" s="733">
        <v>100</v>
      </c>
      <c r="K144" s="733">
        <f t="shared" si="54"/>
        <v>17022.018268409283</v>
      </c>
      <c r="L144" s="667"/>
      <c r="M144" s="667"/>
      <c r="N144" s="189" t="s">
        <v>1352</v>
      </c>
      <c r="O144" s="746">
        <f t="shared" si="55"/>
        <v>40971</v>
      </c>
      <c r="P144" s="746">
        <v>40974</v>
      </c>
      <c r="Q144" s="747" t="s">
        <v>918</v>
      </c>
      <c r="R144" s="304">
        <v>100</v>
      </c>
      <c r="S144" s="778">
        <v>15344</v>
      </c>
      <c r="T144" s="25">
        <f t="shared" si="56"/>
        <v>1534400</v>
      </c>
      <c r="U144" s="449"/>
      <c r="V144" s="746"/>
      <c r="W144" s="778"/>
      <c r="X144" s="778"/>
      <c r="Y144" s="25">
        <f t="shared" si="57"/>
        <v>0</v>
      </c>
    </row>
    <row r="145" spans="1:25">
      <c r="A145" s="780">
        <f t="shared" si="51"/>
        <v>140</v>
      </c>
      <c r="B145" s="297" t="s">
        <v>1466</v>
      </c>
      <c r="C145" s="25">
        <f t="shared" si="52"/>
        <v>5328900</v>
      </c>
      <c r="D145" s="733">
        <f t="shared" si="50"/>
        <v>364531.11082834966</v>
      </c>
      <c r="E145" s="733">
        <f t="shared" si="50"/>
        <v>40798.574882300542</v>
      </c>
      <c r="F145" s="733">
        <f t="shared" si="50"/>
        <v>222513.04237180305</v>
      </c>
      <c r="G145" s="733">
        <f t="shared" si="50"/>
        <v>164874.6659880392</v>
      </c>
      <c r="H145" s="733">
        <f t="shared" si="50"/>
        <v>41257.685328922256</v>
      </c>
      <c r="I145" s="25">
        <f t="shared" si="53"/>
        <v>6162875.0793994144</v>
      </c>
      <c r="J145" s="733">
        <v>497</v>
      </c>
      <c r="K145" s="733">
        <f t="shared" si="54"/>
        <v>12400.151065189968</v>
      </c>
      <c r="L145" s="667"/>
      <c r="M145" s="667"/>
      <c r="N145" s="189" t="s">
        <v>621</v>
      </c>
      <c r="O145" s="746">
        <f t="shared" si="55"/>
        <v>40974</v>
      </c>
      <c r="P145" s="746">
        <v>40977</v>
      </c>
      <c r="Q145" s="747" t="s">
        <v>919</v>
      </c>
      <c r="R145" s="304">
        <v>300</v>
      </c>
      <c r="S145" s="778">
        <v>17763</v>
      </c>
      <c r="T145" s="25">
        <f t="shared" si="56"/>
        <v>5328900</v>
      </c>
      <c r="U145" s="449"/>
      <c r="V145" s="746"/>
      <c r="W145" s="778"/>
      <c r="X145" s="778"/>
      <c r="Y145" s="25">
        <f t="shared" si="57"/>
        <v>0</v>
      </c>
    </row>
    <row r="146" spans="1:25">
      <c r="A146" s="780">
        <f t="shared" si="51"/>
        <v>141</v>
      </c>
      <c r="B146" s="297" t="s">
        <v>1467</v>
      </c>
      <c r="C146" s="25">
        <f t="shared" si="52"/>
        <v>96448</v>
      </c>
      <c r="D146" s="733">
        <f t="shared" ref="D146:H155" si="58">IF($J$192&lt;&gt;0,D$192/$J$192*$J146,0)</f>
        <v>936632.25055895874</v>
      </c>
      <c r="E146" s="733">
        <f t="shared" si="58"/>
        <v>104828.53143802374</v>
      </c>
      <c r="F146" s="733">
        <f t="shared" si="58"/>
        <v>571728.68231145374</v>
      </c>
      <c r="G146" s="733">
        <f t="shared" si="58"/>
        <v>423631.68705578678</v>
      </c>
      <c r="H146" s="733">
        <f t="shared" si="58"/>
        <v>106008.17739443404</v>
      </c>
      <c r="I146" s="25">
        <f t="shared" si="53"/>
        <v>2239277.3287586565</v>
      </c>
      <c r="J146" s="733">
        <v>1277</v>
      </c>
      <c r="K146" s="733">
        <f t="shared" si="54"/>
        <v>1753.5452848540772</v>
      </c>
      <c r="L146" s="667"/>
      <c r="M146" s="667"/>
      <c r="N146" s="297" t="s">
        <v>1341</v>
      </c>
      <c r="O146" s="746">
        <f t="shared" si="55"/>
        <v>40975</v>
      </c>
      <c r="P146" s="746">
        <v>40978</v>
      </c>
      <c r="Q146" s="747" t="s">
        <v>887</v>
      </c>
      <c r="R146" s="304">
        <v>11</v>
      </c>
      <c r="S146" s="778">
        <v>8768</v>
      </c>
      <c r="T146" s="25">
        <f t="shared" si="56"/>
        <v>96448</v>
      </c>
      <c r="U146" s="449"/>
      <c r="V146" s="746"/>
      <c r="W146" s="778"/>
      <c r="X146" s="778"/>
      <c r="Y146" s="25">
        <f t="shared" si="57"/>
        <v>0</v>
      </c>
    </row>
    <row r="147" spans="1:25">
      <c r="A147" s="780">
        <f t="shared" si="51"/>
        <v>142</v>
      </c>
      <c r="B147" s="297" t="s">
        <v>1468</v>
      </c>
      <c r="C147" s="25">
        <f t="shared" si="52"/>
        <v>5935904</v>
      </c>
      <c r="D147" s="733">
        <f t="shared" si="58"/>
        <v>957169.21454928839</v>
      </c>
      <c r="E147" s="733">
        <f t="shared" si="58"/>
        <v>107127.04269899841</v>
      </c>
      <c r="F147" s="733">
        <f t="shared" si="58"/>
        <v>584264.62836056936</v>
      </c>
      <c r="G147" s="733">
        <f t="shared" si="58"/>
        <v>432920.40063257777</v>
      </c>
      <c r="H147" s="733">
        <f t="shared" si="58"/>
        <v>108332.55403268318</v>
      </c>
      <c r="I147" s="25">
        <f t="shared" si="53"/>
        <v>8125717.840274117</v>
      </c>
      <c r="J147" s="733">
        <v>1305</v>
      </c>
      <c r="K147" s="733">
        <f t="shared" si="54"/>
        <v>6226.6037090223117</v>
      </c>
      <c r="L147" s="667"/>
      <c r="M147" s="667"/>
      <c r="N147" s="192" t="s">
        <v>638</v>
      </c>
      <c r="O147" s="746">
        <f t="shared" si="55"/>
        <v>40975</v>
      </c>
      <c r="P147" s="746">
        <v>40978</v>
      </c>
      <c r="Q147" s="747" t="s">
        <v>887</v>
      </c>
      <c r="R147" s="304">
        <v>208</v>
      </c>
      <c r="S147" s="778">
        <v>28538</v>
      </c>
      <c r="T147" s="25">
        <f t="shared" si="56"/>
        <v>5935904</v>
      </c>
      <c r="U147" s="449"/>
      <c r="V147" s="746"/>
      <c r="W147" s="778"/>
      <c r="X147" s="778"/>
      <c r="Y147" s="25">
        <f t="shared" si="57"/>
        <v>0</v>
      </c>
    </row>
    <row r="148" spans="1:25">
      <c r="A148" s="780">
        <f t="shared" si="51"/>
        <v>143</v>
      </c>
      <c r="B148" s="297" t="s">
        <v>1469</v>
      </c>
      <c r="C148" s="25">
        <f t="shared" si="52"/>
        <v>1547512</v>
      </c>
      <c r="D148" s="733">
        <f t="shared" si="58"/>
        <v>220772.36289604276</v>
      </c>
      <c r="E148" s="733">
        <f t="shared" si="58"/>
        <v>24708.996055477794</v>
      </c>
      <c r="F148" s="733">
        <f t="shared" si="58"/>
        <v>134761.42002799339</v>
      </c>
      <c r="G148" s="733">
        <f t="shared" si="58"/>
        <v>99853.670950502608</v>
      </c>
      <c r="H148" s="733">
        <f t="shared" si="58"/>
        <v>24987.048861178268</v>
      </c>
      <c r="I148" s="25">
        <f t="shared" si="53"/>
        <v>2052595.498791195</v>
      </c>
      <c r="J148" s="733">
        <v>301</v>
      </c>
      <c r="K148" s="733">
        <f t="shared" si="54"/>
        <v>6819.2541488079569</v>
      </c>
      <c r="L148" s="667"/>
      <c r="M148" s="667"/>
      <c r="N148" s="189" t="s">
        <v>1346</v>
      </c>
      <c r="O148" s="746">
        <f t="shared" si="55"/>
        <v>40975</v>
      </c>
      <c r="P148" s="746">
        <v>40978</v>
      </c>
      <c r="Q148" s="747" t="s">
        <v>887</v>
      </c>
      <c r="R148" s="304">
        <v>76</v>
      </c>
      <c r="S148" s="778">
        <v>20362</v>
      </c>
      <c r="T148" s="25">
        <f t="shared" si="56"/>
        <v>1547512</v>
      </c>
      <c r="U148" s="449"/>
      <c r="V148" s="746"/>
      <c r="W148" s="778"/>
      <c r="X148" s="778"/>
      <c r="Y148" s="25">
        <f t="shared" si="57"/>
        <v>0</v>
      </c>
    </row>
    <row r="149" spans="1:25">
      <c r="A149" s="780">
        <f t="shared" si="51"/>
        <v>144</v>
      </c>
      <c r="B149" s="297" t="s">
        <v>1106</v>
      </c>
      <c r="C149" s="25">
        <f t="shared" si="52"/>
        <v>1056500</v>
      </c>
      <c r="D149" s="733">
        <f t="shared" si="58"/>
        <v>161361.85992401795</v>
      </c>
      <c r="E149" s="733">
        <f t="shared" si="58"/>
        <v>18059.731336229619</v>
      </c>
      <c r="F149" s="733">
        <f t="shared" si="58"/>
        <v>98496.718957337362</v>
      </c>
      <c r="G149" s="733">
        <f t="shared" si="58"/>
        <v>72982.749531928814</v>
      </c>
      <c r="H149" s="733">
        <f t="shared" si="58"/>
        <v>18262.959300528964</v>
      </c>
      <c r="I149" s="25">
        <f t="shared" si="53"/>
        <v>1425664.0190500428</v>
      </c>
      <c r="J149" s="733">
        <v>220</v>
      </c>
      <c r="K149" s="733">
        <f t="shared" si="54"/>
        <v>6480.2909956820131</v>
      </c>
      <c r="L149" s="667"/>
      <c r="M149" s="667"/>
      <c r="N149" s="189" t="s">
        <v>623</v>
      </c>
      <c r="O149" s="746">
        <f t="shared" si="55"/>
        <v>40975</v>
      </c>
      <c r="P149" s="746">
        <v>40978</v>
      </c>
      <c r="Q149" s="747" t="s">
        <v>887</v>
      </c>
      <c r="R149" s="304">
        <v>50</v>
      </c>
      <c r="S149" s="778">
        <v>21130</v>
      </c>
      <c r="T149" s="25">
        <f t="shared" si="56"/>
        <v>1056500</v>
      </c>
      <c r="U149" s="449"/>
      <c r="V149" s="746"/>
      <c r="W149" s="778"/>
      <c r="X149" s="778"/>
      <c r="Y149" s="25">
        <f t="shared" si="57"/>
        <v>0</v>
      </c>
    </row>
    <row r="150" spans="1:25">
      <c r="A150" s="780">
        <f t="shared" si="51"/>
        <v>145</v>
      </c>
      <c r="B150" s="297" t="s">
        <v>1118</v>
      </c>
      <c r="C150" s="25">
        <f t="shared" si="52"/>
        <v>8765640</v>
      </c>
      <c r="D150" s="733">
        <f t="shared" si="58"/>
        <v>726861.83265773545</v>
      </c>
      <c r="E150" s="733">
        <f t="shared" si="58"/>
        <v>81350.880700925234</v>
      </c>
      <c r="F150" s="733">
        <f t="shared" si="58"/>
        <v>443682.94766691513</v>
      </c>
      <c r="G150" s="733">
        <f t="shared" si="58"/>
        <v>328754.11266427935</v>
      </c>
      <c r="H150" s="733">
        <f t="shared" si="58"/>
        <v>82266.330303746392</v>
      </c>
      <c r="I150" s="25">
        <f t="shared" si="53"/>
        <v>10428556.103993602</v>
      </c>
      <c r="J150" s="733">
        <v>991</v>
      </c>
      <c r="K150" s="733">
        <f t="shared" si="54"/>
        <v>10523.265493434512</v>
      </c>
      <c r="L150" s="667"/>
      <c r="M150" s="667"/>
      <c r="N150" s="189" t="s">
        <v>1345</v>
      </c>
      <c r="O150" s="746">
        <f t="shared" si="55"/>
        <v>40977</v>
      </c>
      <c r="P150" s="746">
        <v>40980</v>
      </c>
      <c r="Q150" s="747" t="s">
        <v>921</v>
      </c>
      <c r="R150" s="304">
        <v>585</v>
      </c>
      <c r="S150" s="778">
        <v>14984</v>
      </c>
      <c r="T150" s="25">
        <f t="shared" si="56"/>
        <v>8765640</v>
      </c>
      <c r="U150" s="449"/>
      <c r="V150" s="746"/>
      <c r="W150" s="778"/>
      <c r="X150" s="778"/>
      <c r="Y150" s="25">
        <f t="shared" si="57"/>
        <v>0</v>
      </c>
    </row>
    <row r="151" spans="1:25">
      <c r="A151" s="780">
        <f t="shared" si="51"/>
        <v>146</v>
      </c>
      <c r="B151" s="297" t="s">
        <v>1008</v>
      </c>
      <c r="C151" s="25">
        <f t="shared" si="52"/>
        <v>3594150</v>
      </c>
      <c r="D151" s="733">
        <f t="shared" si="58"/>
        <v>514157.56275789358</v>
      </c>
      <c r="E151" s="733">
        <f t="shared" si="58"/>
        <v>57544.87121225892</v>
      </c>
      <c r="F151" s="733">
        <f t="shared" si="58"/>
        <v>313846.36358678859</v>
      </c>
      <c r="G151" s="733">
        <f t="shared" si="58"/>
        <v>232549.57919037319</v>
      </c>
      <c r="H151" s="733">
        <f t="shared" si="58"/>
        <v>58192.429407594573</v>
      </c>
      <c r="I151" s="25">
        <f t="shared" si="53"/>
        <v>4770440.8061549095</v>
      </c>
      <c r="J151" s="733">
        <v>701</v>
      </c>
      <c r="K151" s="733">
        <f t="shared" si="54"/>
        <v>6805.1937320326815</v>
      </c>
      <c r="L151" s="667"/>
      <c r="M151" s="667"/>
      <c r="N151" s="192" t="s">
        <v>636</v>
      </c>
      <c r="O151" s="746">
        <f t="shared" si="55"/>
        <v>40977</v>
      </c>
      <c r="P151" s="746">
        <v>40980</v>
      </c>
      <c r="Q151" s="747" t="s">
        <v>922</v>
      </c>
      <c r="R151" s="304">
        <v>225</v>
      </c>
      <c r="S151" s="778">
        <v>15974</v>
      </c>
      <c r="T151" s="25">
        <f t="shared" si="56"/>
        <v>3594150</v>
      </c>
      <c r="U151" s="449"/>
      <c r="V151" s="746"/>
      <c r="W151" s="778"/>
      <c r="X151" s="778"/>
      <c r="Y151" s="25">
        <f t="shared" si="57"/>
        <v>0</v>
      </c>
    </row>
    <row r="152" spans="1:25">
      <c r="A152" s="780">
        <f t="shared" si="51"/>
        <v>147</v>
      </c>
      <c r="B152" s="297" t="s">
        <v>1144</v>
      </c>
      <c r="C152" s="25">
        <f t="shared" si="52"/>
        <v>1733100</v>
      </c>
      <c r="D152" s="733">
        <f t="shared" si="58"/>
        <v>219305.4368967335</v>
      </c>
      <c r="E152" s="733">
        <f t="shared" si="58"/>
        <v>24544.816679693889</v>
      </c>
      <c r="F152" s="733">
        <f t="shared" si="58"/>
        <v>133865.99531019942</v>
      </c>
      <c r="G152" s="733">
        <f t="shared" si="58"/>
        <v>99190.191409303254</v>
      </c>
      <c r="H152" s="733">
        <f t="shared" si="58"/>
        <v>24821.021958446185</v>
      </c>
      <c r="I152" s="25">
        <f t="shared" si="53"/>
        <v>2234827.4622543762</v>
      </c>
      <c r="J152" s="733">
        <v>299</v>
      </c>
      <c r="K152" s="733">
        <f t="shared" si="54"/>
        <v>7474.3393386433982</v>
      </c>
      <c r="L152" s="667"/>
      <c r="M152" s="667"/>
      <c r="N152" s="189" t="s">
        <v>614</v>
      </c>
      <c r="O152" s="746">
        <f t="shared" si="55"/>
        <v>40977</v>
      </c>
      <c r="P152" s="746">
        <v>40980</v>
      </c>
      <c r="Q152" s="747" t="s">
        <v>922</v>
      </c>
      <c r="R152" s="304">
        <v>150</v>
      </c>
      <c r="S152" s="778">
        <v>11554</v>
      </c>
      <c r="T152" s="25">
        <f t="shared" si="56"/>
        <v>1733100</v>
      </c>
      <c r="U152" s="449"/>
      <c r="V152" s="746"/>
      <c r="W152" s="778"/>
      <c r="X152" s="778"/>
      <c r="Y152" s="25">
        <f t="shared" si="57"/>
        <v>0</v>
      </c>
    </row>
    <row r="153" spans="1:25">
      <c r="A153" s="780">
        <f t="shared" si="51"/>
        <v>148</v>
      </c>
      <c r="B153" s="297" t="s">
        <v>1070</v>
      </c>
      <c r="C153" s="25">
        <f t="shared" si="52"/>
        <v>320180</v>
      </c>
      <c r="D153" s="733">
        <f t="shared" si="58"/>
        <v>41073.927980659115</v>
      </c>
      <c r="E153" s="733">
        <f t="shared" si="58"/>
        <v>4597.0225219493568</v>
      </c>
      <c r="F153" s="733">
        <f t="shared" si="58"/>
        <v>25071.892098231328</v>
      </c>
      <c r="G153" s="733">
        <f t="shared" si="58"/>
        <v>18577.427153581881</v>
      </c>
      <c r="H153" s="733">
        <f t="shared" si="58"/>
        <v>4648.7532764982825</v>
      </c>
      <c r="I153" s="25">
        <f t="shared" si="53"/>
        <v>414149.02303091995</v>
      </c>
      <c r="J153" s="733">
        <v>56</v>
      </c>
      <c r="K153" s="733">
        <f t="shared" si="54"/>
        <v>7395.5182684092852</v>
      </c>
      <c r="L153" s="667"/>
      <c r="M153" s="667"/>
      <c r="N153" s="189" t="s">
        <v>1221</v>
      </c>
      <c r="O153" s="746">
        <f t="shared" si="55"/>
        <v>40977</v>
      </c>
      <c r="P153" s="746">
        <v>40980</v>
      </c>
      <c r="Q153" s="747" t="s">
        <v>922</v>
      </c>
      <c r="R153" s="304">
        <v>28</v>
      </c>
      <c r="S153" s="778">
        <v>11435</v>
      </c>
      <c r="T153" s="25">
        <f t="shared" si="56"/>
        <v>320180</v>
      </c>
      <c r="U153" s="449"/>
      <c r="V153" s="746"/>
      <c r="W153" s="778"/>
      <c r="X153" s="778"/>
      <c r="Y153" s="25">
        <f t="shared" si="57"/>
        <v>0</v>
      </c>
    </row>
    <row r="154" spans="1:25">
      <c r="A154" s="780">
        <f t="shared" si="51"/>
        <v>149</v>
      </c>
      <c r="B154" s="297" t="s">
        <v>1143</v>
      </c>
      <c r="C154" s="25">
        <f t="shared" si="52"/>
        <v>503140</v>
      </c>
      <c r="D154" s="733">
        <f t="shared" si="58"/>
        <v>49875.483976514639</v>
      </c>
      <c r="E154" s="733">
        <f t="shared" si="58"/>
        <v>5582.0987766527905</v>
      </c>
      <c r="F154" s="733">
        <f t="shared" si="58"/>
        <v>30444.440404995185</v>
      </c>
      <c r="G154" s="733">
        <f t="shared" si="58"/>
        <v>22558.304400777997</v>
      </c>
      <c r="H154" s="733">
        <f t="shared" si="58"/>
        <v>5644.9146928907712</v>
      </c>
      <c r="I154" s="25">
        <f t="shared" si="53"/>
        <v>617245.24225183146</v>
      </c>
      <c r="J154" s="733">
        <v>68</v>
      </c>
      <c r="K154" s="733">
        <f t="shared" si="54"/>
        <v>9077.1359154681104</v>
      </c>
      <c r="L154" s="667"/>
      <c r="M154" s="667"/>
      <c r="N154" s="189" t="s">
        <v>1221</v>
      </c>
      <c r="O154" s="746">
        <f t="shared" si="55"/>
        <v>40977</v>
      </c>
      <c r="P154" s="746">
        <v>40980</v>
      </c>
      <c r="Q154" s="747" t="s">
        <v>922</v>
      </c>
      <c r="R154" s="304">
        <v>44</v>
      </c>
      <c r="S154" s="778">
        <v>11435</v>
      </c>
      <c r="T154" s="25">
        <f t="shared" si="56"/>
        <v>503140</v>
      </c>
      <c r="U154" s="449"/>
      <c r="V154" s="746"/>
      <c r="W154" s="778"/>
      <c r="X154" s="778"/>
      <c r="Y154" s="25">
        <f t="shared" si="57"/>
        <v>0</v>
      </c>
    </row>
    <row r="155" spans="1:25">
      <c r="A155" s="780">
        <f t="shared" si="51"/>
        <v>150</v>
      </c>
      <c r="B155" s="297" t="s">
        <v>1044</v>
      </c>
      <c r="C155" s="25">
        <f t="shared" si="52"/>
        <v>595045</v>
      </c>
      <c r="D155" s="733">
        <f t="shared" si="58"/>
        <v>79214.003962699731</v>
      </c>
      <c r="E155" s="733">
        <f t="shared" si="58"/>
        <v>8865.6862923309036</v>
      </c>
      <c r="F155" s="733">
        <f t="shared" si="58"/>
        <v>48352.934760874705</v>
      </c>
      <c r="G155" s="733">
        <f t="shared" si="58"/>
        <v>35827.895224765052</v>
      </c>
      <c r="H155" s="733">
        <f t="shared" si="58"/>
        <v>8965.4527475324012</v>
      </c>
      <c r="I155" s="25">
        <f t="shared" si="53"/>
        <v>776270.97298820282</v>
      </c>
      <c r="J155" s="733">
        <v>108</v>
      </c>
      <c r="K155" s="733">
        <f t="shared" si="54"/>
        <v>7187.6941943352113</v>
      </c>
      <c r="L155" s="667"/>
      <c r="M155" s="667"/>
      <c r="N155" s="192" t="s">
        <v>629</v>
      </c>
      <c r="O155" s="746">
        <f t="shared" si="55"/>
        <v>40977</v>
      </c>
      <c r="P155" s="746">
        <v>40980</v>
      </c>
      <c r="Q155" s="747" t="s">
        <v>922</v>
      </c>
      <c r="R155" s="304">
        <v>55</v>
      </c>
      <c r="S155" s="778">
        <v>10819</v>
      </c>
      <c r="T155" s="25">
        <f t="shared" si="56"/>
        <v>595045</v>
      </c>
      <c r="U155" s="449"/>
      <c r="V155" s="746"/>
      <c r="W155" s="778"/>
      <c r="X155" s="778"/>
      <c r="Y155" s="25">
        <f t="shared" si="57"/>
        <v>0</v>
      </c>
    </row>
    <row r="156" spans="1:25">
      <c r="A156" s="780">
        <f t="shared" si="51"/>
        <v>151</v>
      </c>
      <c r="B156" s="297" t="s">
        <v>1213</v>
      </c>
      <c r="C156" s="25">
        <f t="shared" si="52"/>
        <v>10130000</v>
      </c>
      <c r="D156" s="733">
        <f t="shared" ref="D156:H164" si="59">IF($J$192&lt;&gt;0,D$192/$J$192*$J156,0)</f>
        <v>2189387.0539690619</v>
      </c>
      <c r="E156" s="733">
        <f t="shared" si="59"/>
        <v>245037.71835747911</v>
      </c>
      <c r="F156" s="733">
        <f t="shared" si="59"/>
        <v>1336421.3913075093</v>
      </c>
      <c r="G156" s="733">
        <f t="shared" si="59"/>
        <v>990243.21524003416</v>
      </c>
      <c r="H156" s="733">
        <f t="shared" si="59"/>
        <v>247795.15232763166</v>
      </c>
      <c r="I156" s="25">
        <f t="shared" si="53"/>
        <v>15138884.531201717</v>
      </c>
      <c r="J156" s="733">
        <v>2985</v>
      </c>
      <c r="K156" s="733">
        <f t="shared" si="54"/>
        <v>5071.653109280307</v>
      </c>
      <c r="L156" s="667"/>
      <c r="M156" s="667"/>
      <c r="N156" s="192" t="s">
        <v>651</v>
      </c>
      <c r="O156" s="746">
        <f t="shared" si="55"/>
        <v>40985</v>
      </c>
      <c r="P156" s="746">
        <v>40988</v>
      </c>
      <c r="Q156" s="747" t="s">
        <v>924</v>
      </c>
      <c r="R156" s="304">
        <v>1000</v>
      </c>
      <c r="S156" s="778">
        <v>10130</v>
      </c>
      <c r="T156" s="25">
        <f t="shared" si="56"/>
        <v>10130000</v>
      </c>
      <c r="U156" s="449"/>
      <c r="V156" s="746"/>
      <c r="W156" s="778"/>
      <c r="X156" s="778"/>
      <c r="Y156" s="25">
        <f t="shared" si="57"/>
        <v>0</v>
      </c>
    </row>
    <row r="157" spans="1:25">
      <c r="A157" s="780">
        <f t="shared" si="51"/>
        <v>152</v>
      </c>
      <c r="B157" s="297" t="s">
        <v>1141</v>
      </c>
      <c r="C157" s="25">
        <f t="shared" si="52"/>
        <v>1184750</v>
      </c>
      <c r="D157" s="733">
        <f t="shared" si="59"/>
        <v>456213.98578517803</v>
      </c>
      <c r="E157" s="733">
        <f t="shared" si="59"/>
        <v>51059.785868794643</v>
      </c>
      <c r="F157" s="733">
        <f t="shared" si="59"/>
        <v>278477.08723392652</v>
      </c>
      <c r="G157" s="733">
        <f t="shared" si="59"/>
        <v>206342.13731299873</v>
      </c>
      <c r="H157" s="733">
        <f t="shared" si="59"/>
        <v>51634.366749677349</v>
      </c>
      <c r="I157" s="25">
        <f t="shared" si="53"/>
        <v>2228477.3629505751</v>
      </c>
      <c r="J157" s="733">
        <v>622</v>
      </c>
      <c r="K157" s="733">
        <f t="shared" si="54"/>
        <v>3582.7610336825965</v>
      </c>
      <c r="L157" s="667"/>
      <c r="M157" s="667"/>
      <c r="N157" s="297" t="s">
        <v>1550</v>
      </c>
      <c r="O157" s="746">
        <f t="shared" si="55"/>
        <v>40985</v>
      </c>
      <c r="P157" s="746">
        <v>40988</v>
      </c>
      <c r="Q157" s="747" t="s">
        <v>924</v>
      </c>
      <c r="R157" s="304">
        <v>70</v>
      </c>
      <c r="S157" s="778">
        <v>16925</v>
      </c>
      <c r="T157" s="25">
        <f t="shared" si="56"/>
        <v>1184750</v>
      </c>
      <c r="U157" s="449"/>
      <c r="V157" s="746"/>
      <c r="W157" s="778"/>
      <c r="X157" s="778"/>
      <c r="Y157" s="25">
        <f t="shared" si="57"/>
        <v>0</v>
      </c>
    </row>
    <row r="158" spans="1:25">
      <c r="A158" s="780">
        <f t="shared" si="51"/>
        <v>153</v>
      </c>
      <c r="B158" s="297" t="s">
        <v>1212</v>
      </c>
      <c r="C158" s="25">
        <f t="shared" si="52"/>
        <v>9831360</v>
      </c>
      <c r="D158" s="733">
        <f t="shared" si="59"/>
        <v>755466.88964426587</v>
      </c>
      <c r="E158" s="733">
        <f t="shared" si="59"/>
        <v>84552.378528711386</v>
      </c>
      <c r="F158" s="733">
        <f t="shared" si="59"/>
        <v>461143.72966389765</v>
      </c>
      <c r="G158" s="733">
        <f t="shared" si="59"/>
        <v>341691.96371766675</v>
      </c>
      <c r="H158" s="733">
        <f t="shared" si="59"/>
        <v>85503.854907021974</v>
      </c>
      <c r="I158" s="25">
        <f t="shared" si="53"/>
        <v>11559718.816461563</v>
      </c>
      <c r="J158" s="733">
        <v>1030</v>
      </c>
      <c r="K158" s="733">
        <f t="shared" si="54"/>
        <v>11223.027977147149</v>
      </c>
      <c r="L158" s="667"/>
      <c r="M158" s="667"/>
      <c r="N158" s="192" t="s">
        <v>644</v>
      </c>
      <c r="O158" s="746">
        <f t="shared" si="55"/>
        <v>40986</v>
      </c>
      <c r="P158" s="746">
        <v>40989</v>
      </c>
      <c r="Q158" s="747" t="s">
        <v>925</v>
      </c>
      <c r="R158" s="304">
        <v>760</v>
      </c>
      <c r="S158" s="778">
        <v>12936</v>
      </c>
      <c r="T158" s="25">
        <f t="shared" si="56"/>
        <v>9831360</v>
      </c>
      <c r="U158" s="449"/>
      <c r="V158" s="746"/>
      <c r="W158" s="778"/>
      <c r="X158" s="778"/>
      <c r="Y158" s="25">
        <f t="shared" si="57"/>
        <v>0</v>
      </c>
    </row>
    <row r="159" spans="1:25">
      <c r="A159" s="780">
        <f t="shared" si="51"/>
        <v>154</v>
      </c>
      <c r="B159" s="297" t="s">
        <v>927</v>
      </c>
      <c r="C159" s="25">
        <f t="shared" si="52"/>
        <v>4109070</v>
      </c>
      <c r="D159" s="733">
        <f t="shared" si="59"/>
        <v>154027.22992747169</v>
      </c>
      <c r="E159" s="733">
        <f t="shared" si="59"/>
        <v>17238.834457310088</v>
      </c>
      <c r="F159" s="733">
        <f t="shared" si="59"/>
        <v>94019.595368367474</v>
      </c>
      <c r="G159" s="733">
        <f t="shared" si="59"/>
        <v>69665.351825932055</v>
      </c>
      <c r="H159" s="733">
        <f t="shared" si="59"/>
        <v>17432.824786868558</v>
      </c>
      <c r="I159" s="25">
        <f t="shared" si="53"/>
        <v>4461453.8363659503</v>
      </c>
      <c r="J159" s="733">
        <v>210</v>
      </c>
      <c r="K159" s="733">
        <f t="shared" si="54"/>
        <v>21245.018268409287</v>
      </c>
      <c r="L159" s="667"/>
      <c r="M159" s="667"/>
      <c r="N159" s="189" t="s">
        <v>1348</v>
      </c>
      <c r="O159" s="746">
        <f t="shared" si="55"/>
        <v>40986</v>
      </c>
      <c r="P159" s="746">
        <v>40989</v>
      </c>
      <c r="Q159" s="747" t="s">
        <v>928</v>
      </c>
      <c r="R159" s="304">
        <v>210</v>
      </c>
      <c r="S159" s="778">
        <v>19567</v>
      </c>
      <c r="T159" s="25">
        <f t="shared" si="56"/>
        <v>4109070</v>
      </c>
      <c r="U159" s="449"/>
      <c r="V159" s="746"/>
      <c r="W159" s="778"/>
      <c r="X159" s="778"/>
      <c r="Y159" s="25">
        <f t="shared" si="57"/>
        <v>0</v>
      </c>
    </row>
    <row r="160" spans="1:25">
      <c r="A160" s="780">
        <f t="shared" si="51"/>
        <v>155</v>
      </c>
      <c r="B160" s="297" t="s">
        <v>1214</v>
      </c>
      <c r="C160" s="25">
        <f t="shared" si="52"/>
        <v>482240</v>
      </c>
      <c r="D160" s="733">
        <f t="shared" si="59"/>
        <v>154027.22992747169</v>
      </c>
      <c r="E160" s="733">
        <f t="shared" si="59"/>
        <v>17238.834457310088</v>
      </c>
      <c r="F160" s="733">
        <f t="shared" si="59"/>
        <v>94019.595368367474</v>
      </c>
      <c r="G160" s="733">
        <f t="shared" si="59"/>
        <v>69665.351825932055</v>
      </c>
      <c r="H160" s="733">
        <f t="shared" si="59"/>
        <v>17432.824786868558</v>
      </c>
      <c r="I160" s="25">
        <f t="shared" si="53"/>
        <v>834623.83636594983</v>
      </c>
      <c r="J160" s="733">
        <v>210</v>
      </c>
      <c r="K160" s="733">
        <f t="shared" si="54"/>
        <v>3974.3992207902375</v>
      </c>
      <c r="L160" s="667"/>
      <c r="M160" s="667"/>
      <c r="N160" s="297" t="s">
        <v>1341</v>
      </c>
      <c r="O160" s="746">
        <f t="shared" si="55"/>
        <v>40986</v>
      </c>
      <c r="P160" s="746">
        <v>40989</v>
      </c>
      <c r="Q160" s="747" t="s">
        <v>928</v>
      </c>
      <c r="R160" s="304">
        <v>55</v>
      </c>
      <c r="S160" s="778">
        <v>8768</v>
      </c>
      <c r="T160" s="25">
        <f t="shared" si="56"/>
        <v>482240</v>
      </c>
      <c r="U160" s="449"/>
      <c r="V160" s="746"/>
      <c r="W160" s="778"/>
      <c r="X160" s="778"/>
      <c r="Y160" s="25">
        <f t="shared" si="57"/>
        <v>0</v>
      </c>
    </row>
    <row r="161" spans="1:25">
      <c r="A161" s="780">
        <f t="shared" si="51"/>
        <v>156</v>
      </c>
      <c r="B161" s="297" t="s">
        <v>1181</v>
      </c>
      <c r="C161" s="25">
        <f t="shared" si="52"/>
        <v>4249800</v>
      </c>
      <c r="D161" s="733">
        <f t="shared" si="59"/>
        <v>225906.60389362514</v>
      </c>
      <c r="E161" s="733">
        <f t="shared" si="59"/>
        <v>25283.623870721465</v>
      </c>
      <c r="F161" s="733">
        <f t="shared" si="59"/>
        <v>137895.40654027229</v>
      </c>
      <c r="G161" s="733">
        <f t="shared" si="59"/>
        <v>102175.84934470034</v>
      </c>
      <c r="H161" s="733">
        <f t="shared" si="59"/>
        <v>25568.143020740554</v>
      </c>
      <c r="I161" s="25">
        <f t="shared" si="53"/>
        <v>4766629.6266700597</v>
      </c>
      <c r="J161" s="733">
        <v>308</v>
      </c>
      <c r="K161" s="733">
        <f t="shared" si="54"/>
        <v>15476.070216461232</v>
      </c>
      <c r="L161" s="667"/>
      <c r="M161" s="667"/>
      <c r="N161" s="189" t="s">
        <v>583</v>
      </c>
      <c r="O161" s="746">
        <f t="shared" si="55"/>
        <v>40986</v>
      </c>
      <c r="P161" s="746">
        <v>40989</v>
      </c>
      <c r="Q161" s="747" t="s">
        <v>930</v>
      </c>
      <c r="R161" s="304">
        <v>180</v>
      </c>
      <c r="S161" s="778">
        <v>23610</v>
      </c>
      <c r="T161" s="25">
        <f t="shared" si="56"/>
        <v>4249800</v>
      </c>
      <c r="U161" s="449"/>
      <c r="V161" s="746"/>
      <c r="W161" s="778"/>
      <c r="X161" s="778"/>
      <c r="Y161" s="25">
        <f t="shared" si="57"/>
        <v>0</v>
      </c>
    </row>
    <row r="162" spans="1:25">
      <c r="A162" s="780">
        <f t="shared" si="51"/>
        <v>157</v>
      </c>
      <c r="B162" s="297" t="s">
        <v>1204</v>
      </c>
      <c r="C162" s="25">
        <f t="shared" si="52"/>
        <v>6611072</v>
      </c>
      <c r="D162" s="733">
        <f t="shared" si="59"/>
        <v>1658359.8422191117</v>
      </c>
      <c r="E162" s="733">
        <f t="shared" si="59"/>
        <v>185604.7843237053</v>
      </c>
      <c r="F162" s="733">
        <f t="shared" si="59"/>
        <v>1012277.6434660899</v>
      </c>
      <c r="G162" s="733">
        <f t="shared" si="59"/>
        <v>750063.62132586841</v>
      </c>
      <c r="H162" s="733">
        <f t="shared" si="59"/>
        <v>187693.41353861816</v>
      </c>
      <c r="I162" s="25">
        <f t="shared" si="53"/>
        <v>10405071.304873394</v>
      </c>
      <c r="J162" s="733">
        <v>2261</v>
      </c>
      <c r="K162" s="733">
        <f t="shared" si="54"/>
        <v>4601.9775784490903</v>
      </c>
      <c r="L162" s="667"/>
      <c r="M162" s="667"/>
      <c r="N162" s="297" t="s">
        <v>1341</v>
      </c>
      <c r="O162" s="746">
        <f t="shared" si="55"/>
        <v>40992</v>
      </c>
      <c r="P162" s="746">
        <v>40995</v>
      </c>
      <c r="Q162" s="747" t="s">
        <v>931</v>
      </c>
      <c r="R162" s="304">
        <v>754</v>
      </c>
      <c r="S162" s="778">
        <v>8768</v>
      </c>
      <c r="T162" s="25">
        <f t="shared" si="56"/>
        <v>6611072</v>
      </c>
      <c r="U162" s="449"/>
      <c r="V162" s="746"/>
      <c r="W162" s="778"/>
      <c r="X162" s="778"/>
      <c r="Y162" s="25">
        <f t="shared" si="57"/>
        <v>0</v>
      </c>
    </row>
    <row r="163" spans="1:25">
      <c r="A163" s="780">
        <f t="shared" si="51"/>
        <v>158</v>
      </c>
      <c r="B163" s="297" t="s">
        <v>1202</v>
      </c>
      <c r="C163" s="25">
        <f t="shared" si="52"/>
        <v>741965</v>
      </c>
      <c r="D163" s="733">
        <f t="shared" si="59"/>
        <v>75546.68896442659</v>
      </c>
      <c r="E163" s="733">
        <f t="shared" si="59"/>
        <v>8455.2378528711397</v>
      </c>
      <c r="F163" s="733">
        <f t="shared" si="59"/>
        <v>46114.372966389768</v>
      </c>
      <c r="G163" s="733">
        <f t="shared" si="59"/>
        <v>34169.196371766673</v>
      </c>
      <c r="H163" s="733">
        <f t="shared" si="59"/>
        <v>8550.3854907021978</v>
      </c>
      <c r="I163" s="25">
        <f t="shared" si="53"/>
        <v>914800.88164615643</v>
      </c>
      <c r="J163" s="733">
        <v>103</v>
      </c>
      <c r="K163" s="733">
        <f t="shared" si="54"/>
        <v>8881.5619577296748</v>
      </c>
      <c r="L163" s="667"/>
      <c r="M163" s="667"/>
      <c r="N163" s="189" t="s">
        <v>588</v>
      </c>
      <c r="O163" s="746">
        <f t="shared" si="55"/>
        <v>40992</v>
      </c>
      <c r="P163" s="746">
        <v>40995</v>
      </c>
      <c r="Q163" s="747" t="s">
        <v>931</v>
      </c>
      <c r="R163" s="304">
        <v>35</v>
      </c>
      <c r="S163" s="778">
        <v>21199</v>
      </c>
      <c r="T163" s="25">
        <f t="shared" si="56"/>
        <v>741965</v>
      </c>
      <c r="U163" s="449"/>
      <c r="V163" s="746"/>
      <c r="W163" s="778"/>
      <c r="X163" s="778"/>
      <c r="Y163" s="25">
        <f t="shared" si="57"/>
        <v>0</v>
      </c>
    </row>
    <row r="164" spans="1:25">
      <c r="A164" s="780">
        <f t="shared" si="51"/>
        <v>159</v>
      </c>
      <c r="B164" s="297" t="s">
        <v>1203</v>
      </c>
      <c r="C164" s="25">
        <f t="shared" si="52"/>
        <v>228400</v>
      </c>
      <c r="D164" s="733">
        <f t="shared" si="59"/>
        <v>293385.19986185082</v>
      </c>
      <c r="E164" s="733">
        <f t="shared" si="59"/>
        <v>32835.87515678112</v>
      </c>
      <c r="F164" s="733">
        <f t="shared" si="59"/>
        <v>179084.9435587952</v>
      </c>
      <c r="G164" s="733">
        <f t="shared" si="59"/>
        <v>132695.90823987057</v>
      </c>
      <c r="H164" s="733">
        <f t="shared" si="59"/>
        <v>33205.380546416302</v>
      </c>
      <c r="I164" s="25">
        <f t="shared" si="53"/>
        <v>899607.30736371398</v>
      </c>
      <c r="J164" s="733">
        <v>400</v>
      </c>
      <c r="K164" s="733">
        <f t="shared" si="54"/>
        <v>2249.0182684092852</v>
      </c>
      <c r="L164" s="667"/>
      <c r="M164" s="667"/>
      <c r="N164" s="189" t="s">
        <v>628</v>
      </c>
      <c r="O164" s="746">
        <f t="shared" si="55"/>
        <v>40992</v>
      </c>
      <c r="P164" s="746">
        <v>40995</v>
      </c>
      <c r="Q164" s="747" t="s">
        <v>931</v>
      </c>
      <c r="R164" s="304">
        <f>J164</f>
        <v>400</v>
      </c>
      <c r="S164" s="778">
        <v>571</v>
      </c>
      <c r="T164" s="25">
        <f t="shared" si="56"/>
        <v>228400</v>
      </c>
      <c r="U164" s="449"/>
      <c r="V164" s="746"/>
      <c r="W164" s="778"/>
      <c r="X164" s="778"/>
      <c r="Y164" s="25">
        <f t="shared" si="57"/>
        <v>0</v>
      </c>
    </row>
    <row r="165" spans="1:25">
      <c r="A165" s="780">
        <f t="shared" si="7"/>
        <v>160</v>
      </c>
      <c r="B165" s="297" t="s">
        <v>1096</v>
      </c>
      <c r="C165" s="25">
        <f t="shared" ref="C165:C166" si="60">T165</f>
        <v>5707600</v>
      </c>
      <c r="D165" s="733">
        <f t="shared" ref="D165:H165" si="61">IF($J$192&lt;&gt;0,D$192/$J$192*$J165,0)</f>
        <v>733462.99965462706</v>
      </c>
      <c r="E165" s="733">
        <f t="shared" si="61"/>
        <v>82089.68789195281</v>
      </c>
      <c r="F165" s="733">
        <f t="shared" si="61"/>
        <v>447712.35889698798</v>
      </c>
      <c r="G165" s="733">
        <f t="shared" si="61"/>
        <v>331739.77059967641</v>
      </c>
      <c r="H165" s="733">
        <f t="shared" si="61"/>
        <v>83013.451366040754</v>
      </c>
      <c r="I165" s="25">
        <f t="shared" ref="I165:I166" si="62">SUM(C165:H165)</f>
        <v>7385618.2684092857</v>
      </c>
      <c r="J165" s="733">
        <v>1000</v>
      </c>
      <c r="K165" s="733">
        <f t="shared" ref="K165:K166" si="63">IF(J165&lt;&gt;"",I165/J165,"")</f>
        <v>7385.6182684092855</v>
      </c>
      <c r="L165" s="667"/>
      <c r="M165" s="667"/>
      <c r="N165" s="192" t="s">
        <v>638</v>
      </c>
      <c r="O165" s="746">
        <f t="shared" ref="O165:O190" si="64">P165-3</f>
        <v>40993</v>
      </c>
      <c r="P165" s="746">
        <v>40996</v>
      </c>
      <c r="Q165" s="747" t="s">
        <v>932</v>
      </c>
      <c r="R165" s="304">
        <v>200</v>
      </c>
      <c r="S165" s="778">
        <v>28538</v>
      </c>
      <c r="T165" s="25">
        <f t="shared" ref="T165:T166" si="65">ROUND(R165*S165,0)</f>
        <v>5707600</v>
      </c>
      <c r="U165" s="449"/>
      <c r="V165" s="746"/>
      <c r="W165" s="778"/>
      <c r="X165" s="778"/>
      <c r="Y165" s="25">
        <f t="shared" ref="Y165:Y166" si="66">W165*X165</f>
        <v>0</v>
      </c>
    </row>
    <row r="166" spans="1:25">
      <c r="A166" s="780">
        <f t="shared" si="7"/>
        <v>161</v>
      </c>
      <c r="B166" s="297" t="s">
        <v>1200</v>
      </c>
      <c r="C166" s="25">
        <f t="shared" si="60"/>
        <v>782680</v>
      </c>
      <c r="D166" s="733">
        <f t="shared" ref="D166:H175" si="67">IF($J$192&lt;&gt;0,D$192/$J$192*$J166,0)</f>
        <v>46941.631977896133</v>
      </c>
      <c r="E166" s="733">
        <f t="shared" si="67"/>
        <v>5253.7400250849796</v>
      </c>
      <c r="F166" s="733">
        <f t="shared" si="67"/>
        <v>28653.590969407232</v>
      </c>
      <c r="G166" s="733">
        <f t="shared" si="67"/>
        <v>21231.345318379292</v>
      </c>
      <c r="H166" s="733">
        <f t="shared" si="67"/>
        <v>5312.8608874266083</v>
      </c>
      <c r="I166" s="25">
        <f t="shared" si="62"/>
        <v>890073.16917819425</v>
      </c>
      <c r="J166" s="733">
        <v>64</v>
      </c>
      <c r="K166" s="733">
        <f t="shared" si="63"/>
        <v>13907.393268409285</v>
      </c>
      <c r="L166" s="667"/>
      <c r="M166" s="667"/>
      <c r="N166" s="189" t="s">
        <v>1348</v>
      </c>
      <c r="O166" s="746">
        <f t="shared" si="64"/>
        <v>40995</v>
      </c>
      <c r="P166" s="746">
        <v>40998</v>
      </c>
      <c r="Q166" s="747" t="s">
        <v>934</v>
      </c>
      <c r="R166" s="304">
        <v>40</v>
      </c>
      <c r="S166" s="778">
        <v>19567</v>
      </c>
      <c r="T166" s="25">
        <f t="shared" si="65"/>
        <v>782680</v>
      </c>
      <c r="U166" s="449"/>
      <c r="V166" s="746"/>
      <c r="W166" s="778"/>
      <c r="X166" s="778"/>
      <c r="Y166" s="25">
        <f t="shared" si="66"/>
        <v>0</v>
      </c>
    </row>
    <row r="167" spans="1:25">
      <c r="A167" s="780">
        <f t="shared" si="7"/>
        <v>162</v>
      </c>
      <c r="B167" s="297" t="s">
        <v>1199</v>
      </c>
      <c r="C167" s="25">
        <f t="shared" ref="C167:C173" si="68">T167</f>
        <v>745280</v>
      </c>
      <c r="D167" s="733">
        <f t="shared" si="67"/>
        <v>185566.13891262066</v>
      </c>
      <c r="E167" s="733">
        <f t="shared" si="67"/>
        <v>20768.691036664059</v>
      </c>
      <c r="F167" s="733">
        <f t="shared" si="67"/>
        <v>113271.22680093796</v>
      </c>
      <c r="G167" s="733">
        <f t="shared" si="67"/>
        <v>83930.161961718142</v>
      </c>
      <c r="H167" s="733">
        <f t="shared" si="67"/>
        <v>21002.403195608313</v>
      </c>
      <c r="I167" s="25">
        <f t="shared" ref="I167:I173" si="69">SUM(C167:H167)</f>
        <v>1169818.6219075494</v>
      </c>
      <c r="J167" s="733">
        <v>253</v>
      </c>
      <c r="K167" s="733">
        <f t="shared" ref="K167:K173" si="70">IF(J167&lt;&gt;"",I167/J167,"")</f>
        <v>4623.789019397429</v>
      </c>
      <c r="L167" s="667"/>
      <c r="M167" s="667"/>
      <c r="N167" s="297" t="s">
        <v>1341</v>
      </c>
      <c r="O167" s="746">
        <f t="shared" si="64"/>
        <v>40995</v>
      </c>
      <c r="P167" s="746">
        <v>40998</v>
      </c>
      <c r="Q167" s="747" t="s">
        <v>936</v>
      </c>
      <c r="R167" s="304">
        <v>85</v>
      </c>
      <c r="S167" s="778">
        <v>8768</v>
      </c>
      <c r="T167" s="25">
        <f t="shared" ref="T167:T173" si="71">ROUND(R167*S167,0)</f>
        <v>745280</v>
      </c>
      <c r="U167" s="449"/>
      <c r="V167" s="746"/>
      <c r="W167" s="778"/>
      <c r="X167" s="778"/>
      <c r="Y167" s="25">
        <f t="shared" ref="Y167:Y173" si="72">W167*X167</f>
        <v>0</v>
      </c>
    </row>
    <row r="168" spans="1:25">
      <c r="A168" s="780">
        <f t="shared" si="7"/>
        <v>163</v>
      </c>
      <c r="B168" s="297" t="s">
        <v>1198</v>
      </c>
      <c r="C168" s="25">
        <f t="shared" si="68"/>
        <v>1119910</v>
      </c>
      <c r="D168" s="733">
        <f t="shared" si="67"/>
        <v>149626.45192954392</v>
      </c>
      <c r="E168" s="733">
        <f t="shared" si="67"/>
        <v>16746.296329958372</v>
      </c>
      <c r="F168" s="733">
        <f t="shared" si="67"/>
        <v>91333.321214985554</v>
      </c>
      <c r="G168" s="733">
        <f t="shared" si="67"/>
        <v>67674.913202333992</v>
      </c>
      <c r="H168" s="733">
        <f t="shared" si="67"/>
        <v>16934.744078672313</v>
      </c>
      <c r="I168" s="25">
        <f t="shared" si="69"/>
        <v>1462225.726755494</v>
      </c>
      <c r="J168" s="733">
        <v>204</v>
      </c>
      <c r="K168" s="733">
        <f t="shared" si="70"/>
        <v>7167.7731703700683</v>
      </c>
      <c r="L168" s="667"/>
      <c r="M168" s="667"/>
      <c r="N168" s="189" t="s">
        <v>1346</v>
      </c>
      <c r="O168" s="746">
        <f t="shared" si="64"/>
        <v>40995</v>
      </c>
      <c r="P168" s="746">
        <v>40998</v>
      </c>
      <c r="Q168" s="747" t="s">
        <v>936</v>
      </c>
      <c r="R168" s="304">
        <v>55</v>
      </c>
      <c r="S168" s="778">
        <v>20362</v>
      </c>
      <c r="T168" s="25">
        <f t="shared" si="71"/>
        <v>1119910</v>
      </c>
      <c r="U168" s="449"/>
      <c r="V168" s="746"/>
      <c r="W168" s="778"/>
      <c r="X168" s="778"/>
      <c r="Y168" s="25">
        <f t="shared" si="72"/>
        <v>0</v>
      </c>
    </row>
    <row r="169" spans="1:25">
      <c r="A169" s="780">
        <f t="shared" si="7"/>
        <v>164</v>
      </c>
      <c r="B169" s="297" t="s">
        <v>1197</v>
      </c>
      <c r="C169" s="25">
        <f t="shared" si="68"/>
        <v>184128</v>
      </c>
      <c r="D169" s="733">
        <f t="shared" si="67"/>
        <v>1540272.2992747168</v>
      </c>
      <c r="E169" s="733">
        <f t="shared" si="67"/>
        <v>172388.34457310088</v>
      </c>
      <c r="F169" s="733">
        <f t="shared" si="67"/>
        <v>940195.9536836748</v>
      </c>
      <c r="G169" s="733">
        <f t="shared" si="67"/>
        <v>696653.51825932052</v>
      </c>
      <c r="H169" s="733">
        <f t="shared" si="67"/>
        <v>174328.24786868558</v>
      </c>
      <c r="I169" s="25">
        <f t="shared" si="69"/>
        <v>3707966.3636594983</v>
      </c>
      <c r="J169" s="733">
        <v>2100</v>
      </c>
      <c r="K169" s="733">
        <f t="shared" si="70"/>
        <v>1765.698268409285</v>
      </c>
      <c r="L169" s="667"/>
      <c r="M169" s="667"/>
      <c r="N169" s="297" t="s">
        <v>1341</v>
      </c>
      <c r="O169" s="746">
        <f t="shared" si="64"/>
        <v>40995</v>
      </c>
      <c r="P169" s="746">
        <v>40998</v>
      </c>
      <c r="Q169" s="747" t="s">
        <v>936</v>
      </c>
      <c r="R169" s="304">
        <v>21</v>
      </c>
      <c r="S169" s="778">
        <v>8768</v>
      </c>
      <c r="T169" s="25">
        <f t="shared" si="71"/>
        <v>184128</v>
      </c>
      <c r="U169" s="449"/>
      <c r="V169" s="746"/>
      <c r="W169" s="778"/>
      <c r="X169" s="778"/>
      <c r="Y169" s="25">
        <f t="shared" si="72"/>
        <v>0</v>
      </c>
    </row>
    <row r="170" spans="1:25">
      <c r="A170" s="780">
        <f t="shared" si="7"/>
        <v>165</v>
      </c>
      <c r="B170" s="297" t="s">
        <v>1517</v>
      </c>
      <c r="C170" s="25">
        <f t="shared" si="68"/>
        <v>3312400</v>
      </c>
      <c r="D170" s="733">
        <f t="shared" si="67"/>
        <v>256712.04987911947</v>
      </c>
      <c r="E170" s="733">
        <f t="shared" si="67"/>
        <v>28731.390762183481</v>
      </c>
      <c r="F170" s="733">
        <f t="shared" si="67"/>
        <v>156699.32561394581</v>
      </c>
      <c r="G170" s="733">
        <f t="shared" si="67"/>
        <v>116108.91970988674</v>
      </c>
      <c r="H170" s="733">
        <f t="shared" si="67"/>
        <v>29054.707978114264</v>
      </c>
      <c r="I170" s="25">
        <f t="shared" si="69"/>
        <v>3899706.3939432497</v>
      </c>
      <c r="J170" s="733">
        <v>350</v>
      </c>
      <c r="K170" s="733">
        <f t="shared" si="70"/>
        <v>11142.018268409285</v>
      </c>
      <c r="L170" s="667"/>
      <c r="M170" s="667"/>
      <c r="N170" s="192" t="s">
        <v>641</v>
      </c>
      <c r="O170" s="746">
        <f t="shared" si="64"/>
        <v>40995</v>
      </c>
      <c r="P170" s="746">
        <v>40998</v>
      </c>
      <c r="Q170" s="747" t="s">
        <v>937</v>
      </c>
      <c r="R170" s="304">
        <v>130</v>
      </c>
      <c r="S170" s="778">
        <v>25480</v>
      </c>
      <c r="T170" s="25">
        <f t="shared" si="71"/>
        <v>3312400</v>
      </c>
      <c r="U170" s="449"/>
      <c r="V170" s="746"/>
      <c r="W170" s="778"/>
      <c r="X170" s="778"/>
      <c r="Y170" s="25">
        <f t="shared" si="72"/>
        <v>0</v>
      </c>
    </row>
    <row r="171" spans="1:25">
      <c r="A171" s="780">
        <f t="shared" si="7"/>
        <v>166</v>
      </c>
      <c r="B171" s="297" t="s">
        <v>1518</v>
      </c>
      <c r="C171" s="25">
        <f t="shared" si="68"/>
        <v>1698800</v>
      </c>
      <c r="D171" s="733">
        <f t="shared" si="67"/>
        <v>146692.59993092541</v>
      </c>
      <c r="E171" s="733">
        <f t="shared" si="67"/>
        <v>16417.93757839056</v>
      </c>
      <c r="F171" s="733">
        <f t="shared" si="67"/>
        <v>89542.471779397601</v>
      </c>
      <c r="G171" s="733">
        <f t="shared" si="67"/>
        <v>66347.954119935283</v>
      </c>
      <c r="H171" s="733">
        <f t="shared" si="67"/>
        <v>16602.690273208151</v>
      </c>
      <c r="I171" s="25">
        <f t="shared" si="69"/>
        <v>2034403.653681857</v>
      </c>
      <c r="J171" s="733">
        <v>200</v>
      </c>
      <c r="K171" s="733">
        <f t="shared" si="70"/>
        <v>10172.018268409285</v>
      </c>
      <c r="L171" s="667"/>
      <c r="M171" s="667"/>
      <c r="N171" s="297" t="s">
        <v>1216</v>
      </c>
      <c r="O171" s="746">
        <f t="shared" si="64"/>
        <v>40995</v>
      </c>
      <c r="P171" s="746">
        <v>40998</v>
      </c>
      <c r="Q171" s="747" t="s">
        <v>937</v>
      </c>
      <c r="R171" s="304">
        <v>100</v>
      </c>
      <c r="S171" s="778">
        <v>16988</v>
      </c>
      <c r="T171" s="25">
        <f t="shared" si="71"/>
        <v>1698800</v>
      </c>
      <c r="U171" s="449"/>
      <c r="V171" s="746"/>
      <c r="W171" s="778"/>
      <c r="X171" s="778"/>
      <c r="Y171" s="25">
        <f t="shared" si="72"/>
        <v>0</v>
      </c>
    </row>
    <row r="172" spans="1:25">
      <c r="A172" s="780">
        <f t="shared" si="7"/>
        <v>167</v>
      </c>
      <c r="B172" s="297" t="s">
        <v>1519</v>
      </c>
      <c r="C172" s="25">
        <f t="shared" si="68"/>
        <v>5648580</v>
      </c>
      <c r="D172" s="733">
        <f t="shared" si="67"/>
        <v>330058.3498445822</v>
      </c>
      <c r="E172" s="733">
        <f t="shared" si="67"/>
        <v>36940.359551378766</v>
      </c>
      <c r="F172" s="733">
        <f t="shared" si="67"/>
        <v>201470.5615036446</v>
      </c>
      <c r="G172" s="733">
        <f t="shared" si="67"/>
        <v>149282.89676985439</v>
      </c>
      <c r="H172" s="733">
        <f t="shared" si="67"/>
        <v>37356.053114718343</v>
      </c>
      <c r="I172" s="25">
        <f t="shared" si="69"/>
        <v>6403688.2207841789</v>
      </c>
      <c r="J172" s="733">
        <v>450</v>
      </c>
      <c r="K172" s="733">
        <f t="shared" si="70"/>
        <v>14230.418268409287</v>
      </c>
      <c r="L172" s="667"/>
      <c r="M172" s="667"/>
      <c r="N172" s="192" t="s">
        <v>539</v>
      </c>
      <c r="O172" s="746">
        <f t="shared" si="64"/>
        <v>40995</v>
      </c>
      <c r="P172" s="746">
        <v>40998</v>
      </c>
      <c r="Q172" s="747" t="s">
        <v>937</v>
      </c>
      <c r="R172" s="304">
        <v>210</v>
      </c>
      <c r="S172" s="778">
        <v>26898</v>
      </c>
      <c r="T172" s="25">
        <f t="shared" si="71"/>
        <v>5648580</v>
      </c>
      <c r="U172" s="449"/>
      <c r="V172" s="746"/>
      <c r="W172" s="778"/>
      <c r="X172" s="778"/>
      <c r="Y172" s="25">
        <f t="shared" si="72"/>
        <v>0</v>
      </c>
    </row>
    <row r="173" spans="1:25">
      <c r="A173" s="780">
        <f t="shared" si="7"/>
        <v>168</v>
      </c>
      <c r="B173" s="297" t="s">
        <v>1511</v>
      </c>
      <c r="C173" s="25">
        <f t="shared" si="68"/>
        <v>978350</v>
      </c>
      <c r="D173" s="733">
        <f t="shared" si="67"/>
        <v>110019.44994819406</v>
      </c>
      <c r="E173" s="733">
        <f t="shared" si="67"/>
        <v>12313.453183792921</v>
      </c>
      <c r="F173" s="733">
        <f t="shared" si="67"/>
        <v>67156.853834548208</v>
      </c>
      <c r="G173" s="733">
        <f t="shared" si="67"/>
        <v>49760.965589951462</v>
      </c>
      <c r="H173" s="733">
        <f t="shared" si="67"/>
        <v>12452.017704906113</v>
      </c>
      <c r="I173" s="25">
        <f t="shared" si="69"/>
        <v>1230052.7402613929</v>
      </c>
      <c r="J173" s="733">
        <v>150</v>
      </c>
      <c r="K173" s="733">
        <f t="shared" si="70"/>
        <v>8200.3516017426191</v>
      </c>
      <c r="L173" s="667"/>
      <c r="M173" s="667"/>
      <c r="N173" s="189" t="s">
        <v>1348</v>
      </c>
      <c r="O173" s="746">
        <f t="shared" si="64"/>
        <v>40995</v>
      </c>
      <c r="P173" s="746">
        <v>40998</v>
      </c>
      <c r="Q173" s="747" t="s">
        <v>937</v>
      </c>
      <c r="R173" s="304">
        <v>50</v>
      </c>
      <c r="S173" s="778">
        <v>19567</v>
      </c>
      <c r="T173" s="25">
        <f t="shared" si="71"/>
        <v>978350</v>
      </c>
      <c r="U173" s="449"/>
      <c r="V173" s="746"/>
      <c r="W173" s="778"/>
      <c r="X173" s="778"/>
      <c r="Y173" s="25">
        <f t="shared" si="72"/>
        <v>0</v>
      </c>
    </row>
    <row r="174" spans="1:25">
      <c r="A174" s="780">
        <f t="shared" si="7"/>
        <v>169</v>
      </c>
      <c r="B174" s="297" t="s">
        <v>1514</v>
      </c>
      <c r="C174" s="25">
        <f t="shared" ref="C174:C185" si="73">T174</f>
        <v>637428</v>
      </c>
      <c r="D174" s="733">
        <f t="shared" si="67"/>
        <v>66011.669968916438</v>
      </c>
      <c r="E174" s="733">
        <f t="shared" si="67"/>
        <v>7388.071910275753</v>
      </c>
      <c r="F174" s="733">
        <f t="shared" si="67"/>
        <v>40294.112300728921</v>
      </c>
      <c r="G174" s="733">
        <f t="shared" si="67"/>
        <v>29856.579353970879</v>
      </c>
      <c r="H174" s="733">
        <f t="shared" si="67"/>
        <v>7471.2106229436677</v>
      </c>
      <c r="I174" s="25">
        <f t="shared" ref="I174:I185" si="74">SUM(C174:H174)</f>
        <v>788449.64415683562</v>
      </c>
      <c r="J174" s="733">
        <v>90</v>
      </c>
      <c r="K174" s="733">
        <f t="shared" ref="K174:K185" si="75">IF(J174&lt;&gt;"",I174/J174,"")</f>
        <v>8760.551601742618</v>
      </c>
      <c r="L174" s="667"/>
      <c r="M174" s="667"/>
      <c r="N174" s="189" t="s">
        <v>609</v>
      </c>
      <c r="O174" s="746">
        <f t="shared" si="64"/>
        <v>40995</v>
      </c>
      <c r="P174" s="746">
        <v>40998</v>
      </c>
      <c r="Q174" s="747" t="s">
        <v>937</v>
      </c>
      <c r="R174" s="304">
        <v>33</v>
      </c>
      <c r="S174" s="778">
        <v>19316</v>
      </c>
      <c r="T174" s="25">
        <f t="shared" ref="T174:T185" si="76">ROUND(R174*S174,0)</f>
        <v>637428</v>
      </c>
      <c r="U174" s="449"/>
      <c r="V174" s="746"/>
      <c r="W174" s="778"/>
      <c r="X174" s="778"/>
      <c r="Y174" s="25">
        <f t="shared" ref="Y174:Y185" si="77">W174*X174</f>
        <v>0</v>
      </c>
    </row>
    <row r="175" spans="1:25">
      <c r="A175" s="780">
        <f t="shared" si="7"/>
        <v>170</v>
      </c>
      <c r="B175" s="297" t="s">
        <v>1478</v>
      </c>
      <c r="C175" s="25">
        <f t="shared" si="73"/>
        <v>1425340</v>
      </c>
      <c r="D175" s="733">
        <f t="shared" si="67"/>
        <v>154027.22992747169</v>
      </c>
      <c r="E175" s="733">
        <f t="shared" si="67"/>
        <v>17238.834457310088</v>
      </c>
      <c r="F175" s="733">
        <f t="shared" si="67"/>
        <v>94019.595368367474</v>
      </c>
      <c r="G175" s="733">
        <f t="shared" si="67"/>
        <v>69665.351825932055</v>
      </c>
      <c r="H175" s="733">
        <f t="shared" si="67"/>
        <v>17432.824786868558</v>
      </c>
      <c r="I175" s="25">
        <f t="shared" si="74"/>
        <v>1777723.8363659498</v>
      </c>
      <c r="J175" s="733">
        <v>210</v>
      </c>
      <c r="K175" s="733">
        <f t="shared" si="75"/>
        <v>8465.3516017426191</v>
      </c>
      <c r="L175" s="667"/>
      <c r="M175" s="667"/>
      <c r="N175" s="189" t="s">
        <v>1346</v>
      </c>
      <c r="O175" s="746">
        <f t="shared" si="64"/>
        <v>40995</v>
      </c>
      <c r="P175" s="746">
        <v>40998</v>
      </c>
      <c r="Q175" s="747" t="s">
        <v>937</v>
      </c>
      <c r="R175" s="304">
        <v>70</v>
      </c>
      <c r="S175" s="778">
        <v>20362</v>
      </c>
      <c r="T175" s="25">
        <f t="shared" si="76"/>
        <v>1425340</v>
      </c>
      <c r="U175" s="449"/>
      <c r="V175" s="746"/>
      <c r="W175" s="778"/>
      <c r="X175" s="778"/>
      <c r="Y175" s="25">
        <f t="shared" si="77"/>
        <v>0</v>
      </c>
    </row>
    <row r="176" spans="1:25">
      <c r="A176" s="780">
        <f t="shared" si="7"/>
        <v>171</v>
      </c>
      <c r="B176" s="297" t="s">
        <v>1521</v>
      </c>
      <c r="C176" s="25">
        <f t="shared" si="73"/>
        <v>409230</v>
      </c>
      <c r="D176" s="733">
        <f t="shared" ref="D176:H190" si="78">IF($J$192&lt;&gt;0,D$192/$J$192*$J176,0)</f>
        <v>19803.500990674933</v>
      </c>
      <c r="E176" s="733">
        <f t="shared" si="78"/>
        <v>2216.4215730827259</v>
      </c>
      <c r="F176" s="733">
        <f t="shared" si="78"/>
        <v>12088.233690218676</v>
      </c>
      <c r="G176" s="733">
        <f t="shared" si="78"/>
        <v>8956.9738061912631</v>
      </c>
      <c r="H176" s="733">
        <f t="shared" si="78"/>
        <v>2241.3631868831003</v>
      </c>
      <c r="I176" s="25">
        <f t="shared" si="74"/>
        <v>454536.49324705068</v>
      </c>
      <c r="J176" s="733">
        <v>27</v>
      </c>
      <c r="K176" s="733">
        <f t="shared" si="75"/>
        <v>16834.684935075951</v>
      </c>
      <c r="L176" s="667"/>
      <c r="M176" s="667"/>
      <c r="N176" s="189" t="s">
        <v>589</v>
      </c>
      <c r="O176" s="746">
        <f t="shared" si="64"/>
        <v>40995</v>
      </c>
      <c r="P176" s="746">
        <v>40998</v>
      </c>
      <c r="Q176" s="747" t="s">
        <v>937</v>
      </c>
      <c r="R176" s="304">
        <v>30</v>
      </c>
      <c r="S176" s="778">
        <v>13641</v>
      </c>
      <c r="T176" s="25">
        <f t="shared" si="76"/>
        <v>409230</v>
      </c>
      <c r="U176" s="449"/>
      <c r="V176" s="746"/>
      <c r="W176" s="778"/>
      <c r="X176" s="778"/>
      <c r="Y176" s="25">
        <f t="shared" si="77"/>
        <v>0</v>
      </c>
    </row>
    <row r="177" spans="1:25">
      <c r="A177" s="780">
        <f t="shared" si="7"/>
        <v>172</v>
      </c>
      <c r="B177" s="297" t="s">
        <v>1490</v>
      </c>
      <c r="C177" s="25">
        <f t="shared" si="73"/>
        <v>1486446</v>
      </c>
      <c r="D177" s="733">
        <f t="shared" si="78"/>
        <v>183365.74991365676</v>
      </c>
      <c r="E177" s="733">
        <f t="shared" si="78"/>
        <v>20522.421972988202</v>
      </c>
      <c r="F177" s="733">
        <f t="shared" si="78"/>
        <v>111928.08972424699</v>
      </c>
      <c r="G177" s="733">
        <f t="shared" si="78"/>
        <v>82934.942649919103</v>
      </c>
      <c r="H177" s="733">
        <f t="shared" si="78"/>
        <v>20753.362841510188</v>
      </c>
      <c r="I177" s="25">
        <f t="shared" si="74"/>
        <v>1905950.5671023214</v>
      </c>
      <c r="J177" s="733">
        <v>250</v>
      </c>
      <c r="K177" s="733">
        <f t="shared" si="75"/>
        <v>7623.8022684092857</v>
      </c>
      <c r="L177" s="667"/>
      <c r="M177" s="667"/>
      <c r="N177" s="297" t="s">
        <v>630</v>
      </c>
      <c r="O177" s="746">
        <f t="shared" si="64"/>
        <v>40995</v>
      </c>
      <c r="P177" s="746">
        <v>40998</v>
      </c>
      <c r="Q177" s="747" t="s">
        <v>937</v>
      </c>
      <c r="R177" s="304">
        <v>102</v>
      </c>
      <c r="S177" s="778">
        <v>14573</v>
      </c>
      <c r="T177" s="25">
        <f t="shared" si="76"/>
        <v>1486446</v>
      </c>
      <c r="U177" s="449"/>
      <c r="V177" s="746"/>
      <c r="W177" s="778"/>
      <c r="X177" s="778"/>
      <c r="Y177" s="25">
        <f t="shared" si="77"/>
        <v>0</v>
      </c>
    </row>
    <row r="178" spans="1:25">
      <c r="A178" s="780">
        <f t="shared" si="7"/>
        <v>173</v>
      </c>
      <c r="B178" s="297" t="s">
        <v>1515</v>
      </c>
      <c r="C178" s="25">
        <f t="shared" si="73"/>
        <v>978350</v>
      </c>
      <c r="D178" s="733">
        <f t="shared" si="78"/>
        <v>73346.299965462706</v>
      </c>
      <c r="E178" s="733">
        <f t="shared" si="78"/>
        <v>8208.9687891952799</v>
      </c>
      <c r="F178" s="733">
        <f t="shared" si="78"/>
        <v>44771.235889698801</v>
      </c>
      <c r="G178" s="733">
        <f t="shared" si="78"/>
        <v>33173.977059967641</v>
      </c>
      <c r="H178" s="733">
        <f t="shared" si="78"/>
        <v>8301.3451366040754</v>
      </c>
      <c r="I178" s="25">
        <f t="shared" si="74"/>
        <v>1146151.8268409283</v>
      </c>
      <c r="J178" s="733">
        <v>100</v>
      </c>
      <c r="K178" s="733">
        <f t="shared" si="75"/>
        <v>11461.518268409283</v>
      </c>
      <c r="L178" s="667"/>
      <c r="M178" s="667"/>
      <c r="N178" s="189" t="s">
        <v>1348</v>
      </c>
      <c r="O178" s="746">
        <f t="shared" si="64"/>
        <v>40995</v>
      </c>
      <c r="P178" s="746">
        <v>40998</v>
      </c>
      <c r="Q178" s="747" t="s">
        <v>937</v>
      </c>
      <c r="R178" s="304">
        <v>50</v>
      </c>
      <c r="S178" s="778">
        <v>19567</v>
      </c>
      <c r="T178" s="25">
        <f t="shared" si="76"/>
        <v>978350</v>
      </c>
      <c r="U178" s="449"/>
      <c r="V178" s="746"/>
      <c r="W178" s="778"/>
      <c r="X178" s="778"/>
      <c r="Y178" s="25">
        <f t="shared" si="77"/>
        <v>0</v>
      </c>
    </row>
    <row r="179" spans="1:25">
      <c r="A179" s="780">
        <f t="shared" si="7"/>
        <v>174</v>
      </c>
      <c r="B179" s="297" t="s">
        <v>1490</v>
      </c>
      <c r="C179" s="25">
        <f t="shared" si="73"/>
        <v>1416600</v>
      </c>
      <c r="D179" s="733">
        <f t="shared" si="78"/>
        <v>146692.59993092541</v>
      </c>
      <c r="E179" s="733">
        <f t="shared" si="78"/>
        <v>16417.93757839056</v>
      </c>
      <c r="F179" s="733">
        <f t="shared" si="78"/>
        <v>89542.471779397601</v>
      </c>
      <c r="G179" s="733">
        <f t="shared" si="78"/>
        <v>66347.954119935283</v>
      </c>
      <c r="H179" s="733">
        <f t="shared" si="78"/>
        <v>16602.690273208151</v>
      </c>
      <c r="I179" s="25">
        <f t="shared" si="74"/>
        <v>1752203.653681857</v>
      </c>
      <c r="J179" s="733">
        <v>200</v>
      </c>
      <c r="K179" s="733">
        <f t="shared" si="75"/>
        <v>8761.0182684092852</v>
      </c>
      <c r="L179" s="667"/>
      <c r="M179" s="667"/>
      <c r="N179" s="189" t="s">
        <v>619</v>
      </c>
      <c r="O179" s="746">
        <f t="shared" si="64"/>
        <v>40995</v>
      </c>
      <c r="P179" s="746">
        <v>40998</v>
      </c>
      <c r="Q179" s="747" t="s">
        <v>937</v>
      </c>
      <c r="R179" s="304">
        <v>100</v>
      </c>
      <c r="S179" s="778">
        <v>14166</v>
      </c>
      <c r="T179" s="25">
        <f t="shared" si="76"/>
        <v>1416600</v>
      </c>
      <c r="U179" s="449"/>
      <c r="V179" s="746"/>
      <c r="W179" s="778"/>
      <c r="X179" s="778"/>
      <c r="Y179" s="25">
        <f t="shared" si="77"/>
        <v>0</v>
      </c>
    </row>
    <row r="180" spans="1:25">
      <c r="A180" s="780">
        <f t="shared" si="7"/>
        <v>175</v>
      </c>
      <c r="B180" s="297" t="s">
        <v>1520</v>
      </c>
      <c r="C180" s="25">
        <f t="shared" si="73"/>
        <v>1663195</v>
      </c>
      <c r="D180" s="733">
        <f t="shared" si="78"/>
        <v>123221.78394197735</v>
      </c>
      <c r="E180" s="733">
        <f t="shared" si="78"/>
        <v>13791.067565848072</v>
      </c>
      <c r="F180" s="733">
        <f t="shared" si="78"/>
        <v>75215.676294693985</v>
      </c>
      <c r="G180" s="733">
        <f t="shared" si="78"/>
        <v>55732.281460745638</v>
      </c>
      <c r="H180" s="733">
        <f t="shared" si="78"/>
        <v>13946.259829494848</v>
      </c>
      <c r="I180" s="25">
        <f t="shared" si="74"/>
        <v>1945102.0690927601</v>
      </c>
      <c r="J180" s="733">
        <v>168</v>
      </c>
      <c r="K180" s="733">
        <f t="shared" si="75"/>
        <v>11577.988506504524</v>
      </c>
      <c r="L180" s="667"/>
      <c r="M180" s="667"/>
      <c r="N180" s="189" t="s">
        <v>1348</v>
      </c>
      <c r="O180" s="746">
        <f t="shared" si="64"/>
        <v>40995</v>
      </c>
      <c r="P180" s="746">
        <v>40998</v>
      </c>
      <c r="Q180" s="747" t="s">
        <v>937</v>
      </c>
      <c r="R180" s="304">
        <v>85</v>
      </c>
      <c r="S180" s="778">
        <v>19567</v>
      </c>
      <c r="T180" s="25">
        <f t="shared" si="76"/>
        <v>1663195</v>
      </c>
      <c r="U180" s="449"/>
      <c r="V180" s="746"/>
      <c r="W180" s="778"/>
      <c r="X180" s="778"/>
      <c r="Y180" s="25">
        <f t="shared" si="77"/>
        <v>0</v>
      </c>
    </row>
    <row r="181" spans="1:25">
      <c r="A181" s="780">
        <f t="shared" si="7"/>
        <v>176</v>
      </c>
      <c r="B181" s="297" t="s">
        <v>1517</v>
      </c>
      <c r="C181" s="25">
        <f t="shared" si="73"/>
        <v>4953120</v>
      </c>
      <c r="D181" s="733">
        <f t="shared" si="78"/>
        <v>370398.81482558668</v>
      </c>
      <c r="E181" s="733">
        <f t="shared" si="78"/>
        <v>41455.292385436165</v>
      </c>
      <c r="F181" s="733">
        <f t="shared" si="78"/>
        <v>226094.74124297895</v>
      </c>
      <c r="G181" s="733">
        <f t="shared" si="78"/>
        <v>167528.58415283659</v>
      </c>
      <c r="H181" s="733">
        <f t="shared" si="78"/>
        <v>41921.79293985058</v>
      </c>
      <c r="I181" s="25">
        <f t="shared" si="74"/>
        <v>5800519.2255466888</v>
      </c>
      <c r="J181" s="733">
        <v>505</v>
      </c>
      <c r="K181" s="733">
        <f t="shared" si="75"/>
        <v>11486.17668425087</v>
      </c>
      <c r="L181" s="667"/>
      <c r="M181" s="667"/>
      <c r="N181" s="189" t="s">
        <v>587</v>
      </c>
      <c r="O181" s="746">
        <f t="shared" si="64"/>
        <v>40995</v>
      </c>
      <c r="P181" s="746">
        <v>40998</v>
      </c>
      <c r="Q181" s="747" t="s">
        <v>938</v>
      </c>
      <c r="R181" s="304">
        <v>255</v>
      </c>
      <c r="S181" s="778">
        <v>19424</v>
      </c>
      <c r="T181" s="25">
        <f t="shared" si="76"/>
        <v>4953120</v>
      </c>
      <c r="U181" s="449"/>
      <c r="V181" s="746"/>
      <c r="W181" s="778"/>
      <c r="X181" s="778"/>
      <c r="Y181" s="25">
        <f t="shared" si="77"/>
        <v>0</v>
      </c>
    </row>
    <row r="182" spans="1:25">
      <c r="A182" s="780">
        <f t="shared" si="7"/>
        <v>177</v>
      </c>
      <c r="B182" s="297" t="s">
        <v>1518</v>
      </c>
      <c r="C182" s="25">
        <f t="shared" si="73"/>
        <v>3013250</v>
      </c>
      <c r="D182" s="733">
        <f t="shared" si="78"/>
        <v>195101.15790813082</v>
      </c>
      <c r="E182" s="733">
        <f t="shared" si="78"/>
        <v>21835.856979259446</v>
      </c>
      <c r="F182" s="733">
        <f t="shared" si="78"/>
        <v>119091.4874665988</v>
      </c>
      <c r="G182" s="733">
        <f t="shared" si="78"/>
        <v>88242.778979513925</v>
      </c>
      <c r="H182" s="733">
        <f t="shared" si="78"/>
        <v>22081.57806336684</v>
      </c>
      <c r="I182" s="25">
        <f t="shared" si="74"/>
        <v>3459602.8593968698</v>
      </c>
      <c r="J182" s="733">
        <v>266</v>
      </c>
      <c r="K182" s="733">
        <f t="shared" si="75"/>
        <v>13006.025787206278</v>
      </c>
      <c r="L182" s="667"/>
      <c r="M182" s="667"/>
      <c r="N182" s="189" t="s">
        <v>1353</v>
      </c>
      <c r="O182" s="746">
        <f t="shared" si="64"/>
        <v>40995</v>
      </c>
      <c r="P182" s="746">
        <v>40998</v>
      </c>
      <c r="Q182" s="747" t="s">
        <v>938</v>
      </c>
      <c r="R182" s="304">
        <v>250</v>
      </c>
      <c r="S182" s="778">
        <v>12053</v>
      </c>
      <c r="T182" s="25">
        <f t="shared" si="76"/>
        <v>3013250</v>
      </c>
      <c r="U182" s="449"/>
      <c r="V182" s="746"/>
      <c r="W182" s="778"/>
      <c r="X182" s="778"/>
      <c r="Y182" s="25">
        <f t="shared" si="77"/>
        <v>0</v>
      </c>
    </row>
    <row r="183" spans="1:25">
      <c r="A183" s="780">
        <f t="shared" si="7"/>
        <v>178</v>
      </c>
      <c r="B183" s="297" t="s">
        <v>1519</v>
      </c>
      <c r="C183" s="25">
        <f t="shared" si="73"/>
        <v>10998100</v>
      </c>
      <c r="D183" s="733">
        <f t="shared" si="78"/>
        <v>630778.17970297928</v>
      </c>
      <c r="E183" s="733">
        <f t="shared" si="78"/>
        <v>70597.131587079421</v>
      </c>
      <c r="F183" s="733">
        <f t="shared" si="78"/>
        <v>385032.6286514097</v>
      </c>
      <c r="G183" s="733">
        <f t="shared" si="78"/>
        <v>285296.20271572174</v>
      </c>
      <c r="H183" s="733">
        <f t="shared" si="78"/>
        <v>71391.568174795044</v>
      </c>
      <c r="I183" s="25">
        <f t="shared" si="74"/>
        <v>12441195.710831983</v>
      </c>
      <c r="J183" s="733">
        <v>860</v>
      </c>
      <c r="K183" s="733">
        <f t="shared" si="75"/>
        <v>14466.506640502306</v>
      </c>
      <c r="L183" s="667"/>
      <c r="M183" s="667"/>
      <c r="N183" s="192" t="s">
        <v>639</v>
      </c>
      <c r="O183" s="746">
        <f t="shared" si="64"/>
        <v>40995</v>
      </c>
      <c r="P183" s="746">
        <v>40998</v>
      </c>
      <c r="Q183" s="747" t="s">
        <v>938</v>
      </c>
      <c r="R183" s="304">
        <v>436</v>
      </c>
      <c r="S183" s="778">
        <v>25225</v>
      </c>
      <c r="T183" s="25">
        <f t="shared" si="76"/>
        <v>10998100</v>
      </c>
      <c r="U183" s="449"/>
      <c r="V183" s="746"/>
      <c r="W183" s="778"/>
      <c r="X183" s="778"/>
      <c r="Y183" s="25">
        <f t="shared" si="77"/>
        <v>0</v>
      </c>
    </row>
    <row r="184" spans="1:25">
      <c r="A184" s="780">
        <f t="shared" si="7"/>
        <v>179</v>
      </c>
      <c r="B184" s="297" t="s">
        <v>1196</v>
      </c>
      <c r="C184" s="25">
        <f t="shared" si="73"/>
        <v>3183750</v>
      </c>
      <c r="D184" s="733">
        <f t="shared" si="78"/>
        <v>311721.77485321648</v>
      </c>
      <c r="E184" s="733">
        <f t="shared" si="78"/>
        <v>34888.117354079943</v>
      </c>
      <c r="F184" s="733">
        <f t="shared" si="78"/>
        <v>190277.75253121991</v>
      </c>
      <c r="G184" s="733">
        <f t="shared" si="78"/>
        <v>140989.40250486249</v>
      </c>
      <c r="H184" s="733">
        <f t="shared" si="78"/>
        <v>35280.716830567319</v>
      </c>
      <c r="I184" s="25">
        <f t="shared" si="74"/>
        <v>3896907.764073946</v>
      </c>
      <c r="J184" s="733">
        <v>425</v>
      </c>
      <c r="K184" s="733">
        <f t="shared" si="75"/>
        <v>9169.1947389975194</v>
      </c>
      <c r="L184" s="667"/>
      <c r="M184" s="667"/>
      <c r="N184" s="189" t="s">
        <v>1234</v>
      </c>
      <c r="O184" s="746">
        <f t="shared" si="64"/>
        <v>40995</v>
      </c>
      <c r="P184" s="746">
        <v>40998</v>
      </c>
      <c r="Q184" s="747" t="s">
        <v>939</v>
      </c>
      <c r="R184" s="304">
        <v>250</v>
      </c>
      <c r="S184" s="778">
        <v>12735</v>
      </c>
      <c r="T184" s="25">
        <f t="shared" si="76"/>
        <v>3183750</v>
      </c>
      <c r="U184" s="449"/>
      <c r="V184" s="746"/>
      <c r="W184" s="778"/>
      <c r="X184" s="778"/>
      <c r="Y184" s="25">
        <f t="shared" si="77"/>
        <v>0</v>
      </c>
    </row>
    <row r="185" spans="1:25">
      <c r="A185" s="780">
        <f t="shared" si="7"/>
        <v>180</v>
      </c>
      <c r="B185" s="297" t="s">
        <v>1456</v>
      </c>
      <c r="C185" s="25">
        <f t="shared" si="73"/>
        <v>314510</v>
      </c>
      <c r="D185" s="733">
        <f t="shared" si="78"/>
        <v>7334.6299965462713</v>
      </c>
      <c r="E185" s="733">
        <f t="shared" si="78"/>
        <v>820.89687891952804</v>
      </c>
      <c r="F185" s="733">
        <f t="shared" si="78"/>
        <v>4477.1235889698801</v>
      </c>
      <c r="G185" s="733">
        <f t="shared" si="78"/>
        <v>3317.3977059967642</v>
      </c>
      <c r="H185" s="733">
        <f t="shared" si="78"/>
        <v>830.13451366040749</v>
      </c>
      <c r="I185" s="25">
        <f t="shared" si="74"/>
        <v>331290.18268409278</v>
      </c>
      <c r="J185" s="733">
        <v>10</v>
      </c>
      <c r="K185" s="733">
        <f t="shared" si="75"/>
        <v>33129.01826840928</v>
      </c>
      <c r="L185" s="667"/>
      <c r="M185" s="667"/>
      <c r="N185" s="297" t="s">
        <v>1224</v>
      </c>
      <c r="O185" s="746">
        <f t="shared" si="64"/>
        <v>40995</v>
      </c>
      <c r="P185" s="746">
        <v>40998</v>
      </c>
      <c r="Q185" s="747" t="s">
        <v>1536</v>
      </c>
      <c r="R185" s="304">
        <v>10</v>
      </c>
      <c r="S185" s="778">
        <v>31451</v>
      </c>
      <c r="T185" s="25">
        <f t="shared" si="76"/>
        <v>314510</v>
      </c>
      <c r="U185" s="449"/>
      <c r="V185" s="746"/>
      <c r="W185" s="778"/>
      <c r="X185" s="778"/>
      <c r="Y185" s="25">
        <f t="shared" si="77"/>
        <v>0</v>
      </c>
    </row>
    <row r="186" spans="1:25">
      <c r="A186" s="780">
        <f t="shared" si="7"/>
        <v>181</v>
      </c>
      <c r="B186" s="297" t="s">
        <v>1458</v>
      </c>
      <c r="C186" s="25">
        <f t="shared" si="2"/>
        <v>808800</v>
      </c>
      <c r="D186" s="733">
        <f t="shared" si="78"/>
        <v>36673.149982731353</v>
      </c>
      <c r="E186" s="733">
        <f t="shared" si="78"/>
        <v>4104.4843945976399</v>
      </c>
      <c r="F186" s="733">
        <f t="shared" si="78"/>
        <v>22385.6179448494</v>
      </c>
      <c r="G186" s="733">
        <f t="shared" si="78"/>
        <v>16586.988529983821</v>
      </c>
      <c r="H186" s="733">
        <f t="shared" si="78"/>
        <v>4150.6725683020377</v>
      </c>
      <c r="I186" s="25">
        <f t="shared" si="1"/>
        <v>892700.91342046415</v>
      </c>
      <c r="J186" s="733">
        <v>50</v>
      </c>
      <c r="K186" s="733">
        <f t="shared" si="3"/>
        <v>17854.018268409283</v>
      </c>
      <c r="L186" s="667"/>
      <c r="M186" s="667"/>
      <c r="N186" s="192" t="s">
        <v>594</v>
      </c>
      <c r="O186" s="746">
        <f t="shared" si="64"/>
        <v>40995</v>
      </c>
      <c r="P186" s="746">
        <v>40998</v>
      </c>
      <c r="Q186" s="747" t="s">
        <v>1536</v>
      </c>
      <c r="R186" s="304">
        <v>50</v>
      </c>
      <c r="S186" s="778">
        <v>16176</v>
      </c>
      <c r="T186" s="25">
        <f t="shared" si="5"/>
        <v>808800</v>
      </c>
      <c r="U186" s="449"/>
      <c r="V186" s="746"/>
      <c r="W186" s="778"/>
      <c r="X186" s="778"/>
      <c r="Y186" s="25">
        <f t="shared" si="6"/>
        <v>0</v>
      </c>
    </row>
    <row r="187" spans="1:25">
      <c r="A187" s="780">
        <f t="shared" si="7"/>
        <v>182</v>
      </c>
      <c r="B187" s="297" t="s">
        <v>1459</v>
      </c>
      <c r="C187" s="25">
        <f t="shared" si="2"/>
        <v>2465850</v>
      </c>
      <c r="D187" s="733">
        <f t="shared" si="78"/>
        <v>55009.724974097029</v>
      </c>
      <c r="E187" s="733">
        <f t="shared" si="78"/>
        <v>6156.7265918964604</v>
      </c>
      <c r="F187" s="733">
        <f t="shared" si="78"/>
        <v>33578.426917274104</v>
      </c>
      <c r="G187" s="733">
        <f t="shared" si="78"/>
        <v>24880.482794975731</v>
      </c>
      <c r="H187" s="733">
        <f t="shared" si="78"/>
        <v>6226.0088524530565</v>
      </c>
      <c r="I187" s="25">
        <f t="shared" si="1"/>
        <v>2591701.3701306963</v>
      </c>
      <c r="J187" s="733">
        <v>75</v>
      </c>
      <c r="K187" s="733">
        <f t="shared" si="3"/>
        <v>34556.018268409287</v>
      </c>
      <c r="L187" s="667"/>
      <c r="M187" s="667"/>
      <c r="N187" s="189" t="s">
        <v>1235</v>
      </c>
      <c r="O187" s="746">
        <f t="shared" si="64"/>
        <v>40995</v>
      </c>
      <c r="P187" s="746">
        <v>40998</v>
      </c>
      <c r="Q187" s="747" t="s">
        <v>1536</v>
      </c>
      <c r="R187" s="304">
        <f>J187</f>
        <v>75</v>
      </c>
      <c r="S187" s="778">
        <v>32878</v>
      </c>
      <c r="T187" s="25">
        <f t="shared" si="5"/>
        <v>2465850</v>
      </c>
      <c r="U187" s="449"/>
      <c r="V187" s="746"/>
      <c r="W187" s="778"/>
      <c r="X187" s="778"/>
      <c r="Y187" s="25">
        <f t="shared" si="6"/>
        <v>0</v>
      </c>
    </row>
    <row r="188" spans="1:25">
      <c r="A188" s="780">
        <f t="shared" si="7"/>
        <v>183</v>
      </c>
      <c r="B188" s="297" t="s">
        <v>1210</v>
      </c>
      <c r="C188" s="25">
        <f t="shared" si="2"/>
        <v>4041300</v>
      </c>
      <c r="D188" s="733">
        <f t="shared" si="78"/>
        <v>110019.44994819406</v>
      </c>
      <c r="E188" s="733">
        <f t="shared" si="78"/>
        <v>12313.453183792921</v>
      </c>
      <c r="F188" s="733">
        <f t="shared" si="78"/>
        <v>67156.853834548208</v>
      </c>
      <c r="G188" s="733">
        <f t="shared" si="78"/>
        <v>49760.965589951462</v>
      </c>
      <c r="H188" s="733">
        <f t="shared" si="78"/>
        <v>12452.017704906113</v>
      </c>
      <c r="I188" s="25">
        <f t="shared" si="1"/>
        <v>4293002.7402613927</v>
      </c>
      <c r="J188" s="733">
        <v>150</v>
      </c>
      <c r="K188" s="733">
        <f t="shared" si="3"/>
        <v>28620.018268409283</v>
      </c>
      <c r="L188" s="667"/>
      <c r="M188" s="667"/>
      <c r="N188" s="297" t="s">
        <v>1342</v>
      </c>
      <c r="O188" s="746">
        <f t="shared" si="64"/>
        <v>40995</v>
      </c>
      <c r="P188" s="746">
        <v>40998</v>
      </c>
      <c r="Q188" s="747" t="s">
        <v>1536</v>
      </c>
      <c r="R188" s="304">
        <v>300</v>
      </c>
      <c r="S188" s="778">
        <v>13471</v>
      </c>
      <c r="T188" s="25">
        <f t="shared" si="5"/>
        <v>4041300</v>
      </c>
      <c r="U188" s="449"/>
      <c r="V188" s="746"/>
      <c r="W188" s="778"/>
      <c r="X188" s="778"/>
      <c r="Y188" s="25">
        <f t="shared" si="6"/>
        <v>0</v>
      </c>
    </row>
    <row r="189" spans="1:25">
      <c r="A189" s="780">
        <f t="shared" si="7"/>
        <v>184</v>
      </c>
      <c r="B189" s="297" t="s">
        <v>1211</v>
      </c>
      <c r="C189" s="25">
        <f t="shared" si="2"/>
        <v>184128</v>
      </c>
      <c r="D189" s="733">
        <f t="shared" si="78"/>
        <v>300719.82985839708</v>
      </c>
      <c r="E189" s="733">
        <f t="shared" si="78"/>
        <v>33656.772035700647</v>
      </c>
      <c r="F189" s="733">
        <f t="shared" si="78"/>
        <v>183562.06714776508</v>
      </c>
      <c r="G189" s="733">
        <f t="shared" si="78"/>
        <v>136013.30594586732</v>
      </c>
      <c r="H189" s="733">
        <f t="shared" si="78"/>
        <v>34035.515060076708</v>
      </c>
      <c r="I189" s="25">
        <f t="shared" si="1"/>
        <v>872115.49004780687</v>
      </c>
      <c r="J189" s="733">
        <v>410</v>
      </c>
      <c r="K189" s="733">
        <f t="shared" si="3"/>
        <v>2127.1109513361143</v>
      </c>
      <c r="L189" s="667"/>
      <c r="M189" s="667"/>
      <c r="N189" s="297" t="s">
        <v>1341</v>
      </c>
      <c r="O189" s="746">
        <f t="shared" si="64"/>
        <v>40995</v>
      </c>
      <c r="P189" s="746">
        <v>40998</v>
      </c>
      <c r="Q189" s="747" t="s">
        <v>1536</v>
      </c>
      <c r="R189" s="304">
        <v>21</v>
      </c>
      <c r="S189" s="778">
        <v>8768</v>
      </c>
      <c r="T189" s="25">
        <f t="shared" si="5"/>
        <v>184128</v>
      </c>
      <c r="U189" s="449"/>
      <c r="V189" s="746"/>
      <c r="W189" s="778"/>
      <c r="X189" s="778"/>
      <c r="Y189" s="25">
        <f t="shared" si="6"/>
        <v>0</v>
      </c>
    </row>
    <row r="190" spans="1:25">
      <c r="A190" s="780">
        <f t="shared" si="7"/>
        <v>185</v>
      </c>
      <c r="B190" s="297" t="s">
        <v>1460</v>
      </c>
      <c r="C190" s="25">
        <f t="shared" si="2"/>
        <v>192896</v>
      </c>
      <c r="D190" s="733">
        <f t="shared" si="78"/>
        <v>161361.85992401795</v>
      </c>
      <c r="E190" s="733">
        <f t="shared" si="78"/>
        <v>18059.731336229619</v>
      </c>
      <c r="F190" s="733">
        <f t="shared" si="78"/>
        <v>98496.718957337362</v>
      </c>
      <c r="G190" s="733">
        <f t="shared" si="78"/>
        <v>72982.749531928814</v>
      </c>
      <c r="H190" s="733">
        <f t="shared" si="78"/>
        <v>18262.959300528964</v>
      </c>
      <c r="I190" s="25">
        <f t="shared" si="1"/>
        <v>562060.01905004273</v>
      </c>
      <c r="J190" s="733">
        <v>220</v>
      </c>
      <c r="K190" s="733">
        <f t="shared" si="3"/>
        <v>2554.8182684092853</v>
      </c>
      <c r="L190" s="667"/>
      <c r="M190" s="667"/>
      <c r="N190" s="297" t="s">
        <v>1341</v>
      </c>
      <c r="O190" s="746">
        <f t="shared" si="64"/>
        <v>40995</v>
      </c>
      <c r="P190" s="746">
        <v>40998</v>
      </c>
      <c r="Q190" s="747" t="s">
        <v>1536</v>
      </c>
      <c r="R190" s="304">
        <v>22</v>
      </c>
      <c r="S190" s="778">
        <v>8768</v>
      </c>
      <c r="T190" s="25">
        <f t="shared" si="5"/>
        <v>192896</v>
      </c>
      <c r="U190" s="449"/>
      <c r="V190" s="746"/>
      <c r="W190" s="778"/>
      <c r="X190" s="778"/>
      <c r="Y190" s="25">
        <f t="shared" si="6"/>
        <v>0</v>
      </c>
    </row>
    <row r="191" spans="1:25" s="751" customFormat="1">
      <c r="A191" s="732"/>
      <c r="B191" s="297"/>
      <c r="C191" s="25"/>
      <c r="D191" s="733"/>
      <c r="E191" s="733"/>
      <c r="F191" s="733"/>
      <c r="G191" s="733"/>
      <c r="H191" s="733"/>
      <c r="I191" s="25"/>
      <c r="J191" s="254"/>
      <c r="K191" s="733"/>
      <c r="L191" s="667"/>
      <c r="M191" s="667"/>
      <c r="N191" s="749"/>
      <c r="O191" s="748"/>
      <c r="P191" s="839"/>
      <c r="Q191" s="750"/>
      <c r="R191" s="791"/>
      <c r="S191" s="777"/>
      <c r="T191" s="777"/>
      <c r="U191" s="749"/>
      <c r="V191" s="748"/>
      <c r="W191" s="777"/>
      <c r="X191" s="777"/>
      <c r="Y191" s="8"/>
    </row>
    <row r="192" spans="1:25" s="730" customFormat="1">
      <c r="A192" s="734"/>
      <c r="B192" s="735" t="s">
        <v>268</v>
      </c>
      <c r="C192" s="542">
        <f>SUM(C6:C191)</f>
        <v>417455123</v>
      </c>
      <c r="D192" s="542">
        <v>40350000</v>
      </c>
      <c r="E192" s="542">
        <f>$Y$192</f>
        <v>4516000</v>
      </c>
      <c r="F192" s="542">
        <v>24630000</v>
      </c>
      <c r="G192" s="542">
        <v>18250000</v>
      </c>
      <c r="H192" s="542">
        <v>4566819</v>
      </c>
      <c r="I192" s="542">
        <f>ROUND(SUM(I6:I191),0)</f>
        <v>509767942</v>
      </c>
      <c r="J192" s="542">
        <f>ROUND(SUM(J6:J191),0)</f>
        <v>55013</v>
      </c>
      <c r="K192" s="542"/>
      <c r="L192" s="743"/>
      <c r="M192" s="743"/>
      <c r="N192" s="752"/>
      <c r="O192" s="753"/>
      <c r="P192" s="753"/>
      <c r="Q192" s="754"/>
      <c r="R192" s="792"/>
      <c r="S192" s="47"/>
      <c r="T192" s="47">
        <f>SUM(T6:T191)</f>
        <v>417455123</v>
      </c>
      <c r="U192" s="752"/>
      <c r="V192" s="753"/>
      <c r="W192" s="766"/>
      <c r="X192" s="27"/>
      <c r="Y192" s="47">
        <f>SUM(Y6:Y191)</f>
        <v>4516000</v>
      </c>
    </row>
    <row r="193" spans="1:26" s="730" customFormat="1">
      <c r="A193" s="736"/>
      <c r="B193" s="737"/>
      <c r="C193" s="731"/>
      <c r="D193" s="731"/>
      <c r="E193" s="731"/>
      <c r="F193" s="731"/>
      <c r="G193" s="731"/>
      <c r="H193" s="731"/>
      <c r="I193" s="731"/>
      <c r="J193" s="731"/>
      <c r="K193" s="731"/>
      <c r="L193" s="743"/>
      <c r="M193" s="743"/>
      <c r="N193" s="451"/>
      <c r="O193" s="755"/>
      <c r="P193" s="755"/>
      <c r="Q193" s="756"/>
      <c r="R193" s="793"/>
      <c r="S193" s="745"/>
      <c r="T193" s="757"/>
      <c r="U193" s="451"/>
      <c r="V193" s="755"/>
      <c r="W193" s="745"/>
      <c r="X193" s="745"/>
      <c r="Y193" s="729"/>
    </row>
    <row r="194" spans="1:26">
      <c r="C194" s="738"/>
      <c r="D194" s="738"/>
      <c r="E194" s="739"/>
      <c r="F194" s="739"/>
      <c r="I194" s="758"/>
      <c r="J194" s="731"/>
      <c r="N194" s="451"/>
      <c r="O194" s="755"/>
      <c r="P194" s="755"/>
      <c r="Q194" s="756"/>
      <c r="R194" s="793"/>
      <c r="S194" s="745"/>
      <c r="T194" s="757"/>
      <c r="U194" s="451"/>
      <c r="V194" s="755"/>
      <c r="W194" s="745"/>
      <c r="X194" s="745"/>
    </row>
    <row r="195" spans="1:26" ht="18" hidden="1" customHeight="1">
      <c r="A195" s="582" t="s">
        <v>532</v>
      </c>
      <c r="B195" s="730"/>
      <c r="C195" s="293"/>
      <c r="D195" s="293"/>
      <c r="E195" s="293"/>
      <c r="F195" s="293"/>
      <c r="G195" s="293"/>
      <c r="H195" s="293"/>
      <c r="I195" s="293"/>
      <c r="J195" s="610"/>
      <c r="K195" s="293"/>
      <c r="L195" s="743"/>
      <c r="M195" s="743"/>
      <c r="N195" s="451"/>
      <c r="O195" s="755"/>
      <c r="P195" s="755"/>
      <c r="Q195" s="756"/>
      <c r="R195" s="793"/>
      <c r="S195" s="745"/>
      <c r="T195" s="757"/>
      <c r="U195" s="451"/>
      <c r="V195" s="755"/>
      <c r="W195" s="745"/>
      <c r="X195" s="745"/>
      <c r="Z195" s="738"/>
    </row>
    <row r="196" spans="1:26" ht="18.75" customHeight="1">
      <c r="A196" s="731" t="s">
        <v>1080</v>
      </c>
      <c r="B196" s="731"/>
      <c r="C196" s="731"/>
      <c r="D196" s="731"/>
      <c r="E196" s="731"/>
      <c r="F196" s="731"/>
      <c r="G196" s="731"/>
      <c r="H196" s="731"/>
      <c r="I196" s="731"/>
      <c r="J196" s="731"/>
      <c r="K196" s="731"/>
      <c r="L196" s="743"/>
      <c r="M196" s="743"/>
      <c r="N196" s="451"/>
      <c r="O196" s="755"/>
      <c r="P196" s="755"/>
      <c r="Q196" s="756"/>
      <c r="R196" s="793"/>
      <c r="S196" s="745"/>
      <c r="T196" s="757"/>
      <c r="U196" s="451"/>
      <c r="V196" s="755"/>
      <c r="W196" s="745"/>
      <c r="X196" s="745"/>
    </row>
    <row r="197" spans="1:26" ht="12.75" customHeight="1">
      <c r="A197" s="779"/>
      <c r="B197" s="774"/>
      <c r="C197" s="774"/>
      <c r="D197" s="774"/>
      <c r="E197" s="774"/>
      <c r="F197" s="774"/>
      <c r="G197" s="774"/>
      <c r="H197" s="774"/>
      <c r="I197" s="774"/>
      <c r="J197" s="744"/>
      <c r="K197" s="774"/>
      <c r="L197" s="743"/>
      <c r="M197" s="743"/>
      <c r="N197" s="451"/>
      <c r="O197" s="755"/>
      <c r="P197" s="755"/>
      <c r="Q197" s="756"/>
      <c r="R197" s="793"/>
      <c r="S197" s="745"/>
      <c r="T197" s="757"/>
      <c r="U197" s="451"/>
      <c r="V197" s="755"/>
      <c r="W197" s="745"/>
      <c r="X197" s="745"/>
    </row>
    <row r="198" spans="1:26" s="448" customFormat="1" ht="30.75" customHeight="1">
      <c r="A198" s="798" t="s">
        <v>35</v>
      </c>
      <c r="B198" s="443" t="s">
        <v>258</v>
      </c>
      <c r="C198" s="444" t="s">
        <v>262</v>
      </c>
      <c r="D198" s="444" t="s">
        <v>512</v>
      </c>
      <c r="E198" s="444" t="s">
        <v>263</v>
      </c>
      <c r="F198" s="444" t="s">
        <v>504</v>
      </c>
      <c r="G198" s="445" t="s">
        <v>264</v>
      </c>
      <c r="H198" s="444" t="s">
        <v>503</v>
      </c>
      <c r="I198" s="444" t="s">
        <v>265</v>
      </c>
      <c r="J198" s="446" t="s">
        <v>260</v>
      </c>
      <c r="K198" s="444" t="s">
        <v>266</v>
      </c>
      <c r="L198" s="447"/>
      <c r="M198" s="447"/>
      <c r="N198" s="443" t="s">
        <v>258</v>
      </c>
      <c r="O198" s="444" t="s">
        <v>252</v>
      </c>
      <c r="P198" s="444"/>
      <c r="Q198" s="725"/>
      <c r="R198" s="790" t="s">
        <v>215</v>
      </c>
      <c r="S198" s="444" t="s">
        <v>261</v>
      </c>
      <c r="T198" s="444" t="s">
        <v>267</v>
      </c>
      <c r="U198" s="443" t="s">
        <v>258</v>
      </c>
      <c r="V198" s="444" t="s">
        <v>252</v>
      </c>
      <c r="W198" s="444" t="s">
        <v>215</v>
      </c>
      <c r="X198" s="444" t="s">
        <v>261</v>
      </c>
      <c r="Y198" s="443" t="s">
        <v>267</v>
      </c>
    </row>
    <row r="199" spans="1:26">
      <c r="A199" s="732">
        <f>IF(B199&lt;&gt;"",1,"")</f>
        <v>1</v>
      </c>
      <c r="B199" s="797" t="s">
        <v>1120</v>
      </c>
      <c r="C199" s="772">
        <f>T199</f>
        <v>4759560</v>
      </c>
      <c r="D199" s="772">
        <f t="shared" ref="D199:H208" si="79">IF($J$371&lt;&gt;0,D$371/$J$371*$J199,0)</f>
        <v>263085.83052969247</v>
      </c>
      <c r="E199" s="772">
        <f t="shared" si="79"/>
        <v>86017.982421824054</v>
      </c>
      <c r="F199" s="770">
        <f t="shared" si="79"/>
        <v>159924.88850637665</v>
      </c>
      <c r="G199" s="770">
        <f t="shared" si="79"/>
        <v>118991.73251962548</v>
      </c>
      <c r="H199" s="772">
        <f t="shared" si="79"/>
        <v>0</v>
      </c>
      <c r="I199" s="772">
        <f t="shared" ref="I199:I356" si="80">ROUND(SUM(C199:H199),0)</f>
        <v>5387580</v>
      </c>
      <c r="J199" s="772">
        <v>500</v>
      </c>
      <c r="K199" s="770">
        <f>IF(J199&lt;&gt;"",I199/J199,"")</f>
        <v>10775.16</v>
      </c>
      <c r="L199" s="667"/>
      <c r="M199" s="667"/>
      <c r="N199" s="192" t="s">
        <v>1273</v>
      </c>
      <c r="O199" s="746">
        <f t="shared" ref="O199:O262" si="81">P199-3</f>
        <v>41000</v>
      </c>
      <c r="P199" s="746">
        <v>41003</v>
      </c>
      <c r="Q199" s="747" t="s">
        <v>940</v>
      </c>
      <c r="R199" s="304">
        <v>260</v>
      </c>
      <c r="S199" s="778">
        <v>18306</v>
      </c>
      <c r="T199" s="25">
        <f>R199*S199</f>
        <v>4759560</v>
      </c>
      <c r="U199" s="189" t="s">
        <v>403</v>
      </c>
      <c r="V199" s="746">
        <v>41000</v>
      </c>
      <c r="W199" s="778">
        <v>50</v>
      </c>
      <c r="X199" s="778">
        <v>25000</v>
      </c>
      <c r="Y199" s="25">
        <f>W199*X199</f>
        <v>1250000</v>
      </c>
    </row>
    <row r="200" spans="1:26">
      <c r="A200" s="780">
        <f>IF(B200&lt;&gt;"",A199+1,"")</f>
        <v>2</v>
      </c>
      <c r="B200" s="298" t="s">
        <v>1195</v>
      </c>
      <c r="C200" s="796">
        <f t="shared" ref="C200:C351" si="82">T200</f>
        <v>1189140</v>
      </c>
      <c r="D200" s="541">
        <f t="shared" si="79"/>
        <v>105234.332211877</v>
      </c>
      <c r="E200" s="541">
        <f t="shared" si="79"/>
        <v>34407.192968729621</v>
      </c>
      <c r="F200" s="541">
        <f t="shared" si="79"/>
        <v>63969.955402550659</v>
      </c>
      <c r="G200" s="541">
        <f t="shared" si="79"/>
        <v>47596.693007850197</v>
      </c>
      <c r="H200" s="541">
        <f t="shared" si="79"/>
        <v>0</v>
      </c>
      <c r="I200" s="772">
        <f t="shared" si="80"/>
        <v>1440348</v>
      </c>
      <c r="J200" s="541">
        <v>200</v>
      </c>
      <c r="K200" s="541">
        <f t="shared" ref="K200:K201" si="83">IF(J200&lt;&gt;"",I200/J200,"")</f>
        <v>7201.74</v>
      </c>
      <c r="L200" s="667"/>
      <c r="M200" s="667"/>
      <c r="N200" s="192" t="s">
        <v>1369</v>
      </c>
      <c r="O200" s="746">
        <f t="shared" si="81"/>
        <v>41000</v>
      </c>
      <c r="P200" s="746">
        <v>41003</v>
      </c>
      <c r="Q200" s="747" t="s">
        <v>940</v>
      </c>
      <c r="R200" s="304">
        <v>60</v>
      </c>
      <c r="S200" s="778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778">
        <v>50</v>
      </c>
      <c r="X200" s="778">
        <v>25000</v>
      </c>
      <c r="Y200" s="8">
        <f t="shared" ref="Y200" si="85">W200*X200</f>
        <v>1250000</v>
      </c>
    </row>
    <row r="201" spans="1:26">
      <c r="A201" s="771">
        <f>IF(B201&lt;&gt;"",A200+1,"")</f>
        <v>3</v>
      </c>
      <c r="B201" s="297" t="s">
        <v>1194</v>
      </c>
      <c r="C201" s="796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772">
        <f t="shared" si="80"/>
        <v>3609663</v>
      </c>
      <c r="J201" s="254">
        <v>507</v>
      </c>
      <c r="K201" s="254">
        <f t="shared" si="83"/>
        <v>7119.6508875739646</v>
      </c>
      <c r="L201" s="667"/>
      <c r="M201" s="667"/>
      <c r="N201" s="192" t="s">
        <v>1369</v>
      </c>
      <c r="O201" s="746">
        <f t="shared" si="81"/>
        <v>41000</v>
      </c>
      <c r="P201" s="746">
        <v>41003</v>
      </c>
      <c r="Q201" s="747" t="s">
        <v>941</v>
      </c>
      <c r="R201" s="304">
        <v>150</v>
      </c>
      <c r="S201" s="778">
        <v>19819</v>
      </c>
      <c r="T201" s="8">
        <f t="shared" ref="T201" si="86">R201*S201</f>
        <v>2972850</v>
      </c>
      <c r="U201" s="189" t="s">
        <v>370</v>
      </c>
      <c r="V201" s="748">
        <v>41054</v>
      </c>
      <c r="W201" s="778">
        <v>48</v>
      </c>
      <c r="X201" s="778">
        <v>42000</v>
      </c>
      <c r="Y201" s="8">
        <f t="shared" ref="Y201:Y202" si="87">W201*X201</f>
        <v>2016000</v>
      </c>
    </row>
    <row r="202" spans="1:26">
      <c r="A202" s="771">
        <f t="shared" ref="A202:A265" si="88">IF(B202&lt;&gt;"",A201+1,"")</f>
        <v>4</v>
      </c>
      <c r="B202" s="297" t="s">
        <v>1132</v>
      </c>
      <c r="C202" s="796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772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67"/>
      <c r="M202" s="667"/>
      <c r="N202" s="192" t="s">
        <v>1282</v>
      </c>
      <c r="O202" s="746">
        <f t="shared" si="81"/>
        <v>41001</v>
      </c>
      <c r="P202" s="746">
        <v>41004</v>
      </c>
      <c r="Q202" s="747" t="s">
        <v>942</v>
      </c>
      <c r="R202" s="304">
        <v>425</v>
      </c>
      <c r="S202" s="255">
        <v>29100</v>
      </c>
      <c r="T202" s="8">
        <f t="shared" ref="T202:T203" si="90">R202*S202</f>
        <v>12367500</v>
      </c>
      <c r="U202" s="799" t="s">
        <v>717</v>
      </c>
      <c r="V202" s="748">
        <v>41060</v>
      </c>
      <c r="W202" s="776">
        <v>34707</v>
      </c>
      <c r="X202" s="776">
        <v>250</v>
      </c>
      <c r="Y202" s="8">
        <f t="shared" si="87"/>
        <v>8676750</v>
      </c>
    </row>
    <row r="203" spans="1:26">
      <c r="A203" s="771">
        <f t="shared" si="88"/>
        <v>5</v>
      </c>
      <c r="B203" s="297" t="s">
        <v>1096</v>
      </c>
      <c r="C203" s="796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772">
        <f t="shared" si="80"/>
        <v>3319807</v>
      </c>
      <c r="J203" s="254">
        <v>420</v>
      </c>
      <c r="K203" s="254">
        <f t="shared" si="89"/>
        <v>7904.3023809523811</v>
      </c>
      <c r="L203" s="667"/>
      <c r="M203" s="667"/>
      <c r="N203" s="192" t="s">
        <v>1406</v>
      </c>
      <c r="O203" s="746">
        <f t="shared" si="81"/>
        <v>41006</v>
      </c>
      <c r="P203" s="746">
        <v>41009</v>
      </c>
      <c r="Q203" s="747" t="s">
        <v>943</v>
      </c>
      <c r="R203" s="794">
        <v>235</v>
      </c>
      <c r="S203" s="255">
        <v>11882</v>
      </c>
      <c r="T203" s="8">
        <f t="shared" si="90"/>
        <v>2792270</v>
      </c>
      <c r="U203" s="189" t="s">
        <v>553</v>
      </c>
      <c r="V203" s="748">
        <v>41000</v>
      </c>
      <c r="W203" s="776"/>
      <c r="X203" s="776"/>
      <c r="Y203" s="8">
        <f t="shared" ref="Y203" si="91">W203*X203</f>
        <v>0</v>
      </c>
    </row>
    <row r="204" spans="1:26">
      <c r="A204" s="771">
        <f t="shared" si="88"/>
        <v>6</v>
      </c>
      <c r="B204" s="297" t="s">
        <v>1193</v>
      </c>
      <c r="C204" s="796">
        <f t="shared" si="82"/>
        <v>2572500</v>
      </c>
      <c r="D204" s="733">
        <f t="shared" si="79"/>
        <v>216782.72435646661</v>
      </c>
      <c r="E204" s="733">
        <f t="shared" si="79"/>
        <v>70878.817515583025</v>
      </c>
      <c r="F204" s="733">
        <f t="shared" si="79"/>
        <v>131778.10812925437</v>
      </c>
      <c r="G204" s="733">
        <f t="shared" si="79"/>
        <v>98049.187596171396</v>
      </c>
      <c r="H204" s="733">
        <f t="shared" si="79"/>
        <v>0</v>
      </c>
      <c r="I204" s="772">
        <f t="shared" si="80"/>
        <v>3089989</v>
      </c>
      <c r="J204" s="733">
        <v>412</v>
      </c>
      <c r="K204" s="733">
        <f t="shared" ref="K204:K356" si="92">IF(J204&lt;&gt;"",I204/J204,"")</f>
        <v>7499.9733009708734</v>
      </c>
      <c r="L204" s="667"/>
      <c r="M204" s="667"/>
      <c r="N204" s="192" t="s">
        <v>1421</v>
      </c>
      <c r="O204" s="746">
        <f t="shared" si="81"/>
        <v>41006</v>
      </c>
      <c r="P204" s="746">
        <v>41009</v>
      </c>
      <c r="Q204" s="747" t="s">
        <v>943</v>
      </c>
      <c r="R204" s="794">
        <v>250</v>
      </c>
      <c r="S204" s="255">
        <v>10290</v>
      </c>
      <c r="T204" s="8">
        <f t="shared" ref="T204:T356" si="93">R204*S204</f>
        <v>2572500</v>
      </c>
      <c r="U204" s="450"/>
      <c r="V204" s="748"/>
      <c r="W204" s="776"/>
      <c r="X204" s="776"/>
      <c r="Y204" s="8">
        <f t="shared" ref="Y204:Y356" si="94">W204*X204</f>
        <v>0</v>
      </c>
    </row>
    <row r="205" spans="1:26">
      <c r="A205" s="771">
        <f t="shared" si="88"/>
        <v>7</v>
      </c>
      <c r="B205" s="297" t="s">
        <v>1192</v>
      </c>
      <c r="C205" s="796">
        <f t="shared" si="82"/>
        <v>1111200</v>
      </c>
      <c r="D205" s="733">
        <f t="shared" si="79"/>
        <v>526171.66105938493</v>
      </c>
      <c r="E205" s="733">
        <f t="shared" si="79"/>
        <v>172035.96484364811</v>
      </c>
      <c r="F205" s="733">
        <f t="shared" si="79"/>
        <v>319849.7770127533</v>
      </c>
      <c r="G205" s="733">
        <f t="shared" si="79"/>
        <v>237983.46503925096</v>
      </c>
      <c r="H205" s="733">
        <f t="shared" si="79"/>
        <v>0</v>
      </c>
      <c r="I205" s="772">
        <f t="shared" si="80"/>
        <v>2367241</v>
      </c>
      <c r="J205" s="733">
        <v>1000</v>
      </c>
      <c r="K205" s="733">
        <f t="shared" si="92"/>
        <v>2367.241</v>
      </c>
      <c r="L205" s="667"/>
      <c r="M205" s="667"/>
      <c r="N205" s="192" t="s">
        <v>1392</v>
      </c>
      <c r="O205" s="746">
        <f t="shared" si="81"/>
        <v>41006</v>
      </c>
      <c r="P205" s="746">
        <v>41009</v>
      </c>
      <c r="Q205" s="747" t="s">
        <v>944</v>
      </c>
      <c r="R205" s="304">
        <v>50</v>
      </c>
      <c r="S205" s="255">
        <v>22224</v>
      </c>
      <c r="T205" s="8">
        <f t="shared" si="93"/>
        <v>1111200</v>
      </c>
      <c r="U205" s="450"/>
      <c r="V205" s="748"/>
      <c r="W205" s="776"/>
      <c r="X205" s="776"/>
      <c r="Y205" s="8">
        <f t="shared" si="94"/>
        <v>0</v>
      </c>
    </row>
    <row r="206" spans="1:26">
      <c r="A206" s="771">
        <f t="shared" si="88"/>
        <v>8</v>
      </c>
      <c r="B206" s="297" t="s">
        <v>1191</v>
      </c>
      <c r="C206" s="796">
        <f t="shared" si="82"/>
        <v>83967</v>
      </c>
      <c r="D206" s="733">
        <f t="shared" si="79"/>
        <v>789257.49158907752</v>
      </c>
      <c r="E206" s="733">
        <f t="shared" si="79"/>
        <v>258053.94726547218</v>
      </c>
      <c r="F206" s="733">
        <f t="shared" si="79"/>
        <v>479774.66551912995</v>
      </c>
      <c r="G206" s="733">
        <f t="shared" si="79"/>
        <v>356975.19755887648</v>
      </c>
      <c r="H206" s="733">
        <f t="shared" si="79"/>
        <v>0</v>
      </c>
      <c r="I206" s="772">
        <f t="shared" si="80"/>
        <v>1968028</v>
      </c>
      <c r="J206" s="733">
        <v>1500</v>
      </c>
      <c r="K206" s="733">
        <f t="shared" si="92"/>
        <v>1312.0186666666666</v>
      </c>
      <c r="L206" s="667"/>
      <c r="M206" s="667"/>
      <c r="N206" s="192" t="s">
        <v>1263</v>
      </c>
      <c r="O206" s="746">
        <f t="shared" si="81"/>
        <v>41006</v>
      </c>
      <c r="P206" s="746">
        <v>41009</v>
      </c>
      <c r="Q206" s="747" t="s">
        <v>944</v>
      </c>
      <c r="R206" s="794">
        <v>7</v>
      </c>
      <c r="S206" s="255">
        <v>11995.285714285714</v>
      </c>
      <c r="T206" s="8">
        <f t="shared" si="93"/>
        <v>83967</v>
      </c>
      <c r="U206" s="450"/>
      <c r="V206" s="748"/>
      <c r="W206" s="776"/>
      <c r="X206" s="776"/>
      <c r="Y206" s="8">
        <f t="shared" si="94"/>
        <v>0</v>
      </c>
    </row>
    <row r="207" spans="1:26">
      <c r="A207" s="771">
        <f t="shared" si="88"/>
        <v>9</v>
      </c>
      <c r="B207" s="297" t="s">
        <v>1189</v>
      </c>
      <c r="C207" s="796">
        <f t="shared" si="82"/>
        <v>1244405</v>
      </c>
      <c r="D207" s="733">
        <f t="shared" si="79"/>
        <v>44724.591190047722</v>
      </c>
      <c r="E207" s="733">
        <f t="shared" si="79"/>
        <v>14623.057011710091</v>
      </c>
      <c r="F207" s="733">
        <f t="shared" si="79"/>
        <v>27187.231046084031</v>
      </c>
      <c r="G207" s="733">
        <f t="shared" si="79"/>
        <v>20228.594528336333</v>
      </c>
      <c r="H207" s="733">
        <f t="shared" si="79"/>
        <v>0</v>
      </c>
      <c r="I207" s="772">
        <f t="shared" si="80"/>
        <v>1351168</v>
      </c>
      <c r="J207" s="733">
        <v>85</v>
      </c>
      <c r="K207" s="733">
        <f t="shared" si="92"/>
        <v>15896.094117647059</v>
      </c>
      <c r="L207" s="667"/>
      <c r="M207" s="667"/>
      <c r="N207" s="192" t="s">
        <v>1366</v>
      </c>
      <c r="O207" s="746">
        <f t="shared" si="81"/>
        <v>41007</v>
      </c>
      <c r="P207" s="746">
        <v>41010</v>
      </c>
      <c r="Q207" s="747" t="s">
        <v>945</v>
      </c>
      <c r="R207" s="304">
        <v>95</v>
      </c>
      <c r="S207" s="255">
        <v>13099</v>
      </c>
      <c r="T207" s="8">
        <f t="shared" si="93"/>
        <v>1244405</v>
      </c>
      <c r="U207" s="450"/>
      <c r="V207" s="748"/>
      <c r="W207" s="776"/>
      <c r="X207" s="776"/>
      <c r="Y207" s="8">
        <f t="shared" si="94"/>
        <v>0</v>
      </c>
    </row>
    <row r="208" spans="1:26">
      <c r="A208" s="771">
        <f t="shared" si="88"/>
        <v>10</v>
      </c>
      <c r="B208" s="297" t="s">
        <v>1188</v>
      </c>
      <c r="C208" s="796">
        <f t="shared" si="82"/>
        <v>7621120</v>
      </c>
      <c r="D208" s="733">
        <f t="shared" si="79"/>
        <v>494601.36139582185</v>
      </c>
      <c r="E208" s="733">
        <f t="shared" si="79"/>
        <v>161713.80695302924</v>
      </c>
      <c r="F208" s="733">
        <f t="shared" si="79"/>
        <v>300658.79039198812</v>
      </c>
      <c r="G208" s="733">
        <f t="shared" si="79"/>
        <v>223704.45713689592</v>
      </c>
      <c r="H208" s="733">
        <f t="shared" si="79"/>
        <v>0</v>
      </c>
      <c r="I208" s="772">
        <f t="shared" si="80"/>
        <v>8801798</v>
      </c>
      <c r="J208" s="733">
        <v>940</v>
      </c>
      <c r="K208" s="733">
        <f t="shared" si="92"/>
        <v>9363.6148936170212</v>
      </c>
      <c r="L208" s="667"/>
      <c r="M208" s="667"/>
      <c r="N208" s="189" t="s">
        <v>1345</v>
      </c>
      <c r="O208" s="746">
        <f t="shared" si="81"/>
        <v>41013</v>
      </c>
      <c r="P208" s="746">
        <v>41016</v>
      </c>
      <c r="Q208" s="747" t="s">
        <v>946</v>
      </c>
      <c r="R208" s="304">
        <v>520</v>
      </c>
      <c r="S208" s="252">
        <v>14656</v>
      </c>
      <c r="T208" s="8">
        <f t="shared" si="93"/>
        <v>7621120</v>
      </c>
      <c r="U208" s="450"/>
      <c r="V208" s="748"/>
      <c r="W208" s="776"/>
      <c r="X208" s="776"/>
      <c r="Y208" s="8">
        <f t="shared" si="94"/>
        <v>0</v>
      </c>
    </row>
    <row r="209" spans="1:25">
      <c r="A209" s="771">
        <f t="shared" si="88"/>
        <v>11</v>
      </c>
      <c r="B209" s="297" t="s">
        <v>1538</v>
      </c>
      <c r="C209" s="796">
        <f t="shared" si="82"/>
        <v>2268063</v>
      </c>
      <c r="D209" s="733">
        <f t="shared" ref="D209:H218" si="95">IF($J$371&lt;&gt;0,D$371/$J$371*$J209,0)</f>
        <v>76821.062514670208</v>
      </c>
      <c r="E209" s="733">
        <f t="shared" si="95"/>
        <v>25117.250867172625</v>
      </c>
      <c r="F209" s="733">
        <f t="shared" si="95"/>
        <v>46698.067443861983</v>
      </c>
      <c r="G209" s="733">
        <f t="shared" si="95"/>
        <v>34745.585895730641</v>
      </c>
      <c r="H209" s="733">
        <f t="shared" si="95"/>
        <v>0</v>
      </c>
      <c r="I209" s="772">
        <f t="shared" si="80"/>
        <v>2451445</v>
      </c>
      <c r="J209" s="733">
        <v>146</v>
      </c>
      <c r="K209" s="733">
        <f t="shared" si="92"/>
        <v>16790.719178082192</v>
      </c>
      <c r="L209" s="667"/>
      <c r="M209" s="667"/>
      <c r="N209" s="192" t="s">
        <v>1387</v>
      </c>
      <c r="O209" s="746">
        <f t="shared" si="81"/>
        <v>41013</v>
      </c>
      <c r="P209" s="746">
        <v>41016</v>
      </c>
      <c r="Q209" s="747" t="s">
        <v>1537</v>
      </c>
      <c r="R209" s="304">
        <v>147</v>
      </c>
      <c r="S209" s="255">
        <v>15429</v>
      </c>
      <c r="T209" s="8">
        <f t="shared" si="93"/>
        <v>2268063</v>
      </c>
      <c r="U209" s="450"/>
      <c r="V209" s="748"/>
      <c r="W209" s="776"/>
      <c r="X209" s="776"/>
      <c r="Y209" s="8">
        <f t="shared" si="94"/>
        <v>0</v>
      </c>
    </row>
    <row r="210" spans="1:25">
      <c r="A210" s="771">
        <f t="shared" si="88"/>
        <v>12</v>
      </c>
      <c r="B210" s="297" t="s">
        <v>1539</v>
      </c>
      <c r="C210" s="796">
        <f t="shared" si="82"/>
        <v>2973400</v>
      </c>
      <c r="D210" s="733">
        <f t="shared" si="95"/>
        <v>51038.651122760341</v>
      </c>
      <c r="E210" s="733">
        <f t="shared" si="95"/>
        <v>16687.488589833869</v>
      </c>
      <c r="F210" s="733">
        <f t="shared" si="95"/>
        <v>31025.42837023707</v>
      </c>
      <c r="G210" s="733">
        <f t="shared" si="95"/>
        <v>23084.396108807345</v>
      </c>
      <c r="H210" s="733">
        <f t="shared" si="95"/>
        <v>0</v>
      </c>
      <c r="I210" s="772">
        <f t="shared" si="80"/>
        <v>3095236</v>
      </c>
      <c r="J210" s="733">
        <v>97</v>
      </c>
      <c r="K210" s="733">
        <f t="shared" si="92"/>
        <v>31909.649484536083</v>
      </c>
      <c r="L210" s="667"/>
      <c r="M210" s="667"/>
      <c r="N210" s="192" t="s">
        <v>1294</v>
      </c>
      <c r="O210" s="746">
        <f t="shared" si="81"/>
        <v>41013</v>
      </c>
      <c r="P210" s="746">
        <v>41016</v>
      </c>
      <c r="Q210" s="747" t="s">
        <v>1537</v>
      </c>
      <c r="R210" s="794">
        <v>100</v>
      </c>
      <c r="S210" s="252">
        <v>29734</v>
      </c>
      <c r="T210" s="8">
        <f t="shared" si="93"/>
        <v>2973400</v>
      </c>
      <c r="U210" s="450"/>
      <c r="V210" s="748"/>
      <c r="W210" s="776"/>
      <c r="X210" s="776"/>
      <c r="Y210" s="8">
        <f t="shared" si="94"/>
        <v>0</v>
      </c>
    </row>
    <row r="211" spans="1:25">
      <c r="A211" s="771">
        <f t="shared" si="88"/>
        <v>13</v>
      </c>
      <c r="B211" s="297" t="s">
        <v>1540</v>
      </c>
      <c r="C211" s="796">
        <f t="shared" si="82"/>
        <v>3132087</v>
      </c>
      <c r="D211" s="733">
        <f t="shared" si="95"/>
        <v>105760.50387293637</v>
      </c>
      <c r="E211" s="733">
        <f t="shared" si="95"/>
        <v>34579.228933573271</v>
      </c>
      <c r="F211" s="733">
        <f t="shared" si="95"/>
        <v>64289.805179563409</v>
      </c>
      <c r="G211" s="733">
        <f t="shared" si="95"/>
        <v>47834.676472889449</v>
      </c>
      <c r="H211" s="733">
        <f t="shared" si="95"/>
        <v>0</v>
      </c>
      <c r="I211" s="772">
        <f t="shared" si="80"/>
        <v>3384551</v>
      </c>
      <c r="J211" s="733">
        <v>201</v>
      </c>
      <c r="K211" s="733">
        <f t="shared" si="92"/>
        <v>16838.562189054726</v>
      </c>
      <c r="L211" s="667"/>
      <c r="M211" s="667"/>
      <c r="N211" s="192" t="s">
        <v>1387</v>
      </c>
      <c r="O211" s="746">
        <f t="shared" si="81"/>
        <v>41013</v>
      </c>
      <c r="P211" s="746">
        <v>41016</v>
      </c>
      <c r="Q211" s="747" t="s">
        <v>1537</v>
      </c>
      <c r="R211" s="304">
        <v>203</v>
      </c>
      <c r="S211" s="255">
        <v>15429</v>
      </c>
      <c r="T211" s="8">
        <f t="shared" si="93"/>
        <v>3132087</v>
      </c>
      <c r="U211" s="450"/>
      <c r="V211" s="748"/>
      <c r="W211" s="776"/>
      <c r="X211" s="776"/>
      <c r="Y211" s="8">
        <f t="shared" si="94"/>
        <v>0</v>
      </c>
    </row>
    <row r="212" spans="1:25">
      <c r="A212" s="771">
        <f t="shared" si="88"/>
        <v>14</v>
      </c>
      <c r="B212" s="297" t="s">
        <v>1187</v>
      </c>
      <c r="C212" s="796">
        <f t="shared" si="82"/>
        <v>3199680</v>
      </c>
      <c r="D212" s="733">
        <f t="shared" si="95"/>
        <v>57878.882716532346</v>
      </c>
      <c r="E212" s="733">
        <f t="shared" si="95"/>
        <v>18923.956132801293</v>
      </c>
      <c r="F212" s="733">
        <f t="shared" si="95"/>
        <v>35183.47547140286</v>
      </c>
      <c r="G212" s="733">
        <f t="shared" si="95"/>
        <v>26178.181154317608</v>
      </c>
      <c r="H212" s="733">
        <f t="shared" si="95"/>
        <v>0</v>
      </c>
      <c r="I212" s="772">
        <f t="shared" si="80"/>
        <v>3337844</v>
      </c>
      <c r="J212" s="733">
        <v>110</v>
      </c>
      <c r="K212" s="733">
        <f t="shared" si="92"/>
        <v>30344.036363636365</v>
      </c>
      <c r="L212" s="667"/>
      <c r="M212" s="667"/>
      <c r="N212" s="192" t="s">
        <v>1295</v>
      </c>
      <c r="O212" s="746">
        <f t="shared" si="81"/>
        <v>41013</v>
      </c>
      <c r="P212" s="746">
        <v>41016</v>
      </c>
      <c r="Q212" s="747" t="s">
        <v>947</v>
      </c>
      <c r="R212" s="304">
        <v>120</v>
      </c>
      <c r="S212" s="252">
        <v>26664</v>
      </c>
      <c r="T212" s="8">
        <f t="shared" si="93"/>
        <v>3199680</v>
      </c>
      <c r="U212" s="450"/>
      <c r="V212" s="748"/>
      <c r="W212" s="776"/>
      <c r="X212" s="776"/>
      <c r="Y212" s="8">
        <f t="shared" si="94"/>
        <v>0</v>
      </c>
    </row>
    <row r="213" spans="1:25">
      <c r="A213" s="771">
        <f t="shared" si="88"/>
        <v>15</v>
      </c>
      <c r="B213" s="297" t="s">
        <v>1121</v>
      </c>
      <c r="C213" s="796">
        <f t="shared" si="82"/>
        <v>3806400</v>
      </c>
      <c r="D213" s="733">
        <f t="shared" si="95"/>
        <v>44724.591190047722</v>
      </c>
      <c r="E213" s="733">
        <f t="shared" si="95"/>
        <v>14623.057011710091</v>
      </c>
      <c r="F213" s="733">
        <f t="shared" si="95"/>
        <v>27187.231046084031</v>
      </c>
      <c r="G213" s="733">
        <f t="shared" si="95"/>
        <v>20228.594528336333</v>
      </c>
      <c r="H213" s="733">
        <f t="shared" si="95"/>
        <v>0</v>
      </c>
      <c r="I213" s="772">
        <f t="shared" si="80"/>
        <v>3913163</v>
      </c>
      <c r="J213" s="733">
        <v>85</v>
      </c>
      <c r="K213" s="733">
        <f t="shared" si="92"/>
        <v>46037.211764705884</v>
      </c>
      <c r="L213" s="667"/>
      <c r="M213" s="667"/>
      <c r="N213" s="192" t="s">
        <v>1308</v>
      </c>
      <c r="O213" s="746">
        <f t="shared" si="81"/>
        <v>41013</v>
      </c>
      <c r="P213" s="746">
        <v>41016</v>
      </c>
      <c r="Q213" s="747" t="s">
        <v>947</v>
      </c>
      <c r="R213" s="304">
        <v>150</v>
      </c>
      <c r="S213" s="252">
        <v>25376</v>
      </c>
      <c r="T213" s="8">
        <f t="shared" si="93"/>
        <v>3806400</v>
      </c>
      <c r="U213" s="450"/>
      <c r="V213" s="748"/>
      <c r="W213" s="776"/>
      <c r="X213" s="776"/>
      <c r="Y213" s="8">
        <f t="shared" si="94"/>
        <v>0</v>
      </c>
    </row>
    <row r="214" spans="1:25">
      <c r="A214" s="771">
        <f t="shared" si="88"/>
        <v>16</v>
      </c>
      <c r="B214" s="297" t="s">
        <v>948</v>
      </c>
      <c r="C214" s="796">
        <f t="shared" si="82"/>
        <v>2256285.1664984864</v>
      </c>
      <c r="D214" s="733">
        <f t="shared" si="95"/>
        <v>78925.74915890774</v>
      </c>
      <c r="E214" s="733">
        <f t="shared" si="95"/>
        <v>25805.394726547216</v>
      </c>
      <c r="F214" s="733">
        <f t="shared" si="95"/>
        <v>47977.466551912992</v>
      </c>
      <c r="G214" s="733">
        <f t="shared" si="95"/>
        <v>35697.519755887646</v>
      </c>
      <c r="H214" s="733">
        <f t="shared" si="95"/>
        <v>0</v>
      </c>
      <c r="I214" s="772">
        <f t="shared" si="80"/>
        <v>2444691</v>
      </c>
      <c r="J214" s="733">
        <v>150</v>
      </c>
      <c r="K214" s="733">
        <f t="shared" si="92"/>
        <v>16297.94</v>
      </c>
      <c r="L214" s="667"/>
      <c r="M214" s="667"/>
      <c r="N214" s="192" t="s">
        <v>1280</v>
      </c>
      <c r="O214" s="746">
        <f t="shared" si="81"/>
        <v>41013</v>
      </c>
      <c r="P214" s="746">
        <v>41016</v>
      </c>
      <c r="Q214" s="747" t="s">
        <v>947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0"/>
      <c r="V214" s="748"/>
      <c r="W214" s="776"/>
      <c r="X214" s="776"/>
      <c r="Y214" s="8">
        <f t="shared" si="94"/>
        <v>0</v>
      </c>
    </row>
    <row r="215" spans="1:25">
      <c r="A215" s="771">
        <f t="shared" si="88"/>
        <v>17</v>
      </c>
      <c r="B215" s="297" t="s">
        <v>1186</v>
      </c>
      <c r="C215" s="796">
        <f t="shared" si="82"/>
        <v>2126670</v>
      </c>
      <c r="D215" s="733">
        <f t="shared" si="95"/>
        <v>47881.621156404035</v>
      </c>
      <c r="E215" s="733">
        <f t="shared" si="95"/>
        <v>15655.272800771978</v>
      </c>
      <c r="F215" s="733">
        <f t="shared" si="95"/>
        <v>29106.329708160549</v>
      </c>
      <c r="G215" s="733">
        <f t="shared" si="95"/>
        <v>21656.495318571837</v>
      </c>
      <c r="H215" s="733">
        <f t="shared" si="95"/>
        <v>0</v>
      </c>
      <c r="I215" s="772">
        <f t="shared" si="80"/>
        <v>2240970</v>
      </c>
      <c r="J215" s="733">
        <v>91</v>
      </c>
      <c r="K215" s="733">
        <f t="shared" si="92"/>
        <v>24626.043956043955</v>
      </c>
      <c r="L215" s="667"/>
      <c r="M215" s="667"/>
      <c r="N215" s="192" t="s">
        <v>1420</v>
      </c>
      <c r="O215" s="746">
        <f t="shared" si="81"/>
        <v>41013</v>
      </c>
      <c r="P215" s="746">
        <v>41016</v>
      </c>
      <c r="Q215" s="747" t="s">
        <v>947</v>
      </c>
      <c r="R215" s="304">
        <v>91</v>
      </c>
      <c r="S215" s="255">
        <v>23370</v>
      </c>
      <c r="T215" s="8">
        <f t="shared" si="93"/>
        <v>2126670</v>
      </c>
      <c r="U215" s="450"/>
      <c r="V215" s="748"/>
      <c r="W215" s="776"/>
      <c r="X215" s="776"/>
      <c r="Y215" s="8">
        <f t="shared" si="94"/>
        <v>0</v>
      </c>
    </row>
    <row r="216" spans="1:25">
      <c r="A216" s="771">
        <f t="shared" si="88"/>
        <v>18</v>
      </c>
      <c r="B216" s="297" t="s">
        <v>1185</v>
      </c>
      <c r="C216" s="796">
        <f t="shared" si="82"/>
        <v>530650</v>
      </c>
      <c r="D216" s="733">
        <f t="shared" si="95"/>
        <v>210468.664423754</v>
      </c>
      <c r="E216" s="733">
        <f t="shared" si="95"/>
        <v>68814.385937459243</v>
      </c>
      <c r="F216" s="733">
        <f t="shared" si="95"/>
        <v>127939.91080510132</v>
      </c>
      <c r="G216" s="733">
        <f t="shared" si="95"/>
        <v>95193.386015700395</v>
      </c>
      <c r="H216" s="733">
        <f t="shared" si="95"/>
        <v>0</v>
      </c>
      <c r="I216" s="772">
        <f t="shared" si="80"/>
        <v>1033066</v>
      </c>
      <c r="J216" s="733">
        <v>400</v>
      </c>
      <c r="K216" s="733">
        <f t="shared" si="92"/>
        <v>2582.665</v>
      </c>
      <c r="L216" s="667"/>
      <c r="M216" s="667"/>
      <c r="N216" s="192" t="s">
        <v>1382</v>
      </c>
      <c r="O216" s="746">
        <f t="shared" si="81"/>
        <v>41017</v>
      </c>
      <c r="P216" s="746">
        <v>41020</v>
      </c>
      <c r="Q216" s="747" t="s">
        <v>949</v>
      </c>
      <c r="R216" s="304">
        <v>50</v>
      </c>
      <c r="S216" s="255">
        <v>10613</v>
      </c>
      <c r="T216" s="8">
        <f t="shared" si="93"/>
        <v>530650</v>
      </c>
      <c r="U216" s="450"/>
      <c r="V216" s="748"/>
      <c r="W216" s="776"/>
      <c r="X216" s="776"/>
      <c r="Y216" s="8">
        <f t="shared" si="94"/>
        <v>0</v>
      </c>
    </row>
    <row r="217" spans="1:25">
      <c r="A217" s="771">
        <f t="shared" si="88"/>
        <v>19</v>
      </c>
      <c r="B217" s="297" t="s">
        <v>1184</v>
      </c>
      <c r="C217" s="796">
        <f t="shared" si="82"/>
        <v>2108160</v>
      </c>
      <c r="D217" s="733">
        <f t="shared" si="95"/>
        <v>441984.19528988336</v>
      </c>
      <c r="E217" s="733">
        <f t="shared" si="95"/>
        <v>144510.21046866442</v>
      </c>
      <c r="F217" s="733">
        <f t="shared" si="95"/>
        <v>268673.81269071274</v>
      </c>
      <c r="G217" s="733">
        <f t="shared" si="95"/>
        <v>199906.11063297081</v>
      </c>
      <c r="H217" s="733">
        <f t="shared" si="95"/>
        <v>0</v>
      </c>
      <c r="I217" s="772">
        <f t="shared" si="80"/>
        <v>3163234</v>
      </c>
      <c r="J217" s="733">
        <v>840</v>
      </c>
      <c r="K217" s="733">
        <f t="shared" si="92"/>
        <v>3765.7547619047618</v>
      </c>
      <c r="L217" s="667"/>
      <c r="M217" s="667"/>
      <c r="N217" s="192" t="s">
        <v>764</v>
      </c>
      <c r="O217" s="746">
        <f t="shared" si="81"/>
        <v>41020</v>
      </c>
      <c r="P217" s="746">
        <v>41023</v>
      </c>
      <c r="Q217" s="747" t="s">
        <v>950</v>
      </c>
      <c r="R217" s="304">
        <v>100</v>
      </c>
      <c r="S217" s="255">
        <v>21081.599999999999</v>
      </c>
      <c r="T217" s="8">
        <f t="shared" si="93"/>
        <v>2108160</v>
      </c>
      <c r="U217" s="450"/>
      <c r="V217" s="748"/>
      <c r="W217" s="776"/>
      <c r="X217" s="776"/>
      <c r="Y217" s="8">
        <f t="shared" si="94"/>
        <v>0</v>
      </c>
    </row>
    <row r="218" spans="1:25">
      <c r="A218" s="771">
        <f t="shared" si="88"/>
        <v>20</v>
      </c>
      <c r="B218" s="297" t="s">
        <v>952</v>
      </c>
      <c r="C218" s="796">
        <f t="shared" si="82"/>
        <v>4960750</v>
      </c>
      <c r="D218" s="733">
        <f t="shared" si="95"/>
        <v>490918.15976840619</v>
      </c>
      <c r="E218" s="733">
        <f t="shared" si="95"/>
        <v>160509.55519912369</v>
      </c>
      <c r="F218" s="733">
        <f t="shared" si="95"/>
        <v>298419.84195289883</v>
      </c>
      <c r="G218" s="733">
        <f t="shared" si="95"/>
        <v>222038.57288162116</v>
      </c>
      <c r="H218" s="733">
        <f t="shared" si="95"/>
        <v>0</v>
      </c>
      <c r="I218" s="772">
        <f t="shared" si="80"/>
        <v>6132636</v>
      </c>
      <c r="J218" s="733">
        <v>933</v>
      </c>
      <c r="K218" s="733">
        <f t="shared" si="92"/>
        <v>6573.028938906752</v>
      </c>
      <c r="L218" s="667"/>
      <c r="M218" s="667"/>
      <c r="N218" s="192" t="s">
        <v>1302</v>
      </c>
      <c r="O218" s="746">
        <f t="shared" si="81"/>
        <v>41020</v>
      </c>
      <c r="P218" s="746">
        <v>41023</v>
      </c>
      <c r="Q218" s="747" t="s">
        <v>950</v>
      </c>
      <c r="R218" s="304">
        <v>250</v>
      </c>
      <c r="S218" s="252">
        <v>19843</v>
      </c>
      <c r="T218" s="8">
        <f t="shared" si="93"/>
        <v>4960750</v>
      </c>
      <c r="U218" s="450"/>
      <c r="V218" s="748"/>
      <c r="W218" s="776"/>
      <c r="X218" s="776"/>
      <c r="Y218" s="8">
        <f t="shared" si="94"/>
        <v>0</v>
      </c>
    </row>
    <row r="219" spans="1:25">
      <c r="A219" s="771">
        <f t="shared" si="88"/>
        <v>21</v>
      </c>
      <c r="B219" s="297" t="s">
        <v>1183</v>
      </c>
      <c r="C219" s="796">
        <f t="shared" si="82"/>
        <v>2236100</v>
      </c>
      <c r="D219" s="733">
        <f t="shared" ref="D219:H228" si="96">IF($J$371&lt;&gt;0,D$371/$J$371*$J219,0)</f>
        <v>263085.83052969247</v>
      </c>
      <c r="E219" s="733">
        <f t="shared" si="96"/>
        <v>86017.982421824054</v>
      </c>
      <c r="F219" s="733">
        <f t="shared" si="96"/>
        <v>159924.88850637665</v>
      </c>
      <c r="G219" s="733">
        <f t="shared" si="96"/>
        <v>118991.73251962548</v>
      </c>
      <c r="H219" s="733">
        <f t="shared" si="96"/>
        <v>0</v>
      </c>
      <c r="I219" s="772">
        <f t="shared" si="80"/>
        <v>2864120</v>
      </c>
      <c r="J219" s="733">
        <v>500</v>
      </c>
      <c r="K219" s="733">
        <f t="shared" si="92"/>
        <v>5728.24</v>
      </c>
      <c r="L219" s="667"/>
      <c r="M219" s="667"/>
      <c r="N219" s="192" t="s">
        <v>1261</v>
      </c>
      <c r="O219" s="746">
        <f t="shared" si="81"/>
        <v>41020</v>
      </c>
      <c r="P219" s="746">
        <v>41023</v>
      </c>
      <c r="Q219" s="747" t="s">
        <v>953</v>
      </c>
      <c r="R219" s="794">
        <v>100</v>
      </c>
      <c r="S219" s="255">
        <v>22361</v>
      </c>
      <c r="T219" s="8">
        <f t="shared" si="93"/>
        <v>2236100</v>
      </c>
      <c r="U219" s="450"/>
      <c r="V219" s="748"/>
      <c r="W219" s="776"/>
      <c r="X219" s="776"/>
      <c r="Y219" s="8">
        <f t="shared" si="94"/>
        <v>0</v>
      </c>
    </row>
    <row r="220" spans="1:25">
      <c r="A220" s="771">
        <f t="shared" si="88"/>
        <v>22</v>
      </c>
      <c r="B220" s="297" t="s">
        <v>1044</v>
      </c>
      <c r="C220" s="796">
        <f t="shared" si="82"/>
        <v>880700</v>
      </c>
      <c r="D220" s="733">
        <f t="shared" si="96"/>
        <v>99972.615601283149</v>
      </c>
      <c r="E220" s="733">
        <f t="shared" si="96"/>
        <v>32686.833320293143</v>
      </c>
      <c r="F220" s="733">
        <f t="shared" si="96"/>
        <v>60771.457632423124</v>
      </c>
      <c r="G220" s="733">
        <f t="shared" si="96"/>
        <v>45216.858357457684</v>
      </c>
      <c r="H220" s="733">
        <f t="shared" si="96"/>
        <v>0</v>
      </c>
      <c r="I220" s="772">
        <f t="shared" si="80"/>
        <v>1119348</v>
      </c>
      <c r="J220" s="733">
        <v>190</v>
      </c>
      <c r="K220" s="733">
        <f t="shared" si="92"/>
        <v>5891.3052631578948</v>
      </c>
      <c r="L220" s="667"/>
      <c r="M220" s="667"/>
      <c r="N220" s="192" t="s">
        <v>1364</v>
      </c>
      <c r="O220" s="746">
        <f t="shared" si="81"/>
        <v>41022</v>
      </c>
      <c r="P220" s="746">
        <v>41025</v>
      </c>
      <c r="Q220" s="747" t="s">
        <v>954</v>
      </c>
      <c r="R220" s="304">
        <v>100</v>
      </c>
      <c r="S220" s="255">
        <v>8807</v>
      </c>
      <c r="T220" s="8">
        <f t="shared" si="93"/>
        <v>880700</v>
      </c>
      <c r="U220" s="450"/>
      <c r="V220" s="748"/>
      <c r="W220" s="776"/>
      <c r="X220" s="776"/>
      <c r="Y220" s="8">
        <f t="shared" si="94"/>
        <v>0</v>
      </c>
    </row>
    <row r="221" spans="1:25">
      <c r="A221" s="771">
        <f t="shared" si="88"/>
        <v>23</v>
      </c>
      <c r="B221" s="297" t="s">
        <v>1045</v>
      </c>
      <c r="C221" s="796">
        <f t="shared" si="82"/>
        <v>3787294</v>
      </c>
      <c r="D221" s="733">
        <f t="shared" si="96"/>
        <v>374634.22267428209</v>
      </c>
      <c r="E221" s="733">
        <f t="shared" si="96"/>
        <v>122489.60696867746</v>
      </c>
      <c r="F221" s="733">
        <f t="shared" si="96"/>
        <v>227733.04123308035</v>
      </c>
      <c r="G221" s="733">
        <f t="shared" si="96"/>
        <v>169444.2271079467</v>
      </c>
      <c r="H221" s="733">
        <f t="shared" si="96"/>
        <v>0</v>
      </c>
      <c r="I221" s="772">
        <f t="shared" si="80"/>
        <v>4681595</v>
      </c>
      <c r="J221" s="733">
        <v>712</v>
      </c>
      <c r="K221" s="733">
        <f t="shared" si="92"/>
        <v>6575.2738764044943</v>
      </c>
      <c r="L221" s="667"/>
      <c r="M221" s="667"/>
      <c r="N221" s="192" t="s">
        <v>1239</v>
      </c>
      <c r="O221" s="746">
        <f t="shared" si="81"/>
        <v>41022</v>
      </c>
      <c r="P221" s="746">
        <v>41025</v>
      </c>
      <c r="Q221" s="747" t="s">
        <v>954</v>
      </c>
      <c r="R221" s="304">
        <v>238</v>
      </c>
      <c r="S221" s="252">
        <v>15913</v>
      </c>
      <c r="T221" s="8">
        <f t="shared" si="93"/>
        <v>3787294</v>
      </c>
      <c r="U221" s="450"/>
      <c r="V221" s="748"/>
      <c r="W221" s="776"/>
      <c r="X221" s="776"/>
      <c r="Y221" s="8">
        <f t="shared" si="94"/>
        <v>0</v>
      </c>
    </row>
    <row r="222" spans="1:25">
      <c r="A222" s="771">
        <f t="shared" si="88"/>
        <v>24</v>
      </c>
      <c r="B222" s="297" t="s">
        <v>1453</v>
      </c>
      <c r="C222" s="796">
        <f t="shared" si="82"/>
        <v>3001200</v>
      </c>
      <c r="D222" s="733">
        <f t="shared" si="96"/>
        <v>39462.87457945387</v>
      </c>
      <c r="E222" s="733">
        <f t="shared" si="96"/>
        <v>12902.697363273608</v>
      </c>
      <c r="F222" s="733">
        <f t="shared" si="96"/>
        <v>23988.733275956496</v>
      </c>
      <c r="G222" s="733">
        <f t="shared" si="96"/>
        <v>17848.759877943823</v>
      </c>
      <c r="H222" s="733">
        <f t="shared" si="96"/>
        <v>0</v>
      </c>
      <c r="I222" s="772">
        <f t="shared" si="80"/>
        <v>3095403</v>
      </c>
      <c r="J222" s="733">
        <v>75</v>
      </c>
      <c r="K222" s="733">
        <f t="shared" si="92"/>
        <v>41272.04</v>
      </c>
      <c r="L222" s="667"/>
      <c r="M222" s="667"/>
      <c r="N222" s="192" t="s">
        <v>1277</v>
      </c>
      <c r="O222" s="746">
        <f t="shared" si="81"/>
        <v>41022</v>
      </c>
      <c r="P222" s="746">
        <v>41025</v>
      </c>
      <c r="Q222" s="747" t="s">
        <v>1541</v>
      </c>
      <c r="R222" s="304">
        <v>100</v>
      </c>
      <c r="S222" s="252">
        <v>30012</v>
      </c>
      <c r="T222" s="8">
        <f t="shared" si="93"/>
        <v>3001200</v>
      </c>
      <c r="U222" s="450"/>
      <c r="V222" s="748"/>
      <c r="W222" s="776"/>
      <c r="X222" s="776"/>
      <c r="Y222" s="8">
        <f t="shared" si="94"/>
        <v>0</v>
      </c>
    </row>
    <row r="223" spans="1:25">
      <c r="A223" s="771">
        <f t="shared" si="88"/>
        <v>25</v>
      </c>
      <c r="B223" s="297" t="s">
        <v>1454</v>
      </c>
      <c r="C223" s="796">
        <f t="shared" si="82"/>
        <v>3497440</v>
      </c>
      <c r="D223" s="733">
        <f t="shared" si="96"/>
        <v>78925.74915890774</v>
      </c>
      <c r="E223" s="733">
        <f t="shared" si="96"/>
        <v>25805.394726547216</v>
      </c>
      <c r="F223" s="733">
        <f t="shared" si="96"/>
        <v>47977.466551912992</v>
      </c>
      <c r="G223" s="733">
        <f t="shared" si="96"/>
        <v>35697.519755887646</v>
      </c>
      <c r="H223" s="733">
        <f t="shared" si="96"/>
        <v>0</v>
      </c>
      <c r="I223" s="772">
        <f t="shared" si="80"/>
        <v>3685846</v>
      </c>
      <c r="J223" s="733">
        <v>150</v>
      </c>
      <c r="K223" s="733">
        <f t="shared" si="92"/>
        <v>24572.306666666667</v>
      </c>
      <c r="L223" s="667"/>
      <c r="M223" s="667"/>
      <c r="N223" s="189" t="s">
        <v>1347</v>
      </c>
      <c r="O223" s="746">
        <f t="shared" si="81"/>
        <v>41022</v>
      </c>
      <c r="P223" s="746">
        <v>41025</v>
      </c>
      <c r="Q223" s="747" t="s">
        <v>1541</v>
      </c>
      <c r="R223" s="794">
        <v>160</v>
      </c>
      <c r="S223" s="255">
        <v>21859</v>
      </c>
      <c r="T223" s="8">
        <f t="shared" si="93"/>
        <v>3497440</v>
      </c>
      <c r="U223" s="450"/>
      <c r="V223" s="748"/>
      <c r="W223" s="776"/>
      <c r="X223" s="776"/>
      <c r="Y223" s="8">
        <f t="shared" si="94"/>
        <v>0</v>
      </c>
    </row>
    <row r="224" spans="1:25">
      <c r="A224" s="771">
        <f t="shared" si="88"/>
        <v>26</v>
      </c>
      <c r="B224" s="297" t="s">
        <v>1455</v>
      </c>
      <c r="C224" s="796">
        <f t="shared" si="82"/>
        <v>4099600</v>
      </c>
      <c r="D224" s="733">
        <f t="shared" si="96"/>
        <v>52617.166105938501</v>
      </c>
      <c r="E224" s="733">
        <f t="shared" si="96"/>
        <v>17203.596484364811</v>
      </c>
      <c r="F224" s="733">
        <f t="shared" si="96"/>
        <v>31984.977701275329</v>
      </c>
      <c r="G224" s="733">
        <f t="shared" si="96"/>
        <v>23798.346503925099</v>
      </c>
      <c r="H224" s="733">
        <f t="shared" si="96"/>
        <v>0</v>
      </c>
      <c r="I224" s="772">
        <f t="shared" si="80"/>
        <v>4225204</v>
      </c>
      <c r="J224" s="733">
        <v>100</v>
      </c>
      <c r="K224" s="733">
        <f t="shared" si="92"/>
        <v>42252.04</v>
      </c>
      <c r="L224" s="667"/>
      <c r="M224" s="667"/>
      <c r="N224" s="192" t="s">
        <v>1265</v>
      </c>
      <c r="O224" s="746">
        <f t="shared" si="81"/>
        <v>41022</v>
      </c>
      <c r="P224" s="746">
        <v>41025</v>
      </c>
      <c r="Q224" s="747" t="s">
        <v>1541</v>
      </c>
      <c r="R224" s="794">
        <v>100</v>
      </c>
      <c r="S224" s="255">
        <v>40996</v>
      </c>
      <c r="T224" s="8">
        <f t="shared" si="93"/>
        <v>4099600</v>
      </c>
      <c r="U224" s="450"/>
      <c r="V224" s="748"/>
      <c r="W224" s="776"/>
      <c r="X224" s="776"/>
      <c r="Y224" s="8">
        <f t="shared" si="94"/>
        <v>0</v>
      </c>
    </row>
    <row r="225" spans="1:25">
      <c r="A225" s="771">
        <f t="shared" si="88"/>
        <v>27</v>
      </c>
      <c r="B225" s="297" t="s">
        <v>1456</v>
      </c>
      <c r="C225" s="796">
        <f t="shared" si="82"/>
        <v>4677120</v>
      </c>
      <c r="D225" s="733">
        <f t="shared" si="96"/>
        <v>73664.032548313902</v>
      </c>
      <c r="E225" s="733">
        <f t="shared" si="96"/>
        <v>24085.035078110737</v>
      </c>
      <c r="F225" s="733">
        <f t="shared" si="96"/>
        <v>44778.968781785457</v>
      </c>
      <c r="G225" s="733">
        <f t="shared" si="96"/>
        <v>33317.685105495133</v>
      </c>
      <c r="H225" s="733">
        <f t="shared" si="96"/>
        <v>0</v>
      </c>
      <c r="I225" s="772">
        <f t="shared" si="80"/>
        <v>4852966</v>
      </c>
      <c r="J225" s="733">
        <v>140</v>
      </c>
      <c r="K225" s="733">
        <f t="shared" si="92"/>
        <v>34664.042857142857</v>
      </c>
      <c r="L225" s="667"/>
      <c r="M225" s="667"/>
      <c r="N225" s="192" t="s">
        <v>1286</v>
      </c>
      <c r="O225" s="746">
        <f t="shared" si="81"/>
        <v>41022</v>
      </c>
      <c r="P225" s="746">
        <v>41025</v>
      </c>
      <c r="Q225" s="747" t="s">
        <v>1541</v>
      </c>
      <c r="R225" s="794">
        <v>160</v>
      </c>
      <c r="S225" s="778">
        <v>29232</v>
      </c>
      <c r="T225" s="8">
        <f t="shared" si="93"/>
        <v>4677120</v>
      </c>
      <c r="U225" s="450"/>
      <c r="V225" s="748"/>
      <c r="W225" s="776"/>
      <c r="X225" s="776"/>
      <c r="Y225" s="8">
        <f t="shared" si="94"/>
        <v>0</v>
      </c>
    </row>
    <row r="226" spans="1:25">
      <c r="A226" s="771">
        <f t="shared" si="88"/>
        <v>28</v>
      </c>
      <c r="B226" s="297" t="s">
        <v>1457</v>
      </c>
      <c r="C226" s="796">
        <f>T226</f>
        <v>5300900</v>
      </c>
      <c r="D226" s="733">
        <f t="shared" si="96"/>
        <v>110496.04882247084</v>
      </c>
      <c r="E226" s="733">
        <f t="shared" si="96"/>
        <v>36127.552617166104</v>
      </c>
      <c r="F226" s="733">
        <f t="shared" si="96"/>
        <v>67168.453172678186</v>
      </c>
      <c r="G226" s="733">
        <f t="shared" si="96"/>
        <v>49976.527658242703</v>
      </c>
      <c r="H226" s="733">
        <f t="shared" si="96"/>
        <v>0</v>
      </c>
      <c r="I226" s="772">
        <f t="shared" si="80"/>
        <v>5564669</v>
      </c>
      <c r="J226" s="733">
        <v>210</v>
      </c>
      <c r="K226" s="733">
        <f t="shared" si="92"/>
        <v>26498.423809523811</v>
      </c>
      <c r="L226" s="667"/>
      <c r="M226" s="667"/>
      <c r="N226" s="192" t="s">
        <v>1255</v>
      </c>
      <c r="O226" s="746">
        <f t="shared" si="81"/>
        <v>41022</v>
      </c>
      <c r="P226" s="746">
        <v>41025</v>
      </c>
      <c r="Q226" s="747" t="s">
        <v>1541</v>
      </c>
      <c r="R226" s="304">
        <v>220</v>
      </c>
      <c r="S226" s="255">
        <v>24095</v>
      </c>
      <c r="T226" s="8">
        <f t="shared" si="93"/>
        <v>5300900</v>
      </c>
      <c r="U226" s="450"/>
      <c r="V226" s="748"/>
      <c r="W226" s="776"/>
      <c r="X226" s="776"/>
      <c r="Y226" s="8">
        <f t="shared" si="94"/>
        <v>0</v>
      </c>
    </row>
    <row r="227" spans="1:25">
      <c r="A227" s="771">
        <f t="shared" si="88"/>
        <v>29</v>
      </c>
      <c r="B227" s="297" t="s">
        <v>1458</v>
      </c>
      <c r="C227" s="796">
        <f>T227</f>
        <v>5644800</v>
      </c>
      <c r="D227" s="733">
        <f t="shared" si="96"/>
        <v>172584.30482747828</v>
      </c>
      <c r="E227" s="733">
        <f t="shared" si="96"/>
        <v>56427.79646871658</v>
      </c>
      <c r="F227" s="733">
        <f t="shared" si="96"/>
        <v>104910.72686018309</v>
      </c>
      <c r="G227" s="733">
        <f t="shared" si="96"/>
        <v>78058.576532874315</v>
      </c>
      <c r="H227" s="733">
        <f t="shared" si="96"/>
        <v>0</v>
      </c>
      <c r="I227" s="772">
        <f t="shared" si="80"/>
        <v>6056781</v>
      </c>
      <c r="J227" s="733">
        <v>328</v>
      </c>
      <c r="K227" s="733">
        <f t="shared" si="92"/>
        <v>18465.795731707316</v>
      </c>
      <c r="L227" s="667"/>
      <c r="M227" s="667"/>
      <c r="N227" s="192" t="s">
        <v>1427</v>
      </c>
      <c r="O227" s="746">
        <f t="shared" si="81"/>
        <v>41022</v>
      </c>
      <c r="P227" s="746">
        <v>41025</v>
      </c>
      <c r="Q227" s="747" t="s">
        <v>1541</v>
      </c>
      <c r="R227" s="304">
        <v>350</v>
      </c>
      <c r="S227" s="255">
        <v>16128</v>
      </c>
      <c r="T227" s="8">
        <f t="shared" si="93"/>
        <v>5644800</v>
      </c>
      <c r="U227" s="450"/>
      <c r="V227" s="748"/>
      <c r="W227" s="776"/>
      <c r="X227" s="776"/>
      <c r="Y227" s="8">
        <f t="shared" si="94"/>
        <v>0</v>
      </c>
    </row>
    <row r="228" spans="1:25">
      <c r="A228" s="771">
        <f t="shared" si="88"/>
        <v>30</v>
      </c>
      <c r="B228" s="297" t="s">
        <v>1086</v>
      </c>
      <c r="C228" s="796">
        <f>T228</f>
        <v>274050</v>
      </c>
      <c r="D228" s="733">
        <f t="shared" si="96"/>
        <v>263085.83052969247</v>
      </c>
      <c r="E228" s="733">
        <f t="shared" si="96"/>
        <v>86017.982421824054</v>
      </c>
      <c r="F228" s="733">
        <f t="shared" si="96"/>
        <v>159924.88850637665</v>
      </c>
      <c r="G228" s="733">
        <f t="shared" si="96"/>
        <v>118991.73251962548</v>
      </c>
      <c r="H228" s="733">
        <f t="shared" si="96"/>
        <v>0</v>
      </c>
      <c r="I228" s="772">
        <f t="shared" si="80"/>
        <v>902070</v>
      </c>
      <c r="J228" s="733">
        <v>500</v>
      </c>
      <c r="K228" s="733">
        <f t="shared" si="92"/>
        <v>1804.14</v>
      </c>
      <c r="L228" s="667"/>
      <c r="M228" s="667"/>
      <c r="N228" s="192" t="s">
        <v>742</v>
      </c>
      <c r="O228" s="746">
        <f t="shared" si="81"/>
        <v>41022</v>
      </c>
      <c r="P228" s="746">
        <v>41025</v>
      </c>
      <c r="Q228" s="747" t="s">
        <v>1541</v>
      </c>
      <c r="R228" s="794">
        <v>10</v>
      </c>
      <c r="S228" s="255">
        <v>27405</v>
      </c>
      <c r="T228" s="8">
        <f t="shared" si="93"/>
        <v>274050</v>
      </c>
      <c r="U228" s="450"/>
      <c r="V228" s="748"/>
      <c r="W228" s="776"/>
      <c r="X228" s="776"/>
      <c r="Y228" s="8">
        <f t="shared" si="94"/>
        <v>0</v>
      </c>
    </row>
    <row r="229" spans="1:25">
      <c r="A229" s="771">
        <f t="shared" si="88"/>
        <v>31</v>
      </c>
      <c r="B229" s="297" t="s">
        <v>1459</v>
      </c>
      <c r="C229" s="796">
        <f>T229</f>
        <v>4185000</v>
      </c>
      <c r="D229" s="733">
        <f t="shared" ref="D229:H238" si="97">IF($J$371&lt;&gt;0,D$371/$J$371*$J229,0)</f>
        <v>78925.74915890774</v>
      </c>
      <c r="E229" s="733">
        <f t="shared" si="97"/>
        <v>25805.394726547216</v>
      </c>
      <c r="F229" s="733">
        <f t="shared" si="97"/>
        <v>47977.466551912992</v>
      </c>
      <c r="G229" s="733">
        <f t="shared" si="97"/>
        <v>35697.519755887646</v>
      </c>
      <c r="H229" s="733">
        <f t="shared" si="97"/>
        <v>0</v>
      </c>
      <c r="I229" s="772">
        <f t="shared" si="80"/>
        <v>4373406</v>
      </c>
      <c r="J229" s="733">
        <v>150</v>
      </c>
      <c r="K229" s="733">
        <f t="shared" si="92"/>
        <v>29156.04</v>
      </c>
      <c r="L229" s="667"/>
      <c r="M229" s="667"/>
      <c r="N229" s="192" t="s">
        <v>1266</v>
      </c>
      <c r="O229" s="746">
        <f t="shared" si="81"/>
        <v>41022</v>
      </c>
      <c r="P229" s="746">
        <v>41025</v>
      </c>
      <c r="Q229" s="747" t="s">
        <v>1541</v>
      </c>
      <c r="R229" s="304">
        <v>150</v>
      </c>
      <c r="S229" s="252">
        <v>27900</v>
      </c>
      <c r="T229" s="8">
        <f t="shared" si="93"/>
        <v>4185000</v>
      </c>
      <c r="U229" s="450"/>
      <c r="V229" s="748"/>
      <c r="W229" s="776"/>
      <c r="X229" s="776"/>
      <c r="Y229" s="8">
        <f t="shared" si="94"/>
        <v>0</v>
      </c>
    </row>
    <row r="230" spans="1:25">
      <c r="A230" s="771">
        <f t="shared" si="88"/>
        <v>32</v>
      </c>
      <c r="B230" s="297" t="s">
        <v>1460</v>
      </c>
      <c r="C230" s="796">
        <f>T230</f>
        <v>592800</v>
      </c>
      <c r="D230" s="733">
        <f t="shared" si="97"/>
        <v>126281.1986542524</v>
      </c>
      <c r="E230" s="733">
        <f t="shared" si="97"/>
        <v>41288.631562475552</v>
      </c>
      <c r="F230" s="733">
        <f t="shared" si="97"/>
        <v>76763.94648306079</v>
      </c>
      <c r="G230" s="733">
        <f t="shared" si="97"/>
        <v>57116.031609420235</v>
      </c>
      <c r="H230" s="733">
        <f t="shared" si="97"/>
        <v>0</v>
      </c>
      <c r="I230" s="772">
        <f t="shared" si="80"/>
        <v>894250</v>
      </c>
      <c r="J230" s="733">
        <v>240</v>
      </c>
      <c r="K230" s="733">
        <f t="shared" si="92"/>
        <v>3726.0416666666665</v>
      </c>
      <c r="L230" s="781"/>
      <c r="M230" s="667"/>
      <c r="N230" s="192" t="s">
        <v>1379</v>
      </c>
      <c r="O230" s="746">
        <f t="shared" si="81"/>
        <v>41022</v>
      </c>
      <c r="P230" s="746">
        <v>41025</v>
      </c>
      <c r="Q230" s="747" t="s">
        <v>1541</v>
      </c>
      <c r="R230" s="794">
        <v>100</v>
      </c>
      <c r="S230" s="255">
        <v>5928</v>
      </c>
      <c r="T230" s="8">
        <f t="shared" si="93"/>
        <v>592800</v>
      </c>
      <c r="U230" s="450"/>
      <c r="V230" s="748"/>
      <c r="W230" s="776"/>
      <c r="X230" s="776"/>
      <c r="Y230" s="8">
        <f t="shared" si="94"/>
        <v>0</v>
      </c>
    </row>
    <row r="231" spans="1:25">
      <c r="A231" s="771">
        <f t="shared" si="88"/>
        <v>33</v>
      </c>
      <c r="B231" s="297" t="s">
        <v>1087</v>
      </c>
      <c r="C231" s="796">
        <f t="shared" ref="C231:C248" si="98">T231</f>
        <v>274050</v>
      </c>
      <c r="D231" s="733">
        <f t="shared" si="97"/>
        <v>2155199.1236992409</v>
      </c>
      <c r="E231" s="733">
        <f t="shared" si="97"/>
        <v>704659.31199958269</v>
      </c>
      <c r="F231" s="733">
        <f t="shared" si="97"/>
        <v>1310104.6866442375</v>
      </c>
      <c r="G231" s="733">
        <f t="shared" si="97"/>
        <v>974780.27280077199</v>
      </c>
      <c r="H231" s="733">
        <f t="shared" si="97"/>
        <v>0</v>
      </c>
      <c r="I231" s="772">
        <f t="shared" si="80"/>
        <v>5418793</v>
      </c>
      <c r="J231" s="733">
        <v>4096</v>
      </c>
      <c r="K231" s="733">
        <f t="shared" si="92"/>
        <v>1322.947509765625</v>
      </c>
      <c r="L231" s="667"/>
      <c r="M231" s="667"/>
      <c r="N231" s="192" t="s">
        <v>742</v>
      </c>
      <c r="O231" s="746">
        <f t="shared" si="81"/>
        <v>41022</v>
      </c>
      <c r="P231" s="746">
        <v>41025</v>
      </c>
      <c r="Q231" s="747" t="s">
        <v>1541</v>
      </c>
      <c r="R231" s="304">
        <v>10</v>
      </c>
      <c r="S231" s="255">
        <v>27405</v>
      </c>
      <c r="T231" s="8">
        <f t="shared" si="93"/>
        <v>274050</v>
      </c>
      <c r="U231" s="450"/>
      <c r="V231" s="748"/>
      <c r="W231" s="776"/>
      <c r="X231" s="776"/>
      <c r="Y231" s="8">
        <f t="shared" si="94"/>
        <v>0</v>
      </c>
    </row>
    <row r="232" spans="1:25">
      <c r="A232" s="771">
        <f>IF(B232&lt;&gt;"",A231+1,"")</f>
        <v>34</v>
      </c>
      <c r="B232" s="297" t="s">
        <v>1510</v>
      </c>
      <c r="C232" s="796">
        <f t="shared" si="98"/>
        <v>3593750</v>
      </c>
      <c r="D232" s="733">
        <f t="shared" si="97"/>
        <v>131542.91526484623</v>
      </c>
      <c r="E232" s="733">
        <f t="shared" si="97"/>
        <v>43008.991210912027</v>
      </c>
      <c r="F232" s="733">
        <f t="shared" si="97"/>
        <v>79962.444253188325</v>
      </c>
      <c r="G232" s="733">
        <f t="shared" si="97"/>
        <v>59495.866259812741</v>
      </c>
      <c r="H232" s="733">
        <f t="shared" si="97"/>
        <v>0</v>
      </c>
      <c r="I232" s="772">
        <f t="shared" si="80"/>
        <v>3907760</v>
      </c>
      <c r="J232" s="733">
        <v>250</v>
      </c>
      <c r="K232" s="733">
        <f t="shared" si="92"/>
        <v>15631.04</v>
      </c>
      <c r="L232" s="667"/>
      <c r="M232" s="667"/>
      <c r="N232" s="192" t="s">
        <v>1242</v>
      </c>
      <c r="O232" s="746">
        <f t="shared" si="81"/>
        <v>41022</v>
      </c>
      <c r="P232" s="746">
        <v>41025</v>
      </c>
      <c r="Q232" s="747" t="s">
        <v>985</v>
      </c>
      <c r="R232" s="794">
        <v>250</v>
      </c>
      <c r="S232" s="255">
        <v>14375</v>
      </c>
      <c r="T232" s="8">
        <f t="shared" si="93"/>
        <v>3593750</v>
      </c>
      <c r="U232" s="450"/>
      <c r="V232" s="748"/>
      <c r="W232" s="776"/>
      <c r="X232" s="776"/>
      <c r="Y232" s="8">
        <f t="shared" si="94"/>
        <v>0</v>
      </c>
    </row>
    <row r="233" spans="1:25">
      <c r="A233" s="771">
        <f t="shared" si="88"/>
        <v>35</v>
      </c>
      <c r="B233" s="297" t="s">
        <v>1471</v>
      </c>
      <c r="C233" s="796">
        <f t="shared" si="98"/>
        <v>5062100</v>
      </c>
      <c r="D233" s="733">
        <f t="shared" si="97"/>
        <v>236777.24747672325</v>
      </c>
      <c r="E233" s="733">
        <f t="shared" si="97"/>
        <v>77416.184179641656</v>
      </c>
      <c r="F233" s="733">
        <f t="shared" si="97"/>
        <v>143932.39965573899</v>
      </c>
      <c r="G233" s="733">
        <f t="shared" si="97"/>
        <v>107092.55926766293</v>
      </c>
      <c r="H233" s="733">
        <f t="shared" si="97"/>
        <v>0</v>
      </c>
      <c r="I233" s="772">
        <f t="shared" si="80"/>
        <v>5627318</v>
      </c>
      <c r="J233" s="733">
        <v>450</v>
      </c>
      <c r="K233" s="733">
        <f t="shared" si="92"/>
        <v>12505.15111111111</v>
      </c>
      <c r="L233" s="667"/>
      <c r="M233" s="667"/>
      <c r="N233" s="192" t="s">
        <v>1258</v>
      </c>
      <c r="O233" s="746">
        <f t="shared" si="81"/>
        <v>41022</v>
      </c>
      <c r="P233" s="746">
        <v>41025</v>
      </c>
      <c r="Q233" s="747" t="s">
        <v>985</v>
      </c>
      <c r="R233" s="304">
        <v>454</v>
      </c>
      <c r="S233" s="255">
        <v>11150</v>
      </c>
      <c r="T233" s="8">
        <f t="shared" si="93"/>
        <v>5062100</v>
      </c>
      <c r="U233" s="450"/>
      <c r="V233" s="748"/>
      <c r="W233" s="776"/>
      <c r="X233" s="776"/>
      <c r="Y233" s="8">
        <f t="shared" si="94"/>
        <v>0</v>
      </c>
    </row>
    <row r="234" spans="1:25">
      <c r="A234" s="771">
        <f t="shared" si="88"/>
        <v>36</v>
      </c>
      <c r="B234" s="297" t="s">
        <v>1485</v>
      </c>
      <c r="C234" s="796">
        <f t="shared" si="98"/>
        <v>4479840</v>
      </c>
      <c r="D234" s="733">
        <f t="shared" si="97"/>
        <v>173636.64814959705</v>
      </c>
      <c r="E234" s="733">
        <f t="shared" si="97"/>
        <v>56771.86839840388</v>
      </c>
      <c r="F234" s="733">
        <f t="shared" si="97"/>
        <v>105550.42641420859</v>
      </c>
      <c r="G234" s="733">
        <f t="shared" si="97"/>
        <v>78534.543462952817</v>
      </c>
      <c r="H234" s="733">
        <f t="shared" si="97"/>
        <v>0</v>
      </c>
      <c r="I234" s="772">
        <f t="shared" si="80"/>
        <v>4894333</v>
      </c>
      <c r="J234" s="733">
        <v>330</v>
      </c>
      <c r="K234" s="733">
        <f t="shared" si="92"/>
        <v>14831.31212121212</v>
      </c>
      <c r="L234" s="667"/>
      <c r="M234" s="667"/>
      <c r="N234" s="297" t="s">
        <v>1344</v>
      </c>
      <c r="O234" s="746">
        <f t="shared" si="81"/>
        <v>41022</v>
      </c>
      <c r="P234" s="746">
        <v>41025</v>
      </c>
      <c r="Q234" s="747" t="s">
        <v>985</v>
      </c>
      <c r="R234" s="304">
        <v>340</v>
      </c>
      <c r="S234" s="252">
        <v>13176</v>
      </c>
      <c r="T234" s="8">
        <f t="shared" si="93"/>
        <v>4479840</v>
      </c>
      <c r="U234" s="450"/>
      <c r="V234" s="748"/>
      <c r="W234" s="776"/>
      <c r="X234" s="776"/>
      <c r="Y234" s="8">
        <f t="shared" si="94"/>
        <v>0</v>
      </c>
    </row>
    <row r="235" spans="1:25">
      <c r="A235" s="771">
        <f t="shared" si="88"/>
        <v>37</v>
      </c>
      <c r="B235" s="297" t="s">
        <v>1501</v>
      </c>
      <c r="C235" s="796">
        <f t="shared" si="98"/>
        <v>3196156</v>
      </c>
      <c r="D235" s="733">
        <f t="shared" si="97"/>
        <v>115757.76543306469</v>
      </c>
      <c r="E235" s="733">
        <f t="shared" si="97"/>
        <v>37847.912265602587</v>
      </c>
      <c r="F235" s="733">
        <f t="shared" si="97"/>
        <v>70366.950942805721</v>
      </c>
      <c r="G235" s="733">
        <f t="shared" si="97"/>
        <v>52356.362308635216</v>
      </c>
      <c r="H235" s="733">
        <f t="shared" si="97"/>
        <v>0</v>
      </c>
      <c r="I235" s="772">
        <f t="shared" si="80"/>
        <v>3472485</v>
      </c>
      <c r="J235" s="733">
        <v>220</v>
      </c>
      <c r="K235" s="733">
        <f t="shared" si="92"/>
        <v>15784.022727272728</v>
      </c>
      <c r="L235" s="667"/>
      <c r="M235" s="667"/>
      <c r="N235" s="192" t="s">
        <v>1366</v>
      </c>
      <c r="O235" s="746">
        <f t="shared" si="81"/>
        <v>41022</v>
      </c>
      <c r="P235" s="746">
        <v>41025</v>
      </c>
      <c r="Q235" s="747" t="s">
        <v>985</v>
      </c>
      <c r="R235" s="304">
        <v>244</v>
      </c>
      <c r="S235" s="255">
        <v>13099</v>
      </c>
      <c r="T235" s="8">
        <f t="shared" si="93"/>
        <v>3196156</v>
      </c>
      <c r="U235" s="450"/>
      <c r="V235" s="748"/>
      <c r="W235" s="776"/>
      <c r="X235" s="776"/>
      <c r="Y235" s="8">
        <f t="shared" si="94"/>
        <v>0</v>
      </c>
    </row>
    <row r="236" spans="1:25">
      <c r="A236" s="771">
        <f t="shared" si="88"/>
        <v>38</v>
      </c>
      <c r="B236" s="297" t="s">
        <v>1513</v>
      </c>
      <c r="C236" s="796">
        <f t="shared" si="98"/>
        <v>8374000</v>
      </c>
      <c r="D236" s="733">
        <f t="shared" si="97"/>
        <v>255719.42727486111</v>
      </c>
      <c r="E236" s="733">
        <f t="shared" si="97"/>
        <v>83609.478914012987</v>
      </c>
      <c r="F236" s="733">
        <f t="shared" si="97"/>
        <v>155446.9916281981</v>
      </c>
      <c r="G236" s="733">
        <f t="shared" si="97"/>
        <v>115659.96400907598</v>
      </c>
      <c r="H236" s="733">
        <f t="shared" si="97"/>
        <v>0</v>
      </c>
      <c r="I236" s="772">
        <f t="shared" si="80"/>
        <v>8984436</v>
      </c>
      <c r="J236" s="733">
        <v>486</v>
      </c>
      <c r="K236" s="733">
        <f t="shared" si="92"/>
        <v>18486.493827160495</v>
      </c>
      <c r="L236" s="667"/>
      <c r="M236" s="667"/>
      <c r="N236" s="192" t="s">
        <v>1422</v>
      </c>
      <c r="O236" s="746">
        <f t="shared" si="81"/>
        <v>41022</v>
      </c>
      <c r="P236" s="746">
        <v>41025</v>
      </c>
      <c r="Q236" s="747" t="s">
        <v>985</v>
      </c>
      <c r="R236" s="794">
        <v>500</v>
      </c>
      <c r="S236" s="252">
        <v>16748</v>
      </c>
      <c r="T236" s="8">
        <f t="shared" si="93"/>
        <v>8374000</v>
      </c>
      <c r="U236" s="450"/>
      <c r="V236" s="748"/>
      <c r="W236" s="776"/>
      <c r="X236" s="776"/>
      <c r="Y236" s="8">
        <f t="shared" si="94"/>
        <v>0</v>
      </c>
    </row>
    <row r="237" spans="1:25">
      <c r="A237" s="771">
        <f t="shared" si="88"/>
        <v>39</v>
      </c>
      <c r="B237" s="297" t="s">
        <v>1488</v>
      </c>
      <c r="C237" s="796">
        <f t="shared" si="98"/>
        <v>5757000</v>
      </c>
      <c r="D237" s="733">
        <f t="shared" si="97"/>
        <v>205733.11947421954</v>
      </c>
      <c r="E237" s="733">
        <f t="shared" si="97"/>
        <v>67266.062253866417</v>
      </c>
      <c r="F237" s="733">
        <f t="shared" si="97"/>
        <v>125061.26281198654</v>
      </c>
      <c r="G237" s="733">
        <f t="shared" si="97"/>
        <v>93051.534830347126</v>
      </c>
      <c r="H237" s="733">
        <f t="shared" si="97"/>
        <v>0</v>
      </c>
      <c r="I237" s="772">
        <f t="shared" si="80"/>
        <v>6248112</v>
      </c>
      <c r="J237" s="733">
        <v>391</v>
      </c>
      <c r="K237" s="733">
        <f t="shared" si="92"/>
        <v>15979.826086956522</v>
      </c>
      <c r="L237" s="667"/>
      <c r="M237" s="667"/>
      <c r="N237" s="192" t="s">
        <v>1304</v>
      </c>
      <c r="O237" s="746">
        <f t="shared" si="81"/>
        <v>41022</v>
      </c>
      <c r="P237" s="746">
        <v>41025</v>
      </c>
      <c r="Q237" s="747" t="s">
        <v>985</v>
      </c>
      <c r="R237" s="304">
        <v>250</v>
      </c>
      <c r="S237" s="252">
        <v>23028</v>
      </c>
      <c r="T237" s="8">
        <f t="shared" si="93"/>
        <v>5757000</v>
      </c>
      <c r="U237" s="450"/>
      <c r="V237" s="748"/>
      <c r="W237" s="776"/>
      <c r="X237" s="776"/>
      <c r="Y237" s="8">
        <f t="shared" si="94"/>
        <v>0</v>
      </c>
    </row>
    <row r="238" spans="1:25">
      <c r="A238" s="771">
        <f t="shared" si="88"/>
        <v>40</v>
      </c>
      <c r="B238" s="297" t="s">
        <v>1507</v>
      </c>
      <c r="C238" s="796">
        <f t="shared" si="98"/>
        <v>8156130</v>
      </c>
      <c r="D238" s="733">
        <f t="shared" si="97"/>
        <v>178372.19309913152</v>
      </c>
      <c r="E238" s="733">
        <f t="shared" si="97"/>
        <v>58320.192081996713</v>
      </c>
      <c r="F238" s="733">
        <f t="shared" si="97"/>
        <v>108429.07440732337</v>
      </c>
      <c r="G238" s="733">
        <f t="shared" si="97"/>
        <v>80676.394648306086</v>
      </c>
      <c r="H238" s="733">
        <f t="shared" si="97"/>
        <v>0</v>
      </c>
      <c r="I238" s="772">
        <f t="shared" si="80"/>
        <v>8581928</v>
      </c>
      <c r="J238" s="733">
        <v>339</v>
      </c>
      <c r="K238" s="733">
        <f t="shared" si="92"/>
        <v>25315.421828908555</v>
      </c>
      <c r="L238" s="667"/>
      <c r="M238" s="667"/>
      <c r="N238" s="192" t="s">
        <v>1420</v>
      </c>
      <c r="O238" s="746">
        <f t="shared" si="81"/>
        <v>41022</v>
      </c>
      <c r="P238" s="746">
        <v>41025</v>
      </c>
      <c r="Q238" s="747" t="s">
        <v>985</v>
      </c>
      <c r="R238" s="8">
        <v>349</v>
      </c>
      <c r="S238" s="293">
        <v>23370</v>
      </c>
      <c r="T238" s="8">
        <f t="shared" si="93"/>
        <v>8156130</v>
      </c>
      <c r="U238" s="450"/>
      <c r="V238" s="748"/>
      <c r="W238" s="776"/>
      <c r="X238" s="776"/>
      <c r="Y238" s="8">
        <f t="shared" si="94"/>
        <v>0</v>
      </c>
    </row>
    <row r="239" spans="1:25">
      <c r="A239" s="771">
        <f t="shared" si="88"/>
        <v>41</v>
      </c>
      <c r="B239" s="297" t="s">
        <v>1491</v>
      </c>
      <c r="C239" s="796">
        <f t="shared" si="98"/>
        <v>6486252</v>
      </c>
      <c r="D239" s="733">
        <f t="shared" ref="D239:H248" si="99">IF($J$371&lt;&gt;0,D$371/$J$371*$J239,0)</f>
        <v>192578.82794773491</v>
      </c>
      <c r="E239" s="733">
        <f t="shared" si="99"/>
        <v>62965.163132775211</v>
      </c>
      <c r="F239" s="733">
        <f t="shared" si="99"/>
        <v>117065.01838666771</v>
      </c>
      <c r="G239" s="733">
        <f t="shared" si="99"/>
        <v>87101.94820436585</v>
      </c>
      <c r="H239" s="733">
        <f t="shared" si="99"/>
        <v>0</v>
      </c>
      <c r="I239" s="772">
        <f t="shared" si="80"/>
        <v>6945963</v>
      </c>
      <c r="J239" s="733">
        <v>366</v>
      </c>
      <c r="K239" s="733">
        <f t="shared" si="92"/>
        <v>18978.040983606559</v>
      </c>
      <c r="L239" s="667"/>
      <c r="M239" s="667"/>
      <c r="N239" s="192" t="s">
        <v>1388</v>
      </c>
      <c r="O239" s="746">
        <f t="shared" si="81"/>
        <v>41022</v>
      </c>
      <c r="P239" s="746">
        <v>41025</v>
      </c>
      <c r="Q239" s="747" t="s">
        <v>985</v>
      </c>
      <c r="R239" s="304">
        <f>J239</f>
        <v>366</v>
      </c>
      <c r="S239" s="778">
        <v>17722</v>
      </c>
      <c r="T239" s="8">
        <f t="shared" si="93"/>
        <v>6486252</v>
      </c>
      <c r="U239" s="450"/>
      <c r="V239" s="748"/>
      <c r="W239" s="776"/>
      <c r="X239" s="776"/>
      <c r="Y239" s="8">
        <f t="shared" si="94"/>
        <v>0</v>
      </c>
    </row>
    <row r="240" spans="1:25">
      <c r="A240" s="771">
        <f t="shared" si="88"/>
        <v>42</v>
      </c>
      <c r="B240" s="297" t="s">
        <v>1498</v>
      </c>
      <c r="C240" s="796">
        <f t="shared" si="98"/>
        <v>3030181</v>
      </c>
      <c r="D240" s="733">
        <f t="shared" si="99"/>
        <v>139435.49018073702</v>
      </c>
      <c r="E240" s="733">
        <f t="shared" si="99"/>
        <v>45589.530683566751</v>
      </c>
      <c r="F240" s="733">
        <f t="shared" si="99"/>
        <v>84760.19090837962</v>
      </c>
      <c r="G240" s="733">
        <f t="shared" si="99"/>
        <v>63065.618235401511</v>
      </c>
      <c r="H240" s="733">
        <f t="shared" si="99"/>
        <v>0</v>
      </c>
      <c r="I240" s="772">
        <f t="shared" si="80"/>
        <v>3363032</v>
      </c>
      <c r="J240" s="733">
        <v>265</v>
      </c>
      <c r="K240" s="733">
        <f t="shared" si="92"/>
        <v>12690.686792452831</v>
      </c>
      <c r="L240" s="667"/>
      <c r="M240" s="667"/>
      <c r="N240" s="192" t="s">
        <v>766</v>
      </c>
      <c r="O240" s="746">
        <f t="shared" si="81"/>
        <v>41022</v>
      </c>
      <c r="P240" s="746">
        <v>41025</v>
      </c>
      <c r="Q240" s="747" t="s">
        <v>985</v>
      </c>
      <c r="R240" s="304">
        <v>290</v>
      </c>
      <c r="S240" s="255">
        <v>10448.9</v>
      </c>
      <c r="T240" s="8">
        <f t="shared" si="93"/>
        <v>3030181</v>
      </c>
      <c r="U240" s="450"/>
      <c r="V240" s="748"/>
      <c r="W240" s="776"/>
      <c r="X240" s="776"/>
      <c r="Y240" s="8">
        <f t="shared" si="94"/>
        <v>0</v>
      </c>
    </row>
    <row r="241" spans="1:25">
      <c r="A241" s="771">
        <f t="shared" si="88"/>
        <v>43</v>
      </c>
      <c r="B241" s="297" t="s">
        <v>1499</v>
      </c>
      <c r="C241" s="796">
        <f t="shared" si="98"/>
        <v>9271144.6555639673</v>
      </c>
      <c r="D241" s="733">
        <f t="shared" si="99"/>
        <v>242038.96408731709</v>
      </c>
      <c r="E241" s="733">
        <f t="shared" si="99"/>
        <v>79136.543828078138</v>
      </c>
      <c r="F241" s="733">
        <f t="shared" si="99"/>
        <v>147130.89742586651</v>
      </c>
      <c r="G241" s="733">
        <f t="shared" si="99"/>
        <v>109472.39391805544</v>
      </c>
      <c r="H241" s="733">
        <f t="shared" si="99"/>
        <v>0</v>
      </c>
      <c r="I241" s="772">
        <f t="shared" si="80"/>
        <v>9848923</v>
      </c>
      <c r="J241" s="733">
        <v>460</v>
      </c>
      <c r="K241" s="733">
        <f t="shared" si="92"/>
        <v>21410.702173913043</v>
      </c>
      <c r="L241" s="667"/>
      <c r="M241" s="667"/>
      <c r="N241" s="189" t="s">
        <v>1346</v>
      </c>
      <c r="O241" s="746">
        <f t="shared" si="81"/>
        <v>41022</v>
      </c>
      <c r="P241" s="746">
        <v>41025</v>
      </c>
      <c r="Q241" s="747" t="s">
        <v>985</v>
      </c>
      <c r="R241" s="304">
        <v>465</v>
      </c>
      <c r="S241" s="255">
        <v>19937.945495836488</v>
      </c>
      <c r="T241" s="8">
        <f t="shared" si="93"/>
        <v>9271144.6555639673</v>
      </c>
      <c r="U241" s="450"/>
      <c r="V241" s="748"/>
      <c r="W241" s="776"/>
      <c r="X241" s="776"/>
      <c r="Y241" s="8">
        <f t="shared" si="94"/>
        <v>0</v>
      </c>
    </row>
    <row r="242" spans="1:25">
      <c r="A242" s="771">
        <f t="shared" si="88"/>
        <v>44</v>
      </c>
      <c r="B242" s="297" t="s">
        <v>1521</v>
      </c>
      <c r="C242" s="796">
        <f t="shared" si="98"/>
        <v>4668250</v>
      </c>
      <c r="D242" s="733">
        <f t="shared" si="99"/>
        <v>131542.91526484623</v>
      </c>
      <c r="E242" s="733">
        <f t="shared" si="99"/>
        <v>43008.991210912027</v>
      </c>
      <c r="F242" s="733">
        <f t="shared" si="99"/>
        <v>79962.444253188325</v>
      </c>
      <c r="G242" s="733">
        <f t="shared" si="99"/>
        <v>59495.866259812741</v>
      </c>
      <c r="H242" s="733">
        <f t="shared" si="99"/>
        <v>0</v>
      </c>
      <c r="I242" s="772">
        <f t="shared" si="80"/>
        <v>4982260</v>
      </c>
      <c r="J242" s="733">
        <v>250</v>
      </c>
      <c r="K242" s="733">
        <f t="shared" si="92"/>
        <v>19929.04</v>
      </c>
      <c r="L242" s="667"/>
      <c r="M242" s="667"/>
      <c r="N242" s="192" t="s">
        <v>1305</v>
      </c>
      <c r="O242" s="746">
        <f t="shared" si="81"/>
        <v>41025</v>
      </c>
      <c r="P242" s="746">
        <v>41028</v>
      </c>
      <c r="Q242" s="747" t="s">
        <v>1543</v>
      </c>
      <c r="R242" s="304">
        <v>250</v>
      </c>
      <c r="S242" s="255">
        <v>18673</v>
      </c>
      <c r="T242" s="8">
        <f t="shared" si="93"/>
        <v>4668250</v>
      </c>
      <c r="U242" s="450"/>
      <c r="V242" s="748"/>
      <c r="W242" s="776"/>
      <c r="X242" s="776"/>
      <c r="Y242" s="8">
        <f t="shared" si="94"/>
        <v>0</v>
      </c>
    </row>
    <row r="243" spans="1:25">
      <c r="A243" s="771">
        <f t="shared" si="88"/>
        <v>45</v>
      </c>
      <c r="B243" s="297" t="s">
        <v>1490</v>
      </c>
      <c r="C243" s="796">
        <f t="shared" si="98"/>
        <v>4286100</v>
      </c>
      <c r="D243" s="733">
        <f t="shared" si="99"/>
        <v>236777.24747672325</v>
      </c>
      <c r="E243" s="733">
        <f t="shared" si="99"/>
        <v>77416.184179641656</v>
      </c>
      <c r="F243" s="733">
        <f t="shared" si="99"/>
        <v>143932.39965573899</v>
      </c>
      <c r="G243" s="733">
        <f t="shared" si="99"/>
        <v>107092.55926766293</v>
      </c>
      <c r="H243" s="733">
        <f t="shared" si="99"/>
        <v>0</v>
      </c>
      <c r="I243" s="772">
        <f t="shared" si="80"/>
        <v>4851318</v>
      </c>
      <c r="J243" s="733">
        <v>450</v>
      </c>
      <c r="K243" s="733">
        <f t="shared" si="92"/>
        <v>10780.706666666667</v>
      </c>
      <c r="L243" s="667"/>
      <c r="M243" s="667"/>
      <c r="N243" s="192" t="s">
        <v>711</v>
      </c>
      <c r="O243" s="746">
        <f t="shared" si="81"/>
        <v>41025</v>
      </c>
      <c r="P243" s="746">
        <v>41028</v>
      </c>
      <c r="Q243" s="747" t="s">
        <v>1543</v>
      </c>
      <c r="R243" s="304">
        <v>455</v>
      </c>
      <c r="S243" s="255">
        <v>9420</v>
      </c>
      <c r="T243" s="8">
        <f t="shared" si="93"/>
        <v>4286100</v>
      </c>
      <c r="U243" s="450"/>
      <c r="V243" s="748"/>
      <c r="W243" s="776"/>
      <c r="X243" s="776"/>
      <c r="Y243" s="8">
        <f t="shared" si="94"/>
        <v>0</v>
      </c>
    </row>
    <row r="244" spans="1:25">
      <c r="A244" s="771">
        <f t="shared" si="88"/>
        <v>46</v>
      </c>
      <c r="B244" s="297" t="s">
        <v>1515</v>
      </c>
      <c r="C244" s="796">
        <f t="shared" si="98"/>
        <v>1742700</v>
      </c>
      <c r="D244" s="733">
        <f t="shared" si="99"/>
        <v>94710.898990689297</v>
      </c>
      <c r="E244" s="733">
        <f t="shared" si="99"/>
        <v>30966.47367185666</v>
      </c>
      <c r="F244" s="733">
        <f t="shared" si="99"/>
        <v>57572.959862295596</v>
      </c>
      <c r="G244" s="733">
        <f t="shared" si="99"/>
        <v>42837.023707065178</v>
      </c>
      <c r="H244" s="733">
        <f t="shared" si="99"/>
        <v>0</v>
      </c>
      <c r="I244" s="772">
        <f t="shared" si="80"/>
        <v>1968787</v>
      </c>
      <c r="J244" s="733">
        <v>180</v>
      </c>
      <c r="K244" s="733">
        <f t="shared" si="92"/>
        <v>10937.705555555556</v>
      </c>
      <c r="L244" s="667"/>
      <c r="M244" s="667"/>
      <c r="N244" s="192" t="s">
        <v>711</v>
      </c>
      <c r="O244" s="746">
        <f t="shared" si="81"/>
        <v>41025</v>
      </c>
      <c r="P244" s="746">
        <v>41028</v>
      </c>
      <c r="Q244" s="747" t="s">
        <v>1543</v>
      </c>
      <c r="R244" s="304">
        <v>185</v>
      </c>
      <c r="S244" s="255">
        <v>9420</v>
      </c>
      <c r="T244" s="8">
        <f t="shared" si="93"/>
        <v>1742700</v>
      </c>
      <c r="U244" s="450"/>
      <c r="V244" s="748"/>
      <c r="W244" s="776"/>
      <c r="X244" s="776"/>
      <c r="Y244" s="8">
        <f t="shared" si="94"/>
        <v>0</v>
      </c>
    </row>
    <row r="245" spans="1:25">
      <c r="A245" s="771">
        <f t="shared" si="88"/>
        <v>47</v>
      </c>
      <c r="B245" s="297" t="s">
        <v>1490</v>
      </c>
      <c r="C245" s="796">
        <f t="shared" si="98"/>
        <v>9471225</v>
      </c>
      <c r="D245" s="733">
        <f t="shared" si="99"/>
        <v>462504.89007119939</v>
      </c>
      <c r="E245" s="733">
        <f t="shared" si="99"/>
        <v>151219.6130975667</v>
      </c>
      <c r="F245" s="733">
        <f t="shared" si="99"/>
        <v>281147.95399421017</v>
      </c>
      <c r="G245" s="733">
        <f t="shared" si="99"/>
        <v>209187.46576950161</v>
      </c>
      <c r="H245" s="733">
        <f t="shared" si="99"/>
        <v>0</v>
      </c>
      <c r="I245" s="772">
        <f t="shared" si="80"/>
        <v>10575285</v>
      </c>
      <c r="J245" s="733">
        <v>879</v>
      </c>
      <c r="K245" s="733">
        <f t="shared" si="92"/>
        <v>12031.040955631399</v>
      </c>
      <c r="L245" s="667"/>
      <c r="M245" s="667"/>
      <c r="N245" s="192" t="s">
        <v>1274</v>
      </c>
      <c r="O245" s="746">
        <f t="shared" si="81"/>
        <v>41025</v>
      </c>
      <c r="P245" s="746">
        <v>41028</v>
      </c>
      <c r="Q245" s="747" t="s">
        <v>1543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0"/>
      <c r="V245" s="748"/>
      <c r="W245" s="776"/>
      <c r="X245" s="776"/>
      <c r="Y245" s="8">
        <f t="shared" si="94"/>
        <v>0</v>
      </c>
    </row>
    <row r="246" spans="1:25">
      <c r="A246" s="771">
        <f t="shared" si="88"/>
        <v>48</v>
      </c>
      <c r="B246" s="297" t="s">
        <v>1517</v>
      </c>
      <c r="C246" s="796">
        <f t="shared" si="98"/>
        <v>5452150</v>
      </c>
      <c r="D246" s="733">
        <f t="shared" si="99"/>
        <v>266242.86049604882</v>
      </c>
      <c r="E246" s="733">
        <f t="shared" si="99"/>
        <v>87050.198210885952</v>
      </c>
      <c r="F246" s="733">
        <f t="shared" si="99"/>
        <v>161843.98716845317</v>
      </c>
      <c r="G246" s="733">
        <f t="shared" si="99"/>
        <v>120419.63330986099</v>
      </c>
      <c r="H246" s="733">
        <f t="shared" si="99"/>
        <v>0</v>
      </c>
      <c r="I246" s="772">
        <f t="shared" si="80"/>
        <v>6087707</v>
      </c>
      <c r="J246" s="733">
        <v>506</v>
      </c>
      <c r="K246" s="733">
        <f t="shared" si="92"/>
        <v>12031.041501976284</v>
      </c>
      <c r="L246" s="667"/>
      <c r="M246" s="667"/>
      <c r="N246" s="192" t="s">
        <v>1274</v>
      </c>
      <c r="O246" s="746">
        <f t="shared" si="81"/>
        <v>41025</v>
      </c>
      <c r="P246" s="746">
        <v>41028</v>
      </c>
      <c r="Q246" s="747" t="s">
        <v>1543</v>
      </c>
      <c r="R246" s="304">
        <f t="shared" si="100"/>
        <v>506</v>
      </c>
      <c r="S246" s="255">
        <v>10775</v>
      </c>
      <c r="T246" s="8">
        <f t="shared" si="93"/>
        <v>5452150</v>
      </c>
      <c r="U246" s="450"/>
      <c r="V246" s="748"/>
      <c r="W246" s="776"/>
      <c r="X246" s="776"/>
      <c r="Y246" s="8">
        <f t="shared" si="94"/>
        <v>0</v>
      </c>
    </row>
    <row r="247" spans="1:25">
      <c r="A247" s="771">
        <f t="shared" si="88"/>
        <v>49</v>
      </c>
      <c r="B247" s="297" t="s">
        <v>1518</v>
      </c>
      <c r="C247" s="796">
        <f t="shared" si="98"/>
        <v>9133258.2698412687</v>
      </c>
      <c r="D247" s="733">
        <f t="shared" si="99"/>
        <v>417254.12722009228</v>
      </c>
      <c r="E247" s="733">
        <f t="shared" si="99"/>
        <v>136424.52012101296</v>
      </c>
      <c r="F247" s="733">
        <f t="shared" si="99"/>
        <v>253640.87317111337</v>
      </c>
      <c r="G247" s="733">
        <f t="shared" si="99"/>
        <v>188720.88777612601</v>
      </c>
      <c r="H247" s="733">
        <f t="shared" si="99"/>
        <v>0</v>
      </c>
      <c r="I247" s="772">
        <f t="shared" si="80"/>
        <v>10129299</v>
      </c>
      <c r="J247" s="733">
        <v>793</v>
      </c>
      <c r="K247" s="733">
        <f t="shared" si="92"/>
        <v>12773.390920554855</v>
      </c>
      <c r="L247" s="667"/>
      <c r="M247" s="667"/>
      <c r="N247" s="297" t="s">
        <v>1343</v>
      </c>
      <c r="O247" s="746">
        <f t="shared" si="81"/>
        <v>41025</v>
      </c>
      <c r="P247" s="746">
        <v>41028</v>
      </c>
      <c r="Q247" s="747" t="s">
        <v>1543</v>
      </c>
      <c r="R247" s="304">
        <v>803</v>
      </c>
      <c r="S247" s="255">
        <v>11373.920634920634</v>
      </c>
      <c r="T247" s="8">
        <f t="shared" si="93"/>
        <v>9133258.2698412687</v>
      </c>
      <c r="U247" s="450"/>
      <c r="V247" s="748"/>
      <c r="W247" s="776"/>
      <c r="X247" s="776"/>
      <c r="Y247" s="8">
        <f t="shared" si="94"/>
        <v>0</v>
      </c>
    </row>
    <row r="248" spans="1:25">
      <c r="A248" s="771">
        <f t="shared" si="88"/>
        <v>50</v>
      </c>
      <c r="B248" s="297" t="s">
        <v>1519</v>
      </c>
      <c r="C248" s="796">
        <f t="shared" si="98"/>
        <v>12936034.954591321</v>
      </c>
      <c r="D248" s="733">
        <f t="shared" si="99"/>
        <v>452507.62851107109</v>
      </c>
      <c r="E248" s="733">
        <f t="shared" si="99"/>
        <v>147950.92976553738</v>
      </c>
      <c r="F248" s="733">
        <f t="shared" si="99"/>
        <v>275070.80823096784</v>
      </c>
      <c r="G248" s="733">
        <f t="shared" si="99"/>
        <v>204665.77993375584</v>
      </c>
      <c r="H248" s="733">
        <f t="shared" si="99"/>
        <v>0</v>
      </c>
      <c r="I248" s="772">
        <f t="shared" si="80"/>
        <v>14016230</v>
      </c>
      <c r="J248" s="733">
        <v>860</v>
      </c>
      <c r="K248" s="733">
        <f t="shared" si="92"/>
        <v>16297.941860465116</v>
      </c>
      <c r="L248" s="667"/>
      <c r="M248" s="667"/>
      <c r="N248" s="192" t="s">
        <v>1280</v>
      </c>
      <c r="O248" s="746">
        <f t="shared" si="81"/>
        <v>41025</v>
      </c>
      <c r="P248" s="746">
        <v>41028</v>
      </c>
      <c r="Q248" s="747" t="s">
        <v>1543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0"/>
      <c r="V248" s="748"/>
      <c r="W248" s="776"/>
      <c r="X248" s="776"/>
      <c r="Y248" s="8">
        <f t="shared" si="94"/>
        <v>0</v>
      </c>
    </row>
    <row r="249" spans="1:25">
      <c r="A249" s="771">
        <f t="shared" si="88"/>
        <v>51</v>
      </c>
      <c r="B249" s="297" t="s">
        <v>1520</v>
      </c>
      <c r="C249" s="796">
        <f t="shared" ref="C249:C267" si="101">T249</f>
        <v>3693144</v>
      </c>
      <c r="D249" s="733">
        <f t="shared" ref="D249:H258" si="102">IF($J$371&lt;&gt;0,D$371/$J$371*$J249,0)</f>
        <v>187317.11133714105</v>
      </c>
      <c r="E249" s="733">
        <f t="shared" si="102"/>
        <v>61244.803484338729</v>
      </c>
      <c r="F249" s="733">
        <f t="shared" si="102"/>
        <v>113866.52061654018</v>
      </c>
      <c r="G249" s="733">
        <f t="shared" si="102"/>
        <v>84722.113553973351</v>
      </c>
      <c r="H249" s="733">
        <f t="shared" si="102"/>
        <v>0</v>
      </c>
      <c r="I249" s="772">
        <f t="shared" ref="I249:I290" si="103">ROUND(SUM(C249:H249),0)</f>
        <v>4140295</v>
      </c>
      <c r="J249" s="733">
        <v>356</v>
      </c>
      <c r="K249" s="733">
        <f t="shared" ref="K249:K290" si="104">IF(J249&lt;&gt;"",I249/J249,"")</f>
        <v>11630.042134831461</v>
      </c>
      <c r="L249" s="667"/>
      <c r="M249" s="667"/>
      <c r="N249" s="192" t="s">
        <v>1423</v>
      </c>
      <c r="O249" s="746">
        <f t="shared" si="81"/>
        <v>41025</v>
      </c>
      <c r="P249" s="746">
        <v>41028</v>
      </c>
      <c r="Q249" s="747" t="s">
        <v>1543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0"/>
      <c r="V249" s="748"/>
      <c r="W249" s="776"/>
      <c r="X249" s="776"/>
      <c r="Y249" s="8">
        <f t="shared" ref="Y249:Y290" si="106">W249*X249</f>
        <v>0</v>
      </c>
    </row>
    <row r="250" spans="1:25">
      <c r="A250" s="771">
        <f t="shared" si="88"/>
        <v>52</v>
      </c>
      <c r="B250" s="297" t="s">
        <v>1517</v>
      </c>
      <c r="C250" s="796">
        <f t="shared" si="101"/>
        <v>3771250</v>
      </c>
      <c r="D250" s="733">
        <f t="shared" si="102"/>
        <v>184160.08137078473</v>
      </c>
      <c r="E250" s="733">
        <f t="shared" si="102"/>
        <v>60212.587695276838</v>
      </c>
      <c r="F250" s="733">
        <f t="shared" si="102"/>
        <v>111947.42195446366</v>
      </c>
      <c r="G250" s="733">
        <f t="shared" si="102"/>
        <v>83294.212763737843</v>
      </c>
      <c r="H250" s="733">
        <f t="shared" si="102"/>
        <v>0</v>
      </c>
      <c r="I250" s="772">
        <f t="shared" si="103"/>
        <v>4210864</v>
      </c>
      <c r="J250" s="733">
        <v>350</v>
      </c>
      <c r="K250" s="733">
        <f t="shared" si="104"/>
        <v>12031.04</v>
      </c>
      <c r="L250" s="667"/>
      <c r="M250" s="667"/>
      <c r="N250" s="192" t="s">
        <v>1274</v>
      </c>
      <c r="O250" s="746">
        <f t="shared" si="81"/>
        <v>41025</v>
      </c>
      <c r="P250" s="746">
        <v>41028</v>
      </c>
      <c r="Q250" s="747" t="s">
        <v>1543</v>
      </c>
      <c r="R250" s="304">
        <f>J250</f>
        <v>350</v>
      </c>
      <c r="S250" s="255">
        <v>10775</v>
      </c>
      <c r="T250" s="8">
        <f t="shared" si="105"/>
        <v>3771250</v>
      </c>
      <c r="U250" s="450"/>
      <c r="V250" s="748"/>
      <c r="W250" s="776"/>
      <c r="X250" s="776"/>
      <c r="Y250" s="8">
        <f t="shared" si="106"/>
        <v>0</v>
      </c>
    </row>
    <row r="251" spans="1:25">
      <c r="A251" s="771">
        <f t="shared" si="88"/>
        <v>53</v>
      </c>
      <c r="B251" s="297" t="s">
        <v>1518</v>
      </c>
      <c r="C251" s="796">
        <f t="shared" si="101"/>
        <v>5197881.7301587295</v>
      </c>
      <c r="D251" s="733">
        <f t="shared" si="102"/>
        <v>237829.59079884202</v>
      </c>
      <c r="E251" s="733">
        <f t="shared" si="102"/>
        <v>77760.256109328955</v>
      </c>
      <c r="F251" s="733">
        <f t="shared" si="102"/>
        <v>144572.09920976448</v>
      </c>
      <c r="G251" s="733">
        <f t="shared" si="102"/>
        <v>107568.52619774143</v>
      </c>
      <c r="H251" s="733">
        <f t="shared" si="102"/>
        <v>0</v>
      </c>
      <c r="I251" s="772">
        <f t="shared" si="103"/>
        <v>5765612</v>
      </c>
      <c r="J251" s="733">
        <v>452</v>
      </c>
      <c r="K251" s="733">
        <f t="shared" si="104"/>
        <v>12755.778761061947</v>
      </c>
      <c r="L251" s="667"/>
      <c r="M251" s="667"/>
      <c r="N251" s="297" t="s">
        <v>1343</v>
      </c>
      <c r="O251" s="746">
        <f t="shared" si="81"/>
        <v>41025</v>
      </c>
      <c r="P251" s="746">
        <v>41028</v>
      </c>
      <c r="Q251" s="747" t="s">
        <v>1543</v>
      </c>
      <c r="R251" s="304">
        <v>457</v>
      </c>
      <c r="S251" s="255">
        <v>11373.920634920634</v>
      </c>
      <c r="T251" s="8">
        <f t="shared" si="105"/>
        <v>5197881.7301587295</v>
      </c>
      <c r="U251" s="450"/>
      <c r="V251" s="748"/>
      <c r="W251" s="776"/>
      <c r="X251" s="776"/>
      <c r="Y251" s="8">
        <f t="shared" si="106"/>
        <v>0</v>
      </c>
    </row>
    <row r="252" spans="1:25">
      <c r="A252" s="771">
        <f t="shared" si="88"/>
        <v>54</v>
      </c>
      <c r="B252" s="297" t="s">
        <v>1519</v>
      </c>
      <c r="C252" s="796">
        <f t="shared" si="101"/>
        <v>14620727.878910191</v>
      </c>
      <c r="D252" s="733">
        <f t="shared" si="102"/>
        <v>511438.85454972222</v>
      </c>
      <c r="E252" s="733">
        <f t="shared" si="102"/>
        <v>167218.95782802597</v>
      </c>
      <c r="F252" s="733">
        <f t="shared" si="102"/>
        <v>310893.9832563962</v>
      </c>
      <c r="G252" s="733">
        <f t="shared" si="102"/>
        <v>231319.92801815196</v>
      </c>
      <c r="H252" s="733">
        <f t="shared" si="102"/>
        <v>0</v>
      </c>
      <c r="I252" s="772">
        <f t="shared" si="103"/>
        <v>15841600</v>
      </c>
      <c r="J252" s="733">
        <v>972</v>
      </c>
      <c r="K252" s="733">
        <f t="shared" si="104"/>
        <v>16297.942386831275</v>
      </c>
      <c r="L252" s="667"/>
      <c r="M252" s="667"/>
      <c r="N252" s="192" t="s">
        <v>1280</v>
      </c>
      <c r="O252" s="746">
        <f t="shared" si="81"/>
        <v>41025</v>
      </c>
      <c r="P252" s="746">
        <v>41028</v>
      </c>
      <c r="Q252" s="747" t="s">
        <v>1543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0"/>
      <c r="V252" s="748"/>
      <c r="W252" s="776"/>
      <c r="X252" s="776"/>
      <c r="Y252" s="8">
        <f t="shared" si="106"/>
        <v>0</v>
      </c>
    </row>
    <row r="253" spans="1:25">
      <c r="A253" s="771">
        <f t="shared" si="88"/>
        <v>55</v>
      </c>
      <c r="B253" s="297" t="s">
        <v>1182</v>
      </c>
      <c r="C253" s="796">
        <f t="shared" si="101"/>
        <v>3413400</v>
      </c>
      <c r="D253" s="733">
        <f t="shared" si="102"/>
        <v>105234.332211877</v>
      </c>
      <c r="E253" s="733">
        <f t="shared" si="102"/>
        <v>34407.192968729621</v>
      </c>
      <c r="F253" s="733">
        <f t="shared" si="102"/>
        <v>63969.955402550659</v>
      </c>
      <c r="G253" s="733">
        <f t="shared" si="102"/>
        <v>47596.693007850197</v>
      </c>
      <c r="H253" s="733">
        <f t="shared" si="102"/>
        <v>0</v>
      </c>
      <c r="I253" s="772">
        <f t="shared" si="103"/>
        <v>3664608</v>
      </c>
      <c r="J253" s="733">
        <v>200</v>
      </c>
      <c r="K253" s="733">
        <f t="shared" si="104"/>
        <v>18323.04</v>
      </c>
      <c r="L253" s="667"/>
      <c r="M253" s="667"/>
      <c r="N253" s="192" t="s">
        <v>1247</v>
      </c>
      <c r="O253" s="746">
        <f t="shared" si="81"/>
        <v>41028</v>
      </c>
      <c r="P253" s="746">
        <v>41031</v>
      </c>
      <c r="Q253" s="747" t="s">
        <v>955</v>
      </c>
      <c r="R253" s="794">
        <v>200</v>
      </c>
      <c r="S253" s="252">
        <v>17067</v>
      </c>
      <c r="T253" s="8">
        <f t="shared" si="105"/>
        <v>3413400</v>
      </c>
      <c r="U253" s="450"/>
      <c r="V253" s="748"/>
      <c r="W253" s="776"/>
      <c r="X253" s="776"/>
      <c r="Y253" s="8">
        <f t="shared" si="106"/>
        <v>0</v>
      </c>
    </row>
    <row r="254" spans="1:25">
      <c r="A254" s="771">
        <f t="shared" si="88"/>
        <v>56</v>
      </c>
      <c r="B254" s="297" t="s">
        <v>1207</v>
      </c>
      <c r="C254" s="796">
        <f t="shared" si="101"/>
        <v>1199544.4444444445</v>
      </c>
      <c r="D254" s="733">
        <f t="shared" si="102"/>
        <v>52617.166105938501</v>
      </c>
      <c r="E254" s="733">
        <f t="shared" si="102"/>
        <v>17203.596484364811</v>
      </c>
      <c r="F254" s="733">
        <f t="shared" si="102"/>
        <v>31984.977701275329</v>
      </c>
      <c r="G254" s="733">
        <f t="shared" si="102"/>
        <v>23798.346503925099</v>
      </c>
      <c r="H254" s="733">
        <f t="shared" si="102"/>
        <v>0</v>
      </c>
      <c r="I254" s="772">
        <f t="shared" si="103"/>
        <v>1325149</v>
      </c>
      <c r="J254" s="733">
        <v>100</v>
      </c>
      <c r="K254" s="733">
        <f t="shared" si="104"/>
        <v>13251.49</v>
      </c>
      <c r="L254" s="667"/>
      <c r="M254" s="667"/>
      <c r="N254" s="189" t="s">
        <v>1263</v>
      </c>
      <c r="O254" s="746">
        <f t="shared" si="81"/>
        <v>41028</v>
      </c>
      <c r="P254" s="746">
        <v>41031</v>
      </c>
      <c r="Q254" s="747" t="s">
        <v>955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0"/>
      <c r="V254" s="748"/>
      <c r="W254" s="776"/>
      <c r="X254" s="776"/>
      <c r="Y254" s="8">
        <f t="shared" si="106"/>
        <v>0</v>
      </c>
    </row>
    <row r="255" spans="1:25">
      <c r="A255" s="771">
        <f t="shared" si="88"/>
        <v>57</v>
      </c>
      <c r="B255" s="297" t="s">
        <v>1181</v>
      </c>
      <c r="C255" s="796">
        <f t="shared" si="101"/>
        <v>4173440</v>
      </c>
      <c r="D255" s="733">
        <f t="shared" si="102"/>
        <v>166796.41655582504</v>
      </c>
      <c r="E255" s="733">
        <f t="shared" si="102"/>
        <v>54535.400855436455</v>
      </c>
      <c r="F255" s="733">
        <f t="shared" si="102"/>
        <v>101392.37931304279</v>
      </c>
      <c r="G255" s="733">
        <f t="shared" si="102"/>
        <v>75440.758417442557</v>
      </c>
      <c r="H255" s="733">
        <f t="shared" si="102"/>
        <v>0</v>
      </c>
      <c r="I255" s="772">
        <f t="shared" si="103"/>
        <v>4571605</v>
      </c>
      <c r="J255" s="733">
        <v>317</v>
      </c>
      <c r="K255" s="733">
        <f t="shared" si="104"/>
        <v>14421.466876971608</v>
      </c>
      <c r="L255" s="667"/>
      <c r="M255" s="667"/>
      <c r="N255" s="192" t="s">
        <v>1418</v>
      </c>
      <c r="O255" s="746">
        <f t="shared" si="81"/>
        <v>41029</v>
      </c>
      <c r="P255" s="746">
        <v>41032</v>
      </c>
      <c r="Q255" s="747" t="s">
        <v>957</v>
      </c>
      <c r="R255" s="304">
        <v>320</v>
      </c>
      <c r="S255" s="778">
        <v>13042</v>
      </c>
      <c r="T255" s="8">
        <f t="shared" si="105"/>
        <v>4173440</v>
      </c>
      <c r="U255" s="450"/>
      <c r="V255" s="748"/>
      <c r="W255" s="776"/>
      <c r="X255" s="776"/>
      <c r="Y255" s="8">
        <f t="shared" si="106"/>
        <v>0</v>
      </c>
    </row>
    <row r="256" spans="1:25">
      <c r="A256" s="771">
        <f t="shared" si="88"/>
        <v>58</v>
      </c>
      <c r="B256" s="297" t="s">
        <v>1124</v>
      </c>
      <c r="C256" s="796">
        <f t="shared" si="101"/>
        <v>274050</v>
      </c>
      <c r="D256" s="733">
        <f t="shared" si="102"/>
        <v>160482.35662311243</v>
      </c>
      <c r="E256" s="733">
        <f t="shared" si="102"/>
        <v>52470.969277312674</v>
      </c>
      <c r="F256" s="733">
        <f t="shared" si="102"/>
        <v>97554.181988889759</v>
      </c>
      <c r="G256" s="733">
        <f t="shared" si="102"/>
        <v>72584.956836971542</v>
      </c>
      <c r="H256" s="733">
        <f t="shared" si="102"/>
        <v>0</v>
      </c>
      <c r="I256" s="772">
        <f t="shared" si="103"/>
        <v>657142</v>
      </c>
      <c r="J256" s="733">
        <v>305</v>
      </c>
      <c r="K256" s="733">
        <f t="shared" si="104"/>
        <v>2154.5639344262295</v>
      </c>
      <c r="L256" s="667"/>
      <c r="M256" s="667"/>
      <c r="N256" s="192" t="s">
        <v>742</v>
      </c>
      <c r="O256" s="746">
        <f t="shared" si="81"/>
        <v>41030</v>
      </c>
      <c r="P256" s="746">
        <v>41033</v>
      </c>
      <c r="Q256" s="747" t="s">
        <v>958</v>
      </c>
      <c r="R256" s="304">
        <v>10</v>
      </c>
      <c r="S256" s="255">
        <v>27405</v>
      </c>
      <c r="T256" s="8">
        <f t="shared" si="105"/>
        <v>274050</v>
      </c>
      <c r="U256" s="450"/>
      <c r="V256" s="748"/>
      <c r="W256" s="776"/>
      <c r="X256" s="776"/>
      <c r="Y256" s="8">
        <f t="shared" si="106"/>
        <v>0</v>
      </c>
    </row>
    <row r="257" spans="1:25">
      <c r="A257" s="771">
        <f t="shared" si="88"/>
        <v>59</v>
      </c>
      <c r="B257" s="297" t="s">
        <v>1180</v>
      </c>
      <c r="C257" s="796">
        <f t="shared" si="101"/>
        <v>2181200</v>
      </c>
      <c r="D257" s="733">
        <f t="shared" si="102"/>
        <v>98920.272279164376</v>
      </c>
      <c r="E257" s="733">
        <f t="shared" si="102"/>
        <v>32342.761390605847</v>
      </c>
      <c r="F257" s="733">
        <f t="shared" si="102"/>
        <v>60131.758078397615</v>
      </c>
      <c r="G257" s="733">
        <f t="shared" si="102"/>
        <v>44740.891427379182</v>
      </c>
      <c r="H257" s="733">
        <f t="shared" si="102"/>
        <v>0</v>
      </c>
      <c r="I257" s="772">
        <f t="shared" si="103"/>
        <v>2417336</v>
      </c>
      <c r="J257" s="733">
        <v>188</v>
      </c>
      <c r="K257" s="733">
        <f t="shared" si="104"/>
        <v>12858.170212765957</v>
      </c>
      <c r="L257" s="667"/>
      <c r="M257" s="667"/>
      <c r="N257" s="192" t="s">
        <v>1359</v>
      </c>
      <c r="O257" s="746">
        <f t="shared" si="81"/>
        <v>41030</v>
      </c>
      <c r="P257" s="746">
        <v>41033</v>
      </c>
      <c r="Q257" s="747" t="s">
        <v>958</v>
      </c>
      <c r="R257" s="304">
        <v>190</v>
      </c>
      <c r="S257" s="255">
        <v>11480</v>
      </c>
      <c r="T257" s="8">
        <f t="shared" si="105"/>
        <v>2181200</v>
      </c>
      <c r="U257" s="450"/>
      <c r="V257" s="748"/>
      <c r="W257" s="776"/>
      <c r="X257" s="776"/>
      <c r="Y257" s="8">
        <f t="shared" si="106"/>
        <v>0</v>
      </c>
    </row>
    <row r="258" spans="1:25">
      <c r="A258" s="771">
        <f t="shared" si="88"/>
        <v>60</v>
      </c>
      <c r="B258" s="297" t="s">
        <v>1112</v>
      </c>
      <c r="C258" s="796">
        <f t="shared" si="101"/>
        <v>3933600</v>
      </c>
      <c r="D258" s="733">
        <f t="shared" si="102"/>
        <v>471975.97997026832</v>
      </c>
      <c r="E258" s="733">
        <f t="shared" si="102"/>
        <v>154316.26046475235</v>
      </c>
      <c r="F258" s="733">
        <f t="shared" si="102"/>
        <v>286905.24998043972</v>
      </c>
      <c r="G258" s="733">
        <f t="shared" si="102"/>
        <v>213471.16814020812</v>
      </c>
      <c r="H258" s="733">
        <f t="shared" si="102"/>
        <v>0</v>
      </c>
      <c r="I258" s="772">
        <f t="shared" si="103"/>
        <v>5060269</v>
      </c>
      <c r="J258" s="733">
        <v>897</v>
      </c>
      <c r="K258" s="733">
        <f t="shared" si="104"/>
        <v>5641.3255295429208</v>
      </c>
      <c r="L258" s="667"/>
      <c r="M258" s="667"/>
      <c r="N258" s="192" t="s">
        <v>1386</v>
      </c>
      <c r="O258" s="746">
        <f t="shared" si="81"/>
        <v>41030</v>
      </c>
      <c r="P258" s="746">
        <v>41033</v>
      </c>
      <c r="Q258" s="747" t="s">
        <v>959</v>
      </c>
      <c r="R258" s="304">
        <v>300</v>
      </c>
      <c r="S258" s="255">
        <v>13112</v>
      </c>
      <c r="T258" s="8">
        <f t="shared" si="105"/>
        <v>3933600</v>
      </c>
      <c r="U258" s="450"/>
      <c r="V258" s="748"/>
      <c r="W258" s="776"/>
      <c r="X258" s="776"/>
      <c r="Y258" s="8">
        <f t="shared" si="106"/>
        <v>0</v>
      </c>
    </row>
    <row r="259" spans="1:25">
      <c r="A259" s="771">
        <f t="shared" si="88"/>
        <v>61</v>
      </c>
      <c r="B259" s="297" t="s">
        <v>1179</v>
      </c>
      <c r="C259" s="796">
        <f t="shared" si="101"/>
        <v>1749570</v>
      </c>
      <c r="D259" s="733">
        <f t="shared" ref="D259:H268" si="107">IF($J$371&lt;&gt;0,D$371/$J$371*$J259,0)</f>
        <v>151011.2667240435</v>
      </c>
      <c r="E259" s="733">
        <f t="shared" si="107"/>
        <v>49374.321910127008</v>
      </c>
      <c r="F259" s="733">
        <f t="shared" si="107"/>
        <v>91796.886002660191</v>
      </c>
      <c r="G259" s="733">
        <f t="shared" si="107"/>
        <v>68301.254466265033</v>
      </c>
      <c r="H259" s="733">
        <f t="shared" si="107"/>
        <v>0</v>
      </c>
      <c r="I259" s="772">
        <f t="shared" si="103"/>
        <v>2110054</v>
      </c>
      <c r="J259" s="733">
        <v>287</v>
      </c>
      <c r="K259" s="733">
        <f t="shared" si="104"/>
        <v>7352.1045296167249</v>
      </c>
      <c r="L259" s="667"/>
      <c r="M259" s="667"/>
      <c r="N259" s="192" t="s">
        <v>733</v>
      </c>
      <c r="O259" s="746">
        <f t="shared" si="81"/>
        <v>41030</v>
      </c>
      <c r="P259" s="746">
        <v>41033</v>
      </c>
      <c r="Q259" s="747" t="s">
        <v>959</v>
      </c>
      <c r="R259" s="304">
        <v>145</v>
      </c>
      <c r="S259" s="255">
        <v>12066</v>
      </c>
      <c r="T259" s="8">
        <f t="shared" si="105"/>
        <v>1749570</v>
      </c>
      <c r="U259" s="450"/>
      <c r="V259" s="748"/>
      <c r="W259" s="776"/>
      <c r="X259" s="776"/>
      <c r="Y259" s="8">
        <f t="shared" si="106"/>
        <v>0</v>
      </c>
    </row>
    <row r="260" spans="1:25">
      <c r="A260" s="771">
        <f t="shared" si="88"/>
        <v>62</v>
      </c>
      <c r="B260" s="297" t="s">
        <v>1178</v>
      </c>
      <c r="C260" s="796">
        <f t="shared" si="101"/>
        <v>2634996</v>
      </c>
      <c r="D260" s="733">
        <f t="shared" si="107"/>
        <v>133647.60190908378</v>
      </c>
      <c r="E260" s="733">
        <f t="shared" si="107"/>
        <v>43697.135070286618</v>
      </c>
      <c r="F260" s="733">
        <f t="shared" si="107"/>
        <v>81241.843361239342</v>
      </c>
      <c r="G260" s="733">
        <f t="shared" si="107"/>
        <v>60447.800119969746</v>
      </c>
      <c r="H260" s="733">
        <f t="shared" si="107"/>
        <v>0</v>
      </c>
      <c r="I260" s="772">
        <f t="shared" si="103"/>
        <v>2954030</v>
      </c>
      <c r="J260" s="733">
        <v>254</v>
      </c>
      <c r="K260" s="733">
        <f t="shared" si="104"/>
        <v>11630.039370078741</v>
      </c>
      <c r="L260" s="667"/>
      <c r="M260" s="667"/>
      <c r="N260" s="192" t="s">
        <v>1423</v>
      </c>
      <c r="O260" s="746">
        <f t="shared" si="81"/>
        <v>41030</v>
      </c>
      <c r="P260" s="746">
        <v>41033</v>
      </c>
      <c r="Q260" s="747" t="s">
        <v>959</v>
      </c>
      <c r="R260" s="304">
        <f>J260</f>
        <v>254</v>
      </c>
      <c r="S260" s="255">
        <v>10374</v>
      </c>
      <c r="T260" s="8">
        <f t="shared" si="105"/>
        <v>2634996</v>
      </c>
      <c r="U260" s="450"/>
      <c r="V260" s="748"/>
      <c r="W260" s="776"/>
      <c r="X260" s="776"/>
      <c r="Y260" s="8">
        <f t="shared" si="106"/>
        <v>0</v>
      </c>
    </row>
    <row r="261" spans="1:25">
      <c r="A261" s="771">
        <f t="shared" si="88"/>
        <v>63</v>
      </c>
      <c r="B261" s="297" t="s">
        <v>1111</v>
      </c>
      <c r="C261" s="796">
        <f t="shared" si="101"/>
        <v>1926171</v>
      </c>
      <c r="D261" s="733">
        <f t="shared" si="107"/>
        <v>156272.98333463733</v>
      </c>
      <c r="E261" s="733">
        <f t="shared" si="107"/>
        <v>51094.68155856349</v>
      </c>
      <c r="F261" s="733">
        <f t="shared" si="107"/>
        <v>94995.383772787725</v>
      </c>
      <c r="G261" s="733">
        <f t="shared" si="107"/>
        <v>70681.089116657546</v>
      </c>
      <c r="H261" s="733">
        <f t="shared" si="107"/>
        <v>0</v>
      </c>
      <c r="I261" s="772">
        <f t="shared" si="103"/>
        <v>2299215</v>
      </c>
      <c r="J261" s="733">
        <v>297</v>
      </c>
      <c r="K261" s="733">
        <f t="shared" si="104"/>
        <v>7741.4646464646466</v>
      </c>
      <c r="L261" s="667"/>
      <c r="M261" s="667"/>
      <c r="N261" s="192" t="s">
        <v>1292</v>
      </c>
      <c r="O261" s="746">
        <f t="shared" si="81"/>
        <v>41030</v>
      </c>
      <c r="P261" s="746">
        <v>41033</v>
      </c>
      <c r="Q261" s="747" t="s">
        <v>959</v>
      </c>
      <c r="R261" s="794">
        <v>163</v>
      </c>
      <c r="S261" s="255">
        <v>11817</v>
      </c>
      <c r="T261" s="8">
        <f t="shared" si="105"/>
        <v>1926171</v>
      </c>
      <c r="U261" s="450"/>
      <c r="V261" s="748"/>
      <c r="W261" s="776"/>
      <c r="X261" s="776"/>
      <c r="Y261" s="8">
        <f t="shared" si="106"/>
        <v>0</v>
      </c>
    </row>
    <row r="262" spans="1:25">
      <c r="A262" s="771">
        <f t="shared" si="88"/>
        <v>64</v>
      </c>
      <c r="B262" s="297" t="s">
        <v>1106</v>
      </c>
      <c r="C262" s="796">
        <f t="shared" si="101"/>
        <v>959635.55555555562</v>
      </c>
      <c r="D262" s="733">
        <f t="shared" si="107"/>
        <v>42093.732884750796</v>
      </c>
      <c r="E262" s="733">
        <f t="shared" si="107"/>
        <v>13762.877187491849</v>
      </c>
      <c r="F262" s="733">
        <f t="shared" si="107"/>
        <v>25587.982161020263</v>
      </c>
      <c r="G262" s="733">
        <f t="shared" si="107"/>
        <v>19038.677203140076</v>
      </c>
      <c r="H262" s="733">
        <f t="shared" si="107"/>
        <v>0</v>
      </c>
      <c r="I262" s="772">
        <f t="shared" si="103"/>
        <v>1060119</v>
      </c>
      <c r="J262" s="733">
        <v>80</v>
      </c>
      <c r="K262" s="733">
        <f t="shared" si="104"/>
        <v>13251.487499999999</v>
      </c>
      <c r="L262" s="667"/>
      <c r="M262" s="667"/>
      <c r="N262" s="189" t="s">
        <v>1263</v>
      </c>
      <c r="O262" s="746">
        <f t="shared" si="81"/>
        <v>41030</v>
      </c>
      <c r="P262" s="746">
        <v>41033</v>
      </c>
      <c r="Q262" s="747" t="s">
        <v>959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0"/>
      <c r="V262" s="748"/>
      <c r="W262" s="776"/>
      <c r="X262" s="776"/>
      <c r="Y262" s="8">
        <f t="shared" si="106"/>
        <v>0</v>
      </c>
    </row>
    <row r="263" spans="1:25">
      <c r="A263" s="771">
        <f t="shared" si="88"/>
        <v>65</v>
      </c>
      <c r="B263" s="297" t="s">
        <v>1177</v>
      </c>
      <c r="C263" s="796">
        <f t="shared" si="101"/>
        <v>1036800</v>
      </c>
      <c r="D263" s="733">
        <f t="shared" si="107"/>
        <v>162060.87160629057</v>
      </c>
      <c r="E263" s="733">
        <f t="shared" si="107"/>
        <v>52987.077171843623</v>
      </c>
      <c r="F263" s="733">
        <f t="shared" si="107"/>
        <v>98513.731319928018</v>
      </c>
      <c r="G263" s="733">
        <f t="shared" si="107"/>
        <v>73298.907232089303</v>
      </c>
      <c r="H263" s="733">
        <f t="shared" si="107"/>
        <v>0</v>
      </c>
      <c r="I263" s="772">
        <f t="shared" si="103"/>
        <v>1423661</v>
      </c>
      <c r="J263" s="733">
        <v>308</v>
      </c>
      <c r="K263" s="733">
        <f t="shared" si="104"/>
        <v>4622.2759740259744</v>
      </c>
      <c r="L263" s="667"/>
      <c r="M263" s="667"/>
      <c r="N263" s="192" t="s">
        <v>1398</v>
      </c>
      <c r="O263" s="746">
        <f t="shared" ref="O263:O320" si="108">P263-3</f>
        <v>41033</v>
      </c>
      <c r="P263" s="746">
        <v>41036</v>
      </c>
      <c r="Q263" s="747" t="s">
        <v>960</v>
      </c>
      <c r="R263" s="304">
        <v>150</v>
      </c>
      <c r="S263" s="255">
        <v>6912</v>
      </c>
      <c r="T263" s="8">
        <f t="shared" si="105"/>
        <v>1036800</v>
      </c>
      <c r="U263" s="450"/>
      <c r="V263" s="748"/>
      <c r="W263" s="776"/>
      <c r="X263" s="776"/>
      <c r="Y263" s="8">
        <f t="shared" si="106"/>
        <v>0</v>
      </c>
    </row>
    <row r="264" spans="1:25">
      <c r="A264" s="771">
        <f t="shared" si="88"/>
        <v>66</v>
      </c>
      <c r="B264" s="297" t="s">
        <v>961</v>
      </c>
      <c r="C264" s="796">
        <f t="shared" si="101"/>
        <v>27079</v>
      </c>
      <c r="D264" s="733">
        <f t="shared" si="107"/>
        <v>263085.83052969247</v>
      </c>
      <c r="E264" s="733">
        <f t="shared" si="107"/>
        <v>86017.982421824054</v>
      </c>
      <c r="F264" s="733">
        <f t="shared" si="107"/>
        <v>159924.88850637665</v>
      </c>
      <c r="G264" s="733">
        <f t="shared" si="107"/>
        <v>118991.73251962548</v>
      </c>
      <c r="H264" s="733">
        <f t="shared" si="107"/>
        <v>0</v>
      </c>
      <c r="I264" s="772">
        <f t="shared" si="103"/>
        <v>655099</v>
      </c>
      <c r="J264" s="733">
        <v>500</v>
      </c>
      <c r="K264" s="733">
        <f t="shared" si="104"/>
        <v>1310.1980000000001</v>
      </c>
      <c r="L264" s="667"/>
      <c r="M264" s="667"/>
      <c r="N264" s="192" t="s">
        <v>1360</v>
      </c>
      <c r="O264" s="746">
        <f t="shared" si="108"/>
        <v>41033</v>
      </c>
      <c r="P264" s="746">
        <v>41036</v>
      </c>
      <c r="Q264" s="747" t="s">
        <v>960</v>
      </c>
      <c r="R264" s="304">
        <v>3</v>
      </c>
      <c r="S264" s="255">
        <v>9026.3333333333339</v>
      </c>
      <c r="T264" s="8">
        <f t="shared" si="105"/>
        <v>27079</v>
      </c>
      <c r="U264" s="450"/>
      <c r="V264" s="748"/>
      <c r="W264" s="776"/>
      <c r="X264" s="776"/>
      <c r="Y264" s="8">
        <f t="shared" si="106"/>
        <v>0</v>
      </c>
    </row>
    <row r="265" spans="1:25">
      <c r="A265" s="771">
        <f t="shared" si="88"/>
        <v>67</v>
      </c>
      <c r="B265" s="297" t="s">
        <v>962</v>
      </c>
      <c r="C265" s="796">
        <f t="shared" si="101"/>
        <v>274050</v>
      </c>
      <c r="D265" s="733">
        <f t="shared" si="107"/>
        <v>2630858.3052969249</v>
      </c>
      <c r="E265" s="733">
        <f t="shared" si="107"/>
        <v>860179.82421824057</v>
      </c>
      <c r="F265" s="733">
        <f t="shared" si="107"/>
        <v>1599248.8850637665</v>
      </c>
      <c r="G265" s="733">
        <f t="shared" si="107"/>
        <v>1189917.3251962548</v>
      </c>
      <c r="H265" s="733">
        <f t="shared" si="107"/>
        <v>0</v>
      </c>
      <c r="I265" s="772">
        <f t="shared" si="103"/>
        <v>6554254</v>
      </c>
      <c r="J265" s="733">
        <v>5000</v>
      </c>
      <c r="K265" s="733">
        <f t="shared" si="104"/>
        <v>1310.8507999999999</v>
      </c>
      <c r="L265" s="667"/>
      <c r="M265" s="667"/>
      <c r="N265" s="192" t="s">
        <v>742</v>
      </c>
      <c r="O265" s="746">
        <f t="shared" si="108"/>
        <v>41033</v>
      </c>
      <c r="P265" s="746">
        <v>41036</v>
      </c>
      <c r="Q265" s="747" t="s">
        <v>960</v>
      </c>
      <c r="R265" s="794">
        <v>10</v>
      </c>
      <c r="S265" s="255">
        <v>27405</v>
      </c>
      <c r="T265" s="8">
        <f t="shared" si="105"/>
        <v>274050</v>
      </c>
      <c r="U265" s="450"/>
      <c r="V265" s="748"/>
      <c r="W265" s="776"/>
      <c r="X265" s="776"/>
      <c r="Y265" s="8">
        <f t="shared" si="106"/>
        <v>0</v>
      </c>
    </row>
    <row r="266" spans="1:25">
      <c r="A266" s="771">
        <f>IF(B266&lt;&gt;"",A265+1,"")</f>
        <v>68</v>
      </c>
      <c r="B266" s="297" t="s">
        <v>1128</v>
      </c>
      <c r="C266" s="796">
        <f t="shared" si="101"/>
        <v>3557890</v>
      </c>
      <c r="D266" s="733">
        <f t="shared" si="107"/>
        <v>418306.47054221103</v>
      </c>
      <c r="E266" s="733">
        <f t="shared" si="107"/>
        <v>136768.59205070024</v>
      </c>
      <c r="F266" s="733">
        <f t="shared" si="107"/>
        <v>254280.57272513886</v>
      </c>
      <c r="G266" s="733">
        <f t="shared" si="107"/>
        <v>189196.85470620453</v>
      </c>
      <c r="H266" s="733">
        <f t="shared" si="107"/>
        <v>0</v>
      </c>
      <c r="I266" s="772">
        <f t="shared" si="103"/>
        <v>4556442</v>
      </c>
      <c r="J266" s="733">
        <v>795</v>
      </c>
      <c r="K266" s="733">
        <f t="shared" si="104"/>
        <v>5731.3735849056602</v>
      </c>
      <c r="L266" s="667"/>
      <c r="M266" s="667"/>
      <c r="N266" s="192" t="s">
        <v>1400</v>
      </c>
      <c r="O266" s="746">
        <f t="shared" si="108"/>
        <v>41034</v>
      </c>
      <c r="P266" s="746">
        <v>41037</v>
      </c>
      <c r="Q266" s="747" t="s">
        <v>963</v>
      </c>
      <c r="R266" s="794">
        <v>274</v>
      </c>
      <c r="S266" s="255">
        <v>12985</v>
      </c>
      <c r="T266" s="8">
        <f t="shared" si="105"/>
        <v>3557890</v>
      </c>
      <c r="U266" s="450"/>
      <c r="V266" s="748"/>
      <c r="W266" s="776"/>
      <c r="X266" s="776"/>
      <c r="Y266" s="8">
        <f t="shared" si="106"/>
        <v>0</v>
      </c>
    </row>
    <row r="267" spans="1:25">
      <c r="A267" s="771">
        <f t="shared" ref="A267:A329" si="109">IF(B267&lt;&gt;"",A266+1,"")</f>
        <v>69</v>
      </c>
      <c r="B267" s="297" t="s">
        <v>1545</v>
      </c>
      <c r="C267" s="796">
        <f t="shared" si="101"/>
        <v>2116250</v>
      </c>
      <c r="D267" s="733">
        <f t="shared" si="107"/>
        <v>264664.34551287064</v>
      </c>
      <c r="E267" s="733">
        <f t="shared" si="107"/>
        <v>86534.090316354996</v>
      </c>
      <c r="F267" s="733">
        <f t="shared" si="107"/>
        <v>160884.43783741491</v>
      </c>
      <c r="G267" s="733">
        <f t="shared" si="107"/>
        <v>119705.68291474324</v>
      </c>
      <c r="H267" s="733">
        <f t="shared" si="107"/>
        <v>0</v>
      </c>
      <c r="I267" s="772">
        <f t="shared" si="103"/>
        <v>2748039</v>
      </c>
      <c r="J267" s="733">
        <v>503</v>
      </c>
      <c r="K267" s="733">
        <f t="shared" si="104"/>
        <v>5463.2982107355865</v>
      </c>
      <c r="L267" s="667"/>
      <c r="M267" s="667"/>
      <c r="N267" s="192" t="s">
        <v>1374</v>
      </c>
      <c r="O267" s="746">
        <f t="shared" si="108"/>
        <v>41034</v>
      </c>
      <c r="P267" s="746">
        <v>41037</v>
      </c>
      <c r="Q267" s="747" t="s">
        <v>1544</v>
      </c>
      <c r="R267" s="794">
        <v>250</v>
      </c>
      <c r="S267" s="778">
        <v>8465</v>
      </c>
      <c r="T267" s="8">
        <f t="shared" si="105"/>
        <v>2116250</v>
      </c>
      <c r="U267" s="450"/>
      <c r="V267" s="748"/>
      <c r="W267" s="776"/>
      <c r="X267" s="776"/>
      <c r="Y267" s="8">
        <f t="shared" si="106"/>
        <v>0</v>
      </c>
    </row>
    <row r="268" spans="1:25">
      <c r="A268" s="771">
        <f t="shared" si="109"/>
        <v>70</v>
      </c>
      <c r="B268" s="297" t="s">
        <v>1176</v>
      </c>
      <c r="C268" s="796">
        <f>T268</f>
        <v>1456200</v>
      </c>
      <c r="D268" s="733">
        <f t="shared" si="107"/>
        <v>157851.49831781548</v>
      </c>
      <c r="E268" s="733">
        <f t="shared" si="107"/>
        <v>51610.789453094432</v>
      </c>
      <c r="F268" s="733">
        <f t="shared" si="107"/>
        <v>95954.933103825984</v>
      </c>
      <c r="G268" s="733">
        <f t="shared" si="107"/>
        <v>71395.039511775292</v>
      </c>
      <c r="H268" s="733">
        <f t="shared" si="107"/>
        <v>0</v>
      </c>
      <c r="I268" s="772">
        <f t="shared" si="103"/>
        <v>1833012</v>
      </c>
      <c r="J268" s="733">
        <v>300</v>
      </c>
      <c r="K268" s="733">
        <f t="shared" si="104"/>
        <v>6110.04</v>
      </c>
      <c r="L268" s="667"/>
      <c r="M268" s="667"/>
      <c r="N268" s="192" t="s">
        <v>1394</v>
      </c>
      <c r="O268" s="746">
        <f t="shared" si="108"/>
        <v>41036</v>
      </c>
      <c r="P268" s="746">
        <v>41039</v>
      </c>
      <c r="Q268" s="747" t="s">
        <v>965</v>
      </c>
      <c r="R268" s="304">
        <v>100</v>
      </c>
      <c r="S268" s="255">
        <v>14562</v>
      </c>
      <c r="T268" s="8">
        <f t="shared" si="105"/>
        <v>1456200</v>
      </c>
      <c r="U268" s="450"/>
      <c r="V268" s="748"/>
      <c r="W268" s="776"/>
      <c r="X268" s="776"/>
      <c r="Y268" s="8">
        <f t="shared" si="106"/>
        <v>0</v>
      </c>
    </row>
    <row r="269" spans="1:25">
      <c r="A269" s="771">
        <f t="shared" si="109"/>
        <v>71</v>
      </c>
      <c r="B269" s="297" t="s">
        <v>1149</v>
      </c>
      <c r="C269" s="796">
        <f>T269</f>
        <v>5376000</v>
      </c>
      <c r="D269" s="733">
        <f t="shared" ref="D269:H278" si="110">IF($J$371&lt;&gt;0,D$371/$J$371*$J269,0)</f>
        <v>539325.95258586959</v>
      </c>
      <c r="E269" s="733">
        <f t="shared" si="110"/>
        <v>176336.86396473931</v>
      </c>
      <c r="F269" s="733">
        <f t="shared" si="110"/>
        <v>327846.02143807214</v>
      </c>
      <c r="G269" s="733">
        <f t="shared" si="110"/>
        <v>243933.05166523225</v>
      </c>
      <c r="H269" s="733">
        <f t="shared" si="110"/>
        <v>0</v>
      </c>
      <c r="I269" s="772">
        <f t="shared" si="103"/>
        <v>6663442</v>
      </c>
      <c r="J269" s="733">
        <v>1025</v>
      </c>
      <c r="K269" s="733">
        <f t="shared" si="104"/>
        <v>6500.919024390244</v>
      </c>
      <c r="L269" s="667"/>
      <c r="M269" s="667"/>
      <c r="N269" s="192" t="s">
        <v>1402</v>
      </c>
      <c r="O269" s="746">
        <f t="shared" si="108"/>
        <v>41038</v>
      </c>
      <c r="P269" s="746">
        <v>41041</v>
      </c>
      <c r="Q269" s="747" t="s">
        <v>966</v>
      </c>
      <c r="R269" s="304">
        <v>500</v>
      </c>
      <c r="S269" s="255">
        <v>10752</v>
      </c>
      <c r="T269" s="8">
        <f t="shared" si="105"/>
        <v>5376000</v>
      </c>
      <c r="U269" s="450"/>
      <c r="V269" s="748"/>
      <c r="W269" s="776"/>
      <c r="X269" s="776"/>
      <c r="Y269" s="8">
        <f t="shared" si="106"/>
        <v>0</v>
      </c>
    </row>
    <row r="270" spans="1:25">
      <c r="A270" s="771">
        <f t="shared" si="109"/>
        <v>72</v>
      </c>
      <c r="B270" s="297" t="s">
        <v>1111</v>
      </c>
      <c r="C270" s="796">
        <f>T270</f>
        <v>200889</v>
      </c>
      <c r="D270" s="733">
        <f t="shared" si="110"/>
        <v>14206.634848603395</v>
      </c>
      <c r="E270" s="733">
        <f t="shared" si="110"/>
        <v>4644.9710507784994</v>
      </c>
      <c r="F270" s="733">
        <f t="shared" si="110"/>
        <v>8635.943979344338</v>
      </c>
      <c r="G270" s="733">
        <f t="shared" si="110"/>
        <v>6425.5535560597764</v>
      </c>
      <c r="H270" s="733">
        <f t="shared" si="110"/>
        <v>0</v>
      </c>
      <c r="I270" s="772">
        <f t="shared" si="103"/>
        <v>234802</v>
      </c>
      <c r="J270" s="733">
        <v>27</v>
      </c>
      <c r="K270" s="733">
        <f t="shared" si="104"/>
        <v>8696.3703703703704</v>
      </c>
      <c r="L270" s="667"/>
      <c r="M270" s="667"/>
      <c r="N270" s="192" t="s">
        <v>1292</v>
      </c>
      <c r="O270" s="746">
        <f t="shared" si="108"/>
        <v>41038</v>
      </c>
      <c r="P270" s="746">
        <v>41041</v>
      </c>
      <c r="Q270" s="747" t="s">
        <v>968</v>
      </c>
      <c r="R270" s="304">
        <v>17</v>
      </c>
      <c r="S270" s="255">
        <v>11817</v>
      </c>
      <c r="T270" s="8">
        <f t="shared" si="105"/>
        <v>200889</v>
      </c>
      <c r="U270" s="450"/>
      <c r="V270" s="748"/>
      <c r="W270" s="776"/>
      <c r="X270" s="776"/>
      <c r="Y270" s="8">
        <f t="shared" si="106"/>
        <v>0</v>
      </c>
    </row>
    <row r="271" spans="1:25">
      <c r="A271" s="771">
        <f t="shared" si="109"/>
        <v>73</v>
      </c>
      <c r="B271" s="297" t="s">
        <v>1093</v>
      </c>
      <c r="C271" s="796">
        <f>T271</f>
        <v>4781700</v>
      </c>
      <c r="D271" s="733">
        <f t="shared" si="110"/>
        <v>710331.74243016972</v>
      </c>
      <c r="E271" s="733">
        <f t="shared" si="110"/>
        <v>232248.55253892497</v>
      </c>
      <c r="F271" s="733">
        <f t="shared" si="110"/>
        <v>431797.19896721694</v>
      </c>
      <c r="G271" s="733">
        <f t="shared" si="110"/>
        <v>321277.67780298879</v>
      </c>
      <c r="H271" s="733">
        <f t="shared" si="110"/>
        <v>0</v>
      </c>
      <c r="I271" s="772">
        <f t="shared" si="103"/>
        <v>6477355</v>
      </c>
      <c r="J271" s="733">
        <v>1350</v>
      </c>
      <c r="K271" s="733">
        <f t="shared" si="104"/>
        <v>4798.0407407407411</v>
      </c>
      <c r="L271" s="667"/>
      <c r="M271" s="667"/>
      <c r="N271" s="192" t="s">
        <v>709</v>
      </c>
      <c r="O271" s="746">
        <f t="shared" si="108"/>
        <v>41038</v>
      </c>
      <c r="P271" s="746">
        <v>41041</v>
      </c>
      <c r="Q271" s="747" t="s">
        <v>968</v>
      </c>
      <c r="R271" s="304">
        <v>450</v>
      </c>
      <c r="S271" s="252">
        <v>10626</v>
      </c>
      <c r="T271" s="8">
        <f t="shared" si="105"/>
        <v>4781700</v>
      </c>
      <c r="U271" s="450"/>
      <c r="V271" s="748"/>
      <c r="W271" s="776"/>
      <c r="X271" s="776"/>
      <c r="Y271" s="8">
        <f t="shared" si="106"/>
        <v>0</v>
      </c>
    </row>
    <row r="272" spans="1:25">
      <c r="A272" s="771">
        <f t="shared" si="109"/>
        <v>74</v>
      </c>
      <c r="B272" s="297" t="s">
        <v>1108</v>
      </c>
      <c r="C272" s="796">
        <f>T272</f>
        <v>1515900</v>
      </c>
      <c r="D272" s="733">
        <f t="shared" si="110"/>
        <v>105234.332211877</v>
      </c>
      <c r="E272" s="733">
        <f t="shared" si="110"/>
        <v>34407.192968729621</v>
      </c>
      <c r="F272" s="733">
        <f t="shared" si="110"/>
        <v>63969.955402550659</v>
      </c>
      <c r="G272" s="733">
        <f t="shared" si="110"/>
        <v>47596.693007850197</v>
      </c>
      <c r="H272" s="733">
        <f t="shared" si="110"/>
        <v>0</v>
      </c>
      <c r="I272" s="772">
        <f t="shared" si="103"/>
        <v>1767108</v>
      </c>
      <c r="J272" s="733">
        <v>200</v>
      </c>
      <c r="K272" s="733">
        <f t="shared" si="104"/>
        <v>8835.5400000000009</v>
      </c>
      <c r="L272" s="781"/>
      <c r="M272" s="667"/>
      <c r="N272" s="192" t="s">
        <v>1355</v>
      </c>
      <c r="O272" s="746">
        <f t="shared" si="108"/>
        <v>41038</v>
      </c>
      <c r="P272" s="746">
        <v>41041</v>
      </c>
      <c r="Q272" s="747" t="s">
        <v>968</v>
      </c>
      <c r="R272" s="794">
        <v>100</v>
      </c>
      <c r="S272" s="255">
        <v>15159</v>
      </c>
      <c r="T272" s="8">
        <f t="shared" si="105"/>
        <v>1515900</v>
      </c>
      <c r="U272" s="450"/>
      <c r="V272" s="748"/>
      <c r="W272" s="776"/>
      <c r="X272" s="776"/>
      <c r="Y272" s="8">
        <f t="shared" si="106"/>
        <v>0</v>
      </c>
    </row>
    <row r="273" spans="1:25">
      <c r="A273" s="771">
        <f t="shared" si="109"/>
        <v>75</v>
      </c>
      <c r="B273" s="297" t="s">
        <v>1106</v>
      </c>
      <c r="C273" s="796">
        <f t="shared" ref="C273:C290" si="111">T273</f>
        <v>1067594.5555555557</v>
      </c>
      <c r="D273" s="733">
        <f t="shared" si="110"/>
        <v>46829.277834285262</v>
      </c>
      <c r="E273" s="733">
        <f t="shared" si="110"/>
        <v>15311.200871084682</v>
      </c>
      <c r="F273" s="733">
        <f t="shared" si="110"/>
        <v>28466.630154135044</v>
      </c>
      <c r="G273" s="733">
        <f t="shared" si="110"/>
        <v>21180.528388493338</v>
      </c>
      <c r="H273" s="733">
        <f t="shared" si="110"/>
        <v>0</v>
      </c>
      <c r="I273" s="772">
        <f t="shared" si="103"/>
        <v>1179382</v>
      </c>
      <c r="J273" s="733">
        <v>89</v>
      </c>
      <c r="K273" s="733">
        <f t="shared" si="104"/>
        <v>13251.483146067416</v>
      </c>
      <c r="L273" s="667"/>
      <c r="M273" s="667"/>
      <c r="N273" s="189" t="s">
        <v>1263</v>
      </c>
      <c r="O273" s="746">
        <f t="shared" si="108"/>
        <v>41038</v>
      </c>
      <c r="P273" s="746">
        <v>41041</v>
      </c>
      <c r="Q273" s="747" t="s">
        <v>968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0"/>
      <c r="V273" s="748"/>
      <c r="W273" s="776"/>
      <c r="X273" s="776"/>
      <c r="Y273" s="8">
        <f t="shared" si="106"/>
        <v>0</v>
      </c>
    </row>
    <row r="274" spans="1:25">
      <c r="A274" s="771">
        <f t="shared" si="109"/>
        <v>76</v>
      </c>
      <c r="B274" s="297" t="s">
        <v>1175</v>
      </c>
      <c r="C274" s="796">
        <f t="shared" si="111"/>
        <v>2714850</v>
      </c>
      <c r="D274" s="733">
        <f t="shared" si="110"/>
        <v>237303.41913778262</v>
      </c>
      <c r="E274" s="733">
        <f t="shared" si="110"/>
        <v>77588.220144485298</v>
      </c>
      <c r="F274" s="733">
        <f t="shared" si="110"/>
        <v>144252.24943275173</v>
      </c>
      <c r="G274" s="733">
        <f t="shared" si="110"/>
        <v>107330.54273270219</v>
      </c>
      <c r="H274" s="733">
        <f t="shared" si="110"/>
        <v>0</v>
      </c>
      <c r="I274" s="772">
        <f t="shared" si="103"/>
        <v>3281324</v>
      </c>
      <c r="J274" s="733">
        <v>451</v>
      </c>
      <c r="K274" s="733">
        <f t="shared" si="104"/>
        <v>7275.6629711751666</v>
      </c>
      <c r="L274" s="667"/>
      <c r="M274" s="667"/>
      <c r="N274" s="192" t="s">
        <v>733</v>
      </c>
      <c r="O274" s="746">
        <f t="shared" si="108"/>
        <v>41042</v>
      </c>
      <c r="P274" s="746">
        <v>41045</v>
      </c>
      <c r="Q274" s="747" t="s">
        <v>969</v>
      </c>
      <c r="R274" s="794">
        <v>225</v>
      </c>
      <c r="S274" s="255">
        <v>12066</v>
      </c>
      <c r="T274" s="8">
        <f t="shared" si="105"/>
        <v>2714850</v>
      </c>
      <c r="U274" s="450"/>
      <c r="V274" s="748"/>
      <c r="W274" s="776"/>
      <c r="X274" s="776"/>
      <c r="Y274" s="8">
        <f t="shared" si="106"/>
        <v>0</v>
      </c>
    </row>
    <row r="275" spans="1:25">
      <c r="A275" s="771">
        <f t="shared" si="109"/>
        <v>77</v>
      </c>
      <c r="B275" s="297" t="s">
        <v>1045</v>
      </c>
      <c r="C275" s="796">
        <f t="shared" si="111"/>
        <v>4169206</v>
      </c>
      <c r="D275" s="733">
        <f t="shared" si="110"/>
        <v>411992.41060949845</v>
      </c>
      <c r="E275" s="733">
        <f t="shared" si="110"/>
        <v>134704.16047257648</v>
      </c>
      <c r="F275" s="733">
        <f t="shared" si="110"/>
        <v>250442.37540098582</v>
      </c>
      <c r="G275" s="733">
        <f t="shared" si="110"/>
        <v>186341.05312573351</v>
      </c>
      <c r="H275" s="733">
        <f t="shared" si="110"/>
        <v>0</v>
      </c>
      <c r="I275" s="772">
        <f t="shared" si="103"/>
        <v>5152686</v>
      </c>
      <c r="J275" s="733">
        <v>783</v>
      </c>
      <c r="K275" s="733">
        <f t="shared" si="104"/>
        <v>6580.6973180076629</v>
      </c>
      <c r="L275" s="667"/>
      <c r="M275" s="667"/>
      <c r="N275" s="192" t="s">
        <v>1239</v>
      </c>
      <c r="O275" s="746">
        <f t="shared" si="108"/>
        <v>41042</v>
      </c>
      <c r="P275" s="746">
        <v>41045</v>
      </c>
      <c r="Q275" s="747" t="s">
        <v>969</v>
      </c>
      <c r="R275" s="304">
        <v>262</v>
      </c>
      <c r="S275" s="252">
        <v>15913</v>
      </c>
      <c r="T275" s="8">
        <f t="shared" si="105"/>
        <v>4169206</v>
      </c>
      <c r="U275" s="450"/>
      <c r="V275" s="748"/>
      <c r="W275" s="776"/>
      <c r="X275" s="776"/>
      <c r="Y275" s="8">
        <f t="shared" si="106"/>
        <v>0</v>
      </c>
    </row>
    <row r="276" spans="1:25">
      <c r="A276" s="771">
        <f t="shared" si="109"/>
        <v>78</v>
      </c>
      <c r="B276" s="297" t="s">
        <v>1174</v>
      </c>
      <c r="C276" s="796">
        <f t="shared" si="111"/>
        <v>274050</v>
      </c>
      <c r="D276" s="733">
        <f t="shared" si="110"/>
        <v>631405.99327126192</v>
      </c>
      <c r="E276" s="733">
        <f t="shared" si="110"/>
        <v>206443.15781237773</v>
      </c>
      <c r="F276" s="733">
        <f t="shared" si="110"/>
        <v>383819.73241530394</v>
      </c>
      <c r="G276" s="733">
        <f t="shared" si="110"/>
        <v>285580.15804710117</v>
      </c>
      <c r="H276" s="733">
        <f t="shared" si="110"/>
        <v>0</v>
      </c>
      <c r="I276" s="772">
        <f t="shared" si="103"/>
        <v>1781299</v>
      </c>
      <c r="J276" s="733">
        <v>1200</v>
      </c>
      <c r="K276" s="733">
        <f t="shared" si="104"/>
        <v>1484.4158333333332</v>
      </c>
      <c r="L276" s="667"/>
      <c r="M276" s="667"/>
      <c r="N276" s="192" t="s">
        <v>742</v>
      </c>
      <c r="O276" s="746">
        <f t="shared" si="108"/>
        <v>41042</v>
      </c>
      <c r="P276" s="746">
        <v>41045</v>
      </c>
      <c r="Q276" s="747" t="s">
        <v>969</v>
      </c>
      <c r="R276" s="304">
        <v>10</v>
      </c>
      <c r="S276" s="255">
        <v>27405</v>
      </c>
      <c r="T276" s="8">
        <f t="shared" si="105"/>
        <v>274050</v>
      </c>
      <c r="U276" s="450"/>
      <c r="V276" s="748"/>
      <c r="W276" s="776"/>
      <c r="X276" s="776"/>
      <c r="Y276" s="8">
        <f t="shared" si="106"/>
        <v>0</v>
      </c>
    </row>
    <row r="277" spans="1:25">
      <c r="A277" s="771">
        <f t="shared" si="109"/>
        <v>79</v>
      </c>
      <c r="B277" s="297" t="s">
        <v>1173</v>
      </c>
      <c r="C277" s="796">
        <f t="shared" si="111"/>
        <v>5269490</v>
      </c>
      <c r="D277" s="733">
        <f t="shared" si="110"/>
        <v>52617.166105938501</v>
      </c>
      <c r="E277" s="733">
        <f t="shared" si="110"/>
        <v>17203.596484364811</v>
      </c>
      <c r="F277" s="733">
        <f t="shared" si="110"/>
        <v>31984.977701275329</v>
      </c>
      <c r="G277" s="733">
        <f t="shared" si="110"/>
        <v>23798.346503925099</v>
      </c>
      <c r="H277" s="733">
        <f t="shared" si="110"/>
        <v>0</v>
      </c>
      <c r="I277" s="772">
        <f t="shared" si="103"/>
        <v>5395094</v>
      </c>
      <c r="J277" s="733">
        <v>100</v>
      </c>
      <c r="K277" s="733">
        <f t="shared" si="104"/>
        <v>53950.94</v>
      </c>
      <c r="L277" s="667"/>
      <c r="M277" s="667"/>
      <c r="N277" s="192" t="s">
        <v>1296</v>
      </c>
      <c r="O277" s="746">
        <f t="shared" si="108"/>
        <v>41044</v>
      </c>
      <c r="P277" s="746">
        <v>41047</v>
      </c>
      <c r="Q277" s="747" t="s">
        <v>970</v>
      </c>
      <c r="R277" s="304">
        <v>170</v>
      </c>
      <c r="S277" s="255">
        <v>30997</v>
      </c>
      <c r="T277" s="8">
        <f t="shared" si="105"/>
        <v>5269490</v>
      </c>
      <c r="U277" s="450"/>
      <c r="V277" s="748"/>
      <c r="W277" s="776"/>
      <c r="X277" s="776"/>
      <c r="Y277" s="8">
        <f t="shared" si="106"/>
        <v>0</v>
      </c>
    </row>
    <row r="278" spans="1:25">
      <c r="A278" s="771">
        <f t="shared" si="109"/>
        <v>80</v>
      </c>
      <c r="B278" s="297" t="s">
        <v>1172</v>
      </c>
      <c r="C278" s="796">
        <f t="shared" si="111"/>
        <v>2172800</v>
      </c>
      <c r="D278" s="733">
        <f t="shared" si="110"/>
        <v>51038.651122760341</v>
      </c>
      <c r="E278" s="733">
        <f t="shared" si="110"/>
        <v>16687.488589833869</v>
      </c>
      <c r="F278" s="733">
        <f t="shared" si="110"/>
        <v>31025.42837023707</v>
      </c>
      <c r="G278" s="733">
        <f t="shared" si="110"/>
        <v>23084.396108807345</v>
      </c>
      <c r="H278" s="733">
        <f t="shared" si="110"/>
        <v>0</v>
      </c>
      <c r="I278" s="772">
        <f t="shared" si="103"/>
        <v>2294636</v>
      </c>
      <c r="J278" s="733">
        <v>97</v>
      </c>
      <c r="K278" s="733">
        <f t="shared" si="104"/>
        <v>23656.041237113401</v>
      </c>
      <c r="L278" s="667"/>
      <c r="M278" s="667"/>
      <c r="N278" s="192" t="s">
        <v>1283</v>
      </c>
      <c r="O278" s="746">
        <f t="shared" si="108"/>
        <v>41044</v>
      </c>
      <c r="P278" s="746">
        <v>41047</v>
      </c>
      <c r="Q278" s="747" t="s">
        <v>970</v>
      </c>
      <c r="R278" s="794">
        <v>100</v>
      </c>
      <c r="S278" s="252">
        <v>21728</v>
      </c>
      <c r="T278" s="8">
        <f t="shared" si="105"/>
        <v>2172800</v>
      </c>
      <c r="U278" s="450"/>
      <c r="V278" s="748"/>
      <c r="W278" s="776"/>
      <c r="X278" s="776"/>
      <c r="Y278" s="8">
        <f t="shared" si="106"/>
        <v>0</v>
      </c>
    </row>
    <row r="279" spans="1:25">
      <c r="A279" s="771">
        <f t="shared" si="109"/>
        <v>81</v>
      </c>
      <c r="B279" s="297" t="s">
        <v>1104</v>
      </c>
      <c r="C279" s="796">
        <f t="shared" si="111"/>
        <v>933200</v>
      </c>
      <c r="D279" s="733">
        <f t="shared" ref="D279:H288" si="112">IF($J$371&lt;&gt;0,D$371/$J$371*$J279,0)</f>
        <v>52617.166105938501</v>
      </c>
      <c r="E279" s="733">
        <f t="shared" si="112"/>
        <v>17203.596484364811</v>
      </c>
      <c r="F279" s="733">
        <f t="shared" si="112"/>
        <v>31984.977701275329</v>
      </c>
      <c r="G279" s="733">
        <f t="shared" si="112"/>
        <v>23798.346503925099</v>
      </c>
      <c r="H279" s="733">
        <f t="shared" si="112"/>
        <v>0</v>
      </c>
      <c r="I279" s="772">
        <f t="shared" si="103"/>
        <v>1058804</v>
      </c>
      <c r="J279" s="733">
        <v>100</v>
      </c>
      <c r="K279" s="733">
        <f t="shared" si="104"/>
        <v>10588.04</v>
      </c>
      <c r="L279" s="667"/>
      <c r="M279" s="667"/>
      <c r="N279" s="192" t="s">
        <v>1268</v>
      </c>
      <c r="O279" s="746">
        <f t="shared" si="108"/>
        <v>41044</v>
      </c>
      <c r="P279" s="746">
        <v>41047</v>
      </c>
      <c r="Q279" s="747" t="s">
        <v>971</v>
      </c>
      <c r="R279" s="794">
        <v>100</v>
      </c>
      <c r="S279" s="252">
        <v>9332</v>
      </c>
      <c r="T279" s="8">
        <f t="shared" si="105"/>
        <v>933200</v>
      </c>
      <c r="U279" s="450"/>
      <c r="V279" s="748"/>
      <c r="W279" s="776"/>
      <c r="X279" s="776"/>
      <c r="Y279" s="8">
        <f t="shared" si="106"/>
        <v>0</v>
      </c>
    </row>
    <row r="280" spans="1:25">
      <c r="A280" s="771">
        <f t="shared" si="109"/>
        <v>82</v>
      </c>
      <c r="B280" s="297" t="s">
        <v>1171</v>
      </c>
      <c r="C280" s="796">
        <f t="shared" si="111"/>
        <v>1559536</v>
      </c>
      <c r="D280" s="733">
        <f t="shared" si="112"/>
        <v>121019.48204365854</v>
      </c>
      <c r="E280" s="733">
        <f t="shared" si="112"/>
        <v>39568.271914039069</v>
      </c>
      <c r="F280" s="733">
        <f t="shared" si="112"/>
        <v>73565.448712933256</v>
      </c>
      <c r="G280" s="733">
        <f t="shared" si="112"/>
        <v>54736.196959027722</v>
      </c>
      <c r="H280" s="733">
        <f t="shared" si="112"/>
        <v>0</v>
      </c>
      <c r="I280" s="772">
        <f t="shared" si="103"/>
        <v>1848425</v>
      </c>
      <c r="J280" s="733">
        <v>230</v>
      </c>
      <c r="K280" s="733">
        <f t="shared" si="104"/>
        <v>8036.630434782609</v>
      </c>
      <c r="L280" s="667"/>
      <c r="M280" s="667"/>
      <c r="N280" s="192" t="s">
        <v>1388</v>
      </c>
      <c r="O280" s="746">
        <f t="shared" si="108"/>
        <v>41044</v>
      </c>
      <c r="P280" s="746">
        <v>41047</v>
      </c>
      <c r="Q280" s="747" t="s">
        <v>971</v>
      </c>
      <c r="R280" s="304">
        <v>88</v>
      </c>
      <c r="S280" s="252">
        <v>17722</v>
      </c>
      <c r="T280" s="8">
        <f t="shared" si="105"/>
        <v>1559536</v>
      </c>
      <c r="U280" s="450"/>
      <c r="V280" s="748"/>
      <c r="W280" s="776"/>
      <c r="X280" s="776"/>
      <c r="Y280" s="8">
        <f t="shared" si="106"/>
        <v>0</v>
      </c>
    </row>
    <row r="281" spans="1:25">
      <c r="A281" s="771">
        <f t="shared" si="109"/>
        <v>83</v>
      </c>
      <c r="B281" s="297" t="s">
        <v>1170</v>
      </c>
      <c r="C281" s="796">
        <f t="shared" si="111"/>
        <v>3534200</v>
      </c>
      <c r="D281" s="733">
        <f t="shared" si="112"/>
        <v>172584.30482747828</v>
      </c>
      <c r="E281" s="733">
        <f t="shared" si="112"/>
        <v>56427.79646871658</v>
      </c>
      <c r="F281" s="733">
        <f t="shared" si="112"/>
        <v>104910.72686018309</v>
      </c>
      <c r="G281" s="733">
        <f t="shared" si="112"/>
        <v>78058.576532874315</v>
      </c>
      <c r="H281" s="733">
        <f t="shared" si="112"/>
        <v>0</v>
      </c>
      <c r="I281" s="772">
        <f t="shared" si="103"/>
        <v>3946181</v>
      </c>
      <c r="J281" s="733">
        <v>328</v>
      </c>
      <c r="K281" s="733">
        <f t="shared" si="104"/>
        <v>12031.039634146342</v>
      </c>
      <c r="L281" s="667"/>
      <c r="M281" s="667"/>
      <c r="N281" s="192" t="s">
        <v>1274</v>
      </c>
      <c r="O281" s="746">
        <f t="shared" si="108"/>
        <v>41044</v>
      </c>
      <c r="P281" s="746">
        <v>41047</v>
      </c>
      <c r="Q281" s="747" t="s">
        <v>971</v>
      </c>
      <c r="R281" s="304">
        <f>J281</f>
        <v>328</v>
      </c>
      <c r="S281" s="255">
        <v>10775</v>
      </c>
      <c r="T281" s="8">
        <f t="shared" si="105"/>
        <v>3534200</v>
      </c>
      <c r="U281" s="450"/>
      <c r="V281" s="748"/>
      <c r="W281" s="776"/>
      <c r="X281" s="776"/>
      <c r="Y281" s="8">
        <f t="shared" si="106"/>
        <v>0</v>
      </c>
    </row>
    <row r="282" spans="1:25">
      <c r="A282" s="771">
        <f t="shared" si="109"/>
        <v>84</v>
      </c>
      <c r="B282" s="297" t="s">
        <v>1170</v>
      </c>
      <c r="C282" s="796">
        <f t="shared" si="111"/>
        <v>7432230</v>
      </c>
      <c r="D282" s="733">
        <f t="shared" si="112"/>
        <v>265716.68883498939</v>
      </c>
      <c r="E282" s="733">
        <f t="shared" si="112"/>
        <v>86878.162246042295</v>
      </c>
      <c r="F282" s="733">
        <f t="shared" si="112"/>
        <v>161524.13739144042</v>
      </c>
      <c r="G282" s="733">
        <f t="shared" si="112"/>
        <v>120181.64984482175</v>
      </c>
      <c r="H282" s="733">
        <f t="shared" si="112"/>
        <v>0</v>
      </c>
      <c r="I282" s="772">
        <f t="shared" si="103"/>
        <v>8066531</v>
      </c>
      <c r="J282" s="733">
        <v>505</v>
      </c>
      <c r="K282" s="733">
        <f t="shared" si="104"/>
        <v>15973.328712871287</v>
      </c>
      <c r="L282" s="667"/>
      <c r="M282" s="667"/>
      <c r="N282" s="192" t="s">
        <v>1367</v>
      </c>
      <c r="O282" s="746">
        <f t="shared" si="108"/>
        <v>41044</v>
      </c>
      <c r="P282" s="746">
        <v>41047</v>
      </c>
      <c r="Q282" s="747" t="s">
        <v>971</v>
      </c>
      <c r="R282" s="304">
        <v>510</v>
      </c>
      <c r="S282" s="255">
        <v>14573</v>
      </c>
      <c r="T282" s="8">
        <f t="shared" si="105"/>
        <v>7432230</v>
      </c>
      <c r="U282" s="450"/>
      <c r="V282" s="748"/>
      <c r="W282" s="776"/>
      <c r="X282" s="776"/>
      <c r="Y282" s="8">
        <f t="shared" si="106"/>
        <v>0</v>
      </c>
    </row>
    <row r="283" spans="1:25">
      <c r="A283" s="771">
        <f t="shared" si="109"/>
        <v>85</v>
      </c>
      <c r="B283" s="297" t="s">
        <v>1169</v>
      </c>
      <c r="C283" s="796">
        <f t="shared" si="111"/>
        <v>778900</v>
      </c>
      <c r="D283" s="733">
        <f t="shared" si="112"/>
        <v>172058.13316641888</v>
      </c>
      <c r="E283" s="733">
        <f t="shared" si="112"/>
        <v>56255.760503872931</v>
      </c>
      <c r="F283" s="733">
        <f t="shared" si="112"/>
        <v>104590.87708317033</v>
      </c>
      <c r="G283" s="733">
        <f t="shared" si="112"/>
        <v>77820.593067835071</v>
      </c>
      <c r="H283" s="733">
        <f t="shared" si="112"/>
        <v>0</v>
      </c>
      <c r="I283" s="772">
        <f t="shared" si="103"/>
        <v>1189625</v>
      </c>
      <c r="J283" s="733">
        <v>327</v>
      </c>
      <c r="K283" s="733">
        <f t="shared" si="104"/>
        <v>3637.9969418960245</v>
      </c>
      <c r="L283" s="667"/>
      <c r="M283" s="667"/>
      <c r="N283" s="192" t="s">
        <v>1368</v>
      </c>
      <c r="O283" s="746">
        <f t="shared" si="108"/>
        <v>41048</v>
      </c>
      <c r="P283" s="746">
        <v>41051</v>
      </c>
      <c r="Q283" s="747" t="s">
        <v>973</v>
      </c>
      <c r="R283" s="304">
        <v>50</v>
      </c>
      <c r="S283" s="255">
        <v>15578</v>
      </c>
      <c r="T283" s="8">
        <f t="shared" si="105"/>
        <v>778900</v>
      </c>
      <c r="U283" s="450"/>
      <c r="V283" s="748"/>
      <c r="W283" s="776"/>
      <c r="X283" s="776"/>
      <c r="Y283" s="8">
        <f t="shared" si="106"/>
        <v>0</v>
      </c>
    </row>
    <row r="284" spans="1:25">
      <c r="A284" s="771">
        <f t="shared" si="109"/>
        <v>86</v>
      </c>
      <c r="B284" s="297" t="s">
        <v>1168</v>
      </c>
      <c r="C284" s="796">
        <f t="shared" si="111"/>
        <v>1378200</v>
      </c>
      <c r="D284" s="733">
        <f t="shared" si="112"/>
        <v>166796.41655582504</v>
      </c>
      <c r="E284" s="733">
        <f t="shared" si="112"/>
        <v>54535.400855436455</v>
      </c>
      <c r="F284" s="733">
        <f t="shared" si="112"/>
        <v>101392.37931304279</v>
      </c>
      <c r="G284" s="733">
        <f t="shared" si="112"/>
        <v>75440.758417442557</v>
      </c>
      <c r="H284" s="733">
        <f t="shared" si="112"/>
        <v>0</v>
      </c>
      <c r="I284" s="772">
        <f t="shared" si="103"/>
        <v>1776365</v>
      </c>
      <c r="J284" s="733">
        <v>317</v>
      </c>
      <c r="K284" s="733">
        <f t="shared" si="104"/>
        <v>5603.6750788643531</v>
      </c>
      <c r="L284" s="667"/>
      <c r="M284" s="667"/>
      <c r="N284" s="192" t="s">
        <v>1358</v>
      </c>
      <c r="O284" s="746">
        <f t="shared" si="108"/>
        <v>41048</v>
      </c>
      <c r="P284" s="746">
        <v>41051</v>
      </c>
      <c r="Q284" s="747" t="s">
        <v>973</v>
      </c>
      <c r="R284" s="304">
        <v>100</v>
      </c>
      <c r="S284" s="255">
        <v>13782</v>
      </c>
      <c r="T284" s="8">
        <f t="shared" si="105"/>
        <v>1378200</v>
      </c>
      <c r="U284" s="450"/>
      <c r="V284" s="748"/>
      <c r="W284" s="776"/>
      <c r="X284" s="776"/>
      <c r="Y284" s="8">
        <f t="shared" si="106"/>
        <v>0</v>
      </c>
    </row>
    <row r="285" spans="1:25">
      <c r="A285" s="771">
        <f t="shared" si="109"/>
        <v>87</v>
      </c>
      <c r="B285" s="297" t="s">
        <v>1167</v>
      </c>
      <c r="C285" s="796">
        <f t="shared" si="111"/>
        <v>11395925</v>
      </c>
      <c r="D285" s="733">
        <f t="shared" si="112"/>
        <v>1073390.1885611454</v>
      </c>
      <c r="E285" s="733">
        <f t="shared" si="112"/>
        <v>350953.36828104215</v>
      </c>
      <c r="F285" s="733">
        <f t="shared" si="112"/>
        <v>652493.54510601668</v>
      </c>
      <c r="G285" s="733">
        <f t="shared" si="112"/>
        <v>485486.26868007198</v>
      </c>
      <c r="H285" s="733">
        <f t="shared" si="112"/>
        <v>0</v>
      </c>
      <c r="I285" s="772">
        <f t="shared" si="103"/>
        <v>13958248</v>
      </c>
      <c r="J285" s="733">
        <v>2040</v>
      </c>
      <c r="K285" s="733">
        <f t="shared" si="104"/>
        <v>6842.2784313725488</v>
      </c>
      <c r="L285" s="667"/>
      <c r="M285" s="667"/>
      <c r="N285" s="192" t="s">
        <v>1369</v>
      </c>
      <c r="O285" s="746">
        <f t="shared" si="108"/>
        <v>41048</v>
      </c>
      <c r="P285" s="746">
        <v>41051</v>
      </c>
      <c r="Q285" s="747" t="s">
        <v>973</v>
      </c>
      <c r="R285" s="304">
        <v>575</v>
      </c>
      <c r="S285" s="778">
        <v>19819</v>
      </c>
      <c r="T285" s="8">
        <f t="shared" si="105"/>
        <v>11395925</v>
      </c>
      <c r="U285" s="450"/>
      <c r="V285" s="748"/>
      <c r="W285" s="776"/>
      <c r="X285" s="776"/>
      <c r="Y285" s="8">
        <f t="shared" si="106"/>
        <v>0</v>
      </c>
    </row>
    <row r="286" spans="1:25">
      <c r="A286" s="771">
        <f t="shared" si="109"/>
        <v>88</v>
      </c>
      <c r="B286" s="297" t="s">
        <v>1166</v>
      </c>
      <c r="C286" s="796">
        <f t="shared" si="111"/>
        <v>3681500</v>
      </c>
      <c r="D286" s="733">
        <f t="shared" si="112"/>
        <v>258876.4572412174</v>
      </c>
      <c r="E286" s="733">
        <f t="shared" si="112"/>
        <v>84641.694703074871</v>
      </c>
      <c r="F286" s="733">
        <f t="shared" si="112"/>
        <v>157366.09029027462</v>
      </c>
      <c r="G286" s="733">
        <f t="shared" si="112"/>
        <v>117087.86479931147</v>
      </c>
      <c r="H286" s="733">
        <f t="shared" si="112"/>
        <v>0</v>
      </c>
      <c r="I286" s="772">
        <f t="shared" si="103"/>
        <v>4299472</v>
      </c>
      <c r="J286" s="733">
        <v>492</v>
      </c>
      <c r="K286" s="733">
        <f t="shared" si="104"/>
        <v>8738.7642276422757</v>
      </c>
      <c r="L286" s="667"/>
      <c r="M286" s="667"/>
      <c r="N286" s="192" t="s">
        <v>1288</v>
      </c>
      <c r="O286" s="746">
        <f t="shared" si="108"/>
        <v>41048</v>
      </c>
      <c r="P286" s="746">
        <v>41051</v>
      </c>
      <c r="Q286" s="747" t="s">
        <v>974</v>
      </c>
      <c r="R286" s="304">
        <v>250</v>
      </c>
      <c r="S286" s="252">
        <v>14726</v>
      </c>
      <c r="T286" s="8">
        <f t="shared" si="105"/>
        <v>3681500</v>
      </c>
      <c r="U286" s="450"/>
      <c r="V286" s="748"/>
      <c r="W286" s="776"/>
      <c r="X286" s="776"/>
      <c r="Y286" s="8">
        <f t="shared" si="106"/>
        <v>0</v>
      </c>
    </row>
    <row r="287" spans="1:25">
      <c r="A287" s="771">
        <f t="shared" si="109"/>
        <v>89</v>
      </c>
      <c r="B287" s="297" t="s">
        <v>1165</v>
      </c>
      <c r="C287" s="796">
        <f t="shared" si="111"/>
        <v>4158000</v>
      </c>
      <c r="D287" s="733">
        <f t="shared" si="112"/>
        <v>263085.83052969247</v>
      </c>
      <c r="E287" s="733">
        <f t="shared" si="112"/>
        <v>86017.982421824054</v>
      </c>
      <c r="F287" s="733">
        <f t="shared" si="112"/>
        <v>159924.88850637665</v>
      </c>
      <c r="G287" s="733">
        <f t="shared" si="112"/>
        <v>118991.73251962548</v>
      </c>
      <c r="H287" s="733">
        <f t="shared" si="112"/>
        <v>0</v>
      </c>
      <c r="I287" s="772">
        <f t="shared" si="103"/>
        <v>4786020</v>
      </c>
      <c r="J287" s="733">
        <v>500</v>
      </c>
      <c r="K287" s="733">
        <f t="shared" si="104"/>
        <v>9572.0400000000009</v>
      </c>
      <c r="L287" s="667"/>
      <c r="M287" s="667"/>
      <c r="N287" s="192" t="s">
        <v>1390</v>
      </c>
      <c r="O287" s="746">
        <f t="shared" si="108"/>
        <v>41048</v>
      </c>
      <c r="P287" s="746">
        <v>41051</v>
      </c>
      <c r="Q287" s="747" t="s">
        <v>974</v>
      </c>
      <c r="R287" s="794">
        <v>500</v>
      </c>
      <c r="S287" s="255">
        <v>8316</v>
      </c>
      <c r="T287" s="8">
        <f t="shared" si="105"/>
        <v>4158000</v>
      </c>
      <c r="U287" s="450"/>
      <c r="V287" s="748"/>
      <c r="W287" s="776"/>
      <c r="X287" s="776"/>
      <c r="Y287" s="8">
        <f t="shared" si="106"/>
        <v>0</v>
      </c>
    </row>
    <row r="288" spans="1:25">
      <c r="A288" s="771">
        <f t="shared" si="109"/>
        <v>90</v>
      </c>
      <c r="B288" s="297" t="s">
        <v>1164</v>
      </c>
      <c r="C288" s="796">
        <f t="shared" si="111"/>
        <v>9153000</v>
      </c>
      <c r="D288" s="733">
        <f t="shared" si="112"/>
        <v>516700.57116031606</v>
      </c>
      <c r="E288" s="733">
        <f t="shared" si="112"/>
        <v>168939.31747646246</v>
      </c>
      <c r="F288" s="733">
        <f t="shared" si="112"/>
        <v>314092.48102652375</v>
      </c>
      <c r="G288" s="733">
        <f t="shared" si="112"/>
        <v>233699.76266854446</v>
      </c>
      <c r="H288" s="733">
        <f t="shared" si="112"/>
        <v>0</v>
      </c>
      <c r="I288" s="772">
        <f t="shared" si="103"/>
        <v>10386432</v>
      </c>
      <c r="J288" s="733">
        <v>982</v>
      </c>
      <c r="K288" s="733">
        <f t="shared" si="104"/>
        <v>10576.81466395112</v>
      </c>
      <c r="L288" s="667"/>
      <c r="M288" s="667"/>
      <c r="N288" s="192" t="s">
        <v>1273</v>
      </c>
      <c r="O288" s="746">
        <f t="shared" si="108"/>
        <v>41048</v>
      </c>
      <c r="P288" s="746">
        <v>41051</v>
      </c>
      <c r="Q288" s="747" t="s">
        <v>974</v>
      </c>
      <c r="R288" s="304">
        <v>500</v>
      </c>
      <c r="S288" s="255">
        <v>18306</v>
      </c>
      <c r="T288" s="8">
        <f t="shared" si="105"/>
        <v>9153000</v>
      </c>
      <c r="U288" s="450"/>
      <c r="V288" s="748"/>
      <c r="W288" s="776"/>
      <c r="X288" s="776"/>
      <c r="Y288" s="8">
        <f t="shared" si="106"/>
        <v>0</v>
      </c>
    </row>
    <row r="289" spans="1:25">
      <c r="A289" s="771">
        <f t="shared" si="109"/>
        <v>91</v>
      </c>
      <c r="B289" s="297" t="s">
        <v>1162</v>
      </c>
      <c r="C289" s="796">
        <f t="shared" si="111"/>
        <v>1389360</v>
      </c>
      <c r="D289" s="733">
        <f t="shared" ref="D289:H298" si="113">IF($J$371&lt;&gt;0,D$371/$J$371*$J289,0)</f>
        <v>157325.32665675611</v>
      </c>
      <c r="E289" s="733">
        <f t="shared" si="113"/>
        <v>51438.75348825079</v>
      </c>
      <c r="F289" s="733">
        <f t="shared" si="113"/>
        <v>95635.083326813241</v>
      </c>
      <c r="G289" s="733">
        <f t="shared" si="113"/>
        <v>71157.056046736034</v>
      </c>
      <c r="H289" s="733">
        <f t="shared" si="113"/>
        <v>0</v>
      </c>
      <c r="I289" s="772">
        <f t="shared" si="103"/>
        <v>1764916</v>
      </c>
      <c r="J289" s="733">
        <v>299</v>
      </c>
      <c r="K289" s="733">
        <f t="shared" si="104"/>
        <v>5902.7290969899668</v>
      </c>
      <c r="L289" s="667"/>
      <c r="M289" s="667"/>
      <c r="N289" s="192" t="s">
        <v>1412</v>
      </c>
      <c r="O289" s="746">
        <f t="shared" si="108"/>
        <v>41050</v>
      </c>
      <c r="P289" s="746">
        <v>41053</v>
      </c>
      <c r="Q289" s="747" t="s">
        <v>976</v>
      </c>
      <c r="R289" s="304">
        <v>120</v>
      </c>
      <c r="S289" s="255">
        <v>11578</v>
      </c>
      <c r="T289" s="8">
        <f t="shared" si="105"/>
        <v>1389360</v>
      </c>
      <c r="U289" s="450"/>
      <c r="V289" s="748"/>
      <c r="W289" s="776"/>
      <c r="X289" s="776"/>
      <c r="Y289" s="8">
        <f t="shared" si="106"/>
        <v>0</v>
      </c>
    </row>
    <row r="290" spans="1:25">
      <c r="A290" s="771">
        <f t="shared" si="109"/>
        <v>92</v>
      </c>
      <c r="B290" s="297" t="s">
        <v>1163</v>
      </c>
      <c r="C290" s="796">
        <f t="shared" si="111"/>
        <v>1621650</v>
      </c>
      <c r="D290" s="733">
        <f t="shared" si="113"/>
        <v>155746.81167357796</v>
      </c>
      <c r="E290" s="733">
        <f t="shared" si="113"/>
        <v>50922.645593719841</v>
      </c>
      <c r="F290" s="733">
        <f t="shared" si="113"/>
        <v>94675.533995774982</v>
      </c>
      <c r="G290" s="733">
        <f t="shared" si="113"/>
        <v>70443.105651618287</v>
      </c>
      <c r="H290" s="733">
        <f t="shared" si="113"/>
        <v>0</v>
      </c>
      <c r="I290" s="772">
        <f t="shared" si="103"/>
        <v>1993438</v>
      </c>
      <c r="J290" s="733">
        <v>296</v>
      </c>
      <c r="K290" s="733">
        <f t="shared" si="104"/>
        <v>6734.5878378378375</v>
      </c>
      <c r="L290" s="667"/>
      <c r="M290" s="667"/>
      <c r="N290" s="192" t="s">
        <v>1378</v>
      </c>
      <c r="O290" s="746">
        <f t="shared" si="108"/>
        <v>41050</v>
      </c>
      <c r="P290" s="746">
        <v>41053</v>
      </c>
      <c r="Q290" s="747" t="s">
        <v>976</v>
      </c>
      <c r="R290" s="304">
        <v>150</v>
      </c>
      <c r="S290" s="255">
        <v>10811</v>
      </c>
      <c r="T290" s="8">
        <f t="shared" si="105"/>
        <v>1621650</v>
      </c>
      <c r="U290" s="450"/>
      <c r="V290" s="748"/>
      <c r="W290" s="776"/>
      <c r="X290" s="776"/>
      <c r="Y290" s="8">
        <f t="shared" si="106"/>
        <v>0</v>
      </c>
    </row>
    <row r="291" spans="1:25">
      <c r="A291" s="771">
        <f t="shared" si="109"/>
        <v>93</v>
      </c>
      <c r="B291" s="297" t="s">
        <v>1161</v>
      </c>
      <c r="C291" s="796">
        <f t="shared" si="82"/>
        <v>7912500</v>
      </c>
      <c r="D291" s="733">
        <f t="shared" si="113"/>
        <v>254667.08395274234</v>
      </c>
      <c r="E291" s="733">
        <f t="shared" si="113"/>
        <v>83265.406984325688</v>
      </c>
      <c r="F291" s="733">
        <f t="shared" si="113"/>
        <v>154807.29207417258</v>
      </c>
      <c r="G291" s="733">
        <f t="shared" si="113"/>
        <v>115183.99707899748</v>
      </c>
      <c r="H291" s="733">
        <f t="shared" si="113"/>
        <v>0</v>
      </c>
      <c r="I291" s="772">
        <f t="shared" si="80"/>
        <v>8520424</v>
      </c>
      <c r="J291" s="733">
        <v>484</v>
      </c>
      <c r="K291" s="733">
        <f t="shared" si="92"/>
        <v>17604.18181818182</v>
      </c>
      <c r="L291" s="667"/>
      <c r="M291" s="667"/>
      <c r="N291" s="192" t="s">
        <v>1269</v>
      </c>
      <c r="O291" s="746">
        <f t="shared" si="108"/>
        <v>41050</v>
      </c>
      <c r="P291" s="746">
        <v>41053</v>
      </c>
      <c r="Q291" s="747" t="s">
        <v>977</v>
      </c>
      <c r="R291" s="304">
        <v>500</v>
      </c>
      <c r="S291" s="255">
        <v>15825</v>
      </c>
      <c r="T291" s="8">
        <f t="shared" si="93"/>
        <v>7912500</v>
      </c>
      <c r="U291" s="450"/>
      <c r="V291" s="748"/>
      <c r="W291" s="776"/>
      <c r="X291" s="776"/>
      <c r="Y291" s="8">
        <f t="shared" si="94"/>
        <v>0</v>
      </c>
    </row>
    <row r="292" spans="1:25">
      <c r="A292" s="771">
        <f t="shared" si="109"/>
        <v>94</v>
      </c>
      <c r="B292" s="297" t="s">
        <v>1160</v>
      </c>
      <c r="C292" s="796">
        <f t="shared" si="82"/>
        <v>16184850</v>
      </c>
      <c r="D292" s="733">
        <f t="shared" si="113"/>
        <v>447245.91190047725</v>
      </c>
      <c r="E292" s="733">
        <f t="shared" si="113"/>
        <v>146230.5701171009</v>
      </c>
      <c r="F292" s="733">
        <f t="shared" si="113"/>
        <v>271872.31046084029</v>
      </c>
      <c r="G292" s="733">
        <f t="shared" si="113"/>
        <v>202285.94528336334</v>
      </c>
      <c r="H292" s="733">
        <f t="shared" si="113"/>
        <v>0</v>
      </c>
      <c r="I292" s="772">
        <f t="shared" si="80"/>
        <v>17252485</v>
      </c>
      <c r="J292" s="733">
        <v>850</v>
      </c>
      <c r="K292" s="733">
        <f t="shared" si="92"/>
        <v>20297.04117647059</v>
      </c>
      <c r="L292" s="667"/>
      <c r="M292" s="667"/>
      <c r="N292" s="192" t="s">
        <v>1371</v>
      </c>
      <c r="O292" s="746">
        <f t="shared" si="108"/>
        <v>41050</v>
      </c>
      <c r="P292" s="746">
        <v>41053</v>
      </c>
      <c r="Q292" s="747" t="s">
        <v>978</v>
      </c>
      <c r="R292" s="304">
        <f>J292</f>
        <v>850</v>
      </c>
      <c r="S292" s="252">
        <v>19041</v>
      </c>
      <c r="T292" s="8">
        <f t="shared" si="93"/>
        <v>16184850</v>
      </c>
      <c r="U292" s="450"/>
      <c r="V292" s="748"/>
      <c r="W292" s="776"/>
      <c r="X292" s="776"/>
      <c r="Y292" s="8">
        <f t="shared" si="94"/>
        <v>0</v>
      </c>
    </row>
    <row r="293" spans="1:25">
      <c r="A293" s="771">
        <f t="shared" si="109"/>
        <v>95</v>
      </c>
      <c r="B293" s="297" t="s">
        <v>1159</v>
      </c>
      <c r="C293" s="796">
        <f t="shared" si="82"/>
        <v>5397950</v>
      </c>
      <c r="D293" s="733">
        <f t="shared" si="113"/>
        <v>236777.24747672325</v>
      </c>
      <c r="E293" s="733">
        <f t="shared" si="113"/>
        <v>77416.184179641656</v>
      </c>
      <c r="F293" s="733">
        <f t="shared" si="113"/>
        <v>143932.39965573899</v>
      </c>
      <c r="G293" s="733">
        <f t="shared" si="113"/>
        <v>107092.55926766293</v>
      </c>
      <c r="H293" s="733">
        <f t="shared" si="113"/>
        <v>0</v>
      </c>
      <c r="I293" s="772">
        <f t="shared" si="80"/>
        <v>5963168</v>
      </c>
      <c r="J293" s="733">
        <v>450</v>
      </c>
      <c r="K293" s="733">
        <f t="shared" si="92"/>
        <v>13251.484444444444</v>
      </c>
      <c r="L293" s="667"/>
      <c r="M293" s="667"/>
      <c r="N293" s="189" t="s">
        <v>1263</v>
      </c>
      <c r="O293" s="746">
        <f t="shared" si="108"/>
        <v>41050</v>
      </c>
      <c r="P293" s="746">
        <v>41053</v>
      </c>
      <c r="Q293" s="747" t="s">
        <v>978</v>
      </c>
      <c r="R293" s="304">
        <f>J293</f>
        <v>450</v>
      </c>
      <c r="S293" s="252">
        <v>11995.444444444445</v>
      </c>
      <c r="T293" s="8">
        <f t="shared" si="93"/>
        <v>5397950</v>
      </c>
      <c r="U293" s="450"/>
      <c r="V293" s="748"/>
      <c r="W293" s="776"/>
      <c r="X293" s="776"/>
      <c r="Y293" s="8">
        <f t="shared" si="94"/>
        <v>0</v>
      </c>
    </row>
    <row r="294" spans="1:25">
      <c r="A294" s="771">
        <f t="shared" si="109"/>
        <v>96</v>
      </c>
      <c r="B294" s="297" t="s">
        <v>1158</v>
      </c>
      <c r="C294" s="796">
        <f t="shared" si="82"/>
        <v>9071765.2006056011</v>
      </c>
      <c r="D294" s="733">
        <f t="shared" si="113"/>
        <v>236777.24747672325</v>
      </c>
      <c r="E294" s="733">
        <f t="shared" si="113"/>
        <v>77416.184179641656</v>
      </c>
      <c r="F294" s="733">
        <f t="shared" si="113"/>
        <v>143932.39965573899</v>
      </c>
      <c r="G294" s="733">
        <f t="shared" si="113"/>
        <v>107092.55926766293</v>
      </c>
      <c r="H294" s="733">
        <f t="shared" si="113"/>
        <v>0</v>
      </c>
      <c r="I294" s="772">
        <f t="shared" si="80"/>
        <v>9636984</v>
      </c>
      <c r="J294" s="733">
        <v>450</v>
      </c>
      <c r="K294" s="733">
        <f t="shared" si="92"/>
        <v>21415.52</v>
      </c>
      <c r="L294" s="667"/>
      <c r="M294" s="667"/>
      <c r="N294" s="189" t="s">
        <v>1346</v>
      </c>
      <c r="O294" s="746">
        <f t="shared" si="108"/>
        <v>41050</v>
      </c>
      <c r="P294" s="746">
        <v>41053</v>
      </c>
      <c r="Q294" s="747" t="s">
        <v>978</v>
      </c>
      <c r="R294" s="304">
        <v>455</v>
      </c>
      <c r="S294" s="255">
        <v>19937.945495836488</v>
      </c>
      <c r="T294" s="8">
        <f t="shared" si="93"/>
        <v>9071765.2006056011</v>
      </c>
      <c r="U294" s="450"/>
      <c r="V294" s="748"/>
      <c r="W294" s="776"/>
      <c r="X294" s="776"/>
      <c r="Y294" s="8">
        <f t="shared" si="94"/>
        <v>0</v>
      </c>
    </row>
    <row r="295" spans="1:25">
      <c r="A295" s="771">
        <f t="shared" si="109"/>
        <v>97</v>
      </c>
      <c r="B295" s="297" t="s">
        <v>1145</v>
      </c>
      <c r="C295" s="796">
        <f t="shared" si="82"/>
        <v>5723500</v>
      </c>
      <c r="D295" s="733">
        <f t="shared" si="113"/>
        <v>526171.66105938493</v>
      </c>
      <c r="E295" s="733">
        <f t="shared" si="113"/>
        <v>172035.96484364811</v>
      </c>
      <c r="F295" s="733">
        <f t="shared" si="113"/>
        <v>319849.7770127533</v>
      </c>
      <c r="G295" s="733">
        <f t="shared" si="113"/>
        <v>237983.46503925096</v>
      </c>
      <c r="H295" s="733">
        <f t="shared" si="113"/>
        <v>0</v>
      </c>
      <c r="I295" s="772">
        <f t="shared" si="80"/>
        <v>6979541</v>
      </c>
      <c r="J295" s="733">
        <v>1000</v>
      </c>
      <c r="K295" s="733">
        <f t="shared" si="92"/>
        <v>6979.5410000000002</v>
      </c>
      <c r="L295" s="667"/>
      <c r="M295" s="667"/>
      <c r="N295" s="192" t="s">
        <v>1424</v>
      </c>
      <c r="O295" s="746">
        <f t="shared" si="108"/>
        <v>41056</v>
      </c>
      <c r="P295" s="746">
        <v>41059</v>
      </c>
      <c r="Q295" s="747" t="s">
        <v>984</v>
      </c>
      <c r="R295" s="304">
        <v>500</v>
      </c>
      <c r="S295" s="255">
        <v>11447</v>
      </c>
      <c r="T295" s="8">
        <f t="shared" si="93"/>
        <v>5723500</v>
      </c>
      <c r="U295" s="450"/>
      <c r="V295" s="748"/>
      <c r="W295" s="776"/>
      <c r="X295" s="776"/>
      <c r="Y295" s="8">
        <f t="shared" si="94"/>
        <v>0</v>
      </c>
    </row>
    <row r="296" spans="1:25">
      <c r="A296" s="771">
        <f t="shared" si="109"/>
        <v>98</v>
      </c>
      <c r="B296" s="297" t="s">
        <v>1156</v>
      </c>
      <c r="C296" s="796">
        <f t="shared" si="82"/>
        <v>5292000</v>
      </c>
      <c r="D296" s="733">
        <f t="shared" si="113"/>
        <v>520909.9444487911</v>
      </c>
      <c r="E296" s="733">
        <f t="shared" si="113"/>
        <v>170315.60519521162</v>
      </c>
      <c r="F296" s="733">
        <f t="shared" si="113"/>
        <v>316651.27924262575</v>
      </c>
      <c r="G296" s="733">
        <f t="shared" si="113"/>
        <v>235603.63038885847</v>
      </c>
      <c r="H296" s="733">
        <f t="shared" si="113"/>
        <v>0</v>
      </c>
      <c r="I296" s="772">
        <f t="shared" si="80"/>
        <v>6535480</v>
      </c>
      <c r="J296" s="733">
        <v>990</v>
      </c>
      <c r="K296" s="733">
        <f t="shared" si="92"/>
        <v>6601.4949494949497</v>
      </c>
      <c r="L296" s="667"/>
      <c r="M296" s="667"/>
      <c r="N296" s="192" t="s">
        <v>1405</v>
      </c>
      <c r="O296" s="746">
        <f t="shared" si="108"/>
        <v>41056</v>
      </c>
      <c r="P296" s="746">
        <v>41059</v>
      </c>
      <c r="Q296" s="747" t="s">
        <v>984</v>
      </c>
      <c r="R296" s="304">
        <v>500</v>
      </c>
      <c r="S296" s="252">
        <v>10584</v>
      </c>
      <c r="T296" s="8">
        <f t="shared" si="93"/>
        <v>5292000</v>
      </c>
      <c r="U296" s="450"/>
      <c r="V296" s="748"/>
      <c r="W296" s="776"/>
      <c r="X296" s="776"/>
      <c r="Y296" s="8">
        <f t="shared" si="94"/>
        <v>0</v>
      </c>
    </row>
    <row r="297" spans="1:25">
      <c r="A297" s="771">
        <f t="shared" si="109"/>
        <v>99</v>
      </c>
      <c r="B297" s="297" t="s">
        <v>1474</v>
      </c>
      <c r="C297" s="796">
        <f t="shared" si="82"/>
        <v>4513.3653846153848</v>
      </c>
      <c r="D297" s="733">
        <f t="shared" si="113"/>
        <v>526.17166105938497</v>
      </c>
      <c r="E297" s="733">
        <f t="shared" si="113"/>
        <v>172.03596484364812</v>
      </c>
      <c r="F297" s="733">
        <f t="shared" si="113"/>
        <v>319.84977701275329</v>
      </c>
      <c r="G297" s="733">
        <f t="shared" si="113"/>
        <v>237.98346503925097</v>
      </c>
      <c r="H297" s="733">
        <f t="shared" si="113"/>
        <v>0</v>
      </c>
      <c r="I297" s="772">
        <f t="shared" si="80"/>
        <v>5769</v>
      </c>
      <c r="J297" s="733">
        <v>1</v>
      </c>
      <c r="K297" s="733">
        <f t="shared" si="92"/>
        <v>5769</v>
      </c>
      <c r="L297" s="667"/>
      <c r="M297" s="667"/>
      <c r="N297" s="192" t="s">
        <v>1360</v>
      </c>
      <c r="O297" s="746">
        <f t="shared" si="108"/>
        <v>41056</v>
      </c>
      <c r="P297" s="746">
        <v>41059</v>
      </c>
      <c r="Q297" s="747" t="s">
        <v>985</v>
      </c>
      <c r="R297" s="794">
        <v>0.5</v>
      </c>
      <c r="S297" s="255">
        <v>9026.7307692307695</v>
      </c>
      <c r="T297" s="8">
        <f t="shared" si="93"/>
        <v>4513.3653846153848</v>
      </c>
      <c r="U297" s="450"/>
      <c r="V297" s="748"/>
      <c r="W297" s="776"/>
      <c r="X297" s="776"/>
      <c r="Y297" s="8">
        <f t="shared" si="94"/>
        <v>0</v>
      </c>
    </row>
    <row r="298" spans="1:25">
      <c r="A298" s="771">
        <f t="shared" si="109"/>
        <v>100</v>
      </c>
      <c r="B298" s="297" t="s">
        <v>1508</v>
      </c>
      <c r="C298" s="796">
        <f t="shared" si="82"/>
        <v>4513.3653846153848</v>
      </c>
      <c r="D298" s="733">
        <f t="shared" si="113"/>
        <v>526.17166105938497</v>
      </c>
      <c r="E298" s="733">
        <f t="shared" si="113"/>
        <v>172.03596484364812</v>
      </c>
      <c r="F298" s="733">
        <f t="shared" si="113"/>
        <v>319.84977701275329</v>
      </c>
      <c r="G298" s="733">
        <f t="shared" si="113"/>
        <v>237.98346503925097</v>
      </c>
      <c r="H298" s="733">
        <f t="shared" si="113"/>
        <v>0</v>
      </c>
      <c r="I298" s="772">
        <f t="shared" si="80"/>
        <v>5769</v>
      </c>
      <c r="J298" s="733">
        <v>1</v>
      </c>
      <c r="K298" s="733">
        <f t="shared" si="92"/>
        <v>5769</v>
      </c>
      <c r="L298" s="667"/>
      <c r="M298" s="667"/>
      <c r="N298" s="192" t="s">
        <v>1360</v>
      </c>
      <c r="O298" s="746">
        <f t="shared" si="108"/>
        <v>41056</v>
      </c>
      <c r="P298" s="746">
        <v>41059</v>
      </c>
      <c r="Q298" s="747" t="s">
        <v>985</v>
      </c>
      <c r="R298" s="304">
        <v>0.5</v>
      </c>
      <c r="S298" s="255">
        <v>9026.7307692307695</v>
      </c>
      <c r="T298" s="8">
        <f t="shared" si="93"/>
        <v>4513.3653846153848</v>
      </c>
      <c r="U298" s="450"/>
      <c r="V298" s="748"/>
      <c r="W298" s="776"/>
      <c r="X298" s="776"/>
      <c r="Y298" s="8">
        <f t="shared" si="94"/>
        <v>0</v>
      </c>
    </row>
    <row r="299" spans="1:25">
      <c r="A299" s="771">
        <f t="shared" si="109"/>
        <v>101</v>
      </c>
      <c r="B299" s="297" t="s">
        <v>1472</v>
      </c>
      <c r="C299" s="796">
        <f t="shared" si="82"/>
        <v>9026.75</v>
      </c>
      <c r="D299" s="733">
        <f t="shared" ref="D299:H308" si="114">IF($J$371&lt;&gt;0,D$371/$J$371*$J299,0)</f>
        <v>526.17166105938497</v>
      </c>
      <c r="E299" s="733">
        <f t="shared" si="114"/>
        <v>172.03596484364812</v>
      </c>
      <c r="F299" s="733">
        <f t="shared" si="114"/>
        <v>319.84977701275329</v>
      </c>
      <c r="G299" s="733">
        <f t="shared" si="114"/>
        <v>237.98346503925097</v>
      </c>
      <c r="H299" s="733">
        <f t="shared" si="114"/>
        <v>0</v>
      </c>
      <c r="I299" s="772">
        <f t="shared" si="80"/>
        <v>10283</v>
      </c>
      <c r="J299" s="733">
        <v>1</v>
      </c>
      <c r="K299" s="733">
        <f t="shared" si="92"/>
        <v>10283</v>
      </c>
      <c r="L299" s="667"/>
      <c r="M299" s="667"/>
      <c r="N299" s="192" t="s">
        <v>1360</v>
      </c>
      <c r="O299" s="746">
        <f t="shared" si="108"/>
        <v>41056</v>
      </c>
      <c r="P299" s="746">
        <v>41059</v>
      </c>
      <c r="Q299" s="747" t="s">
        <v>985</v>
      </c>
      <c r="R299" s="304">
        <v>1</v>
      </c>
      <c r="S299" s="255">
        <v>9026.75</v>
      </c>
      <c r="T299" s="8">
        <f t="shared" si="93"/>
        <v>9026.75</v>
      </c>
      <c r="U299" s="450"/>
      <c r="V299" s="748"/>
      <c r="W299" s="776"/>
      <c r="X299" s="776"/>
      <c r="Y299" s="8">
        <f t="shared" si="94"/>
        <v>0</v>
      </c>
    </row>
    <row r="300" spans="1:25">
      <c r="A300" s="771">
        <f t="shared" si="109"/>
        <v>102</v>
      </c>
      <c r="B300" s="297" t="s">
        <v>1476</v>
      </c>
      <c r="C300" s="796">
        <f t="shared" si="82"/>
        <v>9026.75</v>
      </c>
      <c r="D300" s="733">
        <f t="shared" si="114"/>
        <v>526.17166105938497</v>
      </c>
      <c r="E300" s="733">
        <f t="shared" si="114"/>
        <v>172.03596484364812</v>
      </c>
      <c r="F300" s="733">
        <f t="shared" si="114"/>
        <v>319.84977701275329</v>
      </c>
      <c r="G300" s="733">
        <f t="shared" si="114"/>
        <v>237.98346503925097</v>
      </c>
      <c r="H300" s="733">
        <f t="shared" si="114"/>
        <v>0</v>
      </c>
      <c r="I300" s="772">
        <f t="shared" si="80"/>
        <v>10283</v>
      </c>
      <c r="J300" s="733">
        <v>1</v>
      </c>
      <c r="K300" s="733">
        <f t="shared" si="92"/>
        <v>10283</v>
      </c>
      <c r="L300" s="667"/>
      <c r="M300" s="667"/>
      <c r="N300" s="192" t="s">
        <v>1360</v>
      </c>
      <c r="O300" s="746">
        <f t="shared" si="108"/>
        <v>41056</v>
      </c>
      <c r="P300" s="746">
        <v>41059</v>
      </c>
      <c r="Q300" s="747" t="s">
        <v>985</v>
      </c>
      <c r="R300" s="304">
        <v>1</v>
      </c>
      <c r="S300" s="255">
        <v>9026.75</v>
      </c>
      <c r="T300" s="8">
        <f t="shared" si="93"/>
        <v>9026.75</v>
      </c>
      <c r="U300" s="450"/>
      <c r="V300" s="748"/>
      <c r="W300" s="776"/>
      <c r="X300" s="776"/>
      <c r="Y300" s="8">
        <f t="shared" si="94"/>
        <v>0</v>
      </c>
    </row>
    <row r="301" spans="1:25">
      <c r="A301" s="771">
        <f t="shared" si="109"/>
        <v>103</v>
      </c>
      <c r="B301" s="297" t="s">
        <v>1509</v>
      </c>
      <c r="C301" s="796">
        <f t="shared" si="82"/>
        <v>9026.7307692307695</v>
      </c>
      <c r="D301" s="733">
        <f t="shared" si="114"/>
        <v>526.17166105938497</v>
      </c>
      <c r="E301" s="733">
        <f t="shared" si="114"/>
        <v>172.03596484364812</v>
      </c>
      <c r="F301" s="733">
        <f t="shared" si="114"/>
        <v>319.84977701275329</v>
      </c>
      <c r="G301" s="733">
        <f t="shared" si="114"/>
        <v>237.98346503925097</v>
      </c>
      <c r="H301" s="733">
        <f t="shared" si="114"/>
        <v>0</v>
      </c>
      <c r="I301" s="772">
        <f t="shared" si="80"/>
        <v>10283</v>
      </c>
      <c r="J301" s="733">
        <v>1</v>
      </c>
      <c r="K301" s="733">
        <f t="shared" si="92"/>
        <v>10283</v>
      </c>
      <c r="L301" s="667"/>
      <c r="M301" s="667"/>
      <c r="N301" s="192" t="s">
        <v>1360</v>
      </c>
      <c r="O301" s="746">
        <f t="shared" si="108"/>
        <v>41056</v>
      </c>
      <c r="P301" s="746">
        <v>41059</v>
      </c>
      <c r="Q301" s="747" t="s">
        <v>985</v>
      </c>
      <c r="R301" s="304">
        <v>1</v>
      </c>
      <c r="S301" s="255">
        <v>9026.7307692307695</v>
      </c>
      <c r="T301" s="8">
        <f t="shared" si="93"/>
        <v>9026.7307692307695</v>
      </c>
      <c r="U301" s="450"/>
      <c r="V301" s="748"/>
      <c r="W301" s="776"/>
      <c r="X301" s="776"/>
      <c r="Y301" s="8">
        <f t="shared" si="94"/>
        <v>0</v>
      </c>
    </row>
    <row r="302" spans="1:25">
      <c r="A302" s="771">
        <f t="shared" si="109"/>
        <v>104</v>
      </c>
      <c r="B302" s="297" t="s">
        <v>1511</v>
      </c>
      <c r="C302" s="796">
        <f t="shared" si="82"/>
        <v>9026.7307692307695</v>
      </c>
      <c r="D302" s="733">
        <f t="shared" si="114"/>
        <v>526.17166105938497</v>
      </c>
      <c r="E302" s="733">
        <f t="shared" si="114"/>
        <v>172.03596484364812</v>
      </c>
      <c r="F302" s="733">
        <f t="shared" si="114"/>
        <v>319.84977701275329</v>
      </c>
      <c r="G302" s="733">
        <f t="shared" si="114"/>
        <v>237.98346503925097</v>
      </c>
      <c r="H302" s="733">
        <f t="shared" si="114"/>
        <v>0</v>
      </c>
      <c r="I302" s="772">
        <f t="shared" si="80"/>
        <v>10283</v>
      </c>
      <c r="J302" s="733">
        <v>1</v>
      </c>
      <c r="K302" s="733">
        <f t="shared" si="92"/>
        <v>10283</v>
      </c>
      <c r="L302" s="667"/>
      <c r="M302" s="667"/>
      <c r="N302" s="192" t="s">
        <v>1360</v>
      </c>
      <c r="O302" s="746">
        <f t="shared" si="108"/>
        <v>41056</v>
      </c>
      <c r="P302" s="746">
        <v>41059</v>
      </c>
      <c r="Q302" s="747" t="s">
        <v>985</v>
      </c>
      <c r="R302" s="304">
        <v>1</v>
      </c>
      <c r="S302" s="255">
        <v>9026.7307692307695</v>
      </c>
      <c r="T302" s="8">
        <f t="shared" si="93"/>
        <v>9026.7307692307695</v>
      </c>
      <c r="U302" s="450"/>
      <c r="V302" s="748"/>
      <c r="W302" s="776"/>
      <c r="X302" s="776"/>
      <c r="Y302" s="8">
        <f t="shared" si="94"/>
        <v>0</v>
      </c>
    </row>
    <row r="303" spans="1:25">
      <c r="A303" s="771">
        <f t="shared" si="109"/>
        <v>105</v>
      </c>
      <c r="B303" s="297" t="s">
        <v>1514</v>
      </c>
      <c r="C303" s="796">
        <f t="shared" si="82"/>
        <v>9026.75</v>
      </c>
      <c r="D303" s="733">
        <f t="shared" si="114"/>
        <v>526.17166105938497</v>
      </c>
      <c r="E303" s="733">
        <f t="shared" si="114"/>
        <v>172.03596484364812</v>
      </c>
      <c r="F303" s="733">
        <f t="shared" si="114"/>
        <v>319.84977701275329</v>
      </c>
      <c r="G303" s="733">
        <f t="shared" si="114"/>
        <v>237.98346503925097</v>
      </c>
      <c r="H303" s="733">
        <f t="shared" si="114"/>
        <v>0</v>
      </c>
      <c r="I303" s="772">
        <f t="shared" si="80"/>
        <v>10283</v>
      </c>
      <c r="J303" s="733">
        <v>1</v>
      </c>
      <c r="K303" s="733">
        <f t="shared" si="92"/>
        <v>10283</v>
      </c>
      <c r="L303" s="667"/>
      <c r="M303" s="667"/>
      <c r="N303" s="192" t="s">
        <v>1360</v>
      </c>
      <c r="O303" s="746">
        <f t="shared" si="108"/>
        <v>41056</v>
      </c>
      <c r="P303" s="746">
        <v>41059</v>
      </c>
      <c r="Q303" s="747" t="s">
        <v>985</v>
      </c>
      <c r="R303" s="304">
        <v>1</v>
      </c>
      <c r="S303" s="255">
        <v>9026.75</v>
      </c>
      <c r="T303" s="8">
        <f t="shared" si="93"/>
        <v>9026.75</v>
      </c>
      <c r="U303" s="450"/>
      <c r="V303" s="748"/>
      <c r="W303" s="776"/>
      <c r="X303" s="776"/>
      <c r="Y303" s="8">
        <f t="shared" si="94"/>
        <v>0</v>
      </c>
    </row>
    <row r="304" spans="1:25">
      <c r="A304" s="771">
        <f t="shared" si="109"/>
        <v>106</v>
      </c>
      <c r="B304" s="297" t="s">
        <v>1502</v>
      </c>
      <c r="C304" s="796">
        <f>T304</f>
        <v>9026.7307692307695</v>
      </c>
      <c r="D304" s="733">
        <f t="shared" si="114"/>
        <v>526.17166105938497</v>
      </c>
      <c r="E304" s="733">
        <f t="shared" si="114"/>
        <v>172.03596484364812</v>
      </c>
      <c r="F304" s="733">
        <f t="shared" si="114"/>
        <v>319.84977701275329</v>
      </c>
      <c r="G304" s="733">
        <f t="shared" si="114"/>
        <v>237.98346503925097</v>
      </c>
      <c r="H304" s="733">
        <f t="shared" si="114"/>
        <v>0</v>
      </c>
      <c r="I304" s="772">
        <f t="shared" si="80"/>
        <v>10283</v>
      </c>
      <c r="J304" s="733">
        <v>1</v>
      </c>
      <c r="K304" s="733">
        <f t="shared" si="92"/>
        <v>10283</v>
      </c>
      <c r="L304" s="667"/>
      <c r="M304" s="667"/>
      <c r="N304" s="192" t="s">
        <v>1360</v>
      </c>
      <c r="O304" s="746">
        <f t="shared" si="108"/>
        <v>41056</v>
      </c>
      <c r="P304" s="746">
        <v>41059</v>
      </c>
      <c r="Q304" s="747" t="s">
        <v>985</v>
      </c>
      <c r="R304" s="304">
        <v>1</v>
      </c>
      <c r="S304" s="255">
        <v>9026.7307692307695</v>
      </c>
      <c r="T304" s="8">
        <f t="shared" si="93"/>
        <v>9026.7307692307695</v>
      </c>
      <c r="U304" s="450"/>
      <c r="V304" s="748"/>
      <c r="W304" s="776"/>
      <c r="X304" s="776"/>
      <c r="Y304" s="8">
        <f t="shared" si="94"/>
        <v>0</v>
      </c>
    </row>
    <row r="305" spans="1:25">
      <c r="A305" s="771">
        <f t="shared" si="109"/>
        <v>107</v>
      </c>
      <c r="B305" s="297" t="s">
        <v>1502</v>
      </c>
      <c r="C305" s="796">
        <f>T305</f>
        <v>26790</v>
      </c>
      <c r="D305" s="733">
        <f t="shared" si="114"/>
        <v>1578.514983178155</v>
      </c>
      <c r="E305" s="733">
        <f t="shared" si="114"/>
        <v>516.10789453094435</v>
      </c>
      <c r="F305" s="733">
        <f t="shared" si="114"/>
        <v>959.54933103825988</v>
      </c>
      <c r="G305" s="733">
        <f t="shared" si="114"/>
        <v>713.95039511775292</v>
      </c>
      <c r="H305" s="733">
        <f t="shared" si="114"/>
        <v>0</v>
      </c>
      <c r="I305" s="772">
        <f t="shared" si="80"/>
        <v>30558</v>
      </c>
      <c r="J305" s="733">
        <v>3</v>
      </c>
      <c r="K305" s="733">
        <f t="shared" si="92"/>
        <v>10186</v>
      </c>
      <c r="L305" s="667"/>
      <c r="M305" s="667"/>
      <c r="N305" s="192" t="s">
        <v>730</v>
      </c>
      <c r="O305" s="746">
        <f t="shared" si="108"/>
        <v>41056</v>
      </c>
      <c r="P305" s="746">
        <v>41059</v>
      </c>
      <c r="Q305" s="747" t="s">
        <v>985</v>
      </c>
      <c r="R305" s="304">
        <v>3</v>
      </c>
      <c r="S305" s="255">
        <v>8930</v>
      </c>
      <c r="T305" s="8">
        <f t="shared" si="93"/>
        <v>26790</v>
      </c>
      <c r="U305" s="450"/>
      <c r="V305" s="748"/>
      <c r="W305" s="776"/>
      <c r="X305" s="776"/>
      <c r="Y305" s="8">
        <f t="shared" si="94"/>
        <v>0</v>
      </c>
    </row>
    <row r="306" spans="1:25">
      <c r="A306" s="771">
        <f t="shared" si="109"/>
        <v>108</v>
      </c>
      <c r="B306" s="297" t="s">
        <v>1478</v>
      </c>
      <c r="C306" s="796">
        <f>T306</f>
        <v>9026.75</v>
      </c>
      <c r="D306" s="733">
        <f t="shared" si="114"/>
        <v>526.17166105938497</v>
      </c>
      <c r="E306" s="733">
        <f t="shared" si="114"/>
        <v>172.03596484364812</v>
      </c>
      <c r="F306" s="733">
        <f t="shared" si="114"/>
        <v>319.84977701275329</v>
      </c>
      <c r="G306" s="733">
        <f t="shared" si="114"/>
        <v>237.98346503925097</v>
      </c>
      <c r="H306" s="733">
        <f t="shared" si="114"/>
        <v>0</v>
      </c>
      <c r="I306" s="772">
        <f t="shared" si="80"/>
        <v>10283</v>
      </c>
      <c r="J306" s="733">
        <v>1</v>
      </c>
      <c r="K306" s="733">
        <f t="shared" si="92"/>
        <v>10283</v>
      </c>
      <c r="L306" s="667"/>
      <c r="M306" s="667"/>
      <c r="N306" s="192" t="s">
        <v>1360</v>
      </c>
      <c r="O306" s="746">
        <f t="shared" si="108"/>
        <v>41056</v>
      </c>
      <c r="P306" s="746">
        <v>41059</v>
      </c>
      <c r="Q306" s="747" t="s">
        <v>985</v>
      </c>
      <c r="R306" s="304">
        <v>1</v>
      </c>
      <c r="S306" s="255">
        <v>9026.75</v>
      </c>
      <c r="T306" s="8">
        <f t="shared" si="93"/>
        <v>9026.75</v>
      </c>
      <c r="U306" s="450"/>
      <c r="V306" s="748"/>
      <c r="W306" s="776"/>
      <c r="X306" s="776"/>
      <c r="Y306" s="8">
        <f t="shared" si="94"/>
        <v>0</v>
      </c>
    </row>
    <row r="307" spans="1:25">
      <c r="A307" s="771">
        <f t="shared" si="109"/>
        <v>109</v>
      </c>
      <c r="B307" s="297" t="s">
        <v>1487</v>
      </c>
      <c r="C307" s="796">
        <f>T307</f>
        <v>204437.33333333331</v>
      </c>
      <c r="D307" s="733">
        <f t="shared" si="114"/>
        <v>13680.46318754401</v>
      </c>
      <c r="E307" s="733">
        <f t="shared" si="114"/>
        <v>4472.9350859348506</v>
      </c>
      <c r="F307" s="733">
        <f t="shared" si="114"/>
        <v>8316.0942023315856</v>
      </c>
      <c r="G307" s="733">
        <f t="shared" si="114"/>
        <v>6187.5700910205251</v>
      </c>
      <c r="H307" s="733">
        <f t="shared" si="114"/>
        <v>0</v>
      </c>
      <c r="I307" s="772">
        <f t="shared" si="80"/>
        <v>237094</v>
      </c>
      <c r="J307" s="733">
        <v>26</v>
      </c>
      <c r="K307" s="733">
        <f t="shared" si="92"/>
        <v>9119</v>
      </c>
      <c r="L307" s="667"/>
      <c r="M307" s="667"/>
      <c r="N307" s="192" t="s">
        <v>1396</v>
      </c>
      <c r="O307" s="746">
        <f t="shared" si="108"/>
        <v>41056</v>
      </c>
      <c r="P307" s="746">
        <v>41059</v>
      </c>
      <c r="Q307" s="747" t="s">
        <v>985</v>
      </c>
      <c r="R307" s="304">
        <v>14</v>
      </c>
      <c r="S307" s="255">
        <v>14602.666666666666</v>
      </c>
      <c r="T307" s="8">
        <f t="shared" si="93"/>
        <v>204437.33333333331</v>
      </c>
      <c r="U307" s="450"/>
      <c r="V307" s="748"/>
      <c r="W307" s="776"/>
      <c r="X307" s="776"/>
      <c r="Y307" s="8">
        <f t="shared" si="94"/>
        <v>0</v>
      </c>
    </row>
    <row r="308" spans="1:25">
      <c r="A308" s="771">
        <f t="shared" si="109"/>
        <v>110</v>
      </c>
      <c r="B308" s="297" t="s">
        <v>1490</v>
      </c>
      <c r="C308" s="796">
        <f>T308</f>
        <v>21550</v>
      </c>
      <c r="D308" s="733">
        <f t="shared" si="114"/>
        <v>1052.3433221187699</v>
      </c>
      <c r="E308" s="733">
        <f t="shared" si="114"/>
        <v>344.07192968729623</v>
      </c>
      <c r="F308" s="733">
        <f t="shared" si="114"/>
        <v>639.69955402550659</v>
      </c>
      <c r="G308" s="733">
        <f t="shared" si="114"/>
        <v>475.96693007850195</v>
      </c>
      <c r="H308" s="733">
        <f t="shared" si="114"/>
        <v>0</v>
      </c>
      <c r="I308" s="772">
        <f t="shared" si="80"/>
        <v>24062</v>
      </c>
      <c r="J308" s="733">
        <v>2</v>
      </c>
      <c r="K308" s="733">
        <f t="shared" si="92"/>
        <v>12031</v>
      </c>
      <c r="L308" s="781"/>
      <c r="M308" s="667"/>
      <c r="N308" s="192" t="s">
        <v>1274</v>
      </c>
      <c r="O308" s="746">
        <f t="shared" si="108"/>
        <v>41056</v>
      </c>
      <c r="P308" s="746">
        <v>41059</v>
      </c>
      <c r="Q308" s="747" t="s">
        <v>985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0"/>
      <c r="V308" s="748"/>
      <c r="W308" s="776"/>
      <c r="X308" s="776"/>
      <c r="Y308" s="8">
        <f t="shared" si="94"/>
        <v>0</v>
      </c>
    </row>
    <row r="309" spans="1:25">
      <c r="A309" s="771">
        <f t="shared" si="109"/>
        <v>111</v>
      </c>
      <c r="B309" s="297" t="s">
        <v>1515</v>
      </c>
      <c r="C309" s="796">
        <f t="shared" ref="C309:C329" si="116">T309</f>
        <v>9420</v>
      </c>
      <c r="D309" s="733">
        <f t="shared" ref="D309:H318" si="117">IF($J$371&lt;&gt;0,D$371/$J$371*$J309,0)</f>
        <v>526.17166105938497</v>
      </c>
      <c r="E309" s="733">
        <f t="shared" si="117"/>
        <v>172.03596484364812</v>
      </c>
      <c r="F309" s="733">
        <f t="shared" si="117"/>
        <v>319.84977701275329</v>
      </c>
      <c r="G309" s="733">
        <f t="shared" si="117"/>
        <v>237.98346503925097</v>
      </c>
      <c r="H309" s="733">
        <f t="shared" si="117"/>
        <v>0</v>
      </c>
      <c r="I309" s="772">
        <f t="shared" ref="I309:I331" si="118">ROUND(SUM(C309:H309),0)</f>
        <v>10676</v>
      </c>
      <c r="J309" s="733">
        <v>1</v>
      </c>
      <c r="K309" s="733">
        <f t="shared" ref="K309:K331" si="119">IF(J309&lt;&gt;"",I309/J309,"")</f>
        <v>10676</v>
      </c>
      <c r="L309" s="667"/>
      <c r="M309" s="667"/>
      <c r="N309" s="192" t="s">
        <v>711</v>
      </c>
      <c r="O309" s="746">
        <f t="shared" si="108"/>
        <v>41056</v>
      </c>
      <c r="P309" s="746">
        <v>41059</v>
      </c>
      <c r="Q309" s="747" t="s">
        <v>985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0"/>
      <c r="V309" s="748"/>
      <c r="W309" s="776"/>
      <c r="X309" s="776"/>
      <c r="Y309" s="8">
        <f t="shared" ref="Y309:Y331" si="121">W309*X309</f>
        <v>0</v>
      </c>
    </row>
    <row r="310" spans="1:25">
      <c r="A310" s="771">
        <f t="shared" si="109"/>
        <v>112</v>
      </c>
      <c r="B310" s="297" t="s">
        <v>1477</v>
      </c>
      <c r="C310" s="796">
        <f t="shared" si="116"/>
        <v>9026.75</v>
      </c>
      <c r="D310" s="733">
        <f t="shared" si="117"/>
        <v>526.17166105938497</v>
      </c>
      <c r="E310" s="733">
        <f t="shared" si="117"/>
        <v>172.03596484364812</v>
      </c>
      <c r="F310" s="733">
        <f t="shared" si="117"/>
        <v>319.84977701275329</v>
      </c>
      <c r="G310" s="733">
        <f t="shared" si="117"/>
        <v>237.98346503925097</v>
      </c>
      <c r="H310" s="733">
        <f t="shared" si="117"/>
        <v>0</v>
      </c>
      <c r="I310" s="772">
        <f t="shared" si="118"/>
        <v>10283</v>
      </c>
      <c r="J310" s="733">
        <v>1</v>
      </c>
      <c r="K310" s="733">
        <f t="shared" si="119"/>
        <v>10283</v>
      </c>
      <c r="L310" s="667"/>
      <c r="M310" s="667"/>
      <c r="N310" s="192" t="s">
        <v>1360</v>
      </c>
      <c r="O310" s="746">
        <f t="shared" si="108"/>
        <v>41056</v>
      </c>
      <c r="P310" s="746">
        <v>41059</v>
      </c>
      <c r="Q310" s="747" t="s">
        <v>985</v>
      </c>
      <c r="R310" s="304">
        <v>1</v>
      </c>
      <c r="S310" s="255">
        <v>9026.75</v>
      </c>
      <c r="T310" s="8">
        <f t="shared" si="120"/>
        <v>9026.75</v>
      </c>
      <c r="U310" s="450"/>
      <c r="V310" s="748"/>
      <c r="W310" s="776"/>
      <c r="X310" s="776"/>
      <c r="Y310" s="8">
        <f t="shared" si="121"/>
        <v>0</v>
      </c>
    </row>
    <row r="311" spans="1:25">
      <c r="A311" s="771">
        <f t="shared" si="109"/>
        <v>113</v>
      </c>
      <c r="B311" s="297" t="s">
        <v>1512</v>
      </c>
      <c r="C311" s="796">
        <f t="shared" si="116"/>
        <v>9026.7307692307695</v>
      </c>
      <c r="D311" s="733">
        <f t="shared" si="117"/>
        <v>526.17166105938497</v>
      </c>
      <c r="E311" s="733">
        <f t="shared" si="117"/>
        <v>172.03596484364812</v>
      </c>
      <c r="F311" s="733">
        <f t="shared" si="117"/>
        <v>319.84977701275329</v>
      </c>
      <c r="G311" s="733">
        <f t="shared" si="117"/>
        <v>237.98346503925097</v>
      </c>
      <c r="H311" s="733">
        <f t="shared" si="117"/>
        <v>0</v>
      </c>
      <c r="I311" s="772">
        <f t="shared" si="118"/>
        <v>10283</v>
      </c>
      <c r="J311" s="733">
        <v>1</v>
      </c>
      <c r="K311" s="733">
        <f t="shared" si="119"/>
        <v>10283</v>
      </c>
      <c r="L311" s="667"/>
      <c r="M311" s="667"/>
      <c r="N311" s="192" t="s">
        <v>1360</v>
      </c>
      <c r="O311" s="746">
        <f t="shared" si="108"/>
        <v>41056</v>
      </c>
      <c r="P311" s="746">
        <v>41059</v>
      </c>
      <c r="Q311" s="747" t="s">
        <v>985</v>
      </c>
      <c r="R311" s="304">
        <v>1</v>
      </c>
      <c r="S311" s="255">
        <v>9026.7307692307695</v>
      </c>
      <c r="T311" s="8">
        <f t="shared" si="120"/>
        <v>9026.7307692307695</v>
      </c>
      <c r="U311" s="450"/>
      <c r="V311" s="748"/>
      <c r="W311" s="776"/>
      <c r="X311" s="776"/>
      <c r="Y311" s="8">
        <f t="shared" si="121"/>
        <v>0</v>
      </c>
    </row>
    <row r="312" spans="1:25">
      <c r="A312" s="771">
        <f t="shared" si="109"/>
        <v>114</v>
      </c>
      <c r="B312" s="297" t="s">
        <v>1489</v>
      </c>
      <c r="C312" s="796">
        <f t="shared" si="116"/>
        <v>47981.777777777781</v>
      </c>
      <c r="D312" s="733">
        <f t="shared" si="117"/>
        <v>2104.6866442375399</v>
      </c>
      <c r="E312" s="733">
        <f t="shared" si="117"/>
        <v>688.14385937459247</v>
      </c>
      <c r="F312" s="733">
        <f t="shared" si="117"/>
        <v>1279.3991080510132</v>
      </c>
      <c r="G312" s="733">
        <f t="shared" si="117"/>
        <v>951.93386015700389</v>
      </c>
      <c r="H312" s="733">
        <f t="shared" si="117"/>
        <v>0</v>
      </c>
      <c r="I312" s="772">
        <f t="shared" si="118"/>
        <v>53006</v>
      </c>
      <c r="J312" s="733">
        <v>4</v>
      </c>
      <c r="K312" s="733">
        <f t="shared" si="119"/>
        <v>13251.5</v>
      </c>
      <c r="L312" s="667"/>
      <c r="M312" s="667"/>
      <c r="N312" s="189" t="s">
        <v>1263</v>
      </c>
      <c r="O312" s="746">
        <f t="shared" si="108"/>
        <v>41056</v>
      </c>
      <c r="P312" s="746">
        <v>41059</v>
      </c>
      <c r="Q312" s="747" t="s">
        <v>985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0"/>
      <c r="V312" s="748"/>
      <c r="W312" s="776"/>
      <c r="X312" s="776"/>
      <c r="Y312" s="8">
        <f t="shared" si="121"/>
        <v>0</v>
      </c>
    </row>
    <row r="313" spans="1:25">
      <c r="A313" s="771">
        <f t="shared" si="109"/>
        <v>115</v>
      </c>
      <c r="B313" s="297" t="s">
        <v>1516</v>
      </c>
      <c r="C313" s="796">
        <f t="shared" si="116"/>
        <v>37680</v>
      </c>
      <c r="D313" s="733">
        <f t="shared" si="117"/>
        <v>2104.6866442375399</v>
      </c>
      <c r="E313" s="733">
        <f t="shared" si="117"/>
        <v>688.14385937459247</v>
      </c>
      <c r="F313" s="733">
        <f t="shared" si="117"/>
        <v>1279.3991080510132</v>
      </c>
      <c r="G313" s="733">
        <f t="shared" si="117"/>
        <v>951.93386015700389</v>
      </c>
      <c r="H313" s="733">
        <f t="shared" si="117"/>
        <v>0</v>
      </c>
      <c r="I313" s="772">
        <f t="shared" si="118"/>
        <v>42704</v>
      </c>
      <c r="J313" s="733">
        <v>4</v>
      </c>
      <c r="K313" s="733">
        <f t="shared" si="119"/>
        <v>10676</v>
      </c>
      <c r="L313" s="667"/>
      <c r="M313" s="667"/>
      <c r="N313" s="192" t="s">
        <v>711</v>
      </c>
      <c r="O313" s="746">
        <f t="shared" si="108"/>
        <v>41056</v>
      </c>
      <c r="P313" s="746">
        <v>41059</v>
      </c>
      <c r="Q313" s="747" t="s">
        <v>985</v>
      </c>
      <c r="R313" s="304">
        <f>J313</f>
        <v>4</v>
      </c>
      <c r="S313" s="255">
        <v>9420</v>
      </c>
      <c r="T313" s="8">
        <f t="shared" si="120"/>
        <v>37680</v>
      </c>
      <c r="U313" s="450"/>
      <c r="V313" s="748"/>
      <c r="W313" s="776"/>
      <c r="X313" s="776"/>
      <c r="Y313" s="8">
        <f t="shared" si="121"/>
        <v>0</v>
      </c>
    </row>
    <row r="314" spans="1:25">
      <c r="A314" s="771">
        <f t="shared" si="109"/>
        <v>116</v>
      </c>
      <c r="B314" s="297" t="s">
        <v>1479</v>
      </c>
      <c r="C314" s="796">
        <f t="shared" si="116"/>
        <v>202536</v>
      </c>
      <c r="D314" s="733">
        <f t="shared" si="117"/>
        <v>12628.11986542524</v>
      </c>
      <c r="E314" s="733">
        <f t="shared" si="117"/>
        <v>4128.8631562475548</v>
      </c>
      <c r="F314" s="733">
        <f t="shared" si="117"/>
        <v>7676.394648306079</v>
      </c>
      <c r="G314" s="733">
        <f t="shared" si="117"/>
        <v>5711.6031609420234</v>
      </c>
      <c r="H314" s="733">
        <f t="shared" si="117"/>
        <v>0</v>
      </c>
      <c r="I314" s="772">
        <f t="shared" si="118"/>
        <v>232681</v>
      </c>
      <c r="J314" s="733">
        <v>24</v>
      </c>
      <c r="K314" s="733">
        <f t="shared" si="119"/>
        <v>9695.0416666666661</v>
      </c>
      <c r="L314" s="667"/>
      <c r="M314" s="667"/>
      <c r="N314" s="192" t="s">
        <v>1253</v>
      </c>
      <c r="O314" s="746">
        <f t="shared" si="108"/>
        <v>41056</v>
      </c>
      <c r="P314" s="746">
        <v>41059</v>
      </c>
      <c r="Q314" s="747" t="s">
        <v>985</v>
      </c>
      <c r="R314" s="794">
        <v>12</v>
      </c>
      <c r="S314" s="255">
        <v>16878</v>
      </c>
      <c r="T314" s="8">
        <f t="shared" si="120"/>
        <v>202536</v>
      </c>
      <c r="U314" s="450"/>
      <c r="V314" s="748"/>
      <c r="W314" s="776"/>
      <c r="X314" s="776"/>
      <c r="Y314" s="8">
        <f t="shared" si="121"/>
        <v>0</v>
      </c>
    </row>
    <row r="315" spans="1:25">
      <c r="A315" s="771">
        <f t="shared" si="109"/>
        <v>117</v>
      </c>
      <c r="B315" s="297" t="s">
        <v>1480</v>
      </c>
      <c r="C315" s="796">
        <f t="shared" si="116"/>
        <v>761452</v>
      </c>
      <c r="D315" s="733">
        <f t="shared" si="117"/>
        <v>42619.904545810183</v>
      </c>
      <c r="E315" s="733">
        <f t="shared" si="117"/>
        <v>13934.913152335497</v>
      </c>
      <c r="F315" s="733">
        <f t="shared" si="117"/>
        <v>25907.831938033018</v>
      </c>
      <c r="G315" s="733">
        <f t="shared" si="117"/>
        <v>19276.660668179327</v>
      </c>
      <c r="H315" s="733">
        <f t="shared" si="117"/>
        <v>0</v>
      </c>
      <c r="I315" s="772">
        <f t="shared" si="118"/>
        <v>863191</v>
      </c>
      <c r="J315" s="733">
        <v>81</v>
      </c>
      <c r="K315" s="733">
        <f t="shared" si="119"/>
        <v>10656.679012345679</v>
      </c>
      <c r="L315" s="667"/>
      <c r="M315" s="667"/>
      <c r="N315" s="192" t="s">
        <v>1383</v>
      </c>
      <c r="O315" s="746">
        <f t="shared" si="108"/>
        <v>41056</v>
      </c>
      <c r="P315" s="746">
        <v>41059</v>
      </c>
      <c r="Q315" s="747" t="s">
        <v>985</v>
      </c>
      <c r="R315" s="794">
        <v>82</v>
      </c>
      <c r="S315" s="252">
        <v>9286</v>
      </c>
      <c r="T315" s="8">
        <f t="shared" si="120"/>
        <v>761452</v>
      </c>
      <c r="U315" s="450"/>
      <c r="V315" s="748"/>
      <c r="W315" s="776"/>
      <c r="X315" s="776"/>
      <c r="Y315" s="8">
        <f t="shared" si="121"/>
        <v>0</v>
      </c>
    </row>
    <row r="316" spans="1:25">
      <c r="A316" s="771">
        <f t="shared" si="109"/>
        <v>118</v>
      </c>
      <c r="B316" s="297" t="s">
        <v>1475</v>
      </c>
      <c r="C316" s="796">
        <f t="shared" si="116"/>
        <v>9026.7307692307695</v>
      </c>
      <c r="D316" s="733">
        <f t="shared" si="117"/>
        <v>526.17166105938497</v>
      </c>
      <c r="E316" s="733">
        <f t="shared" si="117"/>
        <v>172.03596484364812</v>
      </c>
      <c r="F316" s="733">
        <f t="shared" si="117"/>
        <v>319.84977701275329</v>
      </c>
      <c r="G316" s="733">
        <f t="shared" si="117"/>
        <v>237.98346503925097</v>
      </c>
      <c r="H316" s="733">
        <f t="shared" si="117"/>
        <v>0</v>
      </c>
      <c r="I316" s="772">
        <f t="shared" si="118"/>
        <v>10283</v>
      </c>
      <c r="J316" s="733">
        <v>1</v>
      </c>
      <c r="K316" s="733">
        <f t="shared" si="119"/>
        <v>10283</v>
      </c>
      <c r="L316" s="667"/>
      <c r="M316" s="667"/>
      <c r="N316" s="192" t="s">
        <v>1360</v>
      </c>
      <c r="O316" s="746">
        <f t="shared" si="108"/>
        <v>41056</v>
      </c>
      <c r="P316" s="746">
        <v>41059</v>
      </c>
      <c r="Q316" s="747" t="s">
        <v>985</v>
      </c>
      <c r="R316" s="304">
        <v>1</v>
      </c>
      <c r="S316" s="255">
        <v>9026.7307692307695</v>
      </c>
      <c r="T316" s="8">
        <f t="shared" si="93"/>
        <v>9026.7307692307695</v>
      </c>
      <c r="U316" s="450"/>
      <c r="V316" s="748"/>
      <c r="W316" s="776"/>
      <c r="X316" s="776"/>
      <c r="Y316" s="8">
        <f t="shared" si="121"/>
        <v>0</v>
      </c>
    </row>
    <row r="317" spans="1:25">
      <c r="A317" s="771">
        <f t="shared" si="109"/>
        <v>119</v>
      </c>
      <c r="B317" s="297" t="s">
        <v>1483</v>
      </c>
      <c r="C317" s="796">
        <f t="shared" si="116"/>
        <v>47100</v>
      </c>
      <c r="D317" s="733">
        <f t="shared" si="117"/>
        <v>2630.8583052969248</v>
      </c>
      <c r="E317" s="733">
        <f t="shared" si="117"/>
        <v>860.17982421824058</v>
      </c>
      <c r="F317" s="733">
        <f t="shared" si="117"/>
        <v>1599.2488850637665</v>
      </c>
      <c r="G317" s="733">
        <f t="shared" si="117"/>
        <v>1189.9173251962548</v>
      </c>
      <c r="H317" s="733">
        <f t="shared" si="117"/>
        <v>0</v>
      </c>
      <c r="I317" s="772">
        <f t="shared" si="118"/>
        <v>53380</v>
      </c>
      <c r="J317" s="733">
        <v>5</v>
      </c>
      <c r="K317" s="733">
        <f t="shared" si="119"/>
        <v>10676</v>
      </c>
      <c r="L317" s="667"/>
      <c r="M317" s="667"/>
      <c r="N317" s="192" t="s">
        <v>711</v>
      </c>
      <c r="O317" s="746">
        <f t="shared" si="108"/>
        <v>41056</v>
      </c>
      <c r="P317" s="746">
        <v>41059</v>
      </c>
      <c r="Q317" s="747" t="s">
        <v>985</v>
      </c>
      <c r="R317" s="304">
        <f>J317</f>
        <v>5</v>
      </c>
      <c r="S317" s="255">
        <v>9420</v>
      </c>
      <c r="T317" s="8">
        <f t="shared" si="120"/>
        <v>47100</v>
      </c>
      <c r="U317" s="450"/>
      <c r="V317" s="748"/>
      <c r="W317" s="776"/>
      <c r="X317" s="776"/>
      <c r="Y317" s="8">
        <f t="shared" si="121"/>
        <v>0</v>
      </c>
    </row>
    <row r="318" spans="1:25">
      <c r="A318" s="771">
        <f t="shared" si="109"/>
        <v>120</v>
      </c>
      <c r="B318" s="297" t="s">
        <v>1481</v>
      </c>
      <c r="C318" s="796">
        <f t="shared" si="116"/>
        <v>688800</v>
      </c>
      <c r="D318" s="733">
        <f t="shared" si="117"/>
        <v>29991.784680384942</v>
      </c>
      <c r="E318" s="733">
        <f t="shared" si="117"/>
        <v>9806.0499960879424</v>
      </c>
      <c r="F318" s="733">
        <f t="shared" si="117"/>
        <v>18231.437289726939</v>
      </c>
      <c r="G318" s="733">
        <f t="shared" si="117"/>
        <v>13565.057507237305</v>
      </c>
      <c r="H318" s="733">
        <f t="shared" si="117"/>
        <v>0</v>
      </c>
      <c r="I318" s="772">
        <f t="shared" si="118"/>
        <v>760394</v>
      </c>
      <c r="J318" s="733">
        <v>57</v>
      </c>
      <c r="K318" s="733">
        <f t="shared" si="119"/>
        <v>13340.245614035088</v>
      </c>
      <c r="L318" s="667"/>
      <c r="M318" s="667"/>
      <c r="N318" s="192" t="s">
        <v>1359</v>
      </c>
      <c r="O318" s="746">
        <f t="shared" si="108"/>
        <v>41056</v>
      </c>
      <c r="P318" s="746">
        <v>41059</v>
      </c>
      <c r="Q318" s="747" t="s">
        <v>985</v>
      </c>
      <c r="R318" s="304">
        <v>60</v>
      </c>
      <c r="S318" s="255">
        <v>11480</v>
      </c>
      <c r="T318" s="8">
        <f t="shared" si="120"/>
        <v>688800</v>
      </c>
      <c r="U318" s="450"/>
      <c r="V318" s="748"/>
      <c r="W318" s="776"/>
      <c r="X318" s="776"/>
      <c r="Y318" s="8">
        <f t="shared" si="121"/>
        <v>0</v>
      </c>
    </row>
    <row r="319" spans="1:25">
      <c r="A319" s="771">
        <f t="shared" si="109"/>
        <v>121</v>
      </c>
      <c r="B319" s="297" t="s">
        <v>1510</v>
      </c>
      <c r="C319" s="796">
        <f t="shared" si="116"/>
        <v>14375</v>
      </c>
      <c r="D319" s="733">
        <f t="shared" ref="D319:H328" si="122">IF($J$371&lt;&gt;0,D$371/$J$371*$J319,0)</f>
        <v>526.17166105938497</v>
      </c>
      <c r="E319" s="733">
        <f t="shared" si="122"/>
        <v>172.03596484364812</v>
      </c>
      <c r="F319" s="733">
        <f t="shared" si="122"/>
        <v>319.84977701275329</v>
      </c>
      <c r="G319" s="733">
        <f t="shared" si="122"/>
        <v>237.98346503925097</v>
      </c>
      <c r="H319" s="733">
        <f t="shared" si="122"/>
        <v>0</v>
      </c>
      <c r="I319" s="772">
        <f t="shared" si="118"/>
        <v>15631</v>
      </c>
      <c r="J319" s="733">
        <v>1</v>
      </c>
      <c r="K319" s="733">
        <f t="shared" si="119"/>
        <v>15631</v>
      </c>
      <c r="L319" s="667"/>
      <c r="M319" s="667"/>
      <c r="N319" s="192" t="s">
        <v>1242</v>
      </c>
      <c r="O319" s="746">
        <f t="shared" si="108"/>
        <v>41056</v>
      </c>
      <c r="P319" s="746">
        <v>41059</v>
      </c>
      <c r="Q319" s="747" t="s">
        <v>985</v>
      </c>
      <c r="R319" s="304">
        <v>1</v>
      </c>
      <c r="S319" s="255">
        <v>14375</v>
      </c>
      <c r="T319" s="8">
        <f t="shared" si="120"/>
        <v>14375</v>
      </c>
      <c r="U319" s="450"/>
      <c r="V319" s="748"/>
      <c r="W319" s="776"/>
      <c r="X319" s="776"/>
      <c r="Y319" s="8">
        <f t="shared" si="121"/>
        <v>0</v>
      </c>
    </row>
    <row r="320" spans="1:25">
      <c r="A320" s="771">
        <f t="shared" si="109"/>
        <v>122</v>
      </c>
      <c r="B320" s="297" t="s">
        <v>1471</v>
      </c>
      <c r="C320" s="796">
        <f t="shared" si="116"/>
        <v>1705950</v>
      </c>
      <c r="D320" s="733">
        <f t="shared" si="122"/>
        <v>79978.092481026513</v>
      </c>
      <c r="E320" s="733">
        <f t="shared" si="122"/>
        <v>26149.466656234516</v>
      </c>
      <c r="F320" s="733">
        <f t="shared" si="122"/>
        <v>48617.166105938501</v>
      </c>
      <c r="G320" s="733">
        <f t="shared" si="122"/>
        <v>36173.486685966149</v>
      </c>
      <c r="H320" s="733">
        <f t="shared" si="122"/>
        <v>0</v>
      </c>
      <c r="I320" s="772">
        <f t="shared" si="118"/>
        <v>1896868</v>
      </c>
      <c r="J320" s="733">
        <v>152</v>
      </c>
      <c r="K320" s="733">
        <f t="shared" si="119"/>
        <v>12479.394736842105</v>
      </c>
      <c r="L320" s="667"/>
      <c r="M320" s="667"/>
      <c r="N320" s="192" t="s">
        <v>1258</v>
      </c>
      <c r="O320" s="746">
        <f t="shared" si="108"/>
        <v>41056</v>
      </c>
      <c r="P320" s="746">
        <v>41059</v>
      </c>
      <c r="Q320" s="747" t="s">
        <v>985</v>
      </c>
      <c r="R320" s="304">
        <v>153</v>
      </c>
      <c r="S320" s="255">
        <v>11150</v>
      </c>
      <c r="T320" s="8">
        <f t="shared" si="120"/>
        <v>1705950</v>
      </c>
      <c r="U320" s="450"/>
      <c r="V320" s="748"/>
      <c r="W320" s="776"/>
      <c r="X320" s="776"/>
      <c r="Y320" s="8">
        <f t="shared" si="121"/>
        <v>0</v>
      </c>
    </row>
    <row r="321" spans="1:25">
      <c r="A321" s="771">
        <f t="shared" si="109"/>
        <v>123</v>
      </c>
      <c r="B321" s="297" t="s">
        <v>1485</v>
      </c>
      <c r="C321" s="796">
        <f t="shared" si="116"/>
        <v>452682</v>
      </c>
      <c r="D321" s="733">
        <f t="shared" si="122"/>
        <v>17363.664814959706</v>
      </c>
      <c r="E321" s="733">
        <f t="shared" si="122"/>
        <v>5677.1868398403876</v>
      </c>
      <c r="F321" s="733">
        <f t="shared" si="122"/>
        <v>10555.04264142086</v>
      </c>
      <c r="G321" s="733">
        <f t="shared" si="122"/>
        <v>7853.4543462952824</v>
      </c>
      <c r="H321" s="733">
        <f t="shared" si="122"/>
        <v>0</v>
      </c>
      <c r="I321" s="772">
        <f t="shared" si="118"/>
        <v>494131</v>
      </c>
      <c r="J321" s="733">
        <v>33</v>
      </c>
      <c r="K321" s="733">
        <f t="shared" si="119"/>
        <v>14973.666666666666</v>
      </c>
      <c r="L321" s="667"/>
      <c r="M321" s="667"/>
      <c r="N321" s="192" t="s">
        <v>1303</v>
      </c>
      <c r="O321" s="746">
        <f t="shared" ref="O321:O369" si="123">P321-3</f>
        <v>41056</v>
      </c>
      <c r="P321" s="746">
        <v>41059</v>
      </c>
      <c r="Q321" s="747" t="s">
        <v>985</v>
      </c>
      <c r="R321" s="304">
        <v>18</v>
      </c>
      <c r="S321" s="252">
        <v>25149</v>
      </c>
      <c r="T321" s="8">
        <f t="shared" si="120"/>
        <v>452682</v>
      </c>
      <c r="U321" s="450"/>
      <c r="V321" s="748"/>
      <c r="W321" s="776"/>
      <c r="X321" s="776"/>
      <c r="Y321" s="8">
        <f t="shared" si="121"/>
        <v>0</v>
      </c>
    </row>
    <row r="322" spans="1:25">
      <c r="A322" s="771">
        <f t="shared" si="109"/>
        <v>124</v>
      </c>
      <c r="B322" s="297" t="s">
        <v>1501</v>
      </c>
      <c r="C322" s="796">
        <f t="shared" si="116"/>
        <v>332789.76000000001</v>
      </c>
      <c r="D322" s="733">
        <f t="shared" si="122"/>
        <v>11575.776543306469</v>
      </c>
      <c r="E322" s="733">
        <f t="shared" si="122"/>
        <v>3784.7912265602586</v>
      </c>
      <c r="F322" s="733">
        <f t="shared" si="122"/>
        <v>7036.6950942805724</v>
      </c>
      <c r="G322" s="733">
        <f t="shared" si="122"/>
        <v>5235.6362308635216</v>
      </c>
      <c r="H322" s="733">
        <f t="shared" si="122"/>
        <v>0</v>
      </c>
      <c r="I322" s="772">
        <f t="shared" si="118"/>
        <v>360423</v>
      </c>
      <c r="J322" s="733">
        <v>22</v>
      </c>
      <c r="K322" s="733">
        <f t="shared" si="119"/>
        <v>16382.863636363636</v>
      </c>
      <c r="L322" s="667"/>
      <c r="M322" s="667"/>
      <c r="N322" s="192" t="s">
        <v>762</v>
      </c>
      <c r="O322" s="746">
        <f t="shared" si="123"/>
        <v>41056</v>
      </c>
      <c r="P322" s="746">
        <v>41059</v>
      </c>
      <c r="Q322" s="747" t="s">
        <v>985</v>
      </c>
      <c r="R322" s="304">
        <v>23</v>
      </c>
      <c r="S322" s="252">
        <v>14469.12</v>
      </c>
      <c r="T322" s="8">
        <f t="shared" si="120"/>
        <v>332789.76000000001</v>
      </c>
      <c r="U322" s="450"/>
      <c r="V322" s="748"/>
      <c r="W322" s="776"/>
      <c r="X322" s="776"/>
      <c r="Y322" s="8">
        <f t="shared" si="121"/>
        <v>0</v>
      </c>
    </row>
    <row r="323" spans="1:25">
      <c r="A323" s="771">
        <f t="shared" si="109"/>
        <v>125</v>
      </c>
      <c r="B323" s="297" t="s">
        <v>1513</v>
      </c>
      <c r="C323" s="796">
        <f t="shared" si="116"/>
        <v>1507320</v>
      </c>
      <c r="D323" s="733">
        <f t="shared" si="122"/>
        <v>45250.762851107109</v>
      </c>
      <c r="E323" s="733">
        <f t="shared" si="122"/>
        <v>14795.092976553738</v>
      </c>
      <c r="F323" s="733">
        <f t="shared" si="122"/>
        <v>27507.080823096781</v>
      </c>
      <c r="G323" s="733">
        <f t="shared" si="122"/>
        <v>20466.577993375584</v>
      </c>
      <c r="H323" s="733">
        <f t="shared" si="122"/>
        <v>0</v>
      </c>
      <c r="I323" s="772">
        <f t="shared" si="118"/>
        <v>1615340</v>
      </c>
      <c r="J323" s="733">
        <v>86</v>
      </c>
      <c r="K323" s="733">
        <f t="shared" si="119"/>
        <v>18783.023255813954</v>
      </c>
      <c r="L323" s="667"/>
      <c r="M323" s="667"/>
      <c r="N323" s="192" t="s">
        <v>1422</v>
      </c>
      <c r="O323" s="746">
        <f t="shared" si="123"/>
        <v>41056</v>
      </c>
      <c r="P323" s="746">
        <v>41059</v>
      </c>
      <c r="Q323" s="747" t="s">
        <v>985</v>
      </c>
      <c r="R323" s="794">
        <v>90</v>
      </c>
      <c r="S323" s="252">
        <v>16748</v>
      </c>
      <c r="T323" s="8">
        <f t="shared" si="120"/>
        <v>1507320</v>
      </c>
      <c r="U323" s="450"/>
      <c r="V323" s="748"/>
      <c r="W323" s="776"/>
      <c r="X323" s="776"/>
      <c r="Y323" s="8">
        <f t="shared" si="121"/>
        <v>0</v>
      </c>
    </row>
    <row r="324" spans="1:25">
      <c r="A324" s="771">
        <f t="shared" si="109"/>
        <v>126</v>
      </c>
      <c r="B324" s="297" t="s">
        <v>1488</v>
      </c>
      <c r="C324" s="796">
        <f t="shared" si="116"/>
        <v>1266540</v>
      </c>
      <c r="D324" s="733">
        <f t="shared" si="122"/>
        <v>47881.621156404035</v>
      </c>
      <c r="E324" s="733">
        <f t="shared" si="122"/>
        <v>15655.272800771978</v>
      </c>
      <c r="F324" s="733">
        <f t="shared" si="122"/>
        <v>29106.329708160549</v>
      </c>
      <c r="G324" s="733">
        <f t="shared" si="122"/>
        <v>21656.495318571837</v>
      </c>
      <c r="H324" s="733">
        <f t="shared" si="122"/>
        <v>0</v>
      </c>
      <c r="I324" s="772">
        <f t="shared" si="118"/>
        <v>1380840</v>
      </c>
      <c r="J324" s="733">
        <v>91</v>
      </c>
      <c r="K324" s="733">
        <f t="shared" si="119"/>
        <v>15174.065934065935</v>
      </c>
      <c r="L324" s="667"/>
      <c r="M324" s="667"/>
      <c r="N324" s="192" t="s">
        <v>1304</v>
      </c>
      <c r="O324" s="746">
        <f t="shared" si="123"/>
        <v>41056</v>
      </c>
      <c r="P324" s="746">
        <v>41059</v>
      </c>
      <c r="Q324" s="747" t="s">
        <v>985</v>
      </c>
      <c r="R324" s="304">
        <v>55</v>
      </c>
      <c r="S324" s="252">
        <v>23028</v>
      </c>
      <c r="T324" s="8">
        <f t="shared" si="120"/>
        <v>1266540</v>
      </c>
      <c r="U324" s="450"/>
      <c r="V324" s="748"/>
      <c r="W324" s="776"/>
      <c r="X324" s="776"/>
      <c r="Y324" s="8">
        <f t="shared" si="121"/>
        <v>0</v>
      </c>
    </row>
    <row r="325" spans="1:25">
      <c r="A325" s="771">
        <f t="shared" si="109"/>
        <v>127</v>
      </c>
      <c r="B325" s="297" t="s">
        <v>1507</v>
      </c>
      <c r="C325" s="796">
        <f t="shared" si="116"/>
        <v>5787250</v>
      </c>
      <c r="D325" s="733">
        <f t="shared" si="122"/>
        <v>125755.02699319301</v>
      </c>
      <c r="E325" s="733">
        <f t="shared" si="122"/>
        <v>41116.595597631902</v>
      </c>
      <c r="F325" s="733">
        <f t="shared" si="122"/>
        <v>76444.096706048033</v>
      </c>
      <c r="G325" s="733">
        <f t="shared" si="122"/>
        <v>56878.048144380984</v>
      </c>
      <c r="H325" s="733">
        <f t="shared" si="122"/>
        <v>0</v>
      </c>
      <c r="I325" s="772">
        <f t="shared" si="118"/>
        <v>6087444</v>
      </c>
      <c r="J325" s="733">
        <v>239</v>
      </c>
      <c r="K325" s="733">
        <f t="shared" si="119"/>
        <v>25470.476987447699</v>
      </c>
      <c r="L325" s="667"/>
      <c r="M325" s="667"/>
      <c r="N325" s="192" t="s">
        <v>1264</v>
      </c>
      <c r="O325" s="746">
        <f t="shared" si="123"/>
        <v>41056</v>
      </c>
      <c r="P325" s="746">
        <v>41059</v>
      </c>
      <c r="Q325" s="747" t="s">
        <v>985</v>
      </c>
      <c r="R325" s="304">
        <v>250</v>
      </c>
      <c r="S325" s="255">
        <v>23149</v>
      </c>
      <c r="T325" s="8">
        <f t="shared" si="120"/>
        <v>5787250</v>
      </c>
      <c r="U325" s="450"/>
      <c r="V325" s="748"/>
      <c r="W325" s="776"/>
      <c r="X325" s="776"/>
      <c r="Y325" s="8">
        <f t="shared" si="121"/>
        <v>0</v>
      </c>
    </row>
    <row r="326" spans="1:25">
      <c r="A326" s="771">
        <f t="shared" si="109"/>
        <v>128</v>
      </c>
      <c r="B326" s="297" t="s">
        <v>1491</v>
      </c>
      <c r="C326" s="796">
        <f t="shared" si="116"/>
        <v>637992</v>
      </c>
      <c r="D326" s="733">
        <f t="shared" si="122"/>
        <v>18942.179798137859</v>
      </c>
      <c r="E326" s="733">
        <f t="shared" si="122"/>
        <v>6193.2947343713322</v>
      </c>
      <c r="F326" s="733">
        <f t="shared" si="122"/>
        <v>11514.591972459119</v>
      </c>
      <c r="G326" s="733">
        <f t="shared" si="122"/>
        <v>8567.4047414130346</v>
      </c>
      <c r="H326" s="733">
        <f t="shared" si="122"/>
        <v>0</v>
      </c>
      <c r="I326" s="772">
        <f t="shared" si="118"/>
        <v>683209</v>
      </c>
      <c r="J326" s="733">
        <v>36</v>
      </c>
      <c r="K326" s="733">
        <f t="shared" si="119"/>
        <v>18978.027777777777</v>
      </c>
      <c r="L326" s="667"/>
      <c r="M326" s="667"/>
      <c r="N326" s="192" t="s">
        <v>1388</v>
      </c>
      <c r="O326" s="746">
        <f t="shared" si="123"/>
        <v>41056</v>
      </c>
      <c r="P326" s="746">
        <v>41059</v>
      </c>
      <c r="Q326" s="747" t="s">
        <v>985</v>
      </c>
      <c r="R326" s="304">
        <f>J326</f>
        <v>36</v>
      </c>
      <c r="S326" s="778">
        <v>17722</v>
      </c>
      <c r="T326" s="8">
        <f t="shared" si="120"/>
        <v>637992</v>
      </c>
      <c r="U326" s="450"/>
      <c r="V326" s="748"/>
      <c r="W326" s="776"/>
      <c r="X326" s="776"/>
      <c r="Y326" s="8">
        <f t="shared" si="121"/>
        <v>0</v>
      </c>
    </row>
    <row r="327" spans="1:25">
      <c r="A327" s="771">
        <f t="shared" si="109"/>
        <v>129</v>
      </c>
      <c r="B327" s="297" t="s">
        <v>1498</v>
      </c>
      <c r="C327" s="796">
        <f t="shared" si="116"/>
        <v>31346.699999999997</v>
      </c>
      <c r="D327" s="733">
        <f t="shared" si="122"/>
        <v>1052.3433221187699</v>
      </c>
      <c r="E327" s="733">
        <f t="shared" si="122"/>
        <v>344.07192968729623</v>
      </c>
      <c r="F327" s="733">
        <f t="shared" si="122"/>
        <v>639.69955402550659</v>
      </c>
      <c r="G327" s="733">
        <f t="shared" si="122"/>
        <v>475.96693007850195</v>
      </c>
      <c r="H327" s="733">
        <f t="shared" si="122"/>
        <v>0</v>
      </c>
      <c r="I327" s="772">
        <f t="shared" si="118"/>
        <v>33859</v>
      </c>
      <c r="J327" s="733">
        <v>2</v>
      </c>
      <c r="K327" s="733">
        <f t="shared" si="119"/>
        <v>16929.5</v>
      </c>
      <c r="L327" s="667"/>
      <c r="M327" s="667"/>
      <c r="N327" s="192" t="s">
        <v>766</v>
      </c>
      <c r="O327" s="746">
        <f t="shared" si="123"/>
        <v>41056</v>
      </c>
      <c r="P327" s="746">
        <v>41059</v>
      </c>
      <c r="Q327" s="747" t="s">
        <v>985</v>
      </c>
      <c r="R327" s="304">
        <v>3</v>
      </c>
      <c r="S327" s="255">
        <v>10448.9</v>
      </c>
      <c r="T327" s="8">
        <f t="shared" si="120"/>
        <v>31346.699999999997</v>
      </c>
      <c r="U327" s="450"/>
      <c r="V327" s="748"/>
      <c r="W327" s="776"/>
      <c r="X327" s="776"/>
      <c r="Y327" s="8">
        <f t="shared" si="121"/>
        <v>0</v>
      </c>
    </row>
    <row r="328" spans="1:25">
      <c r="A328" s="771">
        <f t="shared" si="109"/>
        <v>130</v>
      </c>
      <c r="B328" s="297" t="s">
        <v>1499</v>
      </c>
      <c r="C328" s="796">
        <f t="shared" si="116"/>
        <v>917145.49280847842</v>
      </c>
      <c r="D328" s="733">
        <f t="shared" si="122"/>
        <v>24203.896408731707</v>
      </c>
      <c r="E328" s="733">
        <f t="shared" si="122"/>
        <v>7913.6543828078138</v>
      </c>
      <c r="F328" s="733">
        <f t="shared" si="122"/>
        <v>14713.089742586651</v>
      </c>
      <c r="G328" s="733">
        <f t="shared" si="122"/>
        <v>10947.239391805544</v>
      </c>
      <c r="H328" s="733">
        <f t="shared" si="122"/>
        <v>0</v>
      </c>
      <c r="I328" s="772">
        <f t="shared" si="118"/>
        <v>974923</v>
      </c>
      <c r="J328" s="733">
        <v>46</v>
      </c>
      <c r="K328" s="733">
        <f t="shared" si="119"/>
        <v>21193.978260869564</v>
      </c>
      <c r="L328" s="667"/>
      <c r="M328" s="667"/>
      <c r="N328" s="189" t="s">
        <v>1346</v>
      </c>
      <c r="O328" s="746">
        <f t="shared" si="123"/>
        <v>41056</v>
      </c>
      <c r="P328" s="746">
        <v>41059</v>
      </c>
      <c r="Q328" s="747" t="s">
        <v>985</v>
      </c>
      <c r="R328" s="304">
        <v>46</v>
      </c>
      <c r="S328" s="255">
        <v>19937.945495836488</v>
      </c>
      <c r="T328" s="8">
        <f t="shared" si="120"/>
        <v>917145.49280847842</v>
      </c>
      <c r="U328" s="450"/>
      <c r="V328" s="748"/>
      <c r="W328" s="776"/>
      <c r="X328" s="776"/>
      <c r="Y328" s="8">
        <f t="shared" si="121"/>
        <v>0</v>
      </c>
    </row>
    <row r="329" spans="1:25">
      <c r="A329" s="771">
        <f t="shared" si="109"/>
        <v>131</v>
      </c>
      <c r="B329" s="297" t="s">
        <v>1155</v>
      </c>
      <c r="C329" s="796">
        <f t="shared" si="116"/>
        <v>2061492</v>
      </c>
      <c r="D329" s="733">
        <f t="shared" ref="D329:H338" si="124">IF($J$371&lt;&gt;0,D$371/$J$371*$J329,0)</f>
        <v>115231.5937720053</v>
      </c>
      <c r="E329" s="733">
        <f t="shared" si="124"/>
        <v>37675.876300758937</v>
      </c>
      <c r="F329" s="733">
        <f t="shared" si="124"/>
        <v>70047.101165792978</v>
      </c>
      <c r="G329" s="733">
        <f t="shared" si="124"/>
        <v>52118.378843595965</v>
      </c>
      <c r="H329" s="733">
        <f t="shared" si="124"/>
        <v>0</v>
      </c>
      <c r="I329" s="772">
        <f t="shared" si="118"/>
        <v>2336565</v>
      </c>
      <c r="J329" s="733">
        <v>219</v>
      </c>
      <c r="K329" s="733">
        <f t="shared" si="119"/>
        <v>10669.246575342466</v>
      </c>
      <c r="L329" s="667"/>
      <c r="M329" s="667"/>
      <c r="N329" s="192" t="s">
        <v>1383</v>
      </c>
      <c r="O329" s="746">
        <f t="shared" si="123"/>
        <v>41056</v>
      </c>
      <c r="P329" s="746">
        <v>41059</v>
      </c>
      <c r="Q329" s="747" t="s">
        <v>986</v>
      </c>
      <c r="R329" s="794">
        <f>J329+3</f>
        <v>222</v>
      </c>
      <c r="S329" s="252">
        <v>9286</v>
      </c>
      <c r="T329" s="8">
        <f t="shared" si="120"/>
        <v>2061492</v>
      </c>
      <c r="U329" s="450"/>
      <c r="V329" s="748"/>
      <c r="W329" s="776"/>
      <c r="X329" s="776"/>
      <c r="Y329" s="8">
        <f t="shared" si="121"/>
        <v>0</v>
      </c>
    </row>
    <row r="330" spans="1:25">
      <c r="A330" s="771">
        <f t="shared" ref="A330:A369" si="125">IF(B330&lt;&gt;"",A329+1,"")</f>
        <v>132</v>
      </c>
      <c r="B330" s="297" t="s">
        <v>1096</v>
      </c>
      <c r="C330" s="796">
        <f>T330</f>
        <v>3148730</v>
      </c>
      <c r="D330" s="733">
        <f t="shared" si="124"/>
        <v>256771.77059697986</v>
      </c>
      <c r="E330" s="733">
        <f t="shared" si="124"/>
        <v>83953.550843700286</v>
      </c>
      <c r="F330" s="733">
        <f t="shared" si="124"/>
        <v>156086.69118222361</v>
      </c>
      <c r="G330" s="733">
        <f t="shared" si="124"/>
        <v>116135.93093915448</v>
      </c>
      <c r="H330" s="733">
        <f t="shared" si="124"/>
        <v>0</v>
      </c>
      <c r="I330" s="772">
        <f t="shared" si="118"/>
        <v>3761678</v>
      </c>
      <c r="J330" s="733">
        <v>488</v>
      </c>
      <c r="K330" s="733">
        <f t="shared" si="119"/>
        <v>7708.3565573770493</v>
      </c>
      <c r="L330" s="667"/>
      <c r="M330" s="667"/>
      <c r="N330" s="192" t="s">
        <v>1406</v>
      </c>
      <c r="O330" s="746">
        <f t="shared" si="123"/>
        <v>41057</v>
      </c>
      <c r="P330" s="746">
        <v>41060</v>
      </c>
      <c r="Q330" s="747" t="s">
        <v>988</v>
      </c>
      <c r="R330" s="304">
        <v>265</v>
      </c>
      <c r="S330" s="255">
        <v>11882</v>
      </c>
      <c r="T330" s="8">
        <f t="shared" si="120"/>
        <v>3148730</v>
      </c>
      <c r="U330" s="450"/>
      <c r="V330" s="748"/>
      <c r="W330" s="776"/>
      <c r="X330" s="776"/>
      <c r="Y330" s="8">
        <f t="shared" si="121"/>
        <v>0</v>
      </c>
    </row>
    <row r="331" spans="1:25">
      <c r="A331" s="771">
        <f t="shared" si="125"/>
        <v>133</v>
      </c>
      <c r="B331" s="297" t="s">
        <v>526</v>
      </c>
      <c r="C331" s="796">
        <f>T331</f>
        <v>9122000</v>
      </c>
      <c r="D331" s="733">
        <f t="shared" si="124"/>
        <v>1578514.983178155</v>
      </c>
      <c r="E331" s="733">
        <f t="shared" si="124"/>
        <v>516107.89453094435</v>
      </c>
      <c r="F331" s="733">
        <f t="shared" si="124"/>
        <v>959549.3310382599</v>
      </c>
      <c r="G331" s="733">
        <f t="shared" si="124"/>
        <v>713950.39511775295</v>
      </c>
      <c r="H331" s="733">
        <f t="shared" si="124"/>
        <v>0</v>
      </c>
      <c r="I331" s="772">
        <f t="shared" si="118"/>
        <v>12890123</v>
      </c>
      <c r="J331" s="733">
        <v>3000</v>
      </c>
      <c r="K331" s="733">
        <f t="shared" si="119"/>
        <v>4296.7076666666662</v>
      </c>
      <c r="L331" s="781"/>
      <c r="M331" s="667"/>
      <c r="N331" s="192" t="s">
        <v>1397</v>
      </c>
      <c r="O331" s="746">
        <f t="shared" si="123"/>
        <v>41057</v>
      </c>
      <c r="P331" s="746">
        <v>41060</v>
      </c>
      <c r="Q331" s="747" t="s">
        <v>989</v>
      </c>
      <c r="R331" s="304">
        <v>1000</v>
      </c>
      <c r="S331" s="255">
        <v>9122</v>
      </c>
      <c r="T331" s="8">
        <f t="shared" si="120"/>
        <v>9122000</v>
      </c>
      <c r="U331" s="450"/>
      <c r="V331" s="748"/>
      <c r="W331" s="776"/>
      <c r="X331" s="776"/>
      <c r="Y331" s="8">
        <f t="shared" si="121"/>
        <v>0</v>
      </c>
    </row>
    <row r="332" spans="1:25">
      <c r="A332" s="771">
        <f t="shared" si="125"/>
        <v>134</v>
      </c>
      <c r="B332" s="297" t="s">
        <v>527</v>
      </c>
      <c r="C332" s="796">
        <f t="shared" si="82"/>
        <v>5981220</v>
      </c>
      <c r="D332" s="733">
        <f t="shared" si="124"/>
        <v>287289.72693842422</v>
      </c>
      <c r="E332" s="733">
        <f t="shared" si="124"/>
        <v>93931.636804631868</v>
      </c>
      <c r="F332" s="733">
        <f t="shared" si="124"/>
        <v>174637.97824896331</v>
      </c>
      <c r="G332" s="733">
        <f t="shared" si="124"/>
        <v>129938.97191143103</v>
      </c>
      <c r="H332" s="733">
        <f t="shared" si="124"/>
        <v>0</v>
      </c>
      <c r="I332" s="772">
        <f t="shared" si="80"/>
        <v>6667018</v>
      </c>
      <c r="J332" s="733">
        <v>546</v>
      </c>
      <c r="K332" s="733">
        <f t="shared" si="92"/>
        <v>12210.655677655677</v>
      </c>
      <c r="L332" s="667"/>
      <c r="M332" s="667"/>
      <c r="N332" s="192" t="s">
        <v>1300</v>
      </c>
      <c r="O332" s="746">
        <f t="shared" si="123"/>
        <v>41057</v>
      </c>
      <c r="P332" s="746">
        <v>41060</v>
      </c>
      <c r="Q332" s="747" t="s">
        <v>991</v>
      </c>
      <c r="R332" s="304">
        <v>282</v>
      </c>
      <c r="S332" s="255">
        <v>21210</v>
      </c>
      <c r="T332" s="8">
        <f t="shared" si="93"/>
        <v>5981220</v>
      </c>
      <c r="U332" s="450"/>
      <c r="V332" s="748"/>
      <c r="W332" s="776"/>
      <c r="X332" s="776"/>
      <c r="Y332" s="8">
        <f t="shared" si="94"/>
        <v>0</v>
      </c>
    </row>
    <row r="333" spans="1:25">
      <c r="A333" s="771">
        <f t="shared" si="125"/>
        <v>135</v>
      </c>
      <c r="B333" s="297" t="s">
        <v>1153</v>
      </c>
      <c r="C333" s="796">
        <f t="shared" si="82"/>
        <v>3567420</v>
      </c>
      <c r="D333" s="733">
        <f t="shared" si="124"/>
        <v>326226.42985681869</v>
      </c>
      <c r="E333" s="733">
        <f t="shared" si="124"/>
        <v>106662.29820306183</v>
      </c>
      <c r="F333" s="733">
        <f t="shared" si="124"/>
        <v>198306.86174790704</v>
      </c>
      <c r="G333" s="733">
        <f t="shared" si="124"/>
        <v>147549.74832433561</v>
      </c>
      <c r="H333" s="733">
        <f t="shared" si="124"/>
        <v>0</v>
      </c>
      <c r="I333" s="772">
        <f t="shared" si="80"/>
        <v>4346165</v>
      </c>
      <c r="J333" s="733">
        <v>620</v>
      </c>
      <c r="K333" s="733">
        <f t="shared" si="92"/>
        <v>7009.9435483870966</v>
      </c>
      <c r="L333" s="667"/>
      <c r="M333" s="667"/>
      <c r="N333" s="192" t="s">
        <v>1369</v>
      </c>
      <c r="O333" s="746">
        <f t="shared" si="123"/>
        <v>41058</v>
      </c>
      <c r="P333" s="746">
        <v>41061</v>
      </c>
      <c r="Q333" s="747" t="s">
        <v>992</v>
      </c>
      <c r="R333" s="304">
        <v>180</v>
      </c>
      <c r="S333" s="778">
        <v>19819</v>
      </c>
      <c r="T333" s="8">
        <f t="shared" si="93"/>
        <v>3567420</v>
      </c>
      <c r="U333" s="450"/>
      <c r="V333" s="748"/>
      <c r="W333" s="776"/>
      <c r="X333" s="776"/>
      <c r="Y333" s="8">
        <f t="shared" si="94"/>
        <v>0</v>
      </c>
    </row>
    <row r="334" spans="1:25">
      <c r="A334" s="771">
        <f t="shared" si="125"/>
        <v>136</v>
      </c>
      <c r="B334" s="297" t="s">
        <v>1152</v>
      </c>
      <c r="C334" s="796">
        <f t="shared" si="82"/>
        <v>1186600</v>
      </c>
      <c r="D334" s="733">
        <f t="shared" si="124"/>
        <v>103129.64556763945</v>
      </c>
      <c r="E334" s="733">
        <f t="shared" si="124"/>
        <v>33719.04910935503</v>
      </c>
      <c r="F334" s="733">
        <f t="shared" si="124"/>
        <v>62690.556294499649</v>
      </c>
      <c r="G334" s="733">
        <f t="shared" si="124"/>
        <v>46644.759147693192</v>
      </c>
      <c r="H334" s="733">
        <f t="shared" si="124"/>
        <v>0</v>
      </c>
      <c r="I334" s="772">
        <f t="shared" si="80"/>
        <v>1432784</v>
      </c>
      <c r="J334" s="733">
        <v>196</v>
      </c>
      <c r="K334" s="733">
        <f t="shared" si="92"/>
        <v>7310.1224489795923</v>
      </c>
      <c r="L334" s="667"/>
      <c r="M334" s="667"/>
      <c r="N334" s="192" t="s">
        <v>1365</v>
      </c>
      <c r="O334" s="746">
        <f t="shared" si="123"/>
        <v>41058</v>
      </c>
      <c r="P334" s="746">
        <v>41061</v>
      </c>
      <c r="Q334" s="747" t="s">
        <v>992</v>
      </c>
      <c r="R334" s="304">
        <v>100</v>
      </c>
      <c r="S334" s="252">
        <v>11866</v>
      </c>
      <c r="T334" s="8">
        <f t="shared" si="93"/>
        <v>1186600</v>
      </c>
      <c r="U334" s="450"/>
      <c r="V334" s="748"/>
      <c r="W334" s="776"/>
      <c r="X334" s="776"/>
      <c r="Y334" s="8">
        <f t="shared" si="94"/>
        <v>0</v>
      </c>
    </row>
    <row r="335" spans="1:25">
      <c r="A335" s="771">
        <f t="shared" si="125"/>
        <v>137</v>
      </c>
      <c r="B335" s="297" t="s">
        <v>1120</v>
      </c>
      <c r="C335" s="796">
        <f t="shared" si="82"/>
        <v>4393440</v>
      </c>
      <c r="D335" s="733">
        <f t="shared" si="124"/>
        <v>237829.59079884202</v>
      </c>
      <c r="E335" s="733">
        <f t="shared" si="124"/>
        <v>77760.256109328955</v>
      </c>
      <c r="F335" s="733">
        <f t="shared" si="124"/>
        <v>144572.09920976448</v>
      </c>
      <c r="G335" s="733">
        <f t="shared" si="124"/>
        <v>107568.52619774143</v>
      </c>
      <c r="H335" s="733">
        <f t="shared" si="124"/>
        <v>0</v>
      </c>
      <c r="I335" s="772">
        <f t="shared" si="80"/>
        <v>4961170</v>
      </c>
      <c r="J335" s="733">
        <v>452</v>
      </c>
      <c r="K335" s="733">
        <f t="shared" si="92"/>
        <v>10976.03982300885</v>
      </c>
      <c r="L335" s="667"/>
      <c r="M335" s="667"/>
      <c r="N335" s="192" t="s">
        <v>1273</v>
      </c>
      <c r="O335" s="746">
        <f t="shared" si="123"/>
        <v>41068</v>
      </c>
      <c r="P335" s="746">
        <v>41071</v>
      </c>
      <c r="Q335" s="747" t="s">
        <v>994</v>
      </c>
      <c r="R335" s="304">
        <v>240</v>
      </c>
      <c r="S335" s="778">
        <v>18306</v>
      </c>
      <c r="T335" s="8">
        <f t="shared" si="93"/>
        <v>4393440</v>
      </c>
      <c r="U335" s="450"/>
      <c r="V335" s="748"/>
      <c r="W335" s="776"/>
      <c r="X335" s="776"/>
      <c r="Y335" s="8">
        <f t="shared" si="94"/>
        <v>0</v>
      </c>
    </row>
    <row r="336" spans="1:25">
      <c r="A336" s="771">
        <f t="shared" si="125"/>
        <v>138</v>
      </c>
      <c r="B336" s="297" t="s">
        <v>1195</v>
      </c>
      <c r="C336" s="796">
        <f t="shared" si="82"/>
        <v>990950</v>
      </c>
      <c r="D336" s="733">
        <f t="shared" si="124"/>
        <v>94710.898990689297</v>
      </c>
      <c r="E336" s="733">
        <f t="shared" si="124"/>
        <v>30966.47367185666</v>
      </c>
      <c r="F336" s="733">
        <f t="shared" si="124"/>
        <v>57572.959862295596</v>
      </c>
      <c r="G336" s="733">
        <f t="shared" si="124"/>
        <v>42837.023707065178</v>
      </c>
      <c r="H336" s="733">
        <f t="shared" si="124"/>
        <v>0</v>
      </c>
      <c r="I336" s="772">
        <f t="shared" si="80"/>
        <v>1217037</v>
      </c>
      <c r="J336" s="733">
        <v>180</v>
      </c>
      <c r="K336" s="733">
        <f t="shared" si="92"/>
        <v>6761.3166666666666</v>
      </c>
      <c r="L336" s="667"/>
      <c r="M336" s="667"/>
      <c r="N336" s="192" t="s">
        <v>1369</v>
      </c>
      <c r="O336" s="746">
        <f t="shared" si="123"/>
        <v>41068</v>
      </c>
      <c r="P336" s="746">
        <v>41071</v>
      </c>
      <c r="Q336" s="747" t="s">
        <v>994</v>
      </c>
      <c r="R336" s="304">
        <v>50</v>
      </c>
      <c r="S336" s="778">
        <v>19819</v>
      </c>
      <c r="T336" s="8">
        <f t="shared" si="93"/>
        <v>990950</v>
      </c>
      <c r="U336" s="450"/>
      <c r="V336" s="748"/>
      <c r="W336" s="776"/>
      <c r="X336" s="776"/>
      <c r="Y336" s="8">
        <f t="shared" si="94"/>
        <v>0</v>
      </c>
    </row>
    <row r="337" spans="1:25">
      <c r="A337" s="771">
        <f t="shared" si="125"/>
        <v>139</v>
      </c>
      <c r="B337" s="297" t="s">
        <v>1125</v>
      </c>
      <c r="C337" s="796">
        <f t="shared" si="82"/>
        <v>1189140</v>
      </c>
      <c r="D337" s="733">
        <f t="shared" si="124"/>
        <v>108391.36217823331</v>
      </c>
      <c r="E337" s="733">
        <f t="shared" si="124"/>
        <v>35439.408757791512</v>
      </c>
      <c r="F337" s="733">
        <f t="shared" si="124"/>
        <v>65889.054064627184</v>
      </c>
      <c r="G337" s="733">
        <f t="shared" si="124"/>
        <v>49024.593798085698</v>
      </c>
      <c r="H337" s="733">
        <f t="shared" si="124"/>
        <v>0</v>
      </c>
      <c r="I337" s="772">
        <f t="shared" si="80"/>
        <v>1447884</v>
      </c>
      <c r="J337" s="733">
        <v>206</v>
      </c>
      <c r="K337" s="733">
        <f t="shared" si="92"/>
        <v>7028.5631067961167</v>
      </c>
      <c r="L337" s="667"/>
      <c r="M337" s="667"/>
      <c r="N337" s="192" t="s">
        <v>1369</v>
      </c>
      <c r="O337" s="746">
        <f t="shared" si="123"/>
        <v>41068</v>
      </c>
      <c r="P337" s="746">
        <v>41071</v>
      </c>
      <c r="Q337" s="747" t="s">
        <v>994</v>
      </c>
      <c r="R337" s="304">
        <v>60</v>
      </c>
      <c r="S337" s="778">
        <v>19819</v>
      </c>
      <c r="T337" s="8">
        <f t="shared" si="93"/>
        <v>1189140</v>
      </c>
      <c r="U337" s="450"/>
      <c r="V337" s="748"/>
      <c r="W337" s="776"/>
      <c r="X337" s="776"/>
      <c r="Y337" s="8">
        <f t="shared" si="94"/>
        <v>0</v>
      </c>
    </row>
    <row r="338" spans="1:25">
      <c r="A338" s="771">
        <f t="shared" si="125"/>
        <v>140</v>
      </c>
      <c r="B338" s="297" t="s">
        <v>1151</v>
      </c>
      <c r="C338" s="796">
        <f t="shared" si="82"/>
        <v>8553195</v>
      </c>
      <c r="D338" s="733">
        <f t="shared" si="124"/>
        <v>1168101.0875518345</v>
      </c>
      <c r="E338" s="733">
        <f t="shared" si="124"/>
        <v>381919.84195289883</v>
      </c>
      <c r="F338" s="733">
        <f t="shared" si="124"/>
        <v>710066.50496831234</v>
      </c>
      <c r="G338" s="733">
        <f t="shared" si="124"/>
        <v>528323.29238713719</v>
      </c>
      <c r="H338" s="733">
        <f t="shared" si="124"/>
        <v>0</v>
      </c>
      <c r="I338" s="772">
        <f t="shared" si="80"/>
        <v>11341606</v>
      </c>
      <c r="J338" s="733">
        <v>2220</v>
      </c>
      <c r="K338" s="733">
        <f t="shared" si="92"/>
        <v>5108.8315315315313</v>
      </c>
      <c r="L338" s="667"/>
      <c r="M338" s="667"/>
      <c r="N338" s="192" t="s">
        <v>1291</v>
      </c>
      <c r="O338" s="746">
        <f t="shared" si="123"/>
        <v>41069</v>
      </c>
      <c r="P338" s="746">
        <v>41072</v>
      </c>
      <c r="Q338" s="747" t="s">
        <v>995</v>
      </c>
      <c r="R338" s="304">
        <v>405</v>
      </c>
      <c r="S338" s="252">
        <v>21119</v>
      </c>
      <c r="T338" s="8">
        <f t="shared" si="93"/>
        <v>8553195</v>
      </c>
      <c r="U338" s="450"/>
      <c r="V338" s="748"/>
      <c r="W338" s="776"/>
      <c r="X338" s="776"/>
      <c r="Y338" s="8">
        <f t="shared" si="94"/>
        <v>0</v>
      </c>
    </row>
    <row r="339" spans="1:25">
      <c r="A339" s="771">
        <f t="shared" si="125"/>
        <v>141</v>
      </c>
      <c r="B339" s="297" t="s">
        <v>1150</v>
      </c>
      <c r="C339" s="796">
        <f t="shared" si="82"/>
        <v>5916212</v>
      </c>
      <c r="D339" s="733">
        <f t="shared" ref="D339:H348" si="126">IF($J$371&lt;&gt;0,D$371/$J$371*$J339,0)</f>
        <v>584050.54377591726</v>
      </c>
      <c r="E339" s="733">
        <f t="shared" si="126"/>
        <v>190959.92097644942</v>
      </c>
      <c r="F339" s="733">
        <f t="shared" si="126"/>
        <v>355033.25248415617</v>
      </c>
      <c r="G339" s="733">
        <f t="shared" si="126"/>
        <v>264161.64619356859</v>
      </c>
      <c r="H339" s="733">
        <f t="shared" si="126"/>
        <v>0</v>
      </c>
      <c r="I339" s="772">
        <f t="shared" si="80"/>
        <v>7310417</v>
      </c>
      <c r="J339" s="733">
        <v>1110</v>
      </c>
      <c r="K339" s="733">
        <f t="shared" si="92"/>
        <v>6585.9612612612609</v>
      </c>
      <c r="L339" s="667"/>
      <c r="M339" s="667"/>
      <c r="N339" s="192" t="s">
        <v>1414</v>
      </c>
      <c r="O339" s="746">
        <f t="shared" si="123"/>
        <v>41069</v>
      </c>
      <c r="P339" s="746">
        <v>41072</v>
      </c>
      <c r="Q339" s="747" t="s">
        <v>996</v>
      </c>
      <c r="R339" s="304">
        <v>292</v>
      </c>
      <c r="S339" s="778">
        <v>20261</v>
      </c>
      <c r="T339" s="8">
        <f t="shared" si="93"/>
        <v>5916212</v>
      </c>
      <c r="U339" s="450"/>
      <c r="V339" s="748"/>
      <c r="W339" s="776"/>
      <c r="X339" s="776"/>
      <c r="Y339" s="8">
        <f t="shared" si="94"/>
        <v>0</v>
      </c>
    </row>
    <row r="340" spans="1:25">
      <c r="A340" s="771">
        <f t="shared" si="125"/>
        <v>142</v>
      </c>
      <c r="B340" s="297" t="s">
        <v>1149</v>
      </c>
      <c r="C340" s="796">
        <f t="shared" si="82"/>
        <v>5376000</v>
      </c>
      <c r="D340" s="733">
        <f t="shared" si="126"/>
        <v>531433.37766997877</v>
      </c>
      <c r="E340" s="733">
        <f t="shared" si="126"/>
        <v>173756.32449208459</v>
      </c>
      <c r="F340" s="733">
        <f t="shared" si="126"/>
        <v>323048.27478288085</v>
      </c>
      <c r="G340" s="733">
        <f t="shared" si="126"/>
        <v>240363.29968964349</v>
      </c>
      <c r="H340" s="733">
        <f t="shared" si="126"/>
        <v>0</v>
      </c>
      <c r="I340" s="772">
        <f t="shared" si="80"/>
        <v>6644601</v>
      </c>
      <c r="J340" s="733">
        <v>1010</v>
      </c>
      <c r="K340" s="733">
        <f t="shared" si="92"/>
        <v>6578.8128712871285</v>
      </c>
      <c r="L340" s="667"/>
      <c r="M340" s="667"/>
      <c r="N340" s="192" t="s">
        <v>1402</v>
      </c>
      <c r="O340" s="746">
        <f t="shared" si="123"/>
        <v>41080</v>
      </c>
      <c r="P340" s="746">
        <v>41083</v>
      </c>
      <c r="Q340" s="747" t="s">
        <v>998</v>
      </c>
      <c r="R340" s="304">
        <v>500</v>
      </c>
      <c r="S340" s="255">
        <v>10752</v>
      </c>
      <c r="T340" s="8">
        <f t="shared" si="93"/>
        <v>5376000</v>
      </c>
      <c r="U340" s="450"/>
      <c r="V340" s="748"/>
      <c r="W340" s="776"/>
      <c r="X340" s="776"/>
      <c r="Y340" s="8">
        <f t="shared" si="94"/>
        <v>0</v>
      </c>
    </row>
    <row r="341" spans="1:25">
      <c r="A341" s="771">
        <f t="shared" si="125"/>
        <v>143</v>
      </c>
      <c r="B341" s="297" t="s">
        <v>1148</v>
      </c>
      <c r="C341" s="796">
        <f t="shared" si="82"/>
        <v>13826880</v>
      </c>
      <c r="D341" s="733">
        <f t="shared" si="126"/>
        <v>991307.4094358813</v>
      </c>
      <c r="E341" s="733">
        <f t="shared" si="126"/>
        <v>324115.75776543305</v>
      </c>
      <c r="F341" s="733">
        <f t="shared" si="126"/>
        <v>602596.97989202722</v>
      </c>
      <c r="G341" s="733">
        <f t="shared" si="126"/>
        <v>448360.84813394881</v>
      </c>
      <c r="H341" s="733">
        <f t="shared" si="126"/>
        <v>0</v>
      </c>
      <c r="I341" s="772">
        <f t="shared" si="80"/>
        <v>16193261</v>
      </c>
      <c r="J341" s="733">
        <v>1884</v>
      </c>
      <c r="K341" s="733">
        <f t="shared" si="92"/>
        <v>8595.1491507431001</v>
      </c>
      <c r="L341" s="667"/>
      <c r="M341" s="667"/>
      <c r="N341" s="192" t="s">
        <v>1309</v>
      </c>
      <c r="O341" s="746">
        <f t="shared" si="123"/>
        <v>41083</v>
      </c>
      <c r="P341" s="746">
        <v>41086</v>
      </c>
      <c r="Q341" s="747" t="s">
        <v>999</v>
      </c>
      <c r="R341" s="304">
        <v>960</v>
      </c>
      <c r="S341" s="255">
        <v>14403</v>
      </c>
      <c r="T341" s="8">
        <f t="shared" si="93"/>
        <v>13826880</v>
      </c>
      <c r="U341" s="450"/>
      <c r="V341" s="748"/>
      <c r="W341" s="776"/>
      <c r="X341" s="776"/>
      <c r="Y341" s="8">
        <f t="shared" si="94"/>
        <v>0</v>
      </c>
    </row>
    <row r="342" spans="1:25">
      <c r="A342" s="771">
        <f t="shared" si="125"/>
        <v>144</v>
      </c>
      <c r="B342" s="297" t="s">
        <v>1147</v>
      </c>
      <c r="C342" s="796">
        <f t="shared" si="82"/>
        <v>4558499.038461539</v>
      </c>
      <c r="D342" s="733">
        <f t="shared" si="126"/>
        <v>265716.68883498939</v>
      </c>
      <c r="E342" s="733">
        <f t="shared" si="126"/>
        <v>86878.162246042295</v>
      </c>
      <c r="F342" s="733">
        <f t="shared" si="126"/>
        <v>161524.13739144042</v>
      </c>
      <c r="G342" s="733">
        <f t="shared" si="126"/>
        <v>120181.64984482175</v>
      </c>
      <c r="H342" s="733">
        <f t="shared" si="126"/>
        <v>0</v>
      </c>
      <c r="I342" s="772">
        <f t="shared" si="80"/>
        <v>5192800</v>
      </c>
      <c r="J342" s="733">
        <v>505</v>
      </c>
      <c r="K342" s="733">
        <f t="shared" si="92"/>
        <v>10282.772277227723</v>
      </c>
      <c r="L342" s="667"/>
      <c r="M342" s="667"/>
      <c r="N342" s="192" t="s">
        <v>1360</v>
      </c>
      <c r="O342" s="746">
        <f t="shared" si="123"/>
        <v>41083</v>
      </c>
      <c r="P342" s="746">
        <v>41086</v>
      </c>
      <c r="Q342" s="747" t="s">
        <v>1000</v>
      </c>
      <c r="R342" s="304">
        <v>505</v>
      </c>
      <c r="S342" s="255">
        <v>9026.7307692307695</v>
      </c>
      <c r="T342" s="8">
        <f t="shared" si="93"/>
        <v>4558499.038461539</v>
      </c>
      <c r="U342" s="450"/>
      <c r="V342" s="748"/>
      <c r="W342" s="776"/>
      <c r="X342" s="776"/>
      <c r="Y342" s="8">
        <f t="shared" si="94"/>
        <v>0</v>
      </c>
    </row>
    <row r="343" spans="1:25">
      <c r="A343" s="771">
        <f t="shared" si="125"/>
        <v>145</v>
      </c>
      <c r="B343" s="297" t="s">
        <v>1146</v>
      </c>
      <c r="C343" s="796">
        <f t="shared" si="82"/>
        <v>13250680</v>
      </c>
      <c r="D343" s="733">
        <f t="shared" si="126"/>
        <v>518279.08614349418</v>
      </c>
      <c r="E343" s="733">
        <f t="shared" si="126"/>
        <v>169455.42537099338</v>
      </c>
      <c r="F343" s="733">
        <f t="shared" si="126"/>
        <v>315052.03035756201</v>
      </c>
      <c r="G343" s="733">
        <f t="shared" si="126"/>
        <v>234413.7130636622</v>
      </c>
      <c r="H343" s="733">
        <f t="shared" si="126"/>
        <v>0</v>
      </c>
      <c r="I343" s="772">
        <f t="shared" si="80"/>
        <v>14487880</v>
      </c>
      <c r="J343" s="733">
        <v>985</v>
      </c>
      <c r="K343" s="733">
        <f t="shared" si="92"/>
        <v>14708.507614213198</v>
      </c>
      <c r="L343" s="667"/>
      <c r="M343" s="667"/>
      <c r="N343" s="192" t="s">
        <v>1244</v>
      </c>
      <c r="O343" s="746">
        <f t="shared" si="123"/>
        <v>41083</v>
      </c>
      <c r="P343" s="746">
        <v>41086</v>
      </c>
      <c r="Q343" s="747" t="s">
        <v>1000</v>
      </c>
      <c r="R343" s="8">
        <v>580</v>
      </c>
      <c r="S343" s="293">
        <v>22846</v>
      </c>
      <c r="T343" s="8">
        <f t="shared" si="93"/>
        <v>13250680</v>
      </c>
      <c r="U343" s="450"/>
      <c r="V343" s="748"/>
      <c r="W343" s="776"/>
      <c r="X343" s="776"/>
      <c r="Y343" s="8">
        <f t="shared" si="94"/>
        <v>0</v>
      </c>
    </row>
    <row r="344" spans="1:25">
      <c r="A344" s="771">
        <f t="shared" si="125"/>
        <v>146</v>
      </c>
      <c r="B344" s="297" t="s">
        <v>1471</v>
      </c>
      <c r="C344" s="796">
        <f t="shared" si="82"/>
        <v>2263450</v>
      </c>
      <c r="D344" s="733">
        <f t="shared" si="126"/>
        <v>105760.50387293637</v>
      </c>
      <c r="E344" s="733">
        <f t="shared" si="126"/>
        <v>34579.228933573271</v>
      </c>
      <c r="F344" s="733">
        <f t="shared" si="126"/>
        <v>64289.805179563409</v>
      </c>
      <c r="G344" s="733">
        <f t="shared" si="126"/>
        <v>47834.676472889449</v>
      </c>
      <c r="H344" s="733">
        <f t="shared" si="126"/>
        <v>0</v>
      </c>
      <c r="I344" s="772">
        <f t="shared" si="80"/>
        <v>2515914</v>
      </c>
      <c r="J344" s="733">
        <v>201</v>
      </c>
      <c r="K344" s="733">
        <f t="shared" si="92"/>
        <v>12516.985074626866</v>
      </c>
      <c r="L344" s="667"/>
      <c r="M344" s="667"/>
      <c r="N344" s="192" t="s">
        <v>1258</v>
      </c>
      <c r="O344" s="746">
        <f t="shared" si="123"/>
        <v>41083</v>
      </c>
      <c r="P344" s="746">
        <v>41086</v>
      </c>
      <c r="Q344" s="747" t="s">
        <v>1002</v>
      </c>
      <c r="R344" s="304">
        <v>203</v>
      </c>
      <c r="S344" s="255">
        <v>11150</v>
      </c>
      <c r="T344" s="8">
        <f t="shared" si="93"/>
        <v>2263450</v>
      </c>
      <c r="U344" s="450"/>
      <c r="V344" s="748"/>
      <c r="W344" s="776"/>
      <c r="X344" s="776"/>
      <c r="Y344" s="8">
        <f t="shared" si="94"/>
        <v>0</v>
      </c>
    </row>
    <row r="345" spans="1:25">
      <c r="A345" s="771">
        <f t="shared" si="125"/>
        <v>147</v>
      </c>
      <c r="B345" s="297" t="s">
        <v>1485</v>
      </c>
      <c r="C345" s="796">
        <f t="shared" si="82"/>
        <v>1056258</v>
      </c>
      <c r="D345" s="733">
        <f t="shared" si="126"/>
        <v>39462.87457945387</v>
      </c>
      <c r="E345" s="733">
        <f t="shared" si="126"/>
        <v>12902.697363273608</v>
      </c>
      <c r="F345" s="733">
        <f t="shared" si="126"/>
        <v>23988.733275956496</v>
      </c>
      <c r="G345" s="733">
        <f t="shared" si="126"/>
        <v>17848.759877943823</v>
      </c>
      <c r="H345" s="733">
        <f t="shared" si="126"/>
        <v>0</v>
      </c>
      <c r="I345" s="772">
        <f t="shared" si="80"/>
        <v>1150461</v>
      </c>
      <c r="J345" s="733">
        <v>75</v>
      </c>
      <c r="K345" s="733">
        <f t="shared" si="92"/>
        <v>15339.48</v>
      </c>
      <c r="L345" s="667"/>
      <c r="M345" s="667"/>
      <c r="N345" s="192" t="s">
        <v>1303</v>
      </c>
      <c r="O345" s="746">
        <f t="shared" si="123"/>
        <v>41083</v>
      </c>
      <c r="P345" s="746">
        <v>41086</v>
      </c>
      <c r="Q345" s="747" t="s">
        <v>1002</v>
      </c>
      <c r="R345" s="304">
        <v>42</v>
      </c>
      <c r="S345" s="252">
        <v>25149</v>
      </c>
      <c r="T345" s="8">
        <f t="shared" si="93"/>
        <v>1056258</v>
      </c>
      <c r="U345" s="450"/>
      <c r="V345" s="748"/>
      <c r="W345" s="776"/>
      <c r="X345" s="776"/>
      <c r="Y345" s="8">
        <f t="shared" si="94"/>
        <v>0</v>
      </c>
    </row>
    <row r="346" spans="1:25">
      <c r="A346" s="771">
        <f t="shared" si="125"/>
        <v>148</v>
      </c>
      <c r="B346" s="297" t="s">
        <v>1501</v>
      </c>
      <c r="C346" s="796">
        <f t="shared" si="82"/>
        <v>3284490.2400000002</v>
      </c>
      <c r="D346" s="733">
        <f t="shared" si="126"/>
        <v>116283.93709412408</v>
      </c>
      <c r="E346" s="733">
        <f t="shared" si="126"/>
        <v>38019.948230446236</v>
      </c>
      <c r="F346" s="733">
        <f t="shared" si="126"/>
        <v>70686.800719818479</v>
      </c>
      <c r="G346" s="733">
        <f t="shared" si="126"/>
        <v>52594.345773674468</v>
      </c>
      <c r="H346" s="733">
        <f t="shared" si="126"/>
        <v>0</v>
      </c>
      <c r="I346" s="772">
        <f t="shared" si="80"/>
        <v>3562075</v>
      </c>
      <c r="J346" s="733">
        <v>221</v>
      </c>
      <c r="K346" s="733">
        <f t="shared" si="92"/>
        <v>16117.986425339366</v>
      </c>
      <c r="L346" s="667"/>
      <c r="M346" s="667"/>
      <c r="N346" s="192" t="s">
        <v>762</v>
      </c>
      <c r="O346" s="746">
        <f t="shared" si="123"/>
        <v>41083</v>
      </c>
      <c r="P346" s="746">
        <v>41086</v>
      </c>
      <c r="Q346" s="747" t="s">
        <v>1002</v>
      </c>
      <c r="R346" s="304">
        <v>227</v>
      </c>
      <c r="S346" s="252">
        <v>14469.12</v>
      </c>
      <c r="T346" s="8">
        <f t="shared" si="93"/>
        <v>3284490.2400000002</v>
      </c>
      <c r="U346" s="450"/>
      <c r="V346" s="748"/>
      <c r="W346" s="776"/>
      <c r="X346" s="776"/>
      <c r="Y346" s="8">
        <f t="shared" si="94"/>
        <v>0</v>
      </c>
    </row>
    <row r="347" spans="1:25">
      <c r="A347" s="771">
        <f t="shared" si="125"/>
        <v>149</v>
      </c>
      <c r="B347" s="297" t="s">
        <v>1513</v>
      </c>
      <c r="C347" s="796">
        <f t="shared" si="82"/>
        <v>1507320</v>
      </c>
      <c r="D347" s="733">
        <f t="shared" si="126"/>
        <v>45250.762851107109</v>
      </c>
      <c r="E347" s="733">
        <f t="shared" si="126"/>
        <v>14795.092976553738</v>
      </c>
      <c r="F347" s="733">
        <f t="shared" si="126"/>
        <v>27507.080823096781</v>
      </c>
      <c r="G347" s="733">
        <f t="shared" si="126"/>
        <v>20466.577993375584</v>
      </c>
      <c r="H347" s="733">
        <f t="shared" si="126"/>
        <v>0</v>
      </c>
      <c r="I347" s="772">
        <f t="shared" si="80"/>
        <v>1615340</v>
      </c>
      <c r="J347" s="733">
        <v>86</v>
      </c>
      <c r="K347" s="733">
        <f t="shared" si="92"/>
        <v>18783.023255813954</v>
      </c>
      <c r="L347" s="667"/>
      <c r="M347" s="667"/>
      <c r="N347" s="192" t="s">
        <v>1422</v>
      </c>
      <c r="O347" s="746">
        <f t="shared" si="123"/>
        <v>41083</v>
      </c>
      <c r="P347" s="746">
        <v>41086</v>
      </c>
      <c r="Q347" s="747" t="s">
        <v>1002</v>
      </c>
      <c r="R347" s="794">
        <v>90</v>
      </c>
      <c r="S347" s="252">
        <v>16748</v>
      </c>
      <c r="T347" s="8">
        <f t="shared" si="93"/>
        <v>1507320</v>
      </c>
      <c r="U347" s="450"/>
      <c r="V347" s="748"/>
      <c r="W347" s="776"/>
      <c r="X347" s="776"/>
      <c r="Y347" s="8">
        <f t="shared" si="94"/>
        <v>0</v>
      </c>
    </row>
    <row r="348" spans="1:25">
      <c r="A348" s="771">
        <f t="shared" si="125"/>
        <v>150</v>
      </c>
      <c r="B348" s="297" t="s">
        <v>1488</v>
      </c>
      <c r="C348" s="796">
        <f t="shared" si="82"/>
        <v>4490460</v>
      </c>
      <c r="D348" s="733">
        <f t="shared" si="126"/>
        <v>163113.21492840935</v>
      </c>
      <c r="E348" s="733">
        <f t="shared" si="126"/>
        <v>53331.149101530915</v>
      </c>
      <c r="F348" s="733">
        <f t="shared" si="126"/>
        <v>99153.430873953519</v>
      </c>
      <c r="G348" s="733">
        <f t="shared" si="126"/>
        <v>73774.874162167805</v>
      </c>
      <c r="H348" s="733">
        <f t="shared" si="126"/>
        <v>0</v>
      </c>
      <c r="I348" s="772">
        <f t="shared" si="80"/>
        <v>4879833</v>
      </c>
      <c r="J348" s="733">
        <v>310</v>
      </c>
      <c r="K348" s="733">
        <f t="shared" si="92"/>
        <v>15741.396774193548</v>
      </c>
      <c r="L348" s="667"/>
      <c r="M348" s="667"/>
      <c r="N348" s="192" t="s">
        <v>1304</v>
      </c>
      <c r="O348" s="746">
        <f t="shared" si="123"/>
        <v>41083</v>
      </c>
      <c r="P348" s="746">
        <v>41086</v>
      </c>
      <c r="Q348" s="747" t="s">
        <v>1002</v>
      </c>
      <c r="R348" s="304">
        <v>195</v>
      </c>
      <c r="S348" s="252">
        <v>23028</v>
      </c>
      <c r="T348" s="8">
        <f t="shared" si="93"/>
        <v>4490460</v>
      </c>
      <c r="U348" s="450"/>
      <c r="V348" s="748"/>
      <c r="W348" s="776"/>
      <c r="X348" s="776"/>
      <c r="Y348" s="8">
        <f t="shared" si="94"/>
        <v>0</v>
      </c>
    </row>
    <row r="349" spans="1:25">
      <c r="A349" s="771">
        <f t="shared" si="125"/>
        <v>151</v>
      </c>
      <c r="B349" s="297" t="s">
        <v>1507</v>
      </c>
      <c r="C349" s="796">
        <f t="shared" si="82"/>
        <v>5787250</v>
      </c>
      <c r="D349" s="733">
        <f t="shared" ref="D349:H358" si="127">IF($J$371&lt;&gt;0,D$371/$J$371*$J349,0)</f>
        <v>125755.02699319301</v>
      </c>
      <c r="E349" s="733">
        <f t="shared" si="127"/>
        <v>41116.595597631902</v>
      </c>
      <c r="F349" s="733">
        <f t="shared" si="127"/>
        <v>76444.096706048033</v>
      </c>
      <c r="G349" s="733">
        <f t="shared" si="127"/>
        <v>56878.048144380984</v>
      </c>
      <c r="H349" s="733">
        <f t="shared" si="127"/>
        <v>0</v>
      </c>
      <c r="I349" s="772">
        <f t="shared" si="80"/>
        <v>6087444</v>
      </c>
      <c r="J349" s="733">
        <v>239</v>
      </c>
      <c r="K349" s="733">
        <f t="shared" si="92"/>
        <v>25470.476987447699</v>
      </c>
      <c r="L349" s="667"/>
      <c r="M349" s="667"/>
      <c r="N349" s="192" t="s">
        <v>1264</v>
      </c>
      <c r="O349" s="746">
        <f t="shared" si="123"/>
        <v>41083</v>
      </c>
      <c r="P349" s="746">
        <v>41086</v>
      </c>
      <c r="Q349" s="747" t="s">
        <v>1002</v>
      </c>
      <c r="R349" s="304">
        <v>250</v>
      </c>
      <c r="S349" s="255">
        <v>23149</v>
      </c>
      <c r="T349" s="8">
        <f t="shared" si="93"/>
        <v>5787250</v>
      </c>
      <c r="U349" s="450"/>
      <c r="V349" s="748"/>
      <c r="W349" s="776"/>
      <c r="X349" s="776"/>
      <c r="Y349" s="8">
        <f t="shared" si="94"/>
        <v>0</v>
      </c>
    </row>
    <row r="350" spans="1:25">
      <c r="A350" s="771">
        <f t="shared" si="125"/>
        <v>152</v>
      </c>
      <c r="B350" s="297" t="s">
        <v>1487</v>
      </c>
      <c r="C350" s="796">
        <f t="shared" si="82"/>
        <v>9026.7307692307695</v>
      </c>
      <c r="D350" s="733">
        <f t="shared" si="127"/>
        <v>526.17166105938497</v>
      </c>
      <c r="E350" s="733">
        <f t="shared" si="127"/>
        <v>172.03596484364812</v>
      </c>
      <c r="F350" s="733">
        <f t="shared" si="127"/>
        <v>319.84977701275329</v>
      </c>
      <c r="G350" s="733">
        <f t="shared" si="127"/>
        <v>237.98346503925097</v>
      </c>
      <c r="H350" s="733">
        <f t="shared" si="127"/>
        <v>0</v>
      </c>
      <c r="I350" s="772">
        <f t="shared" si="80"/>
        <v>10283</v>
      </c>
      <c r="J350" s="733">
        <v>1</v>
      </c>
      <c r="K350" s="733">
        <f t="shared" si="92"/>
        <v>10283</v>
      </c>
      <c r="L350" s="667"/>
      <c r="M350" s="667"/>
      <c r="N350" s="192" t="s">
        <v>1360</v>
      </c>
      <c r="O350" s="746">
        <f t="shared" si="123"/>
        <v>41083</v>
      </c>
      <c r="P350" s="746">
        <v>41086</v>
      </c>
      <c r="Q350" s="747" t="s">
        <v>1002</v>
      </c>
      <c r="R350" s="252">
        <v>1</v>
      </c>
      <c r="S350" s="252">
        <v>9026.7307692307695</v>
      </c>
      <c r="T350" s="8">
        <f t="shared" si="93"/>
        <v>9026.7307692307695</v>
      </c>
      <c r="U350" s="450"/>
      <c r="V350" s="748"/>
      <c r="W350" s="776"/>
      <c r="X350" s="776"/>
      <c r="Y350" s="8">
        <f t="shared" si="94"/>
        <v>0</v>
      </c>
    </row>
    <row r="351" spans="1:25">
      <c r="A351" s="771">
        <f t="shared" si="125"/>
        <v>153</v>
      </c>
      <c r="B351" s="297" t="s">
        <v>1491</v>
      </c>
      <c r="C351" s="796">
        <f t="shared" si="82"/>
        <v>4607720</v>
      </c>
      <c r="D351" s="733">
        <f t="shared" si="127"/>
        <v>136804.6318754401</v>
      </c>
      <c r="E351" s="733">
        <f t="shared" si="127"/>
        <v>44729.350859348509</v>
      </c>
      <c r="F351" s="733">
        <f t="shared" si="127"/>
        <v>83160.94202331586</v>
      </c>
      <c r="G351" s="733">
        <f t="shared" si="127"/>
        <v>61875.700910205254</v>
      </c>
      <c r="H351" s="733">
        <f t="shared" si="127"/>
        <v>0</v>
      </c>
      <c r="I351" s="772">
        <f t="shared" si="80"/>
        <v>4934291</v>
      </c>
      <c r="J351" s="733">
        <v>260</v>
      </c>
      <c r="K351" s="733">
        <f t="shared" si="92"/>
        <v>18978.042307692307</v>
      </c>
      <c r="L351" s="667"/>
      <c r="M351" s="667"/>
      <c r="N351" s="192" t="s">
        <v>1388</v>
      </c>
      <c r="O351" s="746">
        <f t="shared" si="123"/>
        <v>41083</v>
      </c>
      <c r="P351" s="746">
        <v>41086</v>
      </c>
      <c r="Q351" s="747" t="s">
        <v>1002</v>
      </c>
      <c r="R351" s="304">
        <f>J351</f>
        <v>260</v>
      </c>
      <c r="S351" s="778">
        <v>17722</v>
      </c>
      <c r="T351" s="8">
        <f t="shared" si="93"/>
        <v>4607720</v>
      </c>
      <c r="U351" s="450"/>
      <c r="V351" s="748"/>
      <c r="W351" s="776"/>
      <c r="X351" s="776"/>
      <c r="Y351" s="8">
        <f t="shared" si="94"/>
        <v>0</v>
      </c>
    </row>
    <row r="352" spans="1:25">
      <c r="A352" s="771">
        <f t="shared" si="125"/>
        <v>154</v>
      </c>
      <c r="B352" s="297" t="s">
        <v>1498</v>
      </c>
      <c r="C352" s="796">
        <f>T352</f>
        <v>2685367.3</v>
      </c>
      <c r="D352" s="733">
        <f t="shared" si="127"/>
        <v>124176.51201001485</v>
      </c>
      <c r="E352" s="733">
        <f t="shared" si="127"/>
        <v>40600.487703100953</v>
      </c>
      <c r="F352" s="733">
        <f t="shared" si="127"/>
        <v>75484.547375009774</v>
      </c>
      <c r="G352" s="733">
        <f t="shared" si="127"/>
        <v>56164.09774926323</v>
      </c>
      <c r="H352" s="733">
        <f t="shared" si="127"/>
        <v>0</v>
      </c>
      <c r="I352" s="772">
        <f t="shared" si="80"/>
        <v>2981793</v>
      </c>
      <c r="J352" s="733">
        <v>236</v>
      </c>
      <c r="K352" s="733">
        <f t="shared" si="92"/>
        <v>12634.716101694916</v>
      </c>
      <c r="L352" s="667"/>
      <c r="M352" s="667"/>
      <c r="N352" s="192" t="s">
        <v>766</v>
      </c>
      <c r="O352" s="746">
        <f t="shared" si="123"/>
        <v>41083</v>
      </c>
      <c r="P352" s="746">
        <v>41086</v>
      </c>
      <c r="Q352" s="747" t="s">
        <v>1002</v>
      </c>
      <c r="R352" s="304">
        <v>257</v>
      </c>
      <c r="S352" s="255">
        <v>10448.9</v>
      </c>
      <c r="T352" s="8">
        <f t="shared" si="93"/>
        <v>2685367.3</v>
      </c>
      <c r="U352" s="450"/>
      <c r="V352" s="748"/>
      <c r="W352" s="776"/>
      <c r="X352" s="776"/>
      <c r="Y352" s="8">
        <f t="shared" si="94"/>
        <v>0</v>
      </c>
    </row>
    <row r="353" spans="1:25">
      <c r="A353" s="771">
        <f t="shared" si="125"/>
        <v>155</v>
      </c>
      <c r="B353" s="297" t="s">
        <v>1499</v>
      </c>
      <c r="C353" s="796">
        <f>T353</f>
        <v>7077970.6510219527</v>
      </c>
      <c r="D353" s="733">
        <f t="shared" si="127"/>
        <v>184160.08137078473</v>
      </c>
      <c r="E353" s="733">
        <f t="shared" si="127"/>
        <v>60212.587695276838</v>
      </c>
      <c r="F353" s="733">
        <f t="shared" si="127"/>
        <v>111947.42195446366</v>
      </c>
      <c r="G353" s="733">
        <f t="shared" si="127"/>
        <v>83294.212763737843</v>
      </c>
      <c r="H353" s="733">
        <f t="shared" si="127"/>
        <v>0</v>
      </c>
      <c r="I353" s="772">
        <f t="shared" si="80"/>
        <v>7517585</v>
      </c>
      <c r="J353" s="733">
        <v>350</v>
      </c>
      <c r="K353" s="733">
        <f t="shared" si="92"/>
        <v>21478.814285714285</v>
      </c>
      <c r="L353" s="667"/>
      <c r="M353" s="667"/>
      <c r="N353" s="189" t="s">
        <v>1346</v>
      </c>
      <c r="O353" s="746">
        <f t="shared" si="123"/>
        <v>41083</v>
      </c>
      <c r="P353" s="746">
        <v>41086</v>
      </c>
      <c r="Q353" s="747" t="s">
        <v>1002</v>
      </c>
      <c r="R353" s="304">
        <v>355</v>
      </c>
      <c r="S353" s="255">
        <v>19937.945495836488</v>
      </c>
      <c r="T353" s="8">
        <f t="shared" si="93"/>
        <v>7077970.6510219527</v>
      </c>
      <c r="U353" s="450"/>
      <c r="V353" s="748"/>
      <c r="W353" s="776"/>
      <c r="X353" s="776"/>
      <c r="Y353" s="8">
        <f t="shared" si="94"/>
        <v>0</v>
      </c>
    </row>
    <row r="354" spans="1:25">
      <c r="A354" s="771">
        <f t="shared" si="125"/>
        <v>156</v>
      </c>
      <c r="B354" s="297" t="s">
        <v>1476</v>
      </c>
      <c r="C354" s="796">
        <f>T354</f>
        <v>3052750</v>
      </c>
      <c r="D354" s="733">
        <f t="shared" si="127"/>
        <v>236777.24747672325</v>
      </c>
      <c r="E354" s="733">
        <f t="shared" si="127"/>
        <v>77416.184179641656</v>
      </c>
      <c r="F354" s="733">
        <f t="shared" si="127"/>
        <v>143932.39965573899</v>
      </c>
      <c r="G354" s="733">
        <f t="shared" si="127"/>
        <v>107092.55926766293</v>
      </c>
      <c r="H354" s="733">
        <f t="shared" si="127"/>
        <v>0</v>
      </c>
      <c r="I354" s="772">
        <f t="shared" si="80"/>
        <v>3617968</v>
      </c>
      <c r="J354" s="733">
        <v>450</v>
      </c>
      <c r="K354" s="733">
        <f t="shared" si="92"/>
        <v>8039.9288888888887</v>
      </c>
      <c r="L354" s="667"/>
      <c r="M354" s="667"/>
      <c r="N354" s="192" t="s">
        <v>1404</v>
      </c>
      <c r="O354" s="746">
        <f t="shared" si="123"/>
        <v>41087</v>
      </c>
      <c r="P354" s="746">
        <v>41090</v>
      </c>
      <c r="Q354" s="747" t="s">
        <v>1003</v>
      </c>
      <c r="R354" s="794">
        <v>250</v>
      </c>
      <c r="S354" s="255">
        <v>12211</v>
      </c>
      <c r="T354" s="8">
        <f t="shared" si="93"/>
        <v>3052750</v>
      </c>
      <c r="U354" s="450"/>
      <c r="V354" s="748"/>
      <c r="W354" s="776"/>
      <c r="X354" s="776"/>
      <c r="Y354" s="8">
        <f t="shared" si="94"/>
        <v>0</v>
      </c>
    </row>
    <row r="355" spans="1:25">
      <c r="A355" s="771">
        <f t="shared" si="125"/>
        <v>157</v>
      </c>
      <c r="B355" s="297" t="s">
        <v>1509</v>
      </c>
      <c r="C355" s="796">
        <f>T355</f>
        <v>6102300</v>
      </c>
      <c r="D355" s="733">
        <f t="shared" si="127"/>
        <v>415149.44057585474</v>
      </c>
      <c r="E355" s="733">
        <f t="shared" si="127"/>
        <v>135736.37626163836</v>
      </c>
      <c r="F355" s="733">
        <f t="shared" si="127"/>
        <v>252361.47406306234</v>
      </c>
      <c r="G355" s="733">
        <f t="shared" si="127"/>
        <v>187768.95391596903</v>
      </c>
      <c r="H355" s="733">
        <f t="shared" si="127"/>
        <v>0</v>
      </c>
      <c r="I355" s="772">
        <f t="shared" si="80"/>
        <v>7093316</v>
      </c>
      <c r="J355" s="733">
        <v>789</v>
      </c>
      <c r="K355" s="733">
        <f t="shared" si="92"/>
        <v>8990.2610899873252</v>
      </c>
      <c r="L355" s="667"/>
      <c r="M355" s="667"/>
      <c r="N355" s="192" t="s">
        <v>1410</v>
      </c>
      <c r="O355" s="746">
        <f t="shared" si="123"/>
        <v>41087</v>
      </c>
      <c r="P355" s="746">
        <v>41090</v>
      </c>
      <c r="Q355" s="747" t="s">
        <v>1003</v>
      </c>
      <c r="R355" s="304">
        <v>300</v>
      </c>
      <c r="S355" s="255">
        <v>20341</v>
      </c>
      <c r="T355" s="8">
        <f t="shared" si="93"/>
        <v>6102300</v>
      </c>
      <c r="U355" s="450"/>
      <c r="V355" s="748"/>
      <c r="W355" s="776"/>
      <c r="X355" s="776"/>
      <c r="Y355" s="8">
        <f t="shared" si="94"/>
        <v>0</v>
      </c>
    </row>
    <row r="356" spans="1:25">
      <c r="A356" s="771">
        <f t="shared" si="125"/>
        <v>158</v>
      </c>
      <c r="B356" s="297" t="s">
        <v>1511</v>
      </c>
      <c r="C356" s="796">
        <f>T356</f>
        <v>6743550</v>
      </c>
      <c r="D356" s="733">
        <f t="shared" si="127"/>
        <v>474606.83827556524</v>
      </c>
      <c r="E356" s="733">
        <f t="shared" si="127"/>
        <v>155176.4402889706</v>
      </c>
      <c r="F356" s="733">
        <f t="shared" si="127"/>
        <v>288504.49886550347</v>
      </c>
      <c r="G356" s="733">
        <f t="shared" si="127"/>
        <v>214661.08546540438</v>
      </c>
      <c r="H356" s="733">
        <f t="shared" si="127"/>
        <v>0</v>
      </c>
      <c r="I356" s="772">
        <f t="shared" si="80"/>
        <v>7876499</v>
      </c>
      <c r="J356" s="733">
        <v>902</v>
      </c>
      <c r="K356" s="733">
        <f t="shared" si="92"/>
        <v>8732.2605321507763</v>
      </c>
      <c r="L356" s="781"/>
      <c r="M356" s="667"/>
      <c r="N356" s="192" t="s">
        <v>724</v>
      </c>
      <c r="O356" s="746">
        <f t="shared" si="123"/>
        <v>41087</v>
      </c>
      <c r="P356" s="746">
        <v>41090</v>
      </c>
      <c r="Q356" s="747" t="s">
        <v>1003</v>
      </c>
      <c r="R356" s="794">
        <v>500</v>
      </c>
      <c r="S356" s="255">
        <v>13487.1</v>
      </c>
      <c r="T356" s="8">
        <f t="shared" si="93"/>
        <v>6743550</v>
      </c>
      <c r="U356" s="450"/>
      <c r="V356" s="748"/>
      <c r="W356" s="776"/>
      <c r="X356" s="776"/>
      <c r="Y356" s="8">
        <f t="shared" si="94"/>
        <v>0</v>
      </c>
    </row>
    <row r="357" spans="1:25">
      <c r="A357" s="771">
        <f t="shared" si="125"/>
        <v>159</v>
      </c>
      <c r="B357" s="297" t="s">
        <v>1514</v>
      </c>
      <c r="C357" s="796">
        <f t="shared" ref="C357:C369" si="128">T357</f>
        <v>2775180</v>
      </c>
      <c r="D357" s="733">
        <f t="shared" si="127"/>
        <v>239934.27744307954</v>
      </c>
      <c r="E357" s="733">
        <f t="shared" si="127"/>
        <v>78448.399968703539</v>
      </c>
      <c r="F357" s="733">
        <f t="shared" si="127"/>
        <v>145851.49831781551</v>
      </c>
      <c r="G357" s="733">
        <f t="shared" si="127"/>
        <v>108520.46005789844</v>
      </c>
      <c r="H357" s="733">
        <f t="shared" si="127"/>
        <v>0</v>
      </c>
      <c r="I357" s="772">
        <f t="shared" ref="I357:I369" si="129">ROUND(SUM(C357:H357),0)</f>
        <v>3347935</v>
      </c>
      <c r="J357" s="733">
        <v>456</v>
      </c>
      <c r="K357" s="733">
        <f t="shared" ref="K357:K369" si="130">IF(J357&lt;&gt;"",I357/J357,"")</f>
        <v>7341.9627192982452</v>
      </c>
      <c r="L357" s="667"/>
      <c r="M357" s="667"/>
      <c r="N357" s="192" t="s">
        <v>733</v>
      </c>
      <c r="O357" s="746">
        <f t="shared" si="123"/>
        <v>41087</v>
      </c>
      <c r="P357" s="746">
        <v>41090</v>
      </c>
      <c r="Q357" s="747" t="s">
        <v>1003</v>
      </c>
      <c r="R357" s="304">
        <v>230</v>
      </c>
      <c r="S357" s="255">
        <v>12066</v>
      </c>
      <c r="T357" s="8">
        <f t="shared" ref="T357:T369" si="131">R357*S357</f>
        <v>2775180</v>
      </c>
      <c r="U357" s="450"/>
      <c r="V357" s="748"/>
      <c r="W357" s="776"/>
      <c r="X357" s="776"/>
      <c r="Y357" s="8">
        <f t="shared" ref="Y357:Y369" si="132">W357*X357</f>
        <v>0</v>
      </c>
    </row>
    <row r="358" spans="1:25">
      <c r="A358" s="771">
        <f t="shared" si="125"/>
        <v>160</v>
      </c>
      <c r="B358" s="297" t="s">
        <v>1502</v>
      </c>
      <c r="C358" s="796">
        <f t="shared" si="128"/>
        <v>4097280</v>
      </c>
      <c r="D358" s="733">
        <f t="shared" si="127"/>
        <v>252562.39730850479</v>
      </c>
      <c r="E358" s="733">
        <f t="shared" si="127"/>
        <v>82577.263124951103</v>
      </c>
      <c r="F358" s="733">
        <f t="shared" si="127"/>
        <v>153527.89296612158</v>
      </c>
      <c r="G358" s="733">
        <f t="shared" si="127"/>
        <v>114232.06321884047</v>
      </c>
      <c r="H358" s="733">
        <f t="shared" si="127"/>
        <v>0</v>
      </c>
      <c r="I358" s="772">
        <f t="shared" si="129"/>
        <v>4700180</v>
      </c>
      <c r="J358" s="733">
        <v>480</v>
      </c>
      <c r="K358" s="733">
        <f t="shared" si="130"/>
        <v>9792.0416666666661</v>
      </c>
      <c r="L358" s="667"/>
      <c r="M358" s="667"/>
      <c r="N358" s="192" t="s">
        <v>1252</v>
      </c>
      <c r="O358" s="746">
        <f t="shared" si="123"/>
        <v>41087</v>
      </c>
      <c r="P358" s="746">
        <v>41090</v>
      </c>
      <c r="Q358" s="747" t="s">
        <v>1003</v>
      </c>
      <c r="R358" s="794">
        <v>240</v>
      </c>
      <c r="S358" s="255">
        <v>17072</v>
      </c>
      <c r="T358" s="8">
        <f t="shared" si="131"/>
        <v>4097280</v>
      </c>
      <c r="U358" s="450"/>
      <c r="V358" s="748"/>
      <c r="W358" s="776"/>
      <c r="X358" s="776"/>
      <c r="Y358" s="8">
        <f t="shared" si="132"/>
        <v>0</v>
      </c>
    </row>
    <row r="359" spans="1:25">
      <c r="A359" s="771">
        <f t="shared" si="125"/>
        <v>161</v>
      </c>
      <c r="B359" s="297" t="s">
        <v>1502</v>
      </c>
      <c r="C359" s="796">
        <f t="shared" si="128"/>
        <v>5331210</v>
      </c>
      <c r="D359" s="733">
        <f t="shared" ref="D359:H369" si="133">IF($J$371&lt;&gt;0,D$371/$J$371*$J359,0)</f>
        <v>304653.39175338391</v>
      </c>
      <c r="E359" s="733">
        <f t="shared" si="133"/>
        <v>99608.823644472257</v>
      </c>
      <c r="F359" s="733">
        <f t="shared" si="133"/>
        <v>185193.02089038416</v>
      </c>
      <c r="G359" s="733">
        <f t="shared" si="133"/>
        <v>137792.4262577263</v>
      </c>
      <c r="H359" s="733">
        <f t="shared" si="133"/>
        <v>0</v>
      </c>
      <c r="I359" s="772">
        <f t="shared" si="129"/>
        <v>6058458</v>
      </c>
      <c r="J359" s="733">
        <v>579</v>
      </c>
      <c r="K359" s="733">
        <f t="shared" si="130"/>
        <v>10463.658031088084</v>
      </c>
      <c r="L359" s="667"/>
      <c r="M359" s="667"/>
      <c r="N359" s="192" t="s">
        <v>730</v>
      </c>
      <c r="O359" s="746">
        <f t="shared" si="123"/>
        <v>41087</v>
      </c>
      <c r="P359" s="746">
        <v>41090</v>
      </c>
      <c r="Q359" s="747" t="s">
        <v>1003</v>
      </c>
      <c r="R359" s="304">
        <v>597</v>
      </c>
      <c r="S359" s="255">
        <v>8930</v>
      </c>
      <c r="T359" s="8">
        <f t="shared" si="131"/>
        <v>5331210</v>
      </c>
      <c r="U359" s="450"/>
      <c r="V359" s="748"/>
      <c r="W359" s="776"/>
      <c r="X359" s="776"/>
      <c r="Y359" s="8">
        <f t="shared" si="132"/>
        <v>0</v>
      </c>
    </row>
    <row r="360" spans="1:25">
      <c r="A360" s="771">
        <f t="shared" si="125"/>
        <v>162</v>
      </c>
      <c r="B360" s="297" t="s">
        <v>1478</v>
      </c>
      <c r="C360" s="796">
        <f t="shared" si="128"/>
        <v>1157750</v>
      </c>
      <c r="D360" s="733">
        <f t="shared" si="133"/>
        <v>89449.182380095444</v>
      </c>
      <c r="E360" s="733">
        <f t="shared" si="133"/>
        <v>29246.114023420181</v>
      </c>
      <c r="F360" s="733">
        <f t="shared" si="133"/>
        <v>54374.462092168062</v>
      </c>
      <c r="G360" s="733">
        <f t="shared" si="133"/>
        <v>40457.189056672665</v>
      </c>
      <c r="H360" s="733">
        <f t="shared" si="133"/>
        <v>0</v>
      </c>
      <c r="I360" s="772">
        <f t="shared" si="129"/>
        <v>1371277</v>
      </c>
      <c r="J360" s="733">
        <v>170</v>
      </c>
      <c r="K360" s="733">
        <f t="shared" si="130"/>
        <v>8066.3352941176472</v>
      </c>
      <c r="L360" s="667"/>
      <c r="M360" s="667"/>
      <c r="N360" s="192" t="s">
        <v>1372</v>
      </c>
      <c r="O360" s="746">
        <f t="shared" si="123"/>
        <v>41087</v>
      </c>
      <c r="P360" s="746">
        <v>41090</v>
      </c>
      <c r="Q360" s="747" t="s">
        <v>1003</v>
      </c>
      <c r="R360" s="304">
        <v>50</v>
      </c>
      <c r="S360" s="252">
        <v>23155</v>
      </c>
      <c r="T360" s="8">
        <f t="shared" si="131"/>
        <v>1157750</v>
      </c>
      <c r="U360" s="450"/>
      <c r="V360" s="748"/>
      <c r="W360" s="776"/>
      <c r="X360" s="776"/>
      <c r="Y360" s="8">
        <f t="shared" si="132"/>
        <v>0</v>
      </c>
    </row>
    <row r="361" spans="1:25">
      <c r="A361" s="771">
        <f t="shared" si="125"/>
        <v>163</v>
      </c>
      <c r="B361" s="297" t="s">
        <v>1487</v>
      </c>
      <c r="C361" s="796">
        <f t="shared" si="128"/>
        <v>1985962.6666666665</v>
      </c>
      <c r="D361" s="733">
        <f t="shared" si="133"/>
        <v>136804.6318754401</v>
      </c>
      <c r="E361" s="733">
        <f t="shared" si="133"/>
        <v>44729.350859348509</v>
      </c>
      <c r="F361" s="733">
        <f t="shared" si="133"/>
        <v>83160.94202331586</v>
      </c>
      <c r="G361" s="733">
        <f t="shared" si="133"/>
        <v>61875.700910205254</v>
      </c>
      <c r="H361" s="733">
        <f t="shared" si="133"/>
        <v>0</v>
      </c>
      <c r="I361" s="772">
        <f t="shared" si="129"/>
        <v>2312533</v>
      </c>
      <c r="J361" s="733">
        <v>260</v>
      </c>
      <c r="K361" s="733">
        <f t="shared" si="130"/>
        <v>8894.3576923076926</v>
      </c>
      <c r="L361" s="667"/>
      <c r="M361" s="667"/>
      <c r="N361" s="192" t="s">
        <v>1396</v>
      </c>
      <c r="O361" s="746">
        <f t="shared" si="123"/>
        <v>41087</v>
      </c>
      <c r="P361" s="746">
        <v>41090</v>
      </c>
      <c r="Q361" s="747" t="s">
        <v>1003</v>
      </c>
      <c r="R361" s="304">
        <v>136</v>
      </c>
      <c r="S361" s="255">
        <v>14602.666666666666</v>
      </c>
      <c r="T361" s="8">
        <f t="shared" si="131"/>
        <v>1985962.6666666665</v>
      </c>
      <c r="U361" s="450"/>
      <c r="V361" s="748"/>
      <c r="W361" s="776"/>
      <c r="X361" s="776"/>
      <c r="Y361" s="8">
        <f t="shared" si="132"/>
        <v>0</v>
      </c>
    </row>
    <row r="362" spans="1:25">
      <c r="A362" s="771">
        <f t="shared" si="125"/>
        <v>164</v>
      </c>
      <c r="B362" s="297" t="s">
        <v>1490</v>
      </c>
      <c r="C362" s="796">
        <f t="shared" si="128"/>
        <v>2639875</v>
      </c>
      <c r="D362" s="733">
        <f t="shared" si="133"/>
        <v>128912.05695954931</v>
      </c>
      <c r="E362" s="733">
        <f t="shared" si="133"/>
        <v>42148.811386693786</v>
      </c>
      <c r="F362" s="733">
        <f t="shared" si="133"/>
        <v>78363.19536812455</v>
      </c>
      <c r="G362" s="733">
        <f t="shared" si="133"/>
        <v>58305.948934616492</v>
      </c>
      <c r="H362" s="733">
        <f t="shared" si="133"/>
        <v>0</v>
      </c>
      <c r="I362" s="772">
        <f t="shared" si="129"/>
        <v>2947605</v>
      </c>
      <c r="J362" s="733">
        <v>245</v>
      </c>
      <c r="K362" s="733">
        <f t="shared" si="130"/>
        <v>12031.040816326531</v>
      </c>
      <c r="L362" s="667"/>
      <c r="M362" s="667"/>
      <c r="N362" s="192" t="s">
        <v>1274</v>
      </c>
      <c r="O362" s="746">
        <f t="shared" si="123"/>
        <v>41087</v>
      </c>
      <c r="P362" s="746">
        <v>41090</v>
      </c>
      <c r="Q362" s="747" t="s">
        <v>1003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0"/>
      <c r="V362" s="748"/>
      <c r="W362" s="776"/>
      <c r="X362" s="776"/>
      <c r="Y362" s="8">
        <f t="shared" si="132"/>
        <v>0</v>
      </c>
    </row>
    <row r="363" spans="1:25">
      <c r="A363" s="771">
        <f t="shared" si="125"/>
        <v>165</v>
      </c>
      <c r="B363" s="297" t="s">
        <v>1515</v>
      </c>
      <c r="C363" s="796">
        <f t="shared" si="128"/>
        <v>5818500</v>
      </c>
      <c r="D363" s="733">
        <f t="shared" si="133"/>
        <v>284132.69697206788</v>
      </c>
      <c r="E363" s="733">
        <f t="shared" si="133"/>
        <v>92899.421015569984</v>
      </c>
      <c r="F363" s="733">
        <f t="shared" si="133"/>
        <v>172718.87958688679</v>
      </c>
      <c r="G363" s="733">
        <f t="shared" si="133"/>
        <v>128511.07112119552</v>
      </c>
      <c r="H363" s="733">
        <f t="shared" si="133"/>
        <v>0</v>
      </c>
      <c r="I363" s="772">
        <f t="shared" si="129"/>
        <v>6496762</v>
      </c>
      <c r="J363" s="733">
        <v>540</v>
      </c>
      <c r="K363" s="733">
        <f t="shared" si="130"/>
        <v>12031.04074074074</v>
      </c>
      <c r="L363" s="667"/>
      <c r="M363" s="667"/>
      <c r="N363" s="192" t="s">
        <v>1274</v>
      </c>
      <c r="O363" s="746">
        <f t="shared" si="123"/>
        <v>41087</v>
      </c>
      <c r="P363" s="746">
        <v>41090</v>
      </c>
      <c r="Q363" s="747" t="s">
        <v>1003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0"/>
      <c r="V363" s="748"/>
      <c r="W363" s="776"/>
      <c r="X363" s="776"/>
      <c r="Y363" s="8">
        <f t="shared" si="132"/>
        <v>0</v>
      </c>
    </row>
    <row r="364" spans="1:25">
      <c r="A364" s="771">
        <f t="shared" si="125"/>
        <v>166</v>
      </c>
      <c r="B364" s="297" t="s">
        <v>1477</v>
      </c>
      <c r="C364" s="796">
        <f t="shared" si="128"/>
        <v>4365900</v>
      </c>
      <c r="D364" s="733">
        <f t="shared" si="133"/>
        <v>305179.56341444328</v>
      </c>
      <c r="E364" s="733">
        <f t="shared" si="133"/>
        <v>99780.859609315914</v>
      </c>
      <c r="F364" s="733">
        <f t="shared" si="133"/>
        <v>185512.8706673969</v>
      </c>
      <c r="G364" s="733">
        <f t="shared" si="133"/>
        <v>138030.40972276556</v>
      </c>
      <c r="H364" s="733">
        <f t="shared" si="133"/>
        <v>0</v>
      </c>
      <c r="I364" s="772">
        <f t="shared" si="129"/>
        <v>5094404</v>
      </c>
      <c r="J364" s="733">
        <v>580</v>
      </c>
      <c r="K364" s="733">
        <f t="shared" si="130"/>
        <v>8783.4551724137928</v>
      </c>
      <c r="L364" s="667"/>
      <c r="M364" s="667"/>
      <c r="N364" s="192" t="s">
        <v>1403</v>
      </c>
      <c r="O364" s="746">
        <f t="shared" si="123"/>
        <v>41087</v>
      </c>
      <c r="P364" s="746">
        <v>41090</v>
      </c>
      <c r="Q364" s="747" t="s">
        <v>1003</v>
      </c>
      <c r="R364" s="304">
        <v>300</v>
      </c>
      <c r="S364" s="252">
        <v>14553</v>
      </c>
      <c r="T364" s="8">
        <f t="shared" si="131"/>
        <v>4365900</v>
      </c>
      <c r="U364" s="450"/>
      <c r="V364" s="748"/>
      <c r="W364" s="776"/>
      <c r="X364" s="776"/>
      <c r="Y364" s="8">
        <f t="shared" si="132"/>
        <v>0</v>
      </c>
    </row>
    <row r="365" spans="1:25">
      <c r="A365" s="771">
        <f t="shared" si="125"/>
        <v>167</v>
      </c>
      <c r="B365" s="297" t="s">
        <v>1512</v>
      </c>
      <c r="C365" s="796">
        <f t="shared" si="128"/>
        <v>3072420</v>
      </c>
      <c r="D365" s="733">
        <f t="shared" si="133"/>
        <v>247300.68069791092</v>
      </c>
      <c r="E365" s="733">
        <f t="shared" si="133"/>
        <v>80856.903476514621</v>
      </c>
      <c r="F365" s="733">
        <f t="shared" si="133"/>
        <v>150329.39519599406</v>
      </c>
      <c r="G365" s="733">
        <f t="shared" si="133"/>
        <v>111852.22856844796</v>
      </c>
      <c r="H365" s="733">
        <f t="shared" si="133"/>
        <v>0</v>
      </c>
      <c r="I365" s="772">
        <f t="shared" si="129"/>
        <v>3662759</v>
      </c>
      <c r="J365" s="733">
        <v>470</v>
      </c>
      <c r="K365" s="733">
        <f t="shared" si="130"/>
        <v>7793.1042553191492</v>
      </c>
      <c r="L365" s="667"/>
      <c r="M365" s="667"/>
      <c r="N365" s="192" t="s">
        <v>1292</v>
      </c>
      <c r="O365" s="746">
        <f t="shared" si="123"/>
        <v>41087</v>
      </c>
      <c r="P365" s="746">
        <v>41090</v>
      </c>
      <c r="Q365" s="747" t="s">
        <v>1003</v>
      </c>
      <c r="R365" s="304">
        <v>260</v>
      </c>
      <c r="S365" s="255">
        <v>11817</v>
      </c>
      <c r="T365" s="8">
        <f t="shared" si="131"/>
        <v>3072420</v>
      </c>
      <c r="U365" s="450"/>
      <c r="V365" s="748"/>
      <c r="W365" s="776"/>
      <c r="X365" s="776"/>
      <c r="Y365" s="8">
        <f t="shared" si="132"/>
        <v>0</v>
      </c>
    </row>
    <row r="366" spans="1:25">
      <c r="A366" s="771">
        <f t="shared" si="125"/>
        <v>168</v>
      </c>
      <c r="B366" s="297" t="s">
        <v>1489</v>
      </c>
      <c r="C366" s="796">
        <f t="shared" si="128"/>
        <v>2039225.5555555557</v>
      </c>
      <c r="D366" s="733">
        <f t="shared" si="133"/>
        <v>89449.182380095444</v>
      </c>
      <c r="E366" s="733">
        <f t="shared" si="133"/>
        <v>29246.114023420181</v>
      </c>
      <c r="F366" s="733">
        <f t="shared" si="133"/>
        <v>54374.462092168062</v>
      </c>
      <c r="G366" s="733">
        <f t="shared" si="133"/>
        <v>40457.189056672665</v>
      </c>
      <c r="H366" s="733">
        <f t="shared" si="133"/>
        <v>0</v>
      </c>
      <c r="I366" s="772">
        <f t="shared" si="129"/>
        <v>2252753</v>
      </c>
      <c r="J366" s="733">
        <v>170</v>
      </c>
      <c r="K366" s="733">
        <f t="shared" si="130"/>
        <v>13251.488235294117</v>
      </c>
      <c r="L366" s="667"/>
      <c r="M366" s="667"/>
      <c r="N366" s="189" t="s">
        <v>1263</v>
      </c>
      <c r="O366" s="746">
        <f t="shared" si="123"/>
        <v>41087</v>
      </c>
      <c r="P366" s="746">
        <v>41090</v>
      </c>
      <c r="Q366" s="747" t="s">
        <v>1003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0"/>
      <c r="V366" s="748"/>
      <c r="W366" s="776"/>
      <c r="X366" s="776"/>
      <c r="Y366" s="8">
        <f t="shared" si="132"/>
        <v>0</v>
      </c>
    </row>
    <row r="367" spans="1:25">
      <c r="A367" s="771">
        <f t="shared" si="125"/>
        <v>169</v>
      </c>
      <c r="B367" s="297" t="s">
        <v>1516</v>
      </c>
      <c r="C367" s="796">
        <f t="shared" si="128"/>
        <v>2693750</v>
      </c>
      <c r="D367" s="733">
        <f t="shared" si="133"/>
        <v>131542.91526484623</v>
      </c>
      <c r="E367" s="733">
        <f t="shared" si="133"/>
        <v>43008.991210912027</v>
      </c>
      <c r="F367" s="733">
        <f t="shared" si="133"/>
        <v>79962.444253188325</v>
      </c>
      <c r="G367" s="733">
        <f t="shared" si="133"/>
        <v>59495.866259812741</v>
      </c>
      <c r="H367" s="733">
        <f t="shared" si="133"/>
        <v>0</v>
      </c>
      <c r="I367" s="772">
        <f t="shared" si="129"/>
        <v>3007760</v>
      </c>
      <c r="J367" s="733">
        <v>250</v>
      </c>
      <c r="K367" s="733">
        <f t="shared" si="130"/>
        <v>12031.04</v>
      </c>
      <c r="L367" s="667"/>
      <c r="M367" s="667"/>
      <c r="N367" s="192" t="s">
        <v>1274</v>
      </c>
      <c r="O367" s="746">
        <f t="shared" si="123"/>
        <v>41087</v>
      </c>
      <c r="P367" s="746">
        <v>41090</v>
      </c>
      <c r="Q367" s="747" t="s">
        <v>1003</v>
      </c>
      <c r="R367" s="304">
        <f>J367</f>
        <v>250</v>
      </c>
      <c r="S367" s="255">
        <v>10775</v>
      </c>
      <c r="T367" s="8">
        <f t="shared" si="131"/>
        <v>2693750</v>
      </c>
      <c r="U367" s="450"/>
      <c r="V367" s="748"/>
      <c r="W367" s="776"/>
      <c r="X367" s="776"/>
      <c r="Y367" s="8">
        <f t="shared" si="132"/>
        <v>0</v>
      </c>
    </row>
    <row r="368" spans="1:25">
      <c r="A368" s="771">
        <f t="shared" si="125"/>
        <v>170</v>
      </c>
      <c r="B368" s="297" t="s">
        <v>1479</v>
      </c>
      <c r="C368" s="796">
        <f t="shared" si="128"/>
        <v>2126250</v>
      </c>
      <c r="D368" s="733">
        <f t="shared" si="133"/>
        <v>128385.88529848993</v>
      </c>
      <c r="E368" s="733">
        <f t="shared" si="133"/>
        <v>41976.775421850143</v>
      </c>
      <c r="F368" s="733">
        <f t="shared" si="133"/>
        <v>78043.345591111807</v>
      </c>
      <c r="G368" s="733">
        <f t="shared" si="133"/>
        <v>58067.965469577241</v>
      </c>
      <c r="H368" s="733">
        <f t="shared" si="133"/>
        <v>0</v>
      </c>
      <c r="I368" s="772">
        <f t="shared" si="129"/>
        <v>2432724</v>
      </c>
      <c r="J368" s="733">
        <v>244</v>
      </c>
      <c r="K368" s="733">
        <f t="shared" si="130"/>
        <v>9970.1803278688531</v>
      </c>
      <c r="L368" s="667"/>
      <c r="M368" s="667"/>
      <c r="N368" s="192" t="s">
        <v>1384</v>
      </c>
      <c r="O368" s="746">
        <f t="shared" si="123"/>
        <v>41087</v>
      </c>
      <c r="P368" s="746">
        <v>41090</v>
      </c>
      <c r="Q368" s="747" t="s">
        <v>1003</v>
      </c>
      <c r="R368" s="304">
        <v>250</v>
      </c>
      <c r="S368" s="255">
        <v>8505</v>
      </c>
      <c r="T368" s="8">
        <f t="shared" si="131"/>
        <v>2126250</v>
      </c>
      <c r="U368" s="450"/>
      <c r="V368" s="748"/>
      <c r="W368" s="776"/>
      <c r="X368" s="776"/>
      <c r="Y368" s="8">
        <f t="shared" si="132"/>
        <v>0</v>
      </c>
    </row>
    <row r="369" spans="1:25">
      <c r="A369" s="771">
        <f t="shared" si="125"/>
        <v>171</v>
      </c>
      <c r="B369" s="297" t="s">
        <v>1480</v>
      </c>
      <c r="C369" s="796">
        <f t="shared" si="128"/>
        <v>1690052</v>
      </c>
      <c r="D369" s="733">
        <f t="shared" si="133"/>
        <v>94710.898990689297</v>
      </c>
      <c r="E369" s="733">
        <f t="shared" si="133"/>
        <v>30966.47367185666</v>
      </c>
      <c r="F369" s="733">
        <f t="shared" si="133"/>
        <v>57572.959862295596</v>
      </c>
      <c r="G369" s="733">
        <f t="shared" si="133"/>
        <v>42837.023707065178</v>
      </c>
      <c r="H369" s="733">
        <f t="shared" si="133"/>
        <v>0</v>
      </c>
      <c r="I369" s="772">
        <f t="shared" si="129"/>
        <v>1916139</v>
      </c>
      <c r="J369" s="733">
        <v>180</v>
      </c>
      <c r="K369" s="733">
        <f t="shared" si="130"/>
        <v>10645.216666666667</v>
      </c>
      <c r="L369" s="667"/>
      <c r="M369" s="667"/>
      <c r="N369" s="192" t="s">
        <v>1383</v>
      </c>
      <c r="O369" s="746">
        <f t="shared" si="123"/>
        <v>41087</v>
      </c>
      <c r="P369" s="746">
        <v>41090</v>
      </c>
      <c r="Q369" s="747" t="s">
        <v>1003</v>
      </c>
      <c r="R369" s="794">
        <v>182</v>
      </c>
      <c r="S369" s="252">
        <v>9286</v>
      </c>
      <c r="T369" s="8">
        <f t="shared" si="131"/>
        <v>1690052</v>
      </c>
      <c r="U369" s="450"/>
      <c r="V369" s="748"/>
      <c r="W369" s="776"/>
      <c r="X369" s="776"/>
      <c r="Y369" s="8">
        <f t="shared" si="132"/>
        <v>0</v>
      </c>
    </row>
    <row r="370" spans="1:25" s="751" customFormat="1">
      <c r="A370" s="732"/>
      <c r="B370" s="759"/>
      <c r="C370" s="760"/>
      <c r="D370" s="761"/>
      <c r="E370" s="762"/>
      <c r="F370" s="762"/>
      <c r="G370" s="762"/>
      <c r="H370" s="471"/>
      <c r="I370" s="761"/>
      <c r="J370" s="764"/>
      <c r="K370" s="762"/>
      <c r="L370" s="667"/>
      <c r="M370" s="667"/>
      <c r="N370" s="450"/>
      <c r="O370" s="748"/>
      <c r="P370" s="746"/>
      <c r="Q370" s="747"/>
      <c r="R370" s="304"/>
      <c r="S370" s="252"/>
      <c r="T370" s="25"/>
      <c r="U370" s="450"/>
      <c r="V370" s="748"/>
      <c r="W370" s="778"/>
      <c r="X370" s="778"/>
      <c r="Y370" s="765"/>
    </row>
    <row r="371" spans="1:25" s="730" customFormat="1">
      <c r="A371" s="734"/>
      <c r="B371" s="735" t="s">
        <v>268</v>
      </c>
      <c r="C371" s="542">
        <f>SUM(C199:C370)</f>
        <v>576345766.79273498</v>
      </c>
      <c r="D371" s="542">
        <v>40350000</v>
      </c>
      <c r="E371" s="542">
        <f>$Y$371</f>
        <v>13192750</v>
      </c>
      <c r="F371" s="542">
        <v>24528000</v>
      </c>
      <c r="G371" s="542">
        <v>18250000</v>
      </c>
      <c r="H371" s="542"/>
      <c r="I371" s="542">
        <f>ROUND(SUM(I199:I370),0)</f>
        <v>672666508</v>
      </c>
      <c r="J371" s="542">
        <f>ROUND(SUM(J199:J370),0)</f>
        <v>76686</v>
      </c>
      <c r="K371" s="542"/>
      <c r="L371" s="743"/>
      <c r="M371" s="743"/>
      <c r="N371" s="752"/>
      <c r="O371" s="753"/>
      <c r="P371" s="753"/>
      <c r="Q371" s="754"/>
      <c r="R371" s="795"/>
      <c r="S371" s="27"/>
      <c r="T371" s="47">
        <f>SUM(T199:T370)</f>
        <v>576345766.79273498</v>
      </c>
      <c r="U371" s="752"/>
      <c r="V371" s="753"/>
      <c r="W371" s="766"/>
      <c r="X371" s="27"/>
      <c r="Y371" s="47">
        <f>SUM(Y199:Y370)</f>
        <v>13192750</v>
      </c>
    </row>
    <row r="372" spans="1:25" s="730" customFormat="1">
      <c r="A372" s="736"/>
      <c r="B372" s="737"/>
      <c r="C372" s="731"/>
      <c r="D372" s="731"/>
      <c r="E372" s="731"/>
      <c r="F372" s="731"/>
      <c r="G372" s="731"/>
      <c r="H372" s="731"/>
      <c r="I372" s="731"/>
      <c r="J372" s="731"/>
      <c r="K372" s="731"/>
      <c r="L372" s="743"/>
      <c r="M372" s="743"/>
      <c r="N372" s="451"/>
      <c r="O372" s="755"/>
      <c r="P372" s="755"/>
      <c r="Q372" s="756"/>
      <c r="R372" s="793"/>
      <c r="S372" s="745"/>
      <c r="T372" s="757"/>
      <c r="U372" s="451"/>
      <c r="V372" s="755"/>
      <c r="W372" s="745"/>
      <c r="X372" s="745"/>
      <c r="Y372" s="767"/>
    </row>
    <row r="373" spans="1:25">
      <c r="I373" s="758"/>
      <c r="N373" s="451"/>
      <c r="O373" s="755"/>
      <c r="P373" s="755"/>
      <c r="Q373" s="756"/>
      <c r="R373" s="793"/>
      <c r="S373" s="745"/>
      <c r="T373" s="757"/>
      <c r="U373" s="451"/>
      <c r="V373" s="755"/>
      <c r="W373" s="745"/>
      <c r="X373" s="745"/>
      <c r="Y373" s="767"/>
    </row>
    <row r="374" spans="1:25" ht="18" hidden="1" customHeight="1">
      <c r="A374" s="582" t="s">
        <v>532</v>
      </c>
      <c r="B374" s="730"/>
      <c r="C374" s="293"/>
      <c r="D374" s="293"/>
      <c r="E374" s="293"/>
      <c r="F374" s="293"/>
      <c r="G374" s="293"/>
      <c r="H374" s="293"/>
      <c r="I374" s="293"/>
      <c r="J374" s="610"/>
      <c r="K374" s="293"/>
      <c r="L374" s="743"/>
      <c r="M374" s="743"/>
      <c r="N374" s="451"/>
      <c r="O374" s="755"/>
      <c r="P374" s="755"/>
      <c r="Q374" s="756"/>
      <c r="R374" s="793"/>
      <c r="S374" s="745"/>
      <c r="T374" s="757"/>
      <c r="U374" s="451"/>
      <c r="V374" s="755"/>
      <c r="W374" s="745"/>
      <c r="X374" s="745"/>
      <c r="Y374" s="767"/>
    </row>
    <row r="375" spans="1:25" ht="18.75" customHeight="1">
      <c r="A375" s="731" t="s">
        <v>1081</v>
      </c>
      <c r="B375" s="731"/>
      <c r="C375" s="731"/>
      <c r="D375" s="731"/>
      <c r="E375" s="731"/>
      <c r="F375" s="731"/>
      <c r="G375" s="731"/>
      <c r="H375" s="731"/>
      <c r="I375" s="731"/>
      <c r="J375" s="731"/>
      <c r="K375" s="731"/>
      <c r="L375" s="743"/>
      <c r="M375" s="743"/>
      <c r="N375" s="451"/>
      <c r="O375" s="755"/>
      <c r="P375" s="755"/>
      <c r="Q375" s="756"/>
      <c r="R375" s="793"/>
      <c r="S375" s="745"/>
      <c r="T375" s="757"/>
      <c r="U375" s="451"/>
      <c r="V375" s="755"/>
      <c r="W375" s="745"/>
      <c r="X375" s="745"/>
      <c r="Y375" s="767"/>
    </row>
    <row r="376" spans="1:25" ht="12.75" customHeight="1">
      <c r="A376" s="779"/>
      <c r="B376" s="774"/>
      <c r="C376" s="774"/>
      <c r="D376" s="774"/>
      <c r="E376" s="774"/>
      <c r="F376" s="774"/>
      <c r="G376" s="774"/>
      <c r="H376" s="774"/>
      <c r="I376" s="774"/>
      <c r="J376" s="744"/>
      <c r="K376" s="774"/>
      <c r="L376" s="743"/>
      <c r="M376" s="743"/>
      <c r="N376" s="451"/>
      <c r="O376" s="755"/>
      <c r="P376" s="755"/>
      <c r="Q376" s="756"/>
      <c r="R376" s="793"/>
      <c r="S376" s="745"/>
      <c r="T376" s="757"/>
      <c r="U376" s="451"/>
      <c r="V376" s="755"/>
      <c r="W376" s="745"/>
      <c r="X376" s="745"/>
      <c r="Y376" s="738"/>
    </row>
    <row r="377" spans="1:25" s="448" customFormat="1" ht="30.75" customHeight="1">
      <c r="A377" s="798" t="s">
        <v>35</v>
      </c>
      <c r="B377" s="443" t="s">
        <v>258</v>
      </c>
      <c r="C377" s="444" t="s">
        <v>262</v>
      </c>
      <c r="D377" s="444" t="s">
        <v>512</v>
      </c>
      <c r="E377" s="444" t="s">
        <v>263</v>
      </c>
      <c r="F377" s="444" t="s">
        <v>504</v>
      </c>
      <c r="G377" s="445" t="s">
        <v>264</v>
      </c>
      <c r="H377" s="444" t="s">
        <v>503</v>
      </c>
      <c r="I377" s="444" t="s">
        <v>265</v>
      </c>
      <c r="J377" s="446" t="s">
        <v>260</v>
      </c>
      <c r="K377" s="444" t="s">
        <v>266</v>
      </c>
      <c r="L377" s="447"/>
      <c r="M377" s="447"/>
      <c r="N377" s="443" t="s">
        <v>258</v>
      </c>
      <c r="O377" s="444" t="s">
        <v>252</v>
      </c>
      <c r="P377" s="444"/>
      <c r="Q377" s="725"/>
      <c r="R377" s="790" t="s">
        <v>215</v>
      </c>
      <c r="S377" s="444" t="s">
        <v>261</v>
      </c>
      <c r="T377" s="444" t="s">
        <v>267</v>
      </c>
      <c r="U377" s="443" t="s">
        <v>258</v>
      </c>
      <c r="V377" s="444" t="s">
        <v>252</v>
      </c>
      <c r="W377" s="444" t="s">
        <v>215</v>
      </c>
      <c r="X377" s="444" t="s">
        <v>261</v>
      </c>
      <c r="Y377" s="443" t="s">
        <v>267</v>
      </c>
    </row>
    <row r="378" spans="1:25">
      <c r="A378" s="732">
        <f>IF(B378&lt;&gt;"",1,"")</f>
        <v>1</v>
      </c>
      <c r="B378" s="297" t="s">
        <v>1145</v>
      </c>
      <c r="C378" s="25">
        <f>T378</f>
        <v>3110400</v>
      </c>
      <c r="D378" s="733">
        <f t="shared" ref="D378:H387" si="135">IF($J$452&lt;&gt;0,D$452/$J$452*$J378,0)</f>
        <v>859553.07500585821</v>
      </c>
      <c r="E378" s="733">
        <f t="shared" si="135"/>
        <v>259564.79134269222</v>
      </c>
      <c r="F378" s="733">
        <f t="shared" si="135"/>
        <v>494642.43870225589</v>
      </c>
      <c r="G378" s="733">
        <f t="shared" si="135"/>
        <v>388769.35858381446</v>
      </c>
      <c r="H378" s="733">
        <f t="shared" si="135"/>
        <v>0</v>
      </c>
      <c r="I378" s="25">
        <f t="shared" ref="I378:I383" si="136">SUM(C378:H378)</f>
        <v>5112929.6636346206</v>
      </c>
      <c r="J378" s="733">
        <v>1000</v>
      </c>
      <c r="K378" s="733">
        <f>IF(J378&lt;&gt;"",I378/J378,"")</f>
        <v>5112.9296636346207</v>
      </c>
      <c r="L378" s="667"/>
      <c r="M378" s="667"/>
      <c r="N378" s="192" t="s">
        <v>725</v>
      </c>
      <c r="O378" s="746">
        <f t="shared" ref="O378:O441" si="137">P378-3</f>
        <v>41089</v>
      </c>
      <c r="P378" s="746">
        <v>41092</v>
      </c>
      <c r="Q378" s="747" t="s">
        <v>1004</v>
      </c>
      <c r="R378" s="304">
        <v>500</v>
      </c>
      <c r="S378" s="778">
        <v>6220.8</v>
      </c>
      <c r="T378" s="25">
        <f t="shared" ref="T378:T379" si="138">ROUND(R378*S378,0)</f>
        <v>3110400</v>
      </c>
      <c r="U378" s="189" t="s">
        <v>403</v>
      </c>
      <c r="V378" s="748">
        <v>41099</v>
      </c>
      <c r="W378" s="778">
        <v>100</v>
      </c>
      <c r="X378" s="778">
        <v>25000</v>
      </c>
      <c r="Y378" s="25">
        <f t="shared" ref="Y378:Y451" si="139">ROUND(W378*X378,0)</f>
        <v>2500000</v>
      </c>
    </row>
    <row r="379" spans="1:25">
      <c r="A379" s="732">
        <f>IF(B379&lt;&gt;"",A378+1,"")</f>
        <v>2</v>
      </c>
      <c r="B379" s="297" t="s">
        <v>526</v>
      </c>
      <c r="C379" s="25">
        <f t="shared" ref="C379:C383" si="140">T379</f>
        <v>1785600</v>
      </c>
      <c r="D379" s="733">
        <f t="shared" si="135"/>
        <v>601687.1525041007</v>
      </c>
      <c r="E379" s="733">
        <f t="shared" si="135"/>
        <v>181695.35393988455</v>
      </c>
      <c r="F379" s="733">
        <f t="shared" si="135"/>
        <v>346249.70709157916</v>
      </c>
      <c r="G379" s="733">
        <f t="shared" si="135"/>
        <v>272138.55100867013</v>
      </c>
      <c r="H379" s="733">
        <f t="shared" si="135"/>
        <v>0</v>
      </c>
      <c r="I379" s="25">
        <f t="shared" si="136"/>
        <v>3187370.7645442341</v>
      </c>
      <c r="J379" s="733">
        <v>700</v>
      </c>
      <c r="K379" s="733">
        <f t="shared" ref="K379:K382" si="141">IF(J379&lt;&gt;"",I379/J379,"")</f>
        <v>4553.3868064917633</v>
      </c>
      <c r="L379" s="667"/>
      <c r="M379" s="667"/>
      <c r="N379" s="192" t="s">
        <v>765</v>
      </c>
      <c r="O379" s="746">
        <f t="shared" si="137"/>
        <v>41090</v>
      </c>
      <c r="P379" s="746">
        <v>41093</v>
      </c>
      <c r="Q379" s="747" t="s">
        <v>1005</v>
      </c>
      <c r="R379" s="304">
        <v>150</v>
      </c>
      <c r="S379" s="778">
        <v>11904</v>
      </c>
      <c r="T379" s="25">
        <f t="shared" si="138"/>
        <v>1785600</v>
      </c>
      <c r="U379" s="189" t="s">
        <v>370</v>
      </c>
      <c r="V379" s="748">
        <v>41099</v>
      </c>
      <c r="W379" s="778">
        <v>24</v>
      </c>
      <c r="X379" s="778">
        <v>42000</v>
      </c>
      <c r="Y379" s="25">
        <f t="shared" si="139"/>
        <v>1008000</v>
      </c>
    </row>
    <row r="380" spans="1:25">
      <c r="A380" s="732">
        <f t="shared" ref="A380:A443" si="142">IF(B380&lt;&gt;"",A379+1,"")</f>
        <v>3</v>
      </c>
      <c r="B380" s="297" t="s">
        <v>1096</v>
      </c>
      <c r="C380" s="25">
        <f t="shared" si="140"/>
        <v>2513060</v>
      </c>
      <c r="D380" s="733">
        <f t="shared" si="135"/>
        <v>429776.5375029291</v>
      </c>
      <c r="E380" s="733">
        <f t="shared" si="135"/>
        <v>129782.39567134611</v>
      </c>
      <c r="F380" s="733">
        <f t="shared" si="135"/>
        <v>247321.21935112795</v>
      </c>
      <c r="G380" s="733">
        <f t="shared" si="135"/>
        <v>194384.67929190723</v>
      </c>
      <c r="H380" s="733">
        <f t="shared" si="135"/>
        <v>0</v>
      </c>
      <c r="I380" s="25">
        <f t="shared" si="136"/>
        <v>3514324.8318173103</v>
      </c>
      <c r="J380" s="733">
        <v>500</v>
      </c>
      <c r="K380" s="733">
        <f t="shared" si="141"/>
        <v>7028.649663634621</v>
      </c>
      <c r="L380" s="667"/>
      <c r="M380" s="667"/>
      <c r="N380" s="192" t="s">
        <v>1244</v>
      </c>
      <c r="O380" s="746">
        <f t="shared" si="137"/>
        <v>41092</v>
      </c>
      <c r="P380" s="746">
        <v>41095</v>
      </c>
      <c r="Q380" s="747" t="s">
        <v>1006</v>
      </c>
      <c r="R380" s="304">
        <v>110</v>
      </c>
      <c r="S380" s="778">
        <v>22846</v>
      </c>
      <c r="T380" s="25">
        <f t="shared" ref="T380:T451" si="143">ROUND(R380*S380,0)</f>
        <v>2513060</v>
      </c>
      <c r="U380" s="799" t="s">
        <v>717</v>
      </c>
      <c r="V380" s="748">
        <v>42583</v>
      </c>
      <c r="W380" s="776">
        <v>34707</v>
      </c>
      <c r="X380" s="776">
        <v>250</v>
      </c>
      <c r="Y380" s="25">
        <f t="shared" si="139"/>
        <v>8676750</v>
      </c>
    </row>
    <row r="381" spans="1:25">
      <c r="A381" s="732">
        <f t="shared" si="142"/>
        <v>4</v>
      </c>
      <c r="B381" s="297" t="s">
        <v>1120</v>
      </c>
      <c r="C381" s="25">
        <f t="shared" si="140"/>
        <v>3844250</v>
      </c>
      <c r="D381" s="733">
        <f t="shared" si="135"/>
        <v>387658.43682764203</v>
      </c>
      <c r="E381" s="733">
        <f t="shared" si="135"/>
        <v>117063.72089555419</v>
      </c>
      <c r="F381" s="733">
        <f t="shared" si="135"/>
        <v>223083.73985471742</v>
      </c>
      <c r="G381" s="733">
        <f t="shared" si="135"/>
        <v>175334.98072130032</v>
      </c>
      <c r="H381" s="733">
        <f t="shared" si="135"/>
        <v>0</v>
      </c>
      <c r="I381" s="25">
        <f t="shared" si="136"/>
        <v>4747390.8782992139</v>
      </c>
      <c r="J381" s="733">
        <v>451</v>
      </c>
      <c r="K381" s="733">
        <f t="shared" si="141"/>
        <v>10526.365583812005</v>
      </c>
      <c r="L381" s="667"/>
      <c r="M381" s="667"/>
      <c r="N381" s="192" t="s">
        <v>1290</v>
      </c>
      <c r="O381" s="746">
        <f t="shared" si="137"/>
        <v>41092</v>
      </c>
      <c r="P381" s="746">
        <v>41095</v>
      </c>
      <c r="Q381" s="747" t="s">
        <v>1007</v>
      </c>
      <c r="R381" s="304">
        <v>250</v>
      </c>
      <c r="S381" s="778">
        <v>15377</v>
      </c>
      <c r="T381" s="25">
        <f t="shared" si="143"/>
        <v>3844250</v>
      </c>
      <c r="U381" s="189"/>
      <c r="V381" s="748">
        <v>42583</v>
      </c>
      <c r="W381" s="778"/>
      <c r="X381" s="778"/>
      <c r="Y381" s="25">
        <f t="shared" si="139"/>
        <v>0</v>
      </c>
    </row>
    <row r="382" spans="1:25">
      <c r="A382" s="732">
        <f t="shared" si="142"/>
        <v>5</v>
      </c>
      <c r="B382" s="297" t="s">
        <v>1008</v>
      </c>
      <c r="C382" s="25">
        <f t="shared" si="140"/>
        <v>2703600</v>
      </c>
      <c r="D382" s="733">
        <f t="shared" si="135"/>
        <v>534642.01265364385</v>
      </c>
      <c r="E382" s="733">
        <f t="shared" si="135"/>
        <v>161449.30021515457</v>
      </c>
      <c r="F382" s="733">
        <f t="shared" si="135"/>
        <v>307667.59687280317</v>
      </c>
      <c r="G382" s="733">
        <f t="shared" si="135"/>
        <v>241814.54103913257</v>
      </c>
      <c r="H382" s="733">
        <f t="shared" si="135"/>
        <v>0</v>
      </c>
      <c r="I382" s="25">
        <f t="shared" si="136"/>
        <v>3949173.450780734</v>
      </c>
      <c r="J382" s="733">
        <v>622</v>
      </c>
      <c r="K382" s="733">
        <f t="shared" si="141"/>
        <v>6349.153457846839</v>
      </c>
      <c r="L382" s="667"/>
      <c r="M382" s="667"/>
      <c r="N382" s="192" t="s">
        <v>1389</v>
      </c>
      <c r="O382" s="746">
        <f t="shared" si="137"/>
        <v>41092</v>
      </c>
      <c r="P382" s="746">
        <v>41095</v>
      </c>
      <c r="Q382" s="747" t="s">
        <v>1009</v>
      </c>
      <c r="R382" s="304">
        <v>360</v>
      </c>
      <c r="S382" s="778">
        <v>7510</v>
      </c>
      <c r="T382" s="25">
        <f t="shared" si="143"/>
        <v>2703600</v>
      </c>
      <c r="U382" s="450"/>
      <c r="V382" s="748"/>
      <c r="W382" s="778"/>
      <c r="X382" s="778"/>
      <c r="Y382" s="25">
        <f t="shared" si="139"/>
        <v>0</v>
      </c>
    </row>
    <row r="383" spans="1:25">
      <c r="A383" s="732">
        <f t="shared" si="142"/>
        <v>6</v>
      </c>
      <c r="B383" s="297" t="s">
        <v>1144</v>
      </c>
      <c r="C383" s="25">
        <f t="shared" si="140"/>
        <v>1543425</v>
      </c>
      <c r="D383" s="733">
        <f t="shared" si="135"/>
        <v>253568.15712672818</v>
      </c>
      <c r="E383" s="733">
        <f t="shared" si="135"/>
        <v>76571.613446094198</v>
      </c>
      <c r="F383" s="733">
        <f t="shared" si="135"/>
        <v>145919.51941716549</v>
      </c>
      <c r="G383" s="733">
        <f t="shared" si="135"/>
        <v>114686.96078222526</v>
      </c>
      <c r="H383" s="733">
        <f t="shared" si="135"/>
        <v>0</v>
      </c>
      <c r="I383" s="25">
        <f t="shared" si="136"/>
        <v>2134171.2507722131</v>
      </c>
      <c r="J383" s="733">
        <v>295</v>
      </c>
      <c r="K383" s="733">
        <f t="shared" ref="K383" si="144">IF(J383&lt;&gt;"",I383/J383,"")</f>
        <v>7234.4788161769939</v>
      </c>
      <c r="L383" s="667"/>
      <c r="M383" s="667"/>
      <c r="N383" s="192" t="s">
        <v>1307</v>
      </c>
      <c r="O383" s="746">
        <f t="shared" si="137"/>
        <v>41092</v>
      </c>
      <c r="P383" s="746">
        <v>41095</v>
      </c>
      <c r="Q383" s="747" t="s">
        <v>1009</v>
      </c>
      <c r="R383" s="304">
        <v>75</v>
      </c>
      <c r="S383" s="778">
        <v>20579</v>
      </c>
      <c r="T383" s="25">
        <f t="shared" si="143"/>
        <v>1543425</v>
      </c>
      <c r="U383" s="450"/>
      <c r="V383" s="748"/>
      <c r="W383" s="778"/>
      <c r="X383" s="778"/>
      <c r="Y383" s="25"/>
    </row>
    <row r="384" spans="1:25">
      <c r="A384" s="732">
        <f>IF(B384&lt;&gt;"",A383+1,"")</f>
        <v>7</v>
      </c>
      <c r="B384" s="297" t="s">
        <v>1143</v>
      </c>
      <c r="C384" s="25">
        <f t="shared" ref="C384:C430" si="145">T384</f>
        <v>497735</v>
      </c>
      <c r="D384" s="733">
        <f t="shared" si="135"/>
        <v>60168.715250410074</v>
      </c>
      <c r="E384" s="733">
        <f t="shared" si="135"/>
        <v>18169.535393988455</v>
      </c>
      <c r="F384" s="733">
        <f t="shared" si="135"/>
        <v>34624.970709157911</v>
      </c>
      <c r="G384" s="733">
        <f t="shared" si="135"/>
        <v>27213.855100867011</v>
      </c>
      <c r="H384" s="733">
        <f t="shared" si="135"/>
        <v>0</v>
      </c>
      <c r="I384" s="25">
        <f t="shared" ref="I384:I430" si="146">SUM(C384:H384)</f>
        <v>637912.07645442337</v>
      </c>
      <c r="J384" s="733">
        <v>70</v>
      </c>
      <c r="K384" s="733">
        <f t="shared" ref="K384:K430" si="147">IF(J384&lt;&gt;"",I384/J384,"")</f>
        <v>9113.0296636346193</v>
      </c>
      <c r="L384" s="667"/>
      <c r="M384" s="667"/>
      <c r="N384" s="192" t="s">
        <v>1311</v>
      </c>
      <c r="O384" s="746">
        <f t="shared" si="137"/>
        <v>41092</v>
      </c>
      <c r="P384" s="746">
        <v>41095</v>
      </c>
      <c r="Q384" s="747" t="s">
        <v>1009</v>
      </c>
      <c r="R384" s="304">
        <v>35</v>
      </c>
      <c r="S384" s="778">
        <v>14221</v>
      </c>
      <c r="T384" s="25">
        <f t="shared" ref="T384:T430" si="148">ROUND(R384*S384,0)</f>
        <v>497735</v>
      </c>
      <c r="U384" s="450"/>
      <c r="V384" s="748"/>
      <c r="W384" s="778"/>
      <c r="X384" s="778"/>
      <c r="Y384" s="25"/>
    </row>
    <row r="385" spans="1:25">
      <c r="A385" s="732">
        <f t="shared" si="142"/>
        <v>8</v>
      </c>
      <c r="B385" s="297" t="s">
        <v>1142</v>
      </c>
      <c r="C385" s="25">
        <f t="shared" si="145"/>
        <v>3354780</v>
      </c>
      <c r="D385" s="733">
        <f t="shared" si="135"/>
        <v>1040059.2207570884</v>
      </c>
      <c r="E385" s="733">
        <f t="shared" si="135"/>
        <v>314073.3975246576</v>
      </c>
      <c r="F385" s="733">
        <f t="shared" si="135"/>
        <v>598517.35082972969</v>
      </c>
      <c r="G385" s="733">
        <f t="shared" si="135"/>
        <v>470410.92388641549</v>
      </c>
      <c r="H385" s="733">
        <f t="shared" si="135"/>
        <v>0</v>
      </c>
      <c r="I385" s="25">
        <f t="shared" si="146"/>
        <v>5777840.8929978916</v>
      </c>
      <c r="J385" s="733">
        <v>1210</v>
      </c>
      <c r="K385" s="733">
        <f t="shared" si="147"/>
        <v>4775.0751181800761</v>
      </c>
      <c r="L385" s="667"/>
      <c r="M385" s="667"/>
      <c r="N385" s="192" t="s">
        <v>1425</v>
      </c>
      <c r="O385" s="746">
        <f t="shared" si="137"/>
        <v>41093</v>
      </c>
      <c r="P385" s="746">
        <v>41096</v>
      </c>
      <c r="Q385" s="747" t="s">
        <v>1010</v>
      </c>
      <c r="R385" s="304">
        <v>260</v>
      </c>
      <c r="S385" s="778">
        <v>12903</v>
      </c>
      <c r="T385" s="25">
        <f t="shared" si="148"/>
        <v>3354780</v>
      </c>
      <c r="U385" s="450"/>
      <c r="V385" s="748"/>
      <c r="W385" s="778"/>
      <c r="X385" s="778"/>
      <c r="Y385" s="25"/>
    </row>
    <row r="386" spans="1:25">
      <c r="A386" s="732">
        <f t="shared" si="142"/>
        <v>9</v>
      </c>
      <c r="B386" s="297" t="s">
        <v>1106</v>
      </c>
      <c r="C386" s="25">
        <f t="shared" si="145"/>
        <v>3464560</v>
      </c>
      <c r="D386" s="733">
        <f t="shared" si="135"/>
        <v>266461.45325181604</v>
      </c>
      <c r="E386" s="733">
        <f t="shared" si="135"/>
        <v>80465.085316234588</v>
      </c>
      <c r="F386" s="733">
        <f t="shared" si="135"/>
        <v>153339.15599769933</v>
      </c>
      <c r="G386" s="733">
        <f t="shared" si="135"/>
        <v>120518.50116098247</v>
      </c>
      <c r="H386" s="733">
        <f t="shared" si="135"/>
        <v>0</v>
      </c>
      <c r="I386" s="25">
        <f t="shared" si="146"/>
        <v>4085344.1957267323</v>
      </c>
      <c r="J386" s="733">
        <v>310</v>
      </c>
      <c r="K386" s="733">
        <f t="shared" si="147"/>
        <v>13178.529663634619</v>
      </c>
      <c r="L386" s="667"/>
      <c r="M386" s="667"/>
      <c r="N386" s="192" t="s">
        <v>1361</v>
      </c>
      <c r="O386" s="746">
        <f t="shared" si="137"/>
        <v>41093</v>
      </c>
      <c r="P386" s="746">
        <v>41096</v>
      </c>
      <c r="Q386" s="747" t="s">
        <v>1010</v>
      </c>
      <c r="R386" s="304">
        <v>310</v>
      </c>
      <c r="S386" s="778">
        <v>11176</v>
      </c>
      <c r="T386" s="25">
        <f t="shared" si="148"/>
        <v>3464560</v>
      </c>
      <c r="U386" s="450"/>
      <c r="V386" s="748"/>
      <c r="W386" s="778"/>
      <c r="X386" s="778"/>
      <c r="Y386" s="25"/>
    </row>
    <row r="387" spans="1:25">
      <c r="A387" s="732">
        <f t="shared" si="142"/>
        <v>10</v>
      </c>
      <c r="B387" s="297" t="s">
        <v>1141</v>
      </c>
      <c r="C387" s="25">
        <f t="shared" si="145"/>
        <v>796068</v>
      </c>
      <c r="D387" s="733">
        <f t="shared" si="135"/>
        <v>278495.19630189805</v>
      </c>
      <c r="E387" s="733">
        <f t="shared" si="135"/>
        <v>84098.992395032285</v>
      </c>
      <c r="F387" s="733">
        <f t="shared" si="135"/>
        <v>160264.15013953092</v>
      </c>
      <c r="G387" s="733">
        <f t="shared" si="135"/>
        <v>125961.27218115587</v>
      </c>
      <c r="H387" s="733">
        <f t="shared" si="135"/>
        <v>0</v>
      </c>
      <c r="I387" s="25">
        <f t="shared" si="146"/>
        <v>1444887.6110176169</v>
      </c>
      <c r="J387" s="733">
        <v>324</v>
      </c>
      <c r="K387" s="733">
        <f t="shared" si="147"/>
        <v>4459.5296636346202</v>
      </c>
      <c r="L387" s="667"/>
      <c r="M387" s="667"/>
      <c r="N387" s="192" t="s">
        <v>1376</v>
      </c>
      <c r="O387" s="746">
        <f t="shared" si="137"/>
        <v>41093</v>
      </c>
      <c r="P387" s="746">
        <v>41096</v>
      </c>
      <c r="Q387" s="747" t="s">
        <v>1010</v>
      </c>
      <c r="R387" s="304">
        <f>J387/4</f>
        <v>81</v>
      </c>
      <c r="S387" s="778">
        <v>9828</v>
      </c>
      <c r="T387" s="25">
        <f t="shared" si="148"/>
        <v>796068</v>
      </c>
      <c r="U387" s="450"/>
      <c r="V387" s="748"/>
      <c r="W387" s="778"/>
      <c r="X387" s="778"/>
      <c r="Y387" s="25"/>
    </row>
    <row r="388" spans="1:25">
      <c r="A388" s="732">
        <f t="shared" si="142"/>
        <v>11</v>
      </c>
      <c r="B388" s="297" t="s">
        <v>1140</v>
      </c>
      <c r="C388" s="25">
        <f t="shared" si="145"/>
        <v>3096720</v>
      </c>
      <c r="D388" s="733">
        <f t="shared" ref="D388:H397" si="149">IF($J$452&lt;&gt;0,D$452/$J$452*$J388,0)</f>
        <v>951525.25403148506</v>
      </c>
      <c r="E388" s="733">
        <f t="shared" si="149"/>
        <v>287338.2240163603</v>
      </c>
      <c r="F388" s="733">
        <f t="shared" si="149"/>
        <v>547569.17964339734</v>
      </c>
      <c r="G388" s="733">
        <f t="shared" si="149"/>
        <v>430367.67995228257</v>
      </c>
      <c r="H388" s="733">
        <f t="shared" si="149"/>
        <v>0</v>
      </c>
      <c r="I388" s="25">
        <f t="shared" si="146"/>
        <v>5313520.3376435246</v>
      </c>
      <c r="J388" s="733">
        <v>1107</v>
      </c>
      <c r="K388" s="733">
        <f t="shared" si="147"/>
        <v>4799.9280376183597</v>
      </c>
      <c r="L388" s="667"/>
      <c r="M388" s="667"/>
      <c r="N388" s="192" t="s">
        <v>1425</v>
      </c>
      <c r="O388" s="746">
        <f t="shared" si="137"/>
        <v>41093</v>
      </c>
      <c r="P388" s="746">
        <v>41096</v>
      </c>
      <c r="Q388" s="747" t="s">
        <v>1011</v>
      </c>
      <c r="R388" s="304">
        <v>240</v>
      </c>
      <c r="S388" s="778">
        <v>12903</v>
      </c>
      <c r="T388" s="25">
        <f t="shared" si="148"/>
        <v>3096720</v>
      </c>
      <c r="U388" s="450"/>
      <c r="V388" s="748"/>
      <c r="W388" s="778"/>
      <c r="X388" s="778"/>
      <c r="Y388" s="25"/>
    </row>
    <row r="389" spans="1:25">
      <c r="A389" s="732">
        <f t="shared" si="142"/>
        <v>12</v>
      </c>
      <c r="B389" s="297" t="s">
        <v>1139</v>
      </c>
      <c r="C389" s="25">
        <f t="shared" si="145"/>
        <v>3303770</v>
      </c>
      <c r="D389" s="733">
        <f t="shared" si="149"/>
        <v>869867.71190592845</v>
      </c>
      <c r="E389" s="733">
        <f t="shared" si="149"/>
        <v>262679.56883880455</v>
      </c>
      <c r="F389" s="733">
        <f t="shared" si="149"/>
        <v>500578.14796668297</v>
      </c>
      <c r="G389" s="733">
        <f t="shared" si="149"/>
        <v>393434.59088682022</v>
      </c>
      <c r="H389" s="733">
        <f t="shared" si="149"/>
        <v>0</v>
      </c>
      <c r="I389" s="25">
        <f t="shared" si="146"/>
        <v>5330330.0195982363</v>
      </c>
      <c r="J389" s="733">
        <v>1012</v>
      </c>
      <c r="K389" s="733">
        <f t="shared" si="147"/>
        <v>5267.1245252947001</v>
      </c>
      <c r="L389" s="667"/>
      <c r="M389" s="667"/>
      <c r="N389" s="192" t="s">
        <v>1409</v>
      </c>
      <c r="O389" s="746">
        <f t="shared" si="137"/>
        <v>41101</v>
      </c>
      <c r="P389" s="746">
        <v>41104</v>
      </c>
      <c r="Q389" s="747" t="s">
        <v>426</v>
      </c>
      <c r="R389" s="304">
        <v>670</v>
      </c>
      <c r="S389" s="778">
        <v>4931</v>
      </c>
      <c r="T389" s="25">
        <f t="shared" si="148"/>
        <v>3303770</v>
      </c>
      <c r="U389" s="450"/>
      <c r="V389" s="748"/>
      <c r="W389" s="778"/>
      <c r="X389" s="778"/>
      <c r="Y389" s="25"/>
    </row>
    <row r="390" spans="1:25">
      <c r="A390" s="732">
        <f t="shared" si="142"/>
        <v>13</v>
      </c>
      <c r="B390" s="297" t="s">
        <v>1122</v>
      </c>
      <c r="C390" s="25">
        <f t="shared" si="145"/>
        <v>4752384</v>
      </c>
      <c r="D390" s="733">
        <f t="shared" si="149"/>
        <v>116899.21820079672</v>
      </c>
      <c r="E390" s="733">
        <f t="shared" si="149"/>
        <v>35300.811622606139</v>
      </c>
      <c r="F390" s="733">
        <f t="shared" si="149"/>
        <v>67271.371663506798</v>
      </c>
      <c r="G390" s="733">
        <f t="shared" si="149"/>
        <v>52872.632767398762</v>
      </c>
      <c r="H390" s="733">
        <f t="shared" si="149"/>
        <v>0</v>
      </c>
      <c r="I390" s="25">
        <f t="shared" si="146"/>
        <v>5024728.0342543088</v>
      </c>
      <c r="J390" s="733">
        <v>136</v>
      </c>
      <c r="K390" s="733">
        <f t="shared" si="147"/>
        <v>36946.529663634625</v>
      </c>
      <c r="L390" s="667"/>
      <c r="M390" s="667"/>
      <c r="N390" s="192" t="s">
        <v>1321</v>
      </c>
      <c r="O390" s="746">
        <f t="shared" si="137"/>
        <v>41101</v>
      </c>
      <c r="P390" s="746">
        <v>41104</v>
      </c>
      <c r="Q390" s="747" t="s">
        <v>731</v>
      </c>
      <c r="R390" s="304">
        <f>J390</f>
        <v>136</v>
      </c>
      <c r="S390" s="778">
        <v>34944</v>
      </c>
      <c r="T390" s="25">
        <f t="shared" si="148"/>
        <v>4752384</v>
      </c>
      <c r="U390" s="450"/>
      <c r="V390" s="748"/>
      <c r="W390" s="778"/>
      <c r="X390" s="778"/>
      <c r="Y390" s="25"/>
    </row>
    <row r="391" spans="1:25">
      <c r="A391" s="732">
        <f t="shared" si="142"/>
        <v>14</v>
      </c>
      <c r="B391" s="297" t="s">
        <v>1121</v>
      </c>
      <c r="C391" s="25">
        <f t="shared" si="145"/>
        <v>1905300</v>
      </c>
      <c r="D391" s="733">
        <f t="shared" si="149"/>
        <v>40398.994525275339</v>
      </c>
      <c r="E391" s="733">
        <f t="shared" si="149"/>
        <v>12199.545193106534</v>
      </c>
      <c r="F391" s="733">
        <f t="shared" si="149"/>
        <v>23248.194619006026</v>
      </c>
      <c r="G391" s="733">
        <f t="shared" si="149"/>
        <v>18272.15985343928</v>
      </c>
      <c r="H391" s="733">
        <f t="shared" si="149"/>
        <v>0</v>
      </c>
      <c r="I391" s="25">
        <f t="shared" si="146"/>
        <v>1999418.8941908274</v>
      </c>
      <c r="J391" s="733">
        <v>47</v>
      </c>
      <c r="K391" s="733">
        <f t="shared" si="147"/>
        <v>42540.827535975048</v>
      </c>
      <c r="L391" s="667"/>
      <c r="M391" s="667"/>
      <c r="N391" s="192" t="s">
        <v>1297</v>
      </c>
      <c r="O391" s="746">
        <f t="shared" si="137"/>
        <v>41101</v>
      </c>
      <c r="P391" s="746">
        <v>41104</v>
      </c>
      <c r="Q391" s="747" t="s">
        <v>731</v>
      </c>
      <c r="R391" s="304">
        <v>50</v>
      </c>
      <c r="S391" s="778">
        <v>38106</v>
      </c>
      <c r="T391" s="25">
        <f t="shared" si="148"/>
        <v>1905300</v>
      </c>
      <c r="U391" s="450"/>
      <c r="V391" s="748"/>
      <c r="W391" s="778"/>
      <c r="X391" s="778"/>
      <c r="Y391" s="25"/>
    </row>
    <row r="392" spans="1:25">
      <c r="A392" s="732">
        <f t="shared" si="142"/>
        <v>15</v>
      </c>
      <c r="B392" s="297" t="s">
        <v>1012</v>
      </c>
      <c r="C392" s="25">
        <f t="shared" si="145"/>
        <v>1309836</v>
      </c>
      <c r="D392" s="733">
        <f t="shared" si="149"/>
        <v>293967.15165200352</v>
      </c>
      <c r="E392" s="733">
        <f t="shared" si="149"/>
        <v>88771.158639200745</v>
      </c>
      <c r="F392" s="733">
        <f t="shared" si="149"/>
        <v>169167.71403617153</v>
      </c>
      <c r="G392" s="733">
        <f t="shared" si="149"/>
        <v>132959.12063566453</v>
      </c>
      <c r="H392" s="733">
        <f t="shared" si="149"/>
        <v>0</v>
      </c>
      <c r="I392" s="25">
        <f t="shared" si="146"/>
        <v>1994701.1449630405</v>
      </c>
      <c r="J392" s="733">
        <v>342</v>
      </c>
      <c r="K392" s="733">
        <f t="shared" si="147"/>
        <v>5832.4594881960247</v>
      </c>
      <c r="L392" s="667"/>
      <c r="M392" s="667"/>
      <c r="N392" s="192" t="s">
        <v>1259</v>
      </c>
      <c r="O392" s="746">
        <f t="shared" si="137"/>
        <v>41101</v>
      </c>
      <c r="P392" s="746">
        <v>41104</v>
      </c>
      <c r="Q392" s="747" t="s">
        <v>1013</v>
      </c>
      <c r="R392" s="304">
        <v>66</v>
      </c>
      <c r="S392" s="778">
        <v>19846</v>
      </c>
      <c r="T392" s="25">
        <f t="shared" si="148"/>
        <v>1309836</v>
      </c>
      <c r="U392" s="450"/>
      <c r="V392" s="748"/>
      <c r="W392" s="778"/>
      <c r="X392" s="778"/>
      <c r="Y392" s="25"/>
    </row>
    <row r="393" spans="1:25">
      <c r="A393" s="732">
        <f t="shared" si="142"/>
        <v>16</v>
      </c>
      <c r="B393" s="297" t="s">
        <v>1202</v>
      </c>
      <c r="C393" s="25">
        <f t="shared" si="145"/>
        <v>753713</v>
      </c>
      <c r="D393" s="733">
        <f t="shared" si="149"/>
        <v>90253.072875615107</v>
      </c>
      <c r="E393" s="733">
        <f t="shared" si="149"/>
        <v>27254.303090982681</v>
      </c>
      <c r="F393" s="733">
        <f t="shared" si="149"/>
        <v>51937.45606373687</v>
      </c>
      <c r="G393" s="733">
        <f t="shared" si="149"/>
        <v>40820.782651300513</v>
      </c>
      <c r="H393" s="733">
        <f t="shared" si="149"/>
        <v>0</v>
      </c>
      <c r="I393" s="25">
        <f t="shared" si="146"/>
        <v>963978.61468163528</v>
      </c>
      <c r="J393" s="733">
        <v>105</v>
      </c>
      <c r="K393" s="733">
        <f t="shared" si="147"/>
        <v>9180.7487112536692</v>
      </c>
      <c r="L393" s="667"/>
      <c r="M393" s="667"/>
      <c r="N393" s="192" t="s">
        <v>1311</v>
      </c>
      <c r="O393" s="746">
        <f t="shared" si="137"/>
        <v>41101</v>
      </c>
      <c r="P393" s="746">
        <v>41104</v>
      </c>
      <c r="Q393" s="747" t="s">
        <v>1013</v>
      </c>
      <c r="R393" s="304">
        <v>53</v>
      </c>
      <c r="S393" s="778">
        <v>14221</v>
      </c>
      <c r="T393" s="25">
        <f t="shared" si="148"/>
        <v>753713</v>
      </c>
      <c r="U393" s="450"/>
      <c r="V393" s="748"/>
      <c r="W393" s="778"/>
      <c r="X393" s="778"/>
      <c r="Y393" s="25"/>
    </row>
    <row r="394" spans="1:25">
      <c r="A394" s="732">
        <f t="shared" si="142"/>
        <v>17</v>
      </c>
      <c r="B394" s="297" t="s">
        <v>1127</v>
      </c>
      <c r="C394" s="25">
        <f t="shared" si="145"/>
        <v>3693827</v>
      </c>
      <c r="D394" s="733">
        <f t="shared" si="149"/>
        <v>1106244.8075325396</v>
      </c>
      <c r="E394" s="733">
        <f t="shared" si="149"/>
        <v>334059.88645804487</v>
      </c>
      <c r="F394" s="733">
        <f t="shared" si="149"/>
        <v>636604.81860980333</v>
      </c>
      <c r="G394" s="733">
        <f t="shared" si="149"/>
        <v>500346.1644973692</v>
      </c>
      <c r="H394" s="733">
        <f t="shared" si="149"/>
        <v>0</v>
      </c>
      <c r="I394" s="25">
        <f t="shared" si="146"/>
        <v>6271082.6770977564</v>
      </c>
      <c r="J394" s="733">
        <v>1287</v>
      </c>
      <c r="K394" s="733">
        <f t="shared" si="147"/>
        <v>4872.6361127410692</v>
      </c>
      <c r="L394" s="667"/>
      <c r="M394" s="667"/>
      <c r="N394" s="189" t="s">
        <v>1348</v>
      </c>
      <c r="O394" s="746">
        <f t="shared" si="137"/>
        <v>41102</v>
      </c>
      <c r="P394" s="746">
        <v>41105</v>
      </c>
      <c r="Q394" s="747" t="s">
        <v>429</v>
      </c>
      <c r="R394" s="304">
        <v>193</v>
      </c>
      <c r="S394" s="778">
        <v>19139</v>
      </c>
      <c r="T394" s="25">
        <f t="shared" si="148"/>
        <v>3693827</v>
      </c>
      <c r="U394" s="450"/>
      <c r="V394" s="748"/>
      <c r="W394" s="778"/>
      <c r="X394" s="778"/>
      <c r="Y394" s="25"/>
    </row>
    <row r="395" spans="1:25">
      <c r="A395" s="732">
        <f t="shared" si="142"/>
        <v>18</v>
      </c>
      <c r="B395" s="297" t="s">
        <v>1138</v>
      </c>
      <c r="C395" s="25">
        <f t="shared" si="145"/>
        <v>4835195</v>
      </c>
      <c r="D395" s="733">
        <f t="shared" si="149"/>
        <v>1009974.8631318834</v>
      </c>
      <c r="E395" s="733">
        <f t="shared" si="149"/>
        <v>304988.62982766336</v>
      </c>
      <c r="F395" s="733">
        <f t="shared" si="149"/>
        <v>581204.86547515064</v>
      </c>
      <c r="G395" s="733">
        <f t="shared" si="149"/>
        <v>456803.99633598194</v>
      </c>
      <c r="H395" s="733">
        <f t="shared" si="149"/>
        <v>0</v>
      </c>
      <c r="I395" s="25">
        <f t="shared" si="146"/>
        <v>7188167.35477068</v>
      </c>
      <c r="J395" s="733">
        <v>1175</v>
      </c>
      <c r="K395" s="733">
        <f t="shared" si="147"/>
        <v>6117.5892381027061</v>
      </c>
      <c r="L395" s="667"/>
      <c r="M395" s="667"/>
      <c r="N395" s="192" t="s">
        <v>1385</v>
      </c>
      <c r="O395" s="746">
        <f t="shared" si="137"/>
        <v>41102</v>
      </c>
      <c r="P395" s="746">
        <v>41105</v>
      </c>
      <c r="Q395" s="747" t="s">
        <v>429</v>
      </c>
      <c r="R395" s="304">
        <v>395</v>
      </c>
      <c r="S395" s="778">
        <v>12241</v>
      </c>
      <c r="T395" s="25">
        <f t="shared" si="148"/>
        <v>4835195</v>
      </c>
      <c r="U395" s="450"/>
      <c r="V395" s="748"/>
      <c r="W395" s="778"/>
      <c r="X395" s="778"/>
      <c r="Y395" s="25"/>
    </row>
    <row r="396" spans="1:25">
      <c r="A396" s="732">
        <f t="shared" si="142"/>
        <v>19</v>
      </c>
      <c r="B396" s="297" t="s">
        <v>1128</v>
      </c>
      <c r="C396" s="25">
        <f t="shared" si="145"/>
        <v>2774570</v>
      </c>
      <c r="D396" s="733">
        <f t="shared" si="149"/>
        <v>856114.86270583479</v>
      </c>
      <c r="E396" s="733">
        <f t="shared" si="149"/>
        <v>258526.53217732144</v>
      </c>
      <c r="F396" s="733">
        <f t="shared" si="149"/>
        <v>492663.86894744687</v>
      </c>
      <c r="G396" s="733">
        <f t="shared" si="149"/>
        <v>387214.28114947915</v>
      </c>
      <c r="H396" s="733">
        <f t="shared" si="149"/>
        <v>0</v>
      </c>
      <c r="I396" s="25">
        <f t="shared" si="146"/>
        <v>4769089.5449800827</v>
      </c>
      <c r="J396" s="733">
        <v>996</v>
      </c>
      <c r="K396" s="733">
        <f t="shared" si="147"/>
        <v>4788.2425150402432</v>
      </c>
      <c r="L396" s="667"/>
      <c r="M396" s="667"/>
      <c r="N396" s="192" t="s">
        <v>1375</v>
      </c>
      <c r="O396" s="746">
        <f t="shared" si="137"/>
        <v>41102</v>
      </c>
      <c r="P396" s="746">
        <v>41105</v>
      </c>
      <c r="Q396" s="747" t="s">
        <v>429</v>
      </c>
      <c r="R396" s="304">
        <v>170</v>
      </c>
      <c r="S396" s="778">
        <v>16321</v>
      </c>
      <c r="T396" s="25">
        <f t="shared" si="148"/>
        <v>2774570</v>
      </c>
      <c r="U396" s="450"/>
      <c r="V396" s="748"/>
      <c r="W396" s="778"/>
      <c r="X396" s="778"/>
      <c r="Y396" s="25"/>
    </row>
    <row r="397" spans="1:25">
      <c r="A397" s="732">
        <f t="shared" si="142"/>
        <v>20</v>
      </c>
      <c r="B397" s="297" t="s">
        <v>1137</v>
      </c>
      <c r="C397" s="25">
        <f t="shared" si="145"/>
        <v>4261200</v>
      </c>
      <c r="D397" s="733">
        <f t="shared" si="149"/>
        <v>864710.39345589338</v>
      </c>
      <c r="E397" s="733">
        <f t="shared" si="149"/>
        <v>261122.18009074838</v>
      </c>
      <c r="F397" s="733">
        <f t="shared" si="149"/>
        <v>497610.29333446943</v>
      </c>
      <c r="G397" s="733">
        <f t="shared" si="149"/>
        <v>391101.97473531734</v>
      </c>
      <c r="H397" s="733">
        <f t="shared" si="149"/>
        <v>0</v>
      </c>
      <c r="I397" s="25">
        <f t="shared" si="146"/>
        <v>6275744.8416164294</v>
      </c>
      <c r="J397" s="733">
        <v>1006</v>
      </c>
      <c r="K397" s="733">
        <f t="shared" si="147"/>
        <v>6238.3149519049994</v>
      </c>
      <c r="L397" s="667"/>
      <c r="M397" s="667"/>
      <c r="N397" s="192" t="s">
        <v>1407</v>
      </c>
      <c r="O397" s="746">
        <f t="shared" si="137"/>
        <v>41102</v>
      </c>
      <c r="P397" s="746">
        <v>41105</v>
      </c>
      <c r="Q397" s="747" t="s">
        <v>429</v>
      </c>
      <c r="R397" s="304">
        <v>400</v>
      </c>
      <c r="S397" s="778">
        <v>10653</v>
      </c>
      <c r="T397" s="25">
        <f t="shared" si="148"/>
        <v>4261200</v>
      </c>
      <c r="U397" s="450"/>
      <c r="V397" s="748"/>
      <c r="W397" s="778"/>
      <c r="X397" s="778"/>
      <c r="Y397" s="25"/>
    </row>
    <row r="398" spans="1:25">
      <c r="A398" s="732">
        <f t="shared" si="142"/>
        <v>21</v>
      </c>
      <c r="B398" s="297" t="s">
        <v>1136</v>
      </c>
      <c r="C398" s="25">
        <f t="shared" si="145"/>
        <v>3578993</v>
      </c>
      <c r="D398" s="733">
        <f t="shared" ref="D398:H407" si="150">IF($J$452&lt;&gt;0,D$452/$J$452*$J398,0)</f>
        <v>1108823.4667575571</v>
      </c>
      <c r="E398" s="733">
        <f t="shared" si="150"/>
        <v>334838.58083207294</v>
      </c>
      <c r="F398" s="733">
        <f t="shared" si="150"/>
        <v>638088.74592591007</v>
      </c>
      <c r="G398" s="733">
        <f t="shared" si="150"/>
        <v>501512.47257312061</v>
      </c>
      <c r="H398" s="733">
        <f t="shared" si="150"/>
        <v>0</v>
      </c>
      <c r="I398" s="25">
        <f t="shared" si="146"/>
        <v>6162256.2660886608</v>
      </c>
      <c r="J398" s="733">
        <v>1290</v>
      </c>
      <c r="K398" s="733">
        <f t="shared" si="147"/>
        <v>4776.9428419291944</v>
      </c>
      <c r="L398" s="667"/>
      <c r="M398" s="667"/>
      <c r="N398" s="189" t="s">
        <v>1348</v>
      </c>
      <c r="O398" s="746">
        <f t="shared" si="137"/>
        <v>41102</v>
      </c>
      <c r="P398" s="746">
        <v>41105</v>
      </c>
      <c r="Q398" s="747" t="s">
        <v>429</v>
      </c>
      <c r="R398" s="304">
        <v>187</v>
      </c>
      <c r="S398" s="778">
        <v>19139</v>
      </c>
      <c r="T398" s="25">
        <f t="shared" si="148"/>
        <v>3578993</v>
      </c>
      <c r="U398" s="450"/>
      <c r="V398" s="748"/>
      <c r="W398" s="778"/>
      <c r="X398" s="778"/>
      <c r="Y398" s="25"/>
    </row>
    <row r="399" spans="1:25">
      <c r="A399" s="732">
        <f t="shared" si="142"/>
        <v>22</v>
      </c>
      <c r="B399" s="297" t="s">
        <v>1135</v>
      </c>
      <c r="C399" s="25">
        <f t="shared" si="145"/>
        <v>3292640</v>
      </c>
      <c r="D399" s="733">
        <f t="shared" si="150"/>
        <v>528625.14112860279</v>
      </c>
      <c r="E399" s="733">
        <f t="shared" si="150"/>
        <v>159632.34667575572</v>
      </c>
      <c r="F399" s="733">
        <f t="shared" si="150"/>
        <v>304205.09980188735</v>
      </c>
      <c r="G399" s="733">
        <f t="shared" si="150"/>
        <v>239093.15552904588</v>
      </c>
      <c r="H399" s="733">
        <f t="shared" si="150"/>
        <v>0</v>
      </c>
      <c r="I399" s="25">
        <f t="shared" si="146"/>
        <v>4524195.7431352921</v>
      </c>
      <c r="J399" s="733">
        <v>615</v>
      </c>
      <c r="K399" s="733">
        <f t="shared" si="147"/>
        <v>7356.4158424964098</v>
      </c>
      <c r="L399" s="667"/>
      <c r="M399" s="667"/>
      <c r="N399" s="192" t="s">
        <v>1307</v>
      </c>
      <c r="O399" s="746">
        <f t="shared" si="137"/>
        <v>41114</v>
      </c>
      <c r="P399" s="746">
        <v>41117</v>
      </c>
      <c r="Q399" s="747" t="s">
        <v>1014</v>
      </c>
      <c r="R399" s="304">
        <v>160</v>
      </c>
      <c r="S399" s="778">
        <v>20579</v>
      </c>
      <c r="T399" s="25">
        <f t="shared" si="148"/>
        <v>3292640</v>
      </c>
      <c r="U399" s="450"/>
      <c r="V399" s="748"/>
      <c r="W399" s="778"/>
      <c r="X399" s="778"/>
      <c r="Y399" s="25"/>
    </row>
    <row r="400" spans="1:25">
      <c r="A400" s="732">
        <f t="shared" si="142"/>
        <v>23</v>
      </c>
      <c r="B400" s="297" t="s">
        <v>1107</v>
      </c>
      <c r="C400" s="25">
        <f t="shared" si="145"/>
        <v>1951300</v>
      </c>
      <c r="D400" s="733">
        <f t="shared" si="150"/>
        <v>171910.61500117165</v>
      </c>
      <c r="E400" s="733">
        <f t="shared" si="150"/>
        <v>51912.958268538445</v>
      </c>
      <c r="F400" s="733">
        <f t="shared" si="150"/>
        <v>98928.487740451179</v>
      </c>
      <c r="G400" s="733">
        <f t="shared" si="150"/>
        <v>77753.871716762893</v>
      </c>
      <c r="H400" s="733">
        <f t="shared" si="150"/>
        <v>0</v>
      </c>
      <c r="I400" s="25">
        <f t="shared" si="146"/>
        <v>2351805.9327269243</v>
      </c>
      <c r="J400" s="733">
        <v>200</v>
      </c>
      <c r="K400" s="733">
        <f t="shared" si="147"/>
        <v>11759.029663634621</v>
      </c>
      <c r="L400" s="667"/>
      <c r="M400" s="667"/>
      <c r="N400" s="192" t="s">
        <v>1243</v>
      </c>
      <c r="O400" s="746">
        <f t="shared" si="137"/>
        <v>41114</v>
      </c>
      <c r="P400" s="746">
        <v>41117</v>
      </c>
      <c r="Q400" s="747" t="s">
        <v>1014</v>
      </c>
      <c r="R400" s="304">
        <v>100</v>
      </c>
      <c r="S400" s="778">
        <v>19513</v>
      </c>
      <c r="T400" s="25">
        <f t="shared" si="148"/>
        <v>1951300</v>
      </c>
      <c r="U400" s="450"/>
      <c r="V400" s="748"/>
      <c r="W400" s="778"/>
      <c r="X400" s="778"/>
      <c r="Y400" s="25"/>
    </row>
    <row r="401" spans="1:25">
      <c r="A401" s="732">
        <f t="shared" si="142"/>
        <v>24</v>
      </c>
      <c r="B401" s="297" t="s">
        <v>1133</v>
      </c>
      <c r="C401" s="25">
        <f t="shared" si="145"/>
        <v>3526380</v>
      </c>
      <c r="D401" s="733">
        <f t="shared" si="150"/>
        <v>171910.61500117165</v>
      </c>
      <c r="E401" s="733">
        <f t="shared" si="150"/>
        <v>51912.958268538445</v>
      </c>
      <c r="F401" s="733">
        <f t="shared" si="150"/>
        <v>98928.487740451179</v>
      </c>
      <c r="G401" s="733">
        <f t="shared" si="150"/>
        <v>77753.871716762893</v>
      </c>
      <c r="H401" s="733">
        <f t="shared" si="150"/>
        <v>0</v>
      </c>
      <c r="I401" s="25">
        <f t="shared" si="146"/>
        <v>3926885.9327269243</v>
      </c>
      <c r="J401" s="733">
        <v>200</v>
      </c>
      <c r="K401" s="733">
        <f t="shared" si="147"/>
        <v>19634.429663634623</v>
      </c>
      <c r="L401" s="667"/>
      <c r="M401" s="667"/>
      <c r="N401" s="192" t="s">
        <v>1310</v>
      </c>
      <c r="O401" s="746">
        <f t="shared" si="137"/>
        <v>41114</v>
      </c>
      <c r="P401" s="746">
        <v>41117</v>
      </c>
      <c r="Q401" s="747" t="s">
        <v>1015</v>
      </c>
      <c r="R401" s="304">
        <v>220</v>
      </c>
      <c r="S401" s="778">
        <v>16029</v>
      </c>
      <c r="T401" s="25">
        <f t="shared" si="148"/>
        <v>3526380</v>
      </c>
      <c r="U401" s="450"/>
      <c r="V401" s="748"/>
      <c r="W401" s="778"/>
      <c r="X401" s="778"/>
      <c r="Y401" s="25"/>
    </row>
    <row r="402" spans="1:25">
      <c r="A402" s="732">
        <f t="shared" si="142"/>
        <v>25</v>
      </c>
      <c r="B402" s="297" t="s">
        <v>1134</v>
      </c>
      <c r="C402" s="25">
        <f t="shared" si="145"/>
        <v>478475</v>
      </c>
      <c r="D402" s="733">
        <f t="shared" si="150"/>
        <v>171910.61500117165</v>
      </c>
      <c r="E402" s="733">
        <f t="shared" si="150"/>
        <v>51912.958268538445</v>
      </c>
      <c r="F402" s="733">
        <f t="shared" si="150"/>
        <v>98928.487740451179</v>
      </c>
      <c r="G402" s="733">
        <f t="shared" si="150"/>
        <v>77753.871716762893</v>
      </c>
      <c r="H402" s="733">
        <f t="shared" si="150"/>
        <v>0</v>
      </c>
      <c r="I402" s="25">
        <f t="shared" si="146"/>
        <v>878980.93272692407</v>
      </c>
      <c r="J402" s="733">
        <v>200</v>
      </c>
      <c r="K402" s="733">
        <f t="shared" si="147"/>
        <v>4394.9046636346202</v>
      </c>
      <c r="L402" s="667"/>
      <c r="M402" s="667"/>
      <c r="N402" s="189" t="s">
        <v>1348</v>
      </c>
      <c r="O402" s="746">
        <f t="shared" si="137"/>
        <v>41114</v>
      </c>
      <c r="P402" s="746">
        <v>41117</v>
      </c>
      <c r="Q402" s="747" t="s">
        <v>1015</v>
      </c>
      <c r="R402" s="304">
        <f>J402/8</f>
        <v>25</v>
      </c>
      <c r="S402" s="778">
        <v>19139</v>
      </c>
      <c r="T402" s="25">
        <f t="shared" si="148"/>
        <v>478475</v>
      </c>
      <c r="U402" s="450"/>
      <c r="V402" s="748"/>
      <c r="W402" s="778"/>
      <c r="X402" s="778"/>
      <c r="Y402" s="25"/>
    </row>
    <row r="403" spans="1:25">
      <c r="A403" s="732">
        <f t="shared" si="142"/>
        <v>26</v>
      </c>
      <c r="B403" s="297" t="s">
        <v>1132</v>
      </c>
      <c r="C403" s="25">
        <f t="shared" si="145"/>
        <v>3746568</v>
      </c>
      <c r="D403" s="733">
        <f t="shared" si="150"/>
        <v>433214.74980295252</v>
      </c>
      <c r="E403" s="733">
        <f t="shared" si="150"/>
        <v>130820.65483671687</v>
      </c>
      <c r="F403" s="733">
        <f t="shared" si="150"/>
        <v>249299.78910593697</v>
      </c>
      <c r="G403" s="733">
        <f t="shared" si="150"/>
        <v>195939.75672624249</v>
      </c>
      <c r="H403" s="733">
        <f t="shared" si="150"/>
        <v>0</v>
      </c>
      <c r="I403" s="25">
        <f t="shared" si="146"/>
        <v>4755842.9504718492</v>
      </c>
      <c r="J403" s="733">
        <v>504</v>
      </c>
      <c r="K403" s="733">
        <f t="shared" si="147"/>
        <v>9436.1963303012872</v>
      </c>
      <c r="L403" s="667"/>
      <c r="M403" s="667"/>
      <c r="N403" s="192" t="s">
        <v>1284</v>
      </c>
      <c r="O403" s="746">
        <f t="shared" si="137"/>
        <v>41114</v>
      </c>
      <c r="P403" s="746">
        <v>41117</v>
      </c>
      <c r="Q403" s="747" t="s">
        <v>430</v>
      </c>
      <c r="R403" s="304">
        <f>J403/3</f>
        <v>168</v>
      </c>
      <c r="S403" s="778">
        <v>22301</v>
      </c>
      <c r="T403" s="25">
        <f t="shared" si="148"/>
        <v>3746568</v>
      </c>
      <c r="U403" s="450"/>
      <c r="V403" s="748"/>
      <c r="W403" s="778"/>
      <c r="X403" s="778"/>
      <c r="Y403" s="25"/>
    </row>
    <row r="404" spans="1:25">
      <c r="A404" s="732">
        <f t="shared" si="142"/>
        <v>27</v>
      </c>
      <c r="B404" s="297" t="s">
        <v>526</v>
      </c>
      <c r="C404" s="25">
        <f t="shared" si="145"/>
        <v>219414</v>
      </c>
      <c r="D404" s="733">
        <f t="shared" si="150"/>
        <v>429776.5375029291</v>
      </c>
      <c r="E404" s="733">
        <f t="shared" si="150"/>
        <v>129782.39567134611</v>
      </c>
      <c r="F404" s="733">
        <f t="shared" si="150"/>
        <v>247321.21935112795</v>
      </c>
      <c r="G404" s="733">
        <f t="shared" si="150"/>
        <v>194384.67929190723</v>
      </c>
      <c r="H404" s="733">
        <f t="shared" si="150"/>
        <v>0</v>
      </c>
      <c r="I404" s="25">
        <f t="shared" si="146"/>
        <v>1220678.8318173103</v>
      </c>
      <c r="J404" s="733">
        <v>500</v>
      </c>
      <c r="K404" s="733">
        <f t="shared" si="147"/>
        <v>2441.3576636346206</v>
      </c>
      <c r="L404" s="667"/>
      <c r="M404" s="667"/>
      <c r="N404" s="192" t="s">
        <v>1253</v>
      </c>
      <c r="O404" s="746">
        <f t="shared" si="137"/>
        <v>41115</v>
      </c>
      <c r="P404" s="746">
        <v>41118</v>
      </c>
      <c r="Q404" s="747" t="s">
        <v>1016</v>
      </c>
      <c r="R404" s="304">
        <v>13</v>
      </c>
      <c r="S404" s="778">
        <v>16878</v>
      </c>
      <c r="T404" s="25">
        <f t="shared" si="148"/>
        <v>219414</v>
      </c>
      <c r="U404" s="450"/>
      <c r="V404" s="748"/>
      <c r="W404" s="778"/>
      <c r="X404" s="778"/>
      <c r="Y404" s="25"/>
    </row>
    <row r="405" spans="1:25">
      <c r="A405" s="732">
        <f t="shared" si="142"/>
        <v>28</v>
      </c>
      <c r="B405" s="297" t="s">
        <v>1474</v>
      </c>
      <c r="C405" s="25">
        <f t="shared" si="145"/>
        <v>393120</v>
      </c>
      <c r="D405" s="733">
        <f t="shared" si="150"/>
        <v>104005.92207570885</v>
      </c>
      <c r="E405" s="733">
        <f t="shared" si="150"/>
        <v>31407.339752465759</v>
      </c>
      <c r="F405" s="733">
        <f t="shared" si="150"/>
        <v>59851.735082972962</v>
      </c>
      <c r="G405" s="733">
        <f t="shared" si="150"/>
        <v>47041.092388641548</v>
      </c>
      <c r="H405" s="733">
        <f t="shared" si="150"/>
        <v>0</v>
      </c>
      <c r="I405" s="25">
        <f t="shared" si="146"/>
        <v>635426.08929978905</v>
      </c>
      <c r="J405" s="733">
        <v>121</v>
      </c>
      <c r="K405" s="733">
        <f t="shared" si="147"/>
        <v>5251.4552834693313</v>
      </c>
      <c r="L405" s="667"/>
      <c r="M405" s="667"/>
      <c r="N405" s="192" t="s">
        <v>1376</v>
      </c>
      <c r="O405" s="746">
        <f t="shared" si="137"/>
        <v>41115</v>
      </c>
      <c r="P405" s="746">
        <v>41118</v>
      </c>
      <c r="Q405" s="747" t="s">
        <v>1018</v>
      </c>
      <c r="R405" s="304">
        <v>40</v>
      </c>
      <c r="S405" s="778">
        <v>9828</v>
      </c>
      <c r="T405" s="25">
        <f t="shared" si="148"/>
        <v>393120</v>
      </c>
      <c r="U405" s="450"/>
      <c r="V405" s="748"/>
      <c r="W405" s="778"/>
      <c r="X405" s="778"/>
      <c r="Y405" s="25"/>
    </row>
    <row r="406" spans="1:25">
      <c r="A406" s="732">
        <f t="shared" si="142"/>
        <v>29</v>
      </c>
      <c r="B406" s="297" t="s">
        <v>1508</v>
      </c>
      <c r="C406" s="25">
        <f t="shared" si="145"/>
        <v>675900</v>
      </c>
      <c r="D406" s="733">
        <f t="shared" si="150"/>
        <v>130652.06740089045</v>
      </c>
      <c r="E406" s="733">
        <f t="shared" si="150"/>
        <v>39453.848284089217</v>
      </c>
      <c r="F406" s="733">
        <f t="shared" si="150"/>
        <v>75185.650682742897</v>
      </c>
      <c r="G406" s="733">
        <f t="shared" si="150"/>
        <v>59092.942504739796</v>
      </c>
      <c r="H406" s="733">
        <f t="shared" si="150"/>
        <v>0</v>
      </c>
      <c r="I406" s="25">
        <f t="shared" si="146"/>
        <v>980284.50887246244</v>
      </c>
      <c r="J406" s="733">
        <v>152</v>
      </c>
      <c r="K406" s="733">
        <f t="shared" si="147"/>
        <v>6449.2401899504111</v>
      </c>
      <c r="L406" s="667"/>
      <c r="M406" s="667"/>
      <c r="N406" s="192" t="s">
        <v>1389</v>
      </c>
      <c r="O406" s="746">
        <f t="shared" si="137"/>
        <v>41115</v>
      </c>
      <c r="P406" s="746">
        <v>41118</v>
      </c>
      <c r="Q406" s="747" t="s">
        <v>1018</v>
      </c>
      <c r="R406" s="304">
        <v>90</v>
      </c>
      <c r="S406" s="778">
        <v>7510</v>
      </c>
      <c r="T406" s="25">
        <f t="shared" si="148"/>
        <v>675900</v>
      </c>
      <c r="U406" s="450"/>
      <c r="V406" s="748"/>
      <c r="W406" s="778"/>
      <c r="X406" s="778"/>
      <c r="Y406" s="25"/>
    </row>
    <row r="407" spans="1:25">
      <c r="A407" s="732">
        <f t="shared" si="142"/>
        <v>30</v>
      </c>
      <c r="B407" s="297" t="s">
        <v>1472</v>
      </c>
      <c r="C407" s="25">
        <f t="shared" si="145"/>
        <v>395640</v>
      </c>
      <c r="D407" s="733">
        <f t="shared" si="150"/>
        <v>63606.927550433509</v>
      </c>
      <c r="E407" s="733">
        <f t="shared" si="150"/>
        <v>19207.794559359223</v>
      </c>
      <c r="F407" s="733">
        <f t="shared" si="150"/>
        <v>36603.540463966936</v>
      </c>
      <c r="G407" s="733">
        <f t="shared" si="150"/>
        <v>28768.932535202268</v>
      </c>
      <c r="H407" s="733">
        <f t="shared" si="150"/>
        <v>0</v>
      </c>
      <c r="I407" s="25">
        <f t="shared" si="146"/>
        <v>543827.1951089619</v>
      </c>
      <c r="J407" s="733">
        <v>74</v>
      </c>
      <c r="K407" s="733">
        <f t="shared" si="147"/>
        <v>7349.0161501211069</v>
      </c>
      <c r="L407" s="667"/>
      <c r="M407" s="667"/>
      <c r="N407" s="192" t="s">
        <v>1417</v>
      </c>
      <c r="O407" s="746">
        <f t="shared" si="137"/>
        <v>41115</v>
      </c>
      <c r="P407" s="746">
        <v>41118</v>
      </c>
      <c r="Q407" s="747" t="s">
        <v>1018</v>
      </c>
      <c r="R407" s="304">
        <v>40</v>
      </c>
      <c r="S407" s="778">
        <v>9891</v>
      </c>
      <c r="T407" s="25">
        <f t="shared" si="148"/>
        <v>395640</v>
      </c>
      <c r="U407" s="450"/>
      <c r="V407" s="748"/>
      <c r="W407" s="778"/>
      <c r="X407" s="778"/>
      <c r="Y407" s="25"/>
    </row>
    <row r="408" spans="1:25">
      <c r="A408" s="732">
        <f t="shared" si="142"/>
        <v>31</v>
      </c>
      <c r="B408" s="297" t="s">
        <v>1476</v>
      </c>
      <c r="C408" s="25">
        <f t="shared" si="145"/>
        <v>726180</v>
      </c>
      <c r="D408" s="733">
        <f t="shared" ref="D408:H417" si="151">IF($J$452&lt;&gt;0,D$452/$J$452*$J408,0)</f>
        <v>107444.13437573228</v>
      </c>
      <c r="E408" s="733">
        <f t="shared" si="151"/>
        <v>32445.598917836527</v>
      </c>
      <c r="F408" s="733">
        <f t="shared" si="151"/>
        <v>61830.304837781987</v>
      </c>
      <c r="G408" s="733">
        <f t="shared" si="151"/>
        <v>48596.169822976808</v>
      </c>
      <c r="H408" s="733">
        <f t="shared" si="151"/>
        <v>0</v>
      </c>
      <c r="I408" s="25">
        <f t="shared" si="146"/>
        <v>976496.20795432758</v>
      </c>
      <c r="J408" s="733">
        <v>125</v>
      </c>
      <c r="K408" s="733">
        <f t="shared" si="147"/>
        <v>7811.9696636346207</v>
      </c>
      <c r="L408" s="667"/>
      <c r="M408" s="667"/>
      <c r="N408" s="192" t="s">
        <v>1423</v>
      </c>
      <c r="O408" s="746">
        <f t="shared" si="137"/>
        <v>41115</v>
      </c>
      <c r="P408" s="746">
        <v>41118</v>
      </c>
      <c r="Q408" s="747" t="s">
        <v>1018</v>
      </c>
      <c r="R408" s="304">
        <v>70</v>
      </c>
      <c r="S408" s="293">
        <v>10374</v>
      </c>
      <c r="T408" s="25">
        <f t="shared" si="148"/>
        <v>726180</v>
      </c>
      <c r="U408" s="450"/>
      <c r="V408" s="748"/>
      <c r="W408" s="778"/>
      <c r="X408" s="778"/>
      <c r="Y408" s="25"/>
    </row>
    <row r="409" spans="1:25">
      <c r="A409" s="732">
        <f t="shared" si="142"/>
        <v>32</v>
      </c>
      <c r="B409" s="297" t="s">
        <v>1509</v>
      </c>
      <c r="C409" s="25">
        <f t="shared" si="145"/>
        <v>284420</v>
      </c>
      <c r="D409" s="733">
        <f t="shared" si="151"/>
        <v>34382.123000234329</v>
      </c>
      <c r="E409" s="733">
        <f t="shared" si="151"/>
        <v>10382.591653707688</v>
      </c>
      <c r="F409" s="733">
        <f t="shared" si="151"/>
        <v>19785.697548090237</v>
      </c>
      <c r="G409" s="733">
        <f t="shared" si="151"/>
        <v>15550.774343352577</v>
      </c>
      <c r="H409" s="733">
        <f t="shared" si="151"/>
        <v>0</v>
      </c>
      <c r="I409" s="25">
        <f t="shared" si="146"/>
        <v>364521.18654538481</v>
      </c>
      <c r="J409" s="733">
        <v>40</v>
      </c>
      <c r="K409" s="733">
        <f t="shared" si="147"/>
        <v>9113.0296636346211</v>
      </c>
      <c r="L409" s="667"/>
      <c r="M409" s="667"/>
      <c r="N409" s="192" t="s">
        <v>1311</v>
      </c>
      <c r="O409" s="746">
        <f t="shared" si="137"/>
        <v>41115</v>
      </c>
      <c r="P409" s="746">
        <v>41118</v>
      </c>
      <c r="Q409" s="747" t="s">
        <v>1018</v>
      </c>
      <c r="R409" s="304">
        <v>20</v>
      </c>
      <c r="S409" s="778">
        <v>14221</v>
      </c>
      <c r="T409" s="25">
        <f t="shared" si="148"/>
        <v>284420</v>
      </c>
      <c r="U409" s="450"/>
      <c r="V409" s="748"/>
      <c r="W409" s="778"/>
      <c r="X409" s="778"/>
      <c r="Y409" s="25"/>
    </row>
    <row r="410" spans="1:25">
      <c r="A410" s="732">
        <f t="shared" si="142"/>
        <v>33</v>
      </c>
      <c r="B410" s="297" t="s">
        <v>1502</v>
      </c>
      <c r="C410" s="25">
        <f t="shared" si="145"/>
        <v>156431</v>
      </c>
      <c r="D410" s="733">
        <f t="shared" si="151"/>
        <v>12893.296125087872</v>
      </c>
      <c r="E410" s="733">
        <f t="shared" si="151"/>
        <v>3893.4718701403831</v>
      </c>
      <c r="F410" s="733">
        <f t="shared" si="151"/>
        <v>7419.6365805338382</v>
      </c>
      <c r="G410" s="733">
        <f t="shared" si="151"/>
        <v>5831.5403787572168</v>
      </c>
      <c r="H410" s="733">
        <f t="shared" si="151"/>
        <v>0</v>
      </c>
      <c r="I410" s="25">
        <f t="shared" si="146"/>
        <v>186468.94495451933</v>
      </c>
      <c r="J410" s="733">
        <v>15</v>
      </c>
      <c r="K410" s="733">
        <f t="shared" si="147"/>
        <v>12431.262996967956</v>
      </c>
      <c r="L410" s="667"/>
      <c r="M410" s="667"/>
      <c r="N410" s="192" t="s">
        <v>1311</v>
      </c>
      <c r="O410" s="746">
        <f t="shared" si="137"/>
        <v>41115</v>
      </c>
      <c r="P410" s="746">
        <v>41118</v>
      </c>
      <c r="Q410" s="747" t="s">
        <v>1018</v>
      </c>
      <c r="R410" s="304">
        <v>11</v>
      </c>
      <c r="S410" s="778">
        <v>14221</v>
      </c>
      <c r="T410" s="25">
        <f t="shared" si="148"/>
        <v>156431</v>
      </c>
      <c r="U410" s="450"/>
      <c r="V410" s="748"/>
      <c r="W410" s="778"/>
      <c r="X410" s="778"/>
      <c r="Y410" s="25"/>
    </row>
    <row r="411" spans="1:25">
      <c r="A411" s="732">
        <f t="shared" si="142"/>
        <v>34</v>
      </c>
      <c r="B411" s="297" t="s">
        <v>1478</v>
      </c>
      <c r="C411" s="25">
        <f t="shared" si="145"/>
        <v>414960</v>
      </c>
      <c r="D411" s="733">
        <f t="shared" si="151"/>
        <v>64466.480625439362</v>
      </c>
      <c r="E411" s="733">
        <f t="shared" si="151"/>
        <v>19467.359350701918</v>
      </c>
      <c r="F411" s="733">
        <f t="shared" si="151"/>
        <v>37098.182902669192</v>
      </c>
      <c r="G411" s="733">
        <f t="shared" si="151"/>
        <v>29157.701893786081</v>
      </c>
      <c r="H411" s="733">
        <f t="shared" si="151"/>
        <v>0</v>
      </c>
      <c r="I411" s="25">
        <f t="shared" si="146"/>
        <v>565149.72477259662</v>
      </c>
      <c r="J411" s="733">
        <v>75</v>
      </c>
      <c r="K411" s="733">
        <f t="shared" si="147"/>
        <v>7535.3296636346213</v>
      </c>
      <c r="L411" s="667"/>
      <c r="M411" s="667"/>
      <c r="N411" s="192" t="s">
        <v>1423</v>
      </c>
      <c r="O411" s="746">
        <f t="shared" si="137"/>
        <v>41115</v>
      </c>
      <c r="P411" s="746">
        <v>41118</v>
      </c>
      <c r="Q411" s="747" t="s">
        <v>1018</v>
      </c>
      <c r="R411" s="304">
        <v>40</v>
      </c>
      <c r="S411" s="293">
        <v>10374</v>
      </c>
      <c r="T411" s="25">
        <f t="shared" si="148"/>
        <v>414960</v>
      </c>
      <c r="U411" s="450"/>
      <c r="V411" s="748"/>
      <c r="W411" s="778"/>
      <c r="X411" s="778"/>
      <c r="Y411" s="25"/>
    </row>
    <row r="412" spans="1:25">
      <c r="A412" s="732">
        <f t="shared" si="142"/>
        <v>35</v>
      </c>
      <c r="B412" s="297" t="s">
        <v>1487</v>
      </c>
      <c r="C412" s="25">
        <f t="shared" si="145"/>
        <v>725271</v>
      </c>
      <c r="D412" s="733">
        <f t="shared" si="151"/>
        <v>87674.413650597533</v>
      </c>
      <c r="E412" s="733">
        <f t="shared" si="151"/>
        <v>26475.608716954604</v>
      </c>
      <c r="F412" s="733">
        <f t="shared" si="151"/>
        <v>50453.528747630102</v>
      </c>
      <c r="G412" s="733">
        <f t="shared" si="151"/>
        <v>39654.474575549073</v>
      </c>
      <c r="H412" s="733">
        <f t="shared" si="151"/>
        <v>0</v>
      </c>
      <c r="I412" s="25">
        <f t="shared" si="146"/>
        <v>929529.02569073136</v>
      </c>
      <c r="J412" s="733">
        <v>102</v>
      </c>
      <c r="K412" s="733">
        <f t="shared" si="147"/>
        <v>9113.0296636346211</v>
      </c>
      <c r="L412" s="667"/>
      <c r="M412" s="667"/>
      <c r="N412" s="192" t="s">
        <v>1311</v>
      </c>
      <c r="O412" s="746">
        <f t="shared" si="137"/>
        <v>41115</v>
      </c>
      <c r="P412" s="746">
        <v>41118</v>
      </c>
      <c r="Q412" s="747" t="s">
        <v>1018</v>
      </c>
      <c r="R412" s="304">
        <v>51</v>
      </c>
      <c r="S412" s="778">
        <v>14221</v>
      </c>
      <c r="T412" s="25">
        <f t="shared" si="148"/>
        <v>725271</v>
      </c>
      <c r="U412" s="450"/>
      <c r="V412" s="748"/>
      <c r="W412" s="778"/>
      <c r="X412" s="778"/>
      <c r="Y412" s="25"/>
    </row>
    <row r="413" spans="1:25">
      <c r="A413" s="732">
        <f t="shared" si="142"/>
        <v>36</v>
      </c>
      <c r="B413" s="297" t="s">
        <v>1096</v>
      </c>
      <c r="C413" s="25">
        <f t="shared" si="145"/>
        <v>4226510</v>
      </c>
      <c r="D413" s="733">
        <f t="shared" si="151"/>
        <v>765002.23675521382</v>
      </c>
      <c r="E413" s="733">
        <f t="shared" si="151"/>
        <v>231012.66429499607</v>
      </c>
      <c r="F413" s="733">
        <f t="shared" si="151"/>
        <v>440231.77044500777</v>
      </c>
      <c r="G413" s="733">
        <f t="shared" si="151"/>
        <v>346004.72913959483</v>
      </c>
      <c r="H413" s="733">
        <f t="shared" si="151"/>
        <v>0</v>
      </c>
      <c r="I413" s="25">
        <f t="shared" si="146"/>
        <v>6008761.4006348122</v>
      </c>
      <c r="J413" s="733">
        <v>890</v>
      </c>
      <c r="K413" s="733">
        <f t="shared" si="147"/>
        <v>6751.4173040840587</v>
      </c>
      <c r="L413" s="667"/>
      <c r="M413" s="667"/>
      <c r="N413" s="192" t="s">
        <v>1244</v>
      </c>
      <c r="O413" s="746">
        <f t="shared" si="137"/>
        <v>41118</v>
      </c>
      <c r="P413" s="746">
        <v>41121</v>
      </c>
      <c r="Q413" s="747" t="s">
        <v>1019</v>
      </c>
      <c r="R413" s="304">
        <v>185</v>
      </c>
      <c r="S413" s="778">
        <v>22846</v>
      </c>
      <c r="T413" s="25">
        <f t="shared" si="148"/>
        <v>4226510</v>
      </c>
      <c r="U413" s="450"/>
      <c r="V413" s="748"/>
      <c r="W413" s="778"/>
      <c r="X413" s="778"/>
      <c r="Y413" s="25"/>
    </row>
    <row r="414" spans="1:25">
      <c r="A414" s="732">
        <f t="shared" si="142"/>
        <v>37</v>
      </c>
      <c r="B414" s="297" t="s">
        <v>1044</v>
      </c>
      <c r="C414" s="25">
        <f t="shared" si="145"/>
        <v>253170</v>
      </c>
      <c r="D414" s="733">
        <f t="shared" si="151"/>
        <v>64466.480625439362</v>
      </c>
      <c r="E414" s="733">
        <f t="shared" si="151"/>
        <v>19467.359350701918</v>
      </c>
      <c r="F414" s="733">
        <f t="shared" si="151"/>
        <v>37098.182902669192</v>
      </c>
      <c r="G414" s="733">
        <f t="shared" si="151"/>
        <v>29157.701893786081</v>
      </c>
      <c r="H414" s="733">
        <f t="shared" si="151"/>
        <v>0</v>
      </c>
      <c r="I414" s="25">
        <f t="shared" si="146"/>
        <v>403359.72477259656</v>
      </c>
      <c r="J414" s="733">
        <v>75</v>
      </c>
      <c r="K414" s="733">
        <f t="shared" si="147"/>
        <v>5378.1296636346206</v>
      </c>
      <c r="L414" s="667"/>
      <c r="M414" s="667"/>
      <c r="N414" s="192" t="s">
        <v>1253</v>
      </c>
      <c r="O414" s="746">
        <f t="shared" si="137"/>
        <v>41119</v>
      </c>
      <c r="P414" s="746">
        <v>41122</v>
      </c>
      <c r="Q414" s="747" t="s">
        <v>1020</v>
      </c>
      <c r="R414" s="304">
        <v>15</v>
      </c>
      <c r="S414" s="778">
        <v>16878</v>
      </c>
      <c r="T414" s="25">
        <f t="shared" si="148"/>
        <v>253170</v>
      </c>
      <c r="U414" s="450"/>
      <c r="V414" s="748"/>
      <c r="W414" s="778"/>
      <c r="X414" s="778"/>
      <c r="Y414" s="25"/>
    </row>
    <row r="415" spans="1:25">
      <c r="A415" s="732">
        <f t="shared" si="142"/>
        <v>38</v>
      </c>
      <c r="B415" s="297" t="s">
        <v>1045</v>
      </c>
      <c r="C415" s="25">
        <f t="shared" si="145"/>
        <v>375500</v>
      </c>
      <c r="D415" s="733">
        <f t="shared" si="151"/>
        <v>79078.882900538956</v>
      </c>
      <c r="E415" s="733">
        <f t="shared" si="151"/>
        <v>23879.960803527683</v>
      </c>
      <c r="F415" s="733">
        <f t="shared" si="151"/>
        <v>45507.10436060754</v>
      </c>
      <c r="G415" s="733">
        <f t="shared" si="151"/>
        <v>35766.780989710925</v>
      </c>
      <c r="H415" s="733">
        <f t="shared" si="151"/>
        <v>0</v>
      </c>
      <c r="I415" s="25">
        <f t="shared" si="146"/>
        <v>559732.7290543851</v>
      </c>
      <c r="J415" s="733">
        <v>92</v>
      </c>
      <c r="K415" s="733">
        <f t="shared" si="147"/>
        <v>6084.0514027650552</v>
      </c>
      <c r="L415" s="667"/>
      <c r="M415" s="667"/>
      <c r="N415" s="192" t="s">
        <v>1389</v>
      </c>
      <c r="O415" s="746">
        <f t="shared" si="137"/>
        <v>41119</v>
      </c>
      <c r="P415" s="746">
        <v>41122</v>
      </c>
      <c r="Q415" s="747" t="s">
        <v>1020</v>
      </c>
      <c r="R415" s="304">
        <v>50</v>
      </c>
      <c r="S415" s="778">
        <v>7510</v>
      </c>
      <c r="T415" s="25">
        <f t="shared" si="148"/>
        <v>375500</v>
      </c>
      <c r="U415" s="450"/>
      <c r="V415" s="748"/>
      <c r="W415" s="778"/>
      <c r="X415" s="778"/>
      <c r="Y415" s="25"/>
    </row>
    <row r="416" spans="1:25">
      <c r="A416" s="732">
        <f t="shared" si="142"/>
        <v>39</v>
      </c>
      <c r="B416" s="297" t="s">
        <v>1130</v>
      </c>
      <c r="C416" s="25">
        <f t="shared" si="145"/>
        <v>14732000</v>
      </c>
      <c r="D416" s="733">
        <f t="shared" si="151"/>
        <v>859553.07500585821</v>
      </c>
      <c r="E416" s="733">
        <f t="shared" si="151"/>
        <v>259564.79134269222</v>
      </c>
      <c r="F416" s="733">
        <f t="shared" si="151"/>
        <v>494642.43870225589</v>
      </c>
      <c r="G416" s="733">
        <f t="shared" si="151"/>
        <v>388769.35858381446</v>
      </c>
      <c r="H416" s="733">
        <f t="shared" si="151"/>
        <v>0</v>
      </c>
      <c r="I416" s="25">
        <f t="shared" si="146"/>
        <v>16734529.663634621</v>
      </c>
      <c r="J416" s="733">
        <v>1000</v>
      </c>
      <c r="K416" s="733">
        <f t="shared" si="147"/>
        <v>16734.529663634621</v>
      </c>
      <c r="L416" s="667"/>
      <c r="M416" s="667"/>
      <c r="N416" s="40" t="s">
        <v>1429</v>
      </c>
      <c r="O416" s="746">
        <f t="shared" si="137"/>
        <v>41121</v>
      </c>
      <c r="P416" s="746">
        <v>41124</v>
      </c>
      <c r="Q416" s="747" t="s">
        <v>1021</v>
      </c>
      <c r="R416" s="304">
        <v>1000</v>
      </c>
      <c r="S416" s="778">
        <v>14732</v>
      </c>
      <c r="T416" s="25">
        <f t="shared" si="148"/>
        <v>14732000</v>
      </c>
      <c r="U416" s="450"/>
      <c r="V416" s="748"/>
      <c r="W416" s="778"/>
      <c r="X416" s="778"/>
      <c r="Y416" s="25"/>
    </row>
    <row r="417" spans="1:25">
      <c r="A417" s="732">
        <f t="shared" si="142"/>
        <v>40</v>
      </c>
      <c r="B417" s="297" t="s">
        <v>1130</v>
      </c>
      <c r="C417" s="25">
        <f t="shared" si="145"/>
        <v>7040880</v>
      </c>
      <c r="D417" s="733">
        <f t="shared" si="151"/>
        <v>446967.59900304629</v>
      </c>
      <c r="E417" s="733">
        <f t="shared" si="151"/>
        <v>134973.69149819994</v>
      </c>
      <c r="F417" s="733">
        <f t="shared" si="151"/>
        <v>257214.06812517307</v>
      </c>
      <c r="G417" s="733">
        <f t="shared" si="151"/>
        <v>202160.0664635835</v>
      </c>
      <c r="H417" s="733">
        <f t="shared" si="151"/>
        <v>0</v>
      </c>
      <c r="I417" s="25">
        <f t="shared" si="146"/>
        <v>8082195.4250900028</v>
      </c>
      <c r="J417" s="733">
        <v>520</v>
      </c>
      <c r="K417" s="733">
        <f t="shared" si="147"/>
        <v>15542.683509788467</v>
      </c>
      <c r="L417" s="667"/>
      <c r="M417" s="667"/>
      <c r="N417" s="192" t="s">
        <v>1361</v>
      </c>
      <c r="O417" s="746">
        <f t="shared" si="137"/>
        <v>41122</v>
      </c>
      <c r="P417" s="746">
        <v>41125</v>
      </c>
      <c r="Q417" s="747" t="s">
        <v>1022</v>
      </c>
      <c r="R417" s="304">
        <v>630</v>
      </c>
      <c r="S417" s="778">
        <v>11176</v>
      </c>
      <c r="T417" s="25">
        <f t="shared" si="148"/>
        <v>7040880</v>
      </c>
      <c r="U417" s="450"/>
      <c r="V417" s="748"/>
      <c r="W417" s="778"/>
      <c r="X417" s="778"/>
      <c r="Y417" s="25"/>
    </row>
    <row r="418" spans="1:25">
      <c r="A418" s="732">
        <f t="shared" si="142"/>
        <v>41</v>
      </c>
      <c r="B418" s="297" t="s">
        <v>1127</v>
      </c>
      <c r="C418" s="25">
        <f t="shared" si="145"/>
        <v>2775155</v>
      </c>
      <c r="D418" s="733">
        <f t="shared" ref="D418:H427" si="152">IF($J$452&lt;&gt;0,D$452/$J$452*$J418,0)</f>
        <v>853536.20348081714</v>
      </c>
      <c r="E418" s="733">
        <f t="shared" si="152"/>
        <v>257747.83780329337</v>
      </c>
      <c r="F418" s="733">
        <f t="shared" si="152"/>
        <v>491179.94163134013</v>
      </c>
      <c r="G418" s="733">
        <f t="shared" si="152"/>
        <v>386047.97307372774</v>
      </c>
      <c r="H418" s="733">
        <f t="shared" si="152"/>
        <v>0</v>
      </c>
      <c r="I418" s="25">
        <f t="shared" si="146"/>
        <v>4763666.9559891783</v>
      </c>
      <c r="J418" s="733">
        <v>993</v>
      </c>
      <c r="K418" s="733">
        <f t="shared" si="147"/>
        <v>4797.2476898179038</v>
      </c>
      <c r="L418" s="667"/>
      <c r="M418" s="667"/>
      <c r="N418" s="189" t="s">
        <v>1348</v>
      </c>
      <c r="O418" s="746">
        <f t="shared" si="137"/>
        <v>41122</v>
      </c>
      <c r="P418" s="746">
        <v>41125</v>
      </c>
      <c r="Q418" s="747" t="s">
        <v>1023</v>
      </c>
      <c r="R418" s="304">
        <v>145</v>
      </c>
      <c r="S418" s="778">
        <v>19139</v>
      </c>
      <c r="T418" s="25">
        <f t="shared" si="148"/>
        <v>2775155</v>
      </c>
      <c r="U418" s="450"/>
      <c r="V418" s="748"/>
      <c r="W418" s="778"/>
      <c r="X418" s="778"/>
      <c r="Y418" s="25"/>
    </row>
    <row r="419" spans="1:25">
      <c r="A419" s="732">
        <f t="shared" si="142"/>
        <v>42</v>
      </c>
      <c r="B419" s="297" t="s">
        <v>1128</v>
      </c>
      <c r="C419" s="25">
        <f t="shared" si="145"/>
        <v>2937780</v>
      </c>
      <c r="D419" s="733">
        <f t="shared" si="152"/>
        <v>885339.66725603398</v>
      </c>
      <c r="E419" s="733">
        <f t="shared" si="152"/>
        <v>267351.73508297297</v>
      </c>
      <c r="F419" s="733">
        <f t="shared" si="152"/>
        <v>509481.71186332358</v>
      </c>
      <c r="G419" s="733">
        <f t="shared" si="152"/>
        <v>400432.43934132886</v>
      </c>
      <c r="H419" s="733">
        <f t="shared" si="152"/>
        <v>0</v>
      </c>
      <c r="I419" s="25">
        <f t="shared" si="146"/>
        <v>5000385.5535436589</v>
      </c>
      <c r="J419" s="733">
        <v>1030</v>
      </c>
      <c r="K419" s="733">
        <f t="shared" si="147"/>
        <v>4854.7432558676301</v>
      </c>
      <c r="L419" s="667"/>
      <c r="M419" s="667"/>
      <c r="N419" s="192" t="s">
        <v>1375</v>
      </c>
      <c r="O419" s="746">
        <f t="shared" si="137"/>
        <v>41122</v>
      </c>
      <c r="P419" s="746">
        <v>41125</v>
      </c>
      <c r="Q419" s="747" t="s">
        <v>1023</v>
      </c>
      <c r="R419" s="304">
        <v>180</v>
      </c>
      <c r="S419" s="778">
        <v>16321</v>
      </c>
      <c r="T419" s="25">
        <f t="shared" si="148"/>
        <v>2937780</v>
      </c>
      <c r="U419" s="450"/>
      <c r="V419" s="748"/>
      <c r="W419" s="778"/>
      <c r="X419" s="778"/>
      <c r="Y419" s="25"/>
    </row>
    <row r="420" spans="1:25">
      <c r="A420" s="732">
        <f t="shared" si="142"/>
        <v>43</v>
      </c>
      <c r="B420" s="297" t="s">
        <v>1129</v>
      </c>
      <c r="C420" s="25">
        <f t="shared" si="145"/>
        <v>5044410</v>
      </c>
      <c r="D420" s="733">
        <f t="shared" si="152"/>
        <v>868148.6057559168</v>
      </c>
      <c r="E420" s="733">
        <f t="shared" si="152"/>
        <v>262160.43925611913</v>
      </c>
      <c r="F420" s="733">
        <f t="shared" si="152"/>
        <v>499588.86308927846</v>
      </c>
      <c r="G420" s="733">
        <f t="shared" si="152"/>
        <v>392657.0521696526</v>
      </c>
      <c r="H420" s="733">
        <f t="shared" si="152"/>
        <v>0</v>
      </c>
      <c r="I420" s="25">
        <f t="shared" si="146"/>
        <v>7066964.9602709673</v>
      </c>
      <c r="J420" s="733">
        <v>1010</v>
      </c>
      <c r="K420" s="733">
        <f t="shared" si="147"/>
        <v>6996.9950101692748</v>
      </c>
      <c r="L420" s="667"/>
      <c r="M420" s="667"/>
      <c r="N420" s="192" t="s">
        <v>1417</v>
      </c>
      <c r="O420" s="746">
        <f t="shared" si="137"/>
        <v>41122</v>
      </c>
      <c r="P420" s="746">
        <v>41125</v>
      </c>
      <c r="Q420" s="747" t="s">
        <v>1023</v>
      </c>
      <c r="R420" s="304">
        <v>510</v>
      </c>
      <c r="S420" s="778">
        <v>9891</v>
      </c>
      <c r="T420" s="25">
        <f t="shared" si="148"/>
        <v>5044410</v>
      </c>
      <c r="U420" s="450"/>
      <c r="V420" s="748"/>
      <c r="W420" s="778"/>
      <c r="X420" s="778"/>
      <c r="Y420" s="25"/>
    </row>
    <row r="421" spans="1:25">
      <c r="A421" s="732">
        <f t="shared" si="142"/>
        <v>44</v>
      </c>
      <c r="B421" s="297" t="s">
        <v>1113</v>
      </c>
      <c r="C421" s="25">
        <f t="shared" si="145"/>
        <v>4406400</v>
      </c>
      <c r="D421" s="733">
        <f t="shared" si="152"/>
        <v>881041.90188100468</v>
      </c>
      <c r="E421" s="733">
        <f t="shared" si="152"/>
        <v>266053.91112625954</v>
      </c>
      <c r="F421" s="733">
        <f t="shared" si="152"/>
        <v>507008.49966981227</v>
      </c>
      <c r="G421" s="733">
        <f t="shared" si="152"/>
        <v>398488.59254840983</v>
      </c>
      <c r="H421" s="733">
        <f t="shared" si="152"/>
        <v>0</v>
      </c>
      <c r="I421" s="25">
        <f t="shared" si="146"/>
        <v>6458992.9052254865</v>
      </c>
      <c r="J421" s="733">
        <v>1025</v>
      </c>
      <c r="K421" s="733">
        <f t="shared" si="147"/>
        <v>6301.4564929029139</v>
      </c>
      <c r="L421" s="667"/>
      <c r="M421" s="667"/>
      <c r="N421" s="192" t="s">
        <v>1285</v>
      </c>
      <c r="O421" s="746">
        <f t="shared" si="137"/>
        <v>41125</v>
      </c>
      <c r="P421" s="746">
        <v>41128</v>
      </c>
      <c r="Q421" s="747" t="s">
        <v>1024</v>
      </c>
      <c r="R421" s="304">
        <v>225</v>
      </c>
      <c r="S421" s="778">
        <v>19584</v>
      </c>
      <c r="T421" s="25">
        <f t="shared" si="148"/>
        <v>4406400</v>
      </c>
      <c r="U421" s="450"/>
      <c r="V421" s="748"/>
      <c r="W421" s="778"/>
      <c r="X421" s="778"/>
      <c r="Y421" s="25"/>
    </row>
    <row r="422" spans="1:25">
      <c r="A422" s="732">
        <f t="shared" si="142"/>
        <v>45</v>
      </c>
      <c r="B422" s="297" t="s">
        <v>1096</v>
      </c>
      <c r="C422" s="25">
        <f t="shared" si="145"/>
        <v>3215940</v>
      </c>
      <c r="D422" s="733">
        <f t="shared" si="152"/>
        <v>441810.28055301111</v>
      </c>
      <c r="E422" s="733">
        <f t="shared" si="152"/>
        <v>133416.3027501438</v>
      </c>
      <c r="F422" s="733">
        <f t="shared" si="152"/>
        <v>254246.21349295953</v>
      </c>
      <c r="G422" s="733">
        <f t="shared" si="152"/>
        <v>199827.45031208062</v>
      </c>
      <c r="H422" s="733">
        <f t="shared" si="152"/>
        <v>0</v>
      </c>
      <c r="I422" s="25">
        <f t="shared" si="146"/>
        <v>4245240.247108195</v>
      </c>
      <c r="J422" s="733">
        <v>514</v>
      </c>
      <c r="K422" s="733">
        <f t="shared" si="147"/>
        <v>8259.222270638511</v>
      </c>
      <c r="L422" s="667"/>
      <c r="M422" s="667"/>
      <c r="N422" s="192" t="s">
        <v>1423</v>
      </c>
      <c r="O422" s="746">
        <f t="shared" si="137"/>
        <v>41126</v>
      </c>
      <c r="P422" s="746">
        <v>41129</v>
      </c>
      <c r="Q422" s="747" t="s">
        <v>1025</v>
      </c>
      <c r="R422" s="304">
        <v>310</v>
      </c>
      <c r="S422" s="293">
        <v>10374</v>
      </c>
      <c r="T422" s="25">
        <f t="shared" si="148"/>
        <v>3215940</v>
      </c>
      <c r="U422" s="450"/>
      <c r="V422" s="748"/>
      <c r="W422" s="778"/>
      <c r="X422" s="778"/>
      <c r="Y422" s="25"/>
    </row>
    <row r="423" spans="1:25">
      <c r="A423" s="732">
        <f t="shared" si="142"/>
        <v>46</v>
      </c>
      <c r="B423" s="297" t="s">
        <v>1107</v>
      </c>
      <c r="C423" s="25">
        <f t="shared" si="145"/>
        <v>7805200</v>
      </c>
      <c r="D423" s="733">
        <f t="shared" si="152"/>
        <v>682485.14155465143</v>
      </c>
      <c r="E423" s="733">
        <f t="shared" si="152"/>
        <v>206094.44432609761</v>
      </c>
      <c r="F423" s="733">
        <f t="shared" si="152"/>
        <v>392746.09632959118</v>
      </c>
      <c r="G423" s="733">
        <f t="shared" si="152"/>
        <v>308682.87071554869</v>
      </c>
      <c r="H423" s="733">
        <f t="shared" si="152"/>
        <v>0</v>
      </c>
      <c r="I423" s="25">
        <f t="shared" si="146"/>
        <v>9395208.5529258884</v>
      </c>
      <c r="J423" s="733">
        <v>794</v>
      </c>
      <c r="K423" s="733">
        <f t="shared" si="147"/>
        <v>11832.756363886509</v>
      </c>
      <c r="L423" s="667"/>
      <c r="M423" s="667"/>
      <c r="N423" s="192" t="s">
        <v>1243</v>
      </c>
      <c r="O423" s="746">
        <f t="shared" si="137"/>
        <v>41126</v>
      </c>
      <c r="P423" s="746">
        <v>41129</v>
      </c>
      <c r="Q423" s="747" t="s">
        <v>1025</v>
      </c>
      <c r="R423" s="304">
        <v>400</v>
      </c>
      <c r="S423" s="778">
        <v>19513</v>
      </c>
      <c r="T423" s="25">
        <f t="shared" si="148"/>
        <v>7805200</v>
      </c>
      <c r="U423" s="450"/>
      <c r="V423" s="748"/>
      <c r="W423" s="778"/>
      <c r="X423" s="778"/>
      <c r="Y423" s="25"/>
    </row>
    <row r="424" spans="1:25">
      <c r="A424" s="732">
        <f t="shared" si="142"/>
        <v>47</v>
      </c>
      <c r="B424" s="297" t="s">
        <v>1126</v>
      </c>
      <c r="C424" s="25">
        <f t="shared" si="145"/>
        <v>2584764</v>
      </c>
      <c r="D424" s="733">
        <f t="shared" si="152"/>
        <v>790788.82900538959</v>
      </c>
      <c r="E424" s="733">
        <f t="shared" si="152"/>
        <v>238799.60803527685</v>
      </c>
      <c r="F424" s="733">
        <f t="shared" si="152"/>
        <v>455071.04360607546</v>
      </c>
      <c r="G424" s="733">
        <f t="shared" si="152"/>
        <v>357667.80989710928</v>
      </c>
      <c r="H424" s="733">
        <f t="shared" si="152"/>
        <v>0</v>
      </c>
      <c r="I424" s="25">
        <f t="shared" si="146"/>
        <v>4427091.2905438505</v>
      </c>
      <c r="J424" s="733">
        <v>920</v>
      </c>
      <c r="K424" s="733">
        <f t="shared" si="147"/>
        <v>4812.055750591142</v>
      </c>
      <c r="L424" s="667"/>
      <c r="M424" s="667"/>
      <c r="N424" s="192" t="s">
        <v>1376</v>
      </c>
      <c r="O424" s="746">
        <f t="shared" si="137"/>
        <v>41126</v>
      </c>
      <c r="P424" s="746">
        <v>41129</v>
      </c>
      <c r="Q424" s="747" t="s">
        <v>648</v>
      </c>
      <c r="R424" s="304">
        <v>263</v>
      </c>
      <c r="S424" s="778">
        <v>9828</v>
      </c>
      <c r="T424" s="25">
        <f t="shared" si="148"/>
        <v>2584764</v>
      </c>
      <c r="U424" s="450"/>
      <c r="V424" s="748"/>
      <c r="W424" s="778"/>
      <c r="X424" s="778"/>
      <c r="Y424" s="25"/>
    </row>
    <row r="425" spans="1:25">
      <c r="A425" s="732">
        <f t="shared" si="142"/>
        <v>48</v>
      </c>
      <c r="B425" s="297" t="s">
        <v>1132</v>
      </c>
      <c r="C425" s="25">
        <f t="shared" si="145"/>
        <v>7805350</v>
      </c>
      <c r="D425" s="733">
        <f t="shared" si="152"/>
        <v>880182.3488059988</v>
      </c>
      <c r="E425" s="733">
        <f t="shared" si="152"/>
        <v>265794.34633491683</v>
      </c>
      <c r="F425" s="733">
        <f t="shared" si="152"/>
        <v>506513.85723111004</v>
      </c>
      <c r="G425" s="733">
        <f t="shared" si="152"/>
        <v>398099.82318982598</v>
      </c>
      <c r="H425" s="733">
        <f t="shared" si="152"/>
        <v>0</v>
      </c>
      <c r="I425" s="25">
        <f t="shared" si="146"/>
        <v>9855940.3755618539</v>
      </c>
      <c r="J425" s="733">
        <v>1024</v>
      </c>
      <c r="K425" s="733">
        <f t="shared" si="147"/>
        <v>9624.9417730096229</v>
      </c>
      <c r="L425" s="667"/>
      <c r="M425" s="667"/>
      <c r="N425" s="192" t="s">
        <v>1284</v>
      </c>
      <c r="O425" s="746">
        <f t="shared" si="137"/>
        <v>41133</v>
      </c>
      <c r="P425" s="746">
        <v>41136</v>
      </c>
      <c r="Q425" s="747" t="s">
        <v>1026</v>
      </c>
      <c r="R425" s="304">
        <v>350</v>
      </c>
      <c r="S425" s="778">
        <v>22301</v>
      </c>
      <c r="T425" s="25">
        <f t="shared" si="148"/>
        <v>7805350</v>
      </c>
      <c r="U425" s="450"/>
      <c r="V425" s="748"/>
      <c r="W425" s="778"/>
      <c r="X425" s="778"/>
      <c r="Y425" s="25"/>
    </row>
    <row r="426" spans="1:25">
      <c r="A426" s="732">
        <f t="shared" si="142"/>
        <v>49</v>
      </c>
      <c r="B426" s="297" t="s">
        <v>1120</v>
      </c>
      <c r="C426" s="25">
        <f t="shared" si="145"/>
        <v>3920000</v>
      </c>
      <c r="D426" s="733">
        <f t="shared" si="152"/>
        <v>435793.4090279701</v>
      </c>
      <c r="E426" s="733">
        <f t="shared" si="152"/>
        <v>131599.34921074496</v>
      </c>
      <c r="F426" s="733">
        <f t="shared" si="152"/>
        <v>250783.71642204374</v>
      </c>
      <c r="G426" s="733">
        <f t="shared" si="152"/>
        <v>197106.06480199393</v>
      </c>
      <c r="H426" s="733">
        <f t="shared" si="152"/>
        <v>0</v>
      </c>
      <c r="I426" s="25">
        <f t="shared" si="146"/>
        <v>4935282.5394627526</v>
      </c>
      <c r="J426" s="733">
        <v>507</v>
      </c>
      <c r="K426" s="733">
        <f t="shared" si="147"/>
        <v>9734.2850876977373</v>
      </c>
      <c r="L426" s="667"/>
      <c r="M426" s="667"/>
      <c r="N426" s="192" t="s">
        <v>1281</v>
      </c>
      <c r="O426" s="746">
        <f t="shared" si="137"/>
        <v>41134</v>
      </c>
      <c r="P426" s="746">
        <v>41137</v>
      </c>
      <c r="Q426" s="747" t="s">
        <v>1027</v>
      </c>
      <c r="R426" s="304">
        <v>250</v>
      </c>
      <c r="S426" s="778">
        <v>15680</v>
      </c>
      <c r="T426" s="25">
        <f t="shared" si="148"/>
        <v>3920000</v>
      </c>
      <c r="U426" s="450"/>
      <c r="V426" s="748"/>
      <c r="W426" s="778"/>
      <c r="X426" s="778"/>
      <c r="Y426" s="25"/>
    </row>
    <row r="427" spans="1:25">
      <c r="A427" s="732">
        <f t="shared" si="142"/>
        <v>50</v>
      </c>
      <c r="B427" s="297" t="s">
        <v>1125</v>
      </c>
      <c r="C427" s="25">
        <f t="shared" si="145"/>
        <v>704375</v>
      </c>
      <c r="D427" s="733">
        <f t="shared" si="152"/>
        <v>174489.27422618921</v>
      </c>
      <c r="E427" s="733">
        <f t="shared" si="152"/>
        <v>52691.652642566522</v>
      </c>
      <c r="F427" s="733">
        <f t="shared" si="152"/>
        <v>100412.41505655795</v>
      </c>
      <c r="G427" s="733">
        <f t="shared" si="152"/>
        <v>78920.179792514333</v>
      </c>
      <c r="H427" s="733">
        <f t="shared" si="152"/>
        <v>0</v>
      </c>
      <c r="I427" s="25">
        <f t="shared" si="146"/>
        <v>1110888.521717828</v>
      </c>
      <c r="J427" s="733">
        <v>203</v>
      </c>
      <c r="K427" s="733">
        <f t="shared" si="147"/>
        <v>5472.3572498415169</v>
      </c>
      <c r="L427" s="667"/>
      <c r="M427" s="667"/>
      <c r="N427" s="192" t="s">
        <v>1242</v>
      </c>
      <c r="O427" s="746">
        <f t="shared" si="137"/>
        <v>41134</v>
      </c>
      <c r="P427" s="746">
        <v>41137</v>
      </c>
      <c r="Q427" s="747" t="s">
        <v>1027</v>
      </c>
      <c r="R427" s="304">
        <v>49</v>
      </c>
      <c r="S427" s="778">
        <v>14375</v>
      </c>
      <c r="T427" s="25">
        <f t="shared" si="148"/>
        <v>704375</v>
      </c>
      <c r="U427" s="450"/>
      <c r="V427" s="748"/>
      <c r="W427" s="778"/>
      <c r="X427" s="778"/>
      <c r="Y427" s="25"/>
    </row>
    <row r="428" spans="1:25">
      <c r="A428" s="732">
        <f t="shared" si="142"/>
        <v>51</v>
      </c>
      <c r="B428" s="297" t="s">
        <v>1028</v>
      </c>
      <c r="C428" s="25">
        <f t="shared" si="145"/>
        <v>12440350</v>
      </c>
      <c r="D428" s="733">
        <f t="shared" ref="D428:H437" si="153">IF($J$452&lt;&gt;0,D$452/$J$452*$J428,0)</f>
        <v>3354835.6517478647</v>
      </c>
      <c r="E428" s="733">
        <f t="shared" si="153"/>
        <v>1013081.3806105277</v>
      </c>
      <c r="F428" s="733">
        <f t="shared" si="153"/>
        <v>1930589.4382549047</v>
      </c>
      <c r="G428" s="733">
        <f t="shared" si="153"/>
        <v>1517366.8065526278</v>
      </c>
      <c r="H428" s="733">
        <f t="shared" si="153"/>
        <v>0</v>
      </c>
      <c r="I428" s="25">
        <f t="shared" si="146"/>
        <v>20256223.277165923</v>
      </c>
      <c r="J428" s="733">
        <v>3903</v>
      </c>
      <c r="K428" s="733">
        <f t="shared" si="147"/>
        <v>5189.9111650437926</v>
      </c>
      <c r="L428" s="667"/>
      <c r="M428" s="667"/>
      <c r="N428" s="189" t="s">
        <v>1348</v>
      </c>
      <c r="O428" s="746">
        <f t="shared" si="137"/>
        <v>41134</v>
      </c>
      <c r="P428" s="746">
        <v>41137</v>
      </c>
      <c r="Q428" s="747" t="s">
        <v>1029</v>
      </c>
      <c r="R428" s="304">
        <v>650</v>
      </c>
      <c r="S428" s="778">
        <v>19139</v>
      </c>
      <c r="T428" s="25">
        <f t="shared" si="148"/>
        <v>12440350</v>
      </c>
      <c r="U428" s="450"/>
      <c r="V428" s="748"/>
      <c r="W428" s="778"/>
      <c r="X428" s="778"/>
      <c r="Y428" s="25"/>
    </row>
    <row r="429" spans="1:25">
      <c r="A429" s="732">
        <f t="shared" si="142"/>
        <v>52</v>
      </c>
      <c r="B429" s="297" t="s">
        <v>1030</v>
      </c>
      <c r="C429" s="25">
        <f t="shared" si="145"/>
        <v>11805990</v>
      </c>
      <c r="D429" s="733">
        <f t="shared" si="153"/>
        <v>2587254.7557676332</v>
      </c>
      <c r="E429" s="733">
        <f t="shared" si="153"/>
        <v>781290.02194150363</v>
      </c>
      <c r="F429" s="733">
        <f t="shared" si="153"/>
        <v>1488873.7404937902</v>
      </c>
      <c r="G429" s="733">
        <f t="shared" si="153"/>
        <v>1170195.7693372814</v>
      </c>
      <c r="H429" s="733">
        <f t="shared" si="153"/>
        <v>0</v>
      </c>
      <c r="I429" s="25">
        <f t="shared" si="146"/>
        <v>17833604.287540209</v>
      </c>
      <c r="J429" s="733">
        <v>3010</v>
      </c>
      <c r="K429" s="733">
        <f t="shared" si="147"/>
        <v>5924.7854775881087</v>
      </c>
      <c r="L429" s="667"/>
      <c r="M429" s="667"/>
      <c r="N429" s="192" t="s">
        <v>1264</v>
      </c>
      <c r="O429" s="746">
        <f t="shared" si="137"/>
        <v>41134</v>
      </c>
      <c r="P429" s="746">
        <v>41137</v>
      </c>
      <c r="Q429" s="747" t="s">
        <v>1029</v>
      </c>
      <c r="R429" s="8">
        <v>510</v>
      </c>
      <c r="S429" s="293">
        <v>23149</v>
      </c>
      <c r="T429" s="25">
        <f t="shared" si="148"/>
        <v>11805990</v>
      </c>
      <c r="U429" s="450"/>
      <c r="V429" s="748"/>
      <c r="W429" s="778"/>
      <c r="X429" s="778"/>
      <c r="Y429" s="25"/>
    </row>
    <row r="430" spans="1:25">
      <c r="A430" s="732">
        <f t="shared" si="142"/>
        <v>53</v>
      </c>
      <c r="B430" s="297" t="s">
        <v>1031</v>
      </c>
      <c r="C430" s="25">
        <f t="shared" si="145"/>
        <v>1183116</v>
      </c>
      <c r="D430" s="733">
        <f t="shared" si="153"/>
        <v>266461.45325181604</v>
      </c>
      <c r="E430" s="733">
        <f t="shared" si="153"/>
        <v>80465.085316234588</v>
      </c>
      <c r="F430" s="733">
        <f t="shared" si="153"/>
        <v>153339.15599769933</v>
      </c>
      <c r="G430" s="733">
        <f t="shared" si="153"/>
        <v>120518.50116098247</v>
      </c>
      <c r="H430" s="733">
        <f t="shared" si="153"/>
        <v>0</v>
      </c>
      <c r="I430" s="25">
        <f t="shared" si="146"/>
        <v>1803900.1957267325</v>
      </c>
      <c r="J430" s="733">
        <v>310</v>
      </c>
      <c r="K430" s="733">
        <f t="shared" si="147"/>
        <v>5819.0328894410723</v>
      </c>
      <c r="L430" s="667"/>
      <c r="M430" s="667"/>
      <c r="N430" s="192" t="s">
        <v>1250</v>
      </c>
      <c r="O430" s="746">
        <f t="shared" si="137"/>
        <v>41134</v>
      </c>
      <c r="P430" s="746">
        <v>41137</v>
      </c>
      <c r="Q430" s="747" t="s">
        <v>1029</v>
      </c>
      <c r="R430" s="304">
        <v>66</v>
      </c>
      <c r="S430" s="778">
        <v>17926</v>
      </c>
      <c r="T430" s="25">
        <f t="shared" si="148"/>
        <v>1183116</v>
      </c>
      <c r="U430" s="450"/>
      <c r="V430" s="748"/>
      <c r="W430" s="778"/>
      <c r="X430" s="778"/>
      <c r="Y430" s="25"/>
    </row>
    <row r="431" spans="1:25">
      <c r="A431" s="732">
        <f t="shared" si="142"/>
        <v>54</v>
      </c>
      <c r="B431" s="297" t="s">
        <v>1032</v>
      </c>
      <c r="C431" s="25">
        <f t="shared" ref="C431:C450" si="154">T431</f>
        <v>865300</v>
      </c>
      <c r="D431" s="733">
        <f t="shared" si="153"/>
        <v>216607.37490147626</v>
      </c>
      <c r="E431" s="733">
        <f t="shared" si="153"/>
        <v>65410.327418358436</v>
      </c>
      <c r="F431" s="733">
        <f t="shared" si="153"/>
        <v>124649.89455296849</v>
      </c>
      <c r="G431" s="733">
        <f t="shared" si="153"/>
        <v>97969.878363121243</v>
      </c>
      <c r="H431" s="733">
        <f t="shared" si="153"/>
        <v>0</v>
      </c>
      <c r="I431" s="25">
        <f t="shared" ref="I431:I450" si="155">SUM(C431:H431)</f>
        <v>1369937.4752359246</v>
      </c>
      <c r="J431" s="733">
        <v>252</v>
      </c>
      <c r="K431" s="733">
        <f t="shared" ref="K431:K450" si="156">IF(J431&lt;&gt;"",I431/J431,"")</f>
        <v>5436.2598223647801</v>
      </c>
      <c r="L431" s="667"/>
      <c r="M431" s="667"/>
      <c r="N431" s="192" t="s">
        <v>1240</v>
      </c>
      <c r="O431" s="746">
        <f t="shared" si="137"/>
        <v>41134</v>
      </c>
      <c r="P431" s="746">
        <v>41137</v>
      </c>
      <c r="Q431" s="747" t="s">
        <v>1029</v>
      </c>
      <c r="R431" s="304">
        <v>50</v>
      </c>
      <c r="S431" s="778">
        <v>17306</v>
      </c>
      <c r="T431" s="25">
        <f t="shared" ref="T431:T450" si="157">ROUND(R431*S431,0)</f>
        <v>865300</v>
      </c>
      <c r="U431" s="450"/>
      <c r="V431" s="748"/>
      <c r="W431" s="778"/>
      <c r="X431" s="778"/>
      <c r="Y431" s="25"/>
    </row>
    <row r="432" spans="1:25">
      <c r="A432" s="732">
        <f t="shared" si="142"/>
        <v>55</v>
      </c>
      <c r="B432" s="297" t="s">
        <v>1089</v>
      </c>
      <c r="C432" s="25">
        <f t="shared" si="154"/>
        <v>35186480</v>
      </c>
      <c r="D432" s="733">
        <f t="shared" si="153"/>
        <v>2630232.4095179262</v>
      </c>
      <c r="E432" s="733">
        <f t="shared" si="153"/>
        <v>794268.26150863816</v>
      </c>
      <c r="F432" s="733">
        <f t="shared" si="153"/>
        <v>1513605.8624289031</v>
      </c>
      <c r="G432" s="733">
        <f t="shared" si="153"/>
        <v>1189634.2372664721</v>
      </c>
      <c r="H432" s="733">
        <f t="shared" si="153"/>
        <v>0</v>
      </c>
      <c r="I432" s="25">
        <f t="shared" si="155"/>
        <v>41314220.770721942</v>
      </c>
      <c r="J432" s="733">
        <v>3060</v>
      </c>
      <c r="K432" s="733">
        <f t="shared" si="156"/>
        <v>13501.379336837235</v>
      </c>
      <c r="L432" s="667"/>
      <c r="M432" s="667"/>
      <c r="N432" s="192" t="s">
        <v>1264</v>
      </c>
      <c r="O432" s="746">
        <f t="shared" si="137"/>
        <v>41147</v>
      </c>
      <c r="P432" s="746">
        <v>41150</v>
      </c>
      <c r="Q432" s="747" t="s">
        <v>1033</v>
      </c>
      <c r="R432" s="304">
        <v>1520</v>
      </c>
      <c r="S432" s="778">
        <v>23149</v>
      </c>
      <c r="T432" s="25">
        <f t="shared" si="157"/>
        <v>35186480</v>
      </c>
      <c r="U432" s="450"/>
      <c r="V432" s="748"/>
      <c r="W432" s="778"/>
      <c r="X432" s="778"/>
      <c r="Y432" s="25"/>
    </row>
    <row r="433" spans="1:25">
      <c r="A433" s="732">
        <f t="shared" si="142"/>
        <v>56</v>
      </c>
      <c r="B433" s="297" t="s">
        <v>1124</v>
      </c>
      <c r="C433" s="25">
        <f t="shared" si="154"/>
        <v>4043020</v>
      </c>
      <c r="D433" s="733">
        <f t="shared" si="153"/>
        <v>260444.58172677504</v>
      </c>
      <c r="E433" s="733">
        <f t="shared" si="153"/>
        <v>78648.13177683574</v>
      </c>
      <c r="F433" s="733">
        <f t="shared" si="153"/>
        <v>149876.65892678354</v>
      </c>
      <c r="G433" s="733">
        <f t="shared" si="153"/>
        <v>117797.11565089578</v>
      </c>
      <c r="H433" s="733">
        <f t="shared" si="153"/>
        <v>0</v>
      </c>
      <c r="I433" s="25">
        <f t="shared" si="155"/>
        <v>4649786.4880812895</v>
      </c>
      <c r="J433" s="733">
        <v>303</v>
      </c>
      <c r="K433" s="733">
        <f t="shared" si="156"/>
        <v>15345.829993667621</v>
      </c>
      <c r="L433" s="667"/>
      <c r="M433" s="667"/>
      <c r="N433" s="192" t="s">
        <v>1418</v>
      </c>
      <c r="O433" s="746">
        <f t="shared" si="137"/>
        <v>41147</v>
      </c>
      <c r="P433" s="746">
        <v>41150</v>
      </c>
      <c r="Q433" s="747" t="s">
        <v>431</v>
      </c>
      <c r="R433" s="304">
        <v>310</v>
      </c>
      <c r="S433" s="778">
        <v>13042</v>
      </c>
      <c r="T433" s="25">
        <f t="shared" si="157"/>
        <v>4043020</v>
      </c>
      <c r="U433" s="450"/>
      <c r="V433" s="748"/>
      <c r="W433" s="778"/>
      <c r="X433" s="778"/>
      <c r="Y433" s="25"/>
    </row>
    <row r="434" spans="1:25">
      <c r="A434" s="732">
        <f t="shared" si="142"/>
        <v>57</v>
      </c>
      <c r="B434" s="297" t="s">
        <v>1123</v>
      </c>
      <c r="C434" s="25">
        <f t="shared" si="154"/>
        <v>3723200</v>
      </c>
      <c r="D434" s="733">
        <f t="shared" si="153"/>
        <v>260444.58172677504</v>
      </c>
      <c r="E434" s="733">
        <f t="shared" si="153"/>
        <v>78648.13177683574</v>
      </c>
      <c r="F434" s="733">
        <f t="shared" si="153"/>
        <v>149876.65892678354</v>
      </c>
      <c r="G434" s="733">
        <f t="shared" si="153"/>
        <v>117797.11565089578</v>
      </c>
      <c r="H434" s="733">
        <f t="shared" si="153"/>
        <v>0</v>
      </c>
      <c r="I434" s="25">
        <f t="shared" si="155"/>
        <v>4329966.4880812904</v>
      </c>
      <c r="J434" s="733">
        <v>303</v>
      </c>
      <c r="K434" s="733">
        <f t="shared" si="156"/>
        <v>14290.318442512509</v>
      </c>
      <c r="L434" s="667"/>
      <c r="M434" s="667"/>
      <c r="N434" s="192" t="s">
        <v>1238</v>
      </c>
      <c r="O434" s="746">
        <f t="shared" si="137"/>
        <v>41147</v>
      </c>
      <c r="P434" s="746">
        <v>41150</v>
      </c>
      <c r="Q434" s="747" t="s">
        <v>431</v>
      </c>
      <c r="R434" s="304">
        <v>320</v>
      </c>
      <c r="S434" s="778">
        <v>11635</v>
      </c>
      <c r="T434" s="25">
        <f t="shared" si="157"/>
        <v>3723200</v>
      </c>
      <c r="U434" s="450"/>
      <c r="V434" s="748"/>
      <c r="W434" s="778"/>
      <c r="X434" s="778"/>
      <c r="Y434" s="25"/>
    </row>
    <row r="435" spans="1:25">
      <c r="A435" s="732">
        <f t="shared" si="142"/>
        <v>58</v>
      </c>
      <c r="B435" s="297" t="s">
        <v>1100</v>
      </c>
      <c r="C435" s="25">
        <f t="shared" si="154"/>
        <v>5453435</v>
      </c>
      <c r="D435" s="733">
        <f t="shared" si="153"/>
        <v>911126.25950620975</v>
      </c>
      <c r="E435" s="733">
        <f t="shared" si="153"/>
        <v>275138.67882325372</v>
      </c>
      <c r="F435" s="733">
        <f t="shared" si="153"/>
        <v>524320.98502439121</v>
      </c>
      <c r="G435" s="733">
        <f t="shared" si="153"/>
        <v>412095.52009884332</v>
      </c>
      <c r="H435" s="733">
        <f t="shared" si="153"/>
        <v>0</v>
      </c>
      <c r="I435" s="25">
        <f t="shared" si="155"/>
        <v>7576116.4434526982</v>
      </c>
      <c r="J435" s="733">
        <v>1060</v>
      </c>
      <c r="K435" s="733">
        <f t="shared" si="156"/>
        <v>7147.2796636346211</v>
      </c>
      <c r="L435" s="667"/>
      <c r="M435" s="667"/>
      <c r="N435" s="192" t="s">
        <v>1307</v>
      </c>
      <c r="O435" s="746">
        <f t="shared" si="137"/>
        <v>41150</v>
      </c>
      <c r="P435" s="746">
        <v>41153</v>
      </c>
      <c r="Q435" s="747" t="s">
        <v>1034</v>
      </c>
      <c r="R435" s="304">
        <f>J435/4</f>
        <v>265</v>
      </c>
      <c r="S435" s="778">
        <v>20579</v>
      </c>
      <c r="T435" s="25">
        <f t="shared" si="157"/>
        <v>5453435</v>
      </c>
      <c r="U435" s="450"/>
      <c r="V435" s="748"/>
      <c r="W435" s="778"/>
      <c r="X435" s="778"/>
      <c r="Y435" s="25"/>
    </row>
    <row r="436" spans="1:25">
      <c r="A436" s="732">
        <f t="shared" si="142"/>
        <v>59</v>
      </c>
      <c r="B436" s="297" t="s">
        <v>1096</v>
      </c>
      <c r="C436" s="25">
        <f t="shared" si="154"/>
        <v>5684280</v>
      </c>
      <c r="D436" s="733">
        <f t="shared" si="153"/>
        <v>876744.13650597539</v>
      </c>
      <c r="E436" s="733">
        <f t="shared" si="153"/>
        <v>264756.08716954605</v>
      </c>
      <c r="F436" s="733">
        <f t="shared" si="153"/>
        <v>504535.28747630102</v>
      </c>
      <c r="G436" s="733">
        <f t="shared" si="153"/>
        <v>396544.74575549073</v>
      </c>
      <c r="H436" s="733">
        <f t="shared" si="153"/>
        <v>0</v>
      </c>
      <c r="I436" s="25">
        <f t="shared" si="155"/>
        <v>7726860.2569073131</v>
      </c>
      <c r="J436" s="733">
        <v>1020</v>
      </c>
      <c r="K436" s="733">
        <f t="shared" si="156"/>
        <v>7575.3531930463851</v>
      </c>
      <c r="L436" s="667"/>
      <c r="M436" s="667"/>
      <c r="N436" s="192" t="s">
        <v>1299</v>
      </c>
      <c r="O436" s="746">
        <f t="shared" si="137"/>
        <v>41155</v>
      </c>
      <c r="P436" s="746">
        <v>41158</v>
      </c>
      <c r="Q436" s="747" t="s">
        <v>1035</v>
      </c>
      <c r="R436" s="304">
        <v>268</v>
      </c>
      <c r="S436" s="778">
        <v>21210</v>
      </c>
      <c r="T436" s="25">
        <f t="shared" si="157"/>
        <v>5684280</v>
      </c>
      <c r="U436" s="450"/>
      <c r="V436" s="748"/>
      <c r="W436" s="778"/>
      <c r="X436" s="778"/>
      <c r="Y436" s="25"/>
    </row>
    <row r="437" spans="1:25">
      <c r="A437" s="732">
        <f t="shared" si="142"/>
        <v>60</v>
      </c>
      <c r="B437" s="297" t="s">
        <v>1122</v>
      </c>
      <c r="C437" s="25">
        <f t="shared" si="154"/>
        <v>3773952</v>
      </c>
      <c r="D437" s="733">
        <f t="shared" si="153"/>
        <v>92831.732100632682</v>
      </c>
      <c r="E437" s="733">
        <f t="shared" si="153"/>
        <v>28032.997465010758</v>
      </c>
      <c r="F437" s="733">
        <f t="shared" si="153"/>
        <v>53421.383379843639</v>
      </c>
      <c r="G437" s="733">
        <f t="shared" si="153"/>
        <v>41987.09072705196</v>
      </c>
      <c r="H437" s="733">
        <f t="shared" si="153"/>
        <v>0</v>
      </c>
      <c r="I437" s="25">
        <f t="shared" si="155"/>
        <v>3990225.203672539</v>
      </c>
      <c r="J437" s="733">
        <v>108</v>
      </c>
      <c r="K437" s="733">
        <f t="shared" si="156"/>
        <v>36946.529663634617</v>
      </c>
      <c r="L437" s="667"/>
      <c r="M437" s="667"/>
      <c r="N437" s="192" t="s">
        <v>1321</v>
      </c>
      <c r="O437" s="746">
        <f t="shared" si="137"/>
        <v>41159</v>
      </c>
      <c r="P437" s="746">
        <v>41162</v>
      </c>
      <c r="Q437" s="747" t="s">
        <v>1036</v>
      </c>
      <c r="R437" s="304">
        <f>J437</f>
        <v>108</v>
      </c>
      <c r="S437" s="778">
        <v>34944</v>
      </c>
      <c r="T437" s="25">
        <f t="shared" si="157"/>
        <v>3773952</v>
      </c>
      <c r="U437" s="450"/>
      <c r="V437" s="748"/>
      <c r="W437" s="778"/>
      <c r="X437" s="778"/>
      <c r="Y437" s="25"/>
    </row>
    <row r="438" spans="1:25">
      <c r="A438" s="732">
        <f t="shared" si="142"/>
        <v>61</v>
      </c>
      <c r="B438" s="297" t="s">
        <v>1121</v>
      </c>
      <c r="C438" s="25">
        <f t="shared" si="154"/>
        <v>1900080</v>
      </c>
      <c r="D438" s="733">
        <f t="shared" ref="D438:H450" si="158">IF($J$452&lt;&gt;0,D$452/$J$452*$J438,0)</f>
        <v>54151.843725369064</v>
      </c>
      <c r="E438" s="733">
        <f t="shared" si="158"/>
        <v>16352.581854589609</v>
      </c>
      <c r="F438" s="733">
        <f t="shared" si="158"/>
        <v>31162.473638242122</v>
      </c>
      <c r="G438" s="733">
        <f t="shared" si="158"/>
        <v>24492.469590780311</v>
      </c>
      <c r="H438" s="733">
        <f t="shared" si="158"/>
        <v>0</v>
      </c>
      <c r="I438" s="25">
        <f t="shared" si="155"/>
        <v>2026239.368808981</v>
      </c>
      <c r="J438" s="733">
        <v>63</v>
      </c>
      <c r="K438" s="733">
        <f t="shared" si="156"/>
        <v>32162.529663634621</v>
      </c>
      <c r="L438" s="667"/>
      <c r="M438" s="667"/>
      <c r="N438" s="192" t="s">
        <v>1286</v>
      </c>
      <c r="O438" s="746">
        <f t="shared" si="137"/>
        <v>41159</v>
      </c>
      <c r="P438" s="746">
        <v>41162</v>
      </c>
      <c r="Q438" s="747" t="s">
        <v>1036</v>
      </c>
      <c r="R438" s="304">
        <v>65</v>
      </c>
      <c r="S438" s="778">
        <v>29232</v>
      </c>
      <c r="T438" s="25">
        <f t="shared" si="157"/>
        <v>1900080</v>
      </c>
      <c r="U438" s="450"/>
      <c r="V438" s="748"/>
      <c r="W438" s="778"/>
      <c r="X438" s="778"/>
      <c r="Y438" s="25"/>
    </row>
    <row r="439" spans="1:25">
      <c r="A439" s="732">
        <f t="shared" si="142"/>
        <v>62</v>
      </c>
      <c r="B439" s="297" t="s">
        <v>1103</v>
      </c>
      <c r="C439" s="25">
        <f t="shared" si="154"/>
        <v>6350500</v>
      </c>
      <c r="D439" s="733">
        <f t="shared" si="158"/>
        <v>507136.31425345637</v>
      </c>
      <c r="E439" s="733">
        <f t="shared" si="158"/>
        <v>153143.2268921884</v>
      </c>
      <c r="F439" s="733">
        <f t="shared" si="158"/>
        <v>291839.03883433098</v>
      </c>
      <c r="G439" s="733">
        <f t="shared" si="158"/>
        <v>229373.92156445052</v>
      </c>
      <c r="H439" s="733">
        <f t="shared" si="158"/>
        <v>0</v>
      </c>
      <c r="I439" s="25">
        <f t="shared" si="155"/>
        <v>7531992.5015444253</v>
      </c>
      <c r="J439" s="733">
        <v>590</v>
      </c>
      <c r="K439" s="733">
        <f t="shared" si="156"/>
        <v>12766.088985668517</v>
      </c>
      <c r="L439" s="667"/>
      <c r="M439" s="667"/>
      <c r="N439" s="192" t="s">
        <v>1271</v>
      </c>
      <c r="O439" s="746">
        <f t="shared" si="137"/>
        <v>41159</v>
      </c>
      <c r="P439" s="746">
        <v>41162</v>
      </c>
      <c r="Q439" s="747" t="s">
        <v>432</v>
      </c>
      <c r="R439" s="304">
        <v>350</v>
      </c>
      <c r="S439" s="778">
        <v>18144.285714285714</v>
      </c>
      <c r="T439" s="25">
        <f t="shared" si="157"/>
        <v>6350500</v>
      </c>
      <c r="U439" s="450"/>
      <c r="V439" s="748"/>
      <c r="W439" s="778"/>
      <c r="X439" s="778"/>
      <c r="Y439" s="25"/>
    </row>
    <row r="440" spans="1:25">
      <c r="A440" s="732">
        <f t="shared" si="142"/>
        <v>63</v>
      </c>
      <c r="B440" s="297" t="s">
        <v>1104</v>
      </c>
      <c r="C440" s="25">
        <f t="shared" si="154"/>
        <v>1446300</v>
      </c>
      <c r="D440" s="733">
        <f t="shared" si="158"/>
        <v>171051.06192616577</v>
      </c>
      <c r="E440" s="733">
        <f t="shared" si="158"/>
        <v>51653.39347719575</v>
      </c>
      <c r="F440" s="733">
        <f t="shared" si="158"/>
        <v>98433.845301748923</v>
      </c>
      <c r="G440" s="733">
        <f t="shared" si="158"/>
        <v>77365.10235817908</v>
      </c>
      <c r="H440" s="733">
        <f t="shared" si="158"/>
        <v>0</v>
      </c>
      <c r="I440" s="25">
        <f t="shared" si="155"/>
        <v>1844803.4030632896</v>
      </c>
      <c r="J440" s="733">
        <v>199</v>
      </c>
      <c r="K440" s="733">
        <f t="shared" si="156"/>
        <v>9270.3688596145203</v>
      </c>
      <c r="L440" s="667"/>
      <c r="M440" s="667"/>
      <c r="N440" s="192" t="s">
        <v>1272</v>
      </c>
      <c r="O440" s="746">
        <f t="shared" si="137"/>
        <v>41159</v>
      </c>
      <c r="P440" s="746">
        <v>41162</v>
      </c>
      <c r="Q440" s="747" t="s">
        <v>432</v>
      </c>
      <c r="R440" s="304">
        <v>100</v>
      </c>
      <c r="S440" s="778">
        <v>14463</v>
      </c>
      <c r="T440" s="25">
        <f t="shared" si="157"/>
        <v>1446300</v>
      </c>
      <c r="U440" s="450"/>
      <c r="V440" s="748"/>
      <c r="W440" s="778"/>
      <c r="X440" s="778"/>
      <c r="Y440" s="25"/>
    </row>
    <row r="441" spans="1:25">
      <c r="A441" s="732">
        <f t="shared" si="142"/>
        <v>64</v>
      </c>
      <c r="B441" s="297" t="s">
        <v>1714</v>
      </c>
      <c r="C441" s="25">
        <f t="shared" si="154"/>
        <v>2988600</v>
      </c>
      <c r="D441" s="733">
        <f t="shared" si="158"/>
        <v>260444.58172677504</v>
      </c>
      <c r="E441" s="733">
        <f t="shared" si="158"/>
        <v>78648.13177683574</v>
      </c>
      <c r="F441" s="733">
        <f t="shared" si="158"/>
        <v>149876.65892678354</v>
      </c>
      <c r="G441" s="733">
        <f t="shared" si="158"/>
        <v>117797.11565089578</v>
      </c>
      <c r="H441" s="733">
        <f t="shared" si="158"/>
        <v>0</v>
      </c>
      <c r="I441" s="25">
        <f t="shared" si="155"/>
        <v>3595366.4880812904</v>
      </c>
      <c r="J441" s="733">
        <v>303</v>
      </c>
      <c r="K441" s="733">
        <f t="shared" si="156"/>
        <v>11865.896000268285</v>
      </c>
      <c r="L441" s="667"/>
      <c r="M441" s="667"/>
      <c r="N441" s="192" t="s">
        <v>1287</v>
      </c>
      <c r="O441" s="746">
        <f t="shared" si="137"/>
        <v>41159</v>
      </c>
      <c r="P441" s="746">
        <v>41162</v>
      </c>
      <c r="Q441" s="747" t="s">
        <v>432</v>
      </c>
      <c r="R441" s="304">
        <v>150</v>
      </c>
      <c r="S441" s="778">
        <v>19924</v>
      </c>
      <c r="T441" s="25">
        <f t="shared" si="157"/>
        <v>2988600</v>
      </c>
      <c r="U441" s="450"/>
      <c r="V441" s="748"/>
      <c r="W441" s="778"/>
      <c r="X441" s="778"/>
      <c r="Y441" s="25"/>
    </row>
    <row r="442" spans="1:25">
      <c r="A442" s="732">
        <f t="shared" si="142"/>
        <v>65</v>
      </c>
      <c r="B442" s="297" t="s">
        <v>1037</v>
      </c>
      <c r="C442" s="25">
        <f t="shared" si="154"/>
        <v>418660</v>
      </c>
      <c r="D442" s="733">
        <f t="shared" si="158"/>
        <v>85955.307500585826</v>
      </c>
      <c r="E442" s="733">
        <f t="shared" si="158"/>
        <v>25956.479134269222</v>
      </c>
      <c r="F442" s="733">
        <f t="shared" si="158"/>
        <v>49464.243870225589</v>
      </c>
      <c r="G442" s="733">
        <f t="shared" si="158"/>
        <v>38876.935858381446</v>
      </c>
      <c r="H442" s="733">
        <f t="shared" si="158"/>
        <v>0</v>
      </c>
      <c r="I442" s="25">
        <f t="shared" si="155"/>
        <v>618912.96636346204</v>
      </c>
      <c r="J442" s="733">
        <v>100</v>
      </c>
      <c r="K442" s="733">
        <f t="shared" si="156"/>
        <v>6189.1296636346206</v>
      </c>
      <c r="L442" s="667"/>
      <c r="M442" s="667"/>
      <c r="N442" s="192" t="s">
        <v>1249</v>
      </c>
      <c r="O442" s="746">
        <f t="shared" ref="O442:O450" si="159">P442-3</f>
        <v>41159</v>
      </c>
      <c r="P442" s="746">
        <v>41162</v>
      </c>
      <c r="Q442" s="747" t="s">
        <v>1038</v>
      </c>
      <c r="R442" s="304">
        <v>20</v>
      </c>
      <c r="S442" s="778">
        <v>20933</v>
      </c>
      <c r="T442" s="25">
        <f t="shared" si="157"/>
        <v>418660</v>
      </c>
      <c r="U442" s="450"/>
      <c r="V442" s="748"/>
      <c r="W442" s="778"/>
      <c r="X442" s="778"/>
      <c r="Y442" s="25"/>
    </row>
    <row r="443" spans="1:25">
      <c r="A443" s="732">
        <f t="shared" si="142"/>
        <v>66</v>
      </c>
      <c r="B443" s="297" t="s">
        <v>1204</v>
      </c>
      <c r="C443" s="25">
        <f t="shared" si="154"/>
        <v>630000</v>
      </c>
      <c r="D443" s="733">
        <f t="shared" si="158"/>
        <v>195978.10110133566</v>
      </c>
      <c r="E443" s="733">
        <f t="shared" si="158"/>
        <v>59180.772426133823</v>
      </c>
      <c r="F443" s="733">
        <f t="shared" si="158"/>
        <v>112778.47602411435</v>
      </c>
      <c r="G443" s="733">
        <f t="shared" si="158"/>
        <v>88639.413757109694</v>
      </c>
      <c r="H443" s="733">
        <f t="shared" si="158"/>
        <v>0</v>
      </c>
      <c r="I443" s="25">
        <f t="shared" si="155"/>
        <v>1086576.7633086937</v>
      </c>
      <c r="J443" s="733">
        <v>228</v>
      </c>
      <c r="K443" s="733">
        <f t="shared" si="156"/>
        <v>4765.6875583714636</v>
      </c>
      <c r="L443" s="667"/>
      <c r="M443" s="667"/>
      <c r="N443" s="192" t="s">
        <v>1393</v>
      </c>
      <c r="O443" s="746">
        <f t="shared" si="159"/>
        <v>41159</v>
      </c>
      <c r="P443" s="746">
        <v>41162</v>
      </c>
      <c r="Q443" s="747" t="s">
        <v>1038</v>
      </c>
      <c r="R443" s="304">
        <v>45</v>
      </c>
      <c r="S443" s="778">
        <v>14000</v>
      </c>
      <c r="T443" s="25">
        <f t="shared" si="157"/>
        <v>630000</v>
      </c>
      <c r="U443" s="450"/>
      <c r="V443" s="748"/>
      <c r="W443" s="778"/>
      <c r="X443" s="778"/>
      <c r="Y443" s="25"/>
    </row>
    <row r="444" spans="1:25">
      <c r="A444" s="732">
        <f t="shared" ref="A444:A450" si="160">IF(B444&lt;&gt;"",A443+1,"")</f>
        <v>67</v>
      </c>
      <c r="B444" s="297" t="s">
        <v>1204</v>
      </c>
      <c r="C444" s="25">
        <f t="shared" si="154"/>
        <v>2170000</v>
      </c>
      <c r="D444" s="733">
        <f t="shared" si="158"/>
        <v>694518.88460473344</v>
      </c>
      <c r="E444" s="733">
        <f t="shared" si="158"/>
        <v>209728.35140489531</v>
      </c>
      <c r="F444" s="733">
        <f t="shared" si="158"/>
        <v>399671.09047142277</v>
      </c>
      <c r="G444" s="733">
        <f t="shared" si="158"/>
        <v>314125.64173572208</v>
      </c>
      <c r="H444" s="733">
        <f t="shared" si="158"/>
        <v>0</v>
      </c>
      <c r="I444" s="25">
        <f t="shared" si="155"/>
        <v>3788043.9682167731</v>
      </c>
      <c r="J444" s="733">
        <v>808</v>
      </c>
      <c r="K444" s="733">
        <f t="shared" si="156"/>
        <v>4688.1732279910557</v>
      </c>
      <c r="L444" s="667"/>
      <c r="M444" s="667"/>
      <c r="N444" s="192" t="s">
        <v>1393</v>
      </c>
      <c r="O444" s="746">
        <f t="shared" si="159"/>
        <v>41160</v>
      </c>
      <c r="P444" s="746">
        <v>41163</v>
      </c>
      <c r="Q444" s="747" t="s">
        <v>1039</v>
      </c>
      <c r="R444" s="304">
        <v>155</v>
      </c>
      <c r="S444" s="778">
        <v>14000</v>
      </c>
      <c r="T444" s="25">
        <f t="shared" si="157"/>
        <v>2170000</v>
      </c>
      <c r="U444" s="450"/>
      <c r="V444" s="748"/>
      <c r="W444" s="778"/>
      <c r="X444" s="778"/>
      <c r="Y444" s="25"/>
    </row>
    <row r="445" spans="1:25">
      <c r="A445" s="732">
        <f t="shared" si="160"/>
        <v>68</v>
      </c>
      <c r="B445" s="297" t="s">
        <v>1205</v>
      </c>
      <c r="C445" s="25">
        <f t="shared" si="154"/>
        <v>962918</v>
      </c>
      <c r="D445" s="733">
        <f t="shared" si="158"/>
        <v>179646.59267622436</v>
      </c>
      <c r="E445" s="733">
        <f t="shared" si="158"/>
        <v>54249.041390622675</v>
      </c>
      <c r="F445" s="733">
        <f t="shared" si="158"/>
        <v>103380.26968877148</v>
      </c>
      <c r="G445" s="733">
        <f t="shared" si="158"/>
        <v>81252.795944017213</v>
      </c>
      <c r="H445" s="733">
        <f t="shared" si="158"/>
        <v>0</v>
      </c>
      <c r="I445" s="25">
        <f t="shared" si="155"/>
        <v>1381446.6996996359</v>
      </c>
      <c r="J445" s="733">
        <v>209</v>
      </c>
      <c r="K445" s="733">
        <f t="shared" si="156"/>
        <v>6609.7928215293578</v>
      </c>
      <c r="L445" s="667"/>
      <c r="M445" s="667"/>
      <c r="N445" s="192" t="s">
        <v>1249</v>
      </c>
      <c r="O445" s="746">
        <f t="shared" si="159"/>
        <v>41160</v>
      </c>
      <c r="P445" s="746">
        <v>41163</v>
      </c>
      <c r="Q445" s="747" t="s">
        <v>1039</v>
      </c>
      <c r="R445" s="304">
        <v>46</v>
      </c>
      <c r="S445" s="778">
        <v>20933</v>
      </c>
      <c r="T445" s="25">
        <f t="shared" si="157"/>
        <v>962918</v>
      </c>
      <c r="U445" s="450"/>
      <c r="V445" s="748"/>
      <c r="W445" s="778"/>
      <c r="X445" s="778"/>
      <c r="Y445" s="25"/>
    </row>
    <row r="446" spans="1:25">
      <c r="A446" s="732">
        <f t="shared" si="160"/>
        <v>69</v>
      </c>
      <c r="B446" s="297" t="s">
        <v>1206</v>
      </c>
      <c r="C446" s="25">
        <f t="shared" si="154"/>
        <v>255528</v>
      </c>
      <c r="D446" s="733">
        <f t="shared" si="158"/>
        <v>89393.519800609254</v>
      </c>
      <c r="E446" s="733">
        <f t="shared" si="158"/>
        <v>26994.73829963999</v>
      </c>
      <c r="F446" s="733">
        <f t="shared" si="158"/>
        <v>51442.813625034614</v>
      </c>
      <c r="G446" s="733">
        <f t="shared" si="158"/>
        <v>40432.0132927167</v>
      </c>
      <c r="H446" s="733">
        <f t="shared" si="158"/>
        <v>0</v>
      </c>
      <c r="I446" s="25">
        <f t="shared" si="155"/>
        <v>463791.08501800057</v>
      </c>
      <c r="J446" s="733">
        <v>104</v>
      </c>
      <c r="K446" s="733">
        <f t="shared" si="156"/>
        <v>4459.5296636346211</v>
      </c>
      <c r="L446" s="667"/>
      <c r="M446" s="667"/>
      <c r="N446" s="192" t="s">
        <v>1376</v>
      </c>
      <c r="O446" s="746">
        <f t="shared" si="159"/>
        <v>41160</v>
      </c>
      <c r="P446" s="746">
        <v>41163</v>
      </c>
      <c r="Q446" s="747" t="s">
        <v>1039</v>
      </c>
      <c r="R446" s="304">
        <f>J446/4</f>
        <v>26</v>
      </c>
      <c r="S446" s="778">
        <v>9828</v>
      </c>
      <c r="T446" s="25">
        <f t="shared" si="157"/>
        <v>255528</v>
      </c>
      <c r="U446" s="450"/>
      <c r="V446" s="748"/>
      <c r="W446" s="778"/>
      <c r="X446" s="778"/>
      <c r="Y446" s="25"/>
    </row>
    <row r="447" spans="1:25">
      <c r="A447" s="732">
        <f t="shared" si="160"/>
        <v>70</v>
      </c>
      <c r="B447" s="297" t="s">
        <v>1197</v>
      </c>
      <c r="C447" s="25">
        <f t="shared" si="154"/>
        <v>337560</v>
      </c>
      <c r="D447" s="733">
        <f t="shared" si="158"/>
        <v>1719106.1500117164</v>
      </c>
      <c r="E447" s="733">
        <f t="shared" si="158"/>
        <v>519129.58268538443</v>
      </c>
      <c r="F447" s="733">
        <f t="shared" si="158"/>
        <v>989284.87740451179</v>
      </c>
      <c r="G447" s="733">
        <f t="shared" si="158"/>
        <v>777538.71716762893</v>
      </c>
      <c r="H447" s="733">
        <f t="shared" si="158"/>
        <v>0</v>
      </c>
      <c r="I447" s="25">
        <f t="shared" si="155"/>
        <v>4342619.3272692412</v>
      </c>
      <c r="J447" s="733">
        <v>2000</v>
      </c>
      <c r="K447" s="733">
        <f t="shared" si="156"/>
        <v>2171.3096636346204</v>
      </c>
      <c r="L447" s="667"/>
      <c r="M447" s="667"/>
      <c r="N447" s="192" t="s">
        <v>1253</v>
      </c>
      <c r="O447" s="746">
        <f t="shared" si="159"/>
        <v>41160</v>
      </c>
      <c r="P447" s="746">
        <v>41163</v>
      </c>
      <c r="Q447" s="747" t="s">
        <v>1039</v>
      </c>
      <c r="R447" s="304">
        <v>20</v>
      </c>
      <c r="S447" s="778">
        <v>16878</v>
      </c>
      <c r="T447" s="25">
        <f t="shared" si="157"/>
        <v>337560</v>
      </c>
      <c r="U447" s="450"/>
      <c r="V447" s="748"/>
      <c r="W447" s="778"/>
      <c r="X447" s="778"/>
      <c r="Y447" s="25"/>
    </row>
    <row r="448" spans="1:25">
      <c r="A448" s="732">
        <f t="shared" si="160"/>
        <v>71</v>
      </c>
      <c r="B448" s="297" t="s">
        <v>1203</v>
      </c>
      <c r="C448" s="25">
        <f t="shared" si="154"/>
        <v>84390</v>
      </c>
      <c r="D448" s="733">
        <f t="shared" si="158"/>
        <v>343821.23000234331</v>
      </c>
      <c r="E448" s="733">
        <f t="shared" si="158"/>
        <v>103825.91653707689</v>
      </c>
      <c r="F448" s="733">
        <f t="shared" si="158"/>
        <v>197856.97548090236</v>
      </c>
      <c r="G448" s="733">
        <f t="shared" si="158"/>
        <v>155507.74343352579</v>
      </c>
      <c r="H448" s="733">
        <f t="shared" si="158"/>
        <v>0</v>
      </c>
      <c r="I448" s="25">
        <f t="shared" si="155"/>
        <v>885401.86545384838</v>
      </c>
      <c r="J448" s="733">
        <v>400</v>
      </c>
      <c r="K448" s="733">
        <f t="shared" si="156"/>
        <v>2213.504663634621</v>
      </c>
      <c r="L448" s="667"/>
      <c r="M448" s="667"/>
      <c r="N448" s="192" t="s">
        <v>1253</v>
      </c>
      <c r="O448" s="746">
        <f t="shared" si="159"/>
        <v>41160</v>
      </c>
      <c r="P448" s="746">
        <v>41163</v>
      </c>
      <c r="Q448" s="747" t="s">
        <v>1039</v>
      </c>
      <c r="R448" s="304">
        <v>5</v>
      </c>
      <c r="S448" s="778">
        <v>16878</v>
      </c>
      <c r="T448" s="25">
        <f t="shared" si="157"/>
        <v>84390</v>
      </c>
      <c r="U448" s="450"/>
      <c r="V448" s="748"/>
      <c r="W448" s="778"/>
      <c r="X448" s="778"/>
      <c r="Y448" s="25"/>
    </row>
    <row r="449" spans="1:25">
      <c r="A449" s="732">
        <f t="shared" si="160"/>
        <v>72</v>
      </c>
      <c r="B449" s="297" t="s">
        <v>1096</v>
      </c>
      <c r="C449" s="25">
        <f t="shared" si="154"/>
        <v>2767520</v>
      </c>
      <c r="D449" s="733">
        <f t="shared" si="158"/>
        <v>442669.83362801699</v>
      </c>
      <c r="E449" s="733">
        <f t="shared" si="158"/>
        <v>133675.86754148648</v>
      </c>
      <c r="F449" s="733">
        <f t="shared" si="158"/>
        <v>254740.85593166179</v>
      </c>
      <c r="G449" s="733">
        <f t="shared" si="158"/>
        <v>200216.21967066443</v>
      </c>
      <c r="H449" s="733">
        <f t="shared" si="158"/>
        <v>0</v>
      </c>
      <c r="I449" s="25">
        <f t="shared" si="155"/>
        <v>3798822.7767718295</v>
      </c>
      <c r="J449" s="733">
        <v>515</v>
      </c>
      <c r="K449" s="733">
        <f t="shared" si="156"/>
        <v>7376.3549063530672</v>
      </c>
      <c r="L449" s="667"/>
      <c r="M449" s="667"/>
      <c r="N449" s="192" t="s">
        <v>1327</v>
      </c>
      <c r="O449" s="746">
        <f t="shared" si="159"/>
        <v>41166</v>
      </c>
      <c r="P449" s="746">
        <v>41169</v>
      </c>
      <c r="Q449" s="747" t="s">
        <v>1040</v>
      </c>
      <c r="R449" s="304">
        <v>140</v>
      </c>
      <c r="S449" s="778">
        <v>19768</v>
      </c>
      <c r="T449" s="25">
        <f t="shared" si="157"/>
        <v>2767520</v>
      </c>
      <c r="U449" s="450"/>
      <c r="V449" s="748"/>
      <c r="W449" s="778"/>
      <c r="X449" s="778"/>
      <c r="Y449" s="25"/>
    </row>
    <row r="450" spans="1:25">
      <c r="A450" s="732">
        <f t="shared" si="160"/>
        <v>73</v>
      </c>
      <c r="B450" s="297" t="s">
        <v>1096</v>
      </c>
      <c r="C450" s="25">
        <f t="shared" si="154"/>
        <v>2855750</v>
      </c>
      <c r="D450" s="733">
        <f t="shared" si="158"/>
        <v>507136.31425345637</v>
      </c>
      <c r="E450" s="733">
        <f t="shared" si="158"/>
        <v>153143.2268921884</v>
      </c>
      <c r="F450" s="733">
        <f t="shared" si="158"/>
        <v>291839.03883433098</v>
      </c>
      <c r="G450" s="733">
        <f t="shared" si="158"/>
        <v>229373.92156445052</v>
      </c>
      <c r="H450" s="733">
        <f t="shared" si="158"/>
        <v>0</v>
      </c>
      <c r="I450" s="25">
        <f t="shared" si="155"/>
        <v>4037242.5015444262</v>
      </c>
      <c r="J450" s="733">
        <v>590</v>
      </c>
      <c r="K450" s="733">
        <f t="shared" si="156"/>
        <v>6842.7839009227564</v>
      </c>
      <c r="L450" s="667"/>
      <c r="M450" s="667"/>
      <c r="N450" s="192" t="s">
        <v>1244</v>
      </c>
      <c r="O450" s="746">
        <f t="shared" si="159"/>
        <v>41166</v>
      </c>
      <c r="P450" s="746">
        <v>41169</v>
      </c>
      <c r="Q450" s="747" t="s">
        <v>1040</v>
      </c>
      <c r="R450" s="304">
        <v>125</v>
      </c>
      <c r="S450" s="778">
        <v>22846</v>
      </c>
      <c r="T450" s="25">
        <f t="shared" si="157"/>
        <v>2855750</v>
      </c>
      <c r="U450" s="450"/>
      <c r="V450" s="748"/>
      <c r="W450" s="778"/>
      <c r="X450" s="778"/>
      <c r="Y450" s="25"/>
    </row>
    <row r="451" spans="1:25" s="751" customFormat="1">
      <c r="A451" s="732" t="str">
        <f>IF(B451&lt;&gt;"",#REF!+1,"")</f>
        <v/>
      </c>
      <c r="B451" s="763"/>
      <c r="C451" s="25"/>
      <c r="D451" s="733"/>
      <c r="E451" s="733"/>
      <c r="F451" s="733"/>
      <c r="G451" s="733"/>
      <c r="H451" s="733"/>
      <c r="I451" s="25"/>
      <c r="J451" s="254"/>
      <c r="K451" s="733"/>
      <c r="L451" s="667"/>
      <c r="M451" s="667"/>
      <c r="N451" s="450"/>
      <c r="O451" s="748"/>
      <c r="P451" s="746"/>
      <c r="Q451" s="747"/>
      <c r="R451" s="304"/>
      <c r="S451" s="778"/>
      <c r="T451" s="25">
        <f t="shared" si="143"/>
        <v>0</v>
      </c>
      <c r="U451" s="450"/>
      <c r="V451" s="748"/>
      <c r="W451" s="778"/>
      <c r="X451" s="778"/>
      <c r="Y451" s="25">
        <f t="shared" si="139"/>
        <v>0</v>
      </c>
    </row>
    <row r="452" spans="1:25" s="730" customFormat="1">
      <c r="A452" s="734"/>
      <c r="B452" s="735" t="s">
        <v>268</v>
      </c>
      <c r="C452" s="542">
        <f>SUM(C378:C451)</f>
        <v>250020048</v>
      </c>
      <c r="D452" s="542">
        <v>40350000</v>
      </c>
      <c r="E452" s="542">
        <f>$Y$452</f>
        <v>12184750</v>
      </c>
      <c r="F452" s="542">
        <v>23220000</v>
      </c>
      <c r="G452" s="542">
        <v>18250000</v>
      </c>
      <c r="H452" s="542"/>
      <c r="I452" s="542">
        <f>ROUND(SUM(I378:I451),0)</f>
        <v>344024798</v>
      </c>
      <c r="J452" s="542">
        <f>ROUND(SUM(J378:J451),0)</f>
        <v>46943</v>
      </c>
      <c r="K452" s="542"/>
      <c r="L452" s="743"/>
      <c r="M452" s="743"/>
      <c r="N452" s="752"/>
      <c r="O452" s="753"/>
      <c r="P452" s="753"/>
      <c r="Q452" s="754"/>
      <c r="R452" s="795"/>
      <c r="S452" s="27"/>
      <c r="T452" s="47">
        <f>SUM(T378:T451)</f>
        <v>250020048</v>
      </c>
      <c r="U452" s="752"/>
      <c r="V452" s="753"/>
      <c r="W452" s="766"/>
      <c r="X452" s="27"/>
      <c r="Y452" s="47">
        <f>SUM(Y378:Y451)</f>
        <v>12184750</v>
      </c>
    </row>
    <row r="453" spans="1:25" s="730" customFormat="1">
      <c r="A453" s="736"/>
      <c r="B453" s="737"/>
      <c r="C453" s="731"/>
      <c r="D453" s="731"/>
      <c r="E453" s="731"/>
      <c r="F453" s="731"/>
      <c r="G453" s="731"/>
      <c r="H453" s="731"/>
      <c r="I453" s="731"/>
      <c r="J453" s="731"/>
      <c r="K453" s="731"/>
      <c r="L453" s="743"/>
      <c r="M453" s="743"/>
      <c r="N453" s="293"/>
      <c r="O453" s="724"/>
      <c r="P453" s="724"/>
      <c r="Q453" s="742"/>
      <c r="R453" s="788"/>
      <c r="S453" s="293"/>
      <c r="T453" s="729"/>
      <c r="U453" s="293"/>
      <c r="V453" s="724"/>
      <c r="W453" s="293"/>
      <c r="X453" s="293"/>
      <c r="Y453" s="729"/>
    </row>
    <row r="454" spans="1:25" s="730" customFormat="1">
      <c r="A454" s="736"/>
      <c r="B454" s="737"/>
      <c r="C454" s="731"/>
      <c r="D454" s="731"/>
      <c r="E454" s="731"/>
      <c r="F454" s="731"/>
      <c r="G454" s="731"/>
      <c r="H454" s="731"/>
      <c r="I454" s="731"/>
      <c r="J454" s="731"/>
      <c r="K454" s="731"/>
      <c r="L454" s="743"/>
      <c r="M454" s="743"/>
      <c r="N454" s="293"/>
      <c r="O454" s="724"/>
      <c r="P454" s="724"/>
      <c r="Q454" s="742"/>
      <c r="R454" s="788"/>
      <c r="S454" s="293"/>
      <c r="T454" s="729"/>
      <c r="U454" s="293"/>
      <c r="V454" s="724"/>
      <c r="W454" s="293"/>
      <c r="X454" s="293"/>
      <c r="Y454" s="729"/>
    </row>
    <row r="455" spans="1:25" ht="18" customHeight="1">
      <c r="A455" s="582" t="s">
        <v>532</v>
      </c>
      <c r="B455" s="730"/>
      <c r="C455" s="293"/>
      <c r="D455" s="293"/>
      <c r="E455" s="293"/>
      <c r="F455" s="293"/>
      <c r="G455" s="293"/>
      <c r="H455" s="293"/>
      <c r="I455" s="293"/>
      <c r="J455" s="610"/>
      <c r="K455" s="293"/>
      <c r="L455" s="743"/>
      <c r="M455" s="743"/>
      <c r="N455" s="293"/>
      <c r="O455" s="724"/>
      <c r="P455" s="724"/>
      <c r="U455" s="293"/>
      <c r="V455" s="724"/>
    </row>
    <row r="456" spans="1:25" ht="18.75" customHeight="1">
      <c r="A456" s="731" t="s">
        <v>1082</v>
      </c>
      <c r="B456" s="731"/>
      <c r="C456" s="731"/>
      <c r="D456" s="731"/>
      <c r="E456" s="731"/>
      <c r="F456" s="731"/>
      <c r="G456" s="731"/>
      <c r="H456" s="731"/>
      <c r="I456" s="731"/>
      <c r="J456" s="731"/>
      <c r="K456" s="731"/>
      <c r="L456" s="743"/>
      <c r="M456" s="743"/>
      <c r="N456" s="293"/>
      <c r="O456" s="724"/>
      <c r="P456" s="724"/>
      <c r="U456" s="293"/>
      <c r="V456" s="724"/>
    </row>
    <row r="457" spans="1:25" ht="12.75" customHeight="1">
      <c r="A457" s="779"/>
      <c r="B457" s="774"/>
      <c r="C457" s="774"/>
      <c r="D457" s="774"/>
      <c r="E457" s="774"/>
      <c r="F457" s="774"/>
      <c r="G457" s="774"/>
      <c r="H457" s="774"/>
      <c r="I457" s="774"/>
      <c r="J457" s="744"/>
      <c r="K457" s="774"/>
      <c r="L457" s="743"/>
      <c r="M457" s="743"/>
      <c r="N457" s="293"/>
      <c r="O457" s="724"/>
      <c r="P457" s="724"/>
      <c r="U457" s="293"/>
      <c r="V457" s="724"/>
    </row>
    <row r="458" spans="1:25" s="448" customFormat="1" ht="30.75" customHeight="1">
      <c r="A458" s="798" t="s">
        <v>35</v>
      </c>
      <c r="B458" s="443" t="s">
        <v>258</v>
      </c>
      <c r="C458" s="444" t="s">
        <v>262</v>
      </c>
      <c r="D458" s="444" t="s">
        <v>512</v>
      </c>
      <c r="E458" s="444" t="s">
        <v>263</v>
      </c>
      <c r="F458" s="444" t="s">
        <v>504</v>
      </c>
      <c r="G458" s="445" t="s">
        <v>264</v>
      </c>
      <c r="H458" s="444" t="s">
        <v>503</v>
      </c>
      <c r="I458" s="444" t="s">
        <v>265</v>
      </c>
      <c r="J458" s="446" t="s">
        <v>260</v>
      </c>
      <c r="K458" s="444" t="s">
        <v>266</v>
      </c>
      <c r="L458" s="447"/>
      <c r="M458" s="447"/>
      <c r="N458" s="443" t="s">
        <v>258</v>
      </c>
      <c r="O458" s="444" t="s">
        <v>252</v>
      </c>
      <c r="P458" s="444"/>
      <c r="Q458" s="725"/>
      <c r="R458" s="790" t="s">
        <v>215</v>
      </c>
      <c r="S458" s="444" t="s">
        <v>261</v>
      </c>
      <c r="T458" s="444" t="s">
        <v>267</v>
      </c>
      <c r="U458" s="443" t="s">
        <v>258</v>
      </c>
      <c r="V458" s="444" t="s">
        <v>252</v>
      </c>
      <c r="W458" s="444" t="s">
        <v>215</v>
      </c>
      <c r="X458" s="444" t="s">
        <v>261</v>
      </c>
      <c r="Y458" s="443" t="s">
        <v>267</v>
      </c>
    </row>
    <row r="459" spans="1:25">
      <c r="A459" s="732">
        <f>IF(B459&lt;&gt;"",1,"")</f>
        <v>1</v>
      </c>
      <c r="B459" s="297" t="s">
        <v>1120</v>
      </c>
      <c r="C459" s="25">
        <f t="shared" ref="C459:C521" si="161">T459</f>
        <v>3944304</v>
      </c>
      <c r="D459" s="733">
        <f t="shared" ref="D459:H468" si="162">IF($J$523&lt;&gt;0,D$523/$J$523*$J459,0)</f>
        <v>689743.58974358975</v>
      </c>
      <c r="E459" s="733">
        <f t="shared" si="162"/>
        <v>225517.094017094</v>
      </c>
      <c r="F459" s="733">
        <f t="shared" si="162"/>
        <v>270085.47008547012</v>
      </c>
      <c r="G459" s="733">
        <f t="shared" si="162"/>
        <v>311965.811965812</v>
      </c>
      <c r="H459" s="733">
        <f t="shared" si="162"/>
        <v>0</v>
      </c>
      <c r="I459" s="25">
        <f t="shared" ref="I459:I517" si="163">SUM(C459:H459)</f>
        <v>5441615.965811966</v>
      </c>
      <c r="J459" s="733">
        <v>508</v>
      </c>
      <c r="K459" s="733">
        <f>IF(J459&lt;&gt;"",I459/J459,"")</f>
        <v>10711.842452385759</v>
      </c>
      <c r="L459" s="667"/>
      <c r="M459" s="667"/>
      <c r="N459" s="192" t="s">
        <v>1437</v>
      </c>
      <c r="O459" s="746">
        <f t="shared" ref="O459:O521" si="164">P459-3</f>
        <v>41180</v>
      </c>
      <c r="P459" s="746">
        <v>41183</v>
      </c>
      <c r="Q459" s="747" t="s">
        <v>1041</v>
      </c>
      <c r="R459" s="304">
        <v>258</v>
      </c>
      <c r="S459" s="768">
        <v>15288</v>
      </c>
      <c r="T459" s="25">
        <f t="shared" ref="T459:T522" si="165">ROUND(R459*S459,0)</f>
        <v>3944304</v>
      </c>
      <c r="U459" s="189" t="s">
        <v>403</v>
      </c>
      <c r="V459" s="746">
        <v>41183</v>
      </c>
      <c r="W459" s="778">
        <v>100</v>
      </c>
      <c r="X459" s="778">
        <v>25000</v>
      </c>
      <c r="Y459" s="25">
        <f t="shared" ref="Y459:Y522" si="166">ROUND(W459*X459,0)</f>
        <v>2500000</v>
      </c>
    </row>
    <row r="460" spans="1:25">
      <c r="A460" s="732">
        <f t="shared" ref="A460:A521" si="167">IF(B460&lt;&gt;"",A459+1,"")</f>
        <v>2</v>
      </c>
      <c r="B460" s="297" t="s">
        <v>1107</v>
      </c>
      <c r="C460" s="25">
        <f t="shared" si="161"/>
        <v>3852576</v>
      </c>
      <c r="D460" s="733">
        <f t="shared" si="162"/>
        <v>678881.48596810014</v>
      </c>
      <c r="E460" s="733">
        <f t="shared" si="162"/>
        <v>221965.6437176122</v>
      </c>
      <c r="F460" s="733">
        <f t="shared" si="162"/>
        <v>265832.15559593512</v>
      </c>
      <c r="G460" s="733">
        <f t="shared" si="162"/>
        <v>307052.96453327953</v>
      </c>
      <c r="H460" s="733">
        <f t="shared" si="162"/>
        <v>0</v>
      </c>
      <c r="I460" s="25">
        <f t="shared" si="163"/>
        <v>5326308.2498149266</v>
      </c>
      <c r="J460" s="733">
        <v>500</v>
      </c>
      <c r="K460" s="733">
        <f t="shared" ref="K460" si="168">IF(J460&lt;&gt;"",I460/J460,"")</f>
        <v>10652.616499629854</v>
      </c>
      <c r="L460" s="667"/>
      <c r="M460" s="667"/>
      <c r="N460" s="192" t="s">
        <v>1437</v>
      </c>
      <c r="O460" s="746">
        <f t="shared" si="164"/>
        <v>41191</v>
      </c>
      <c r="P460" s="746">
        <v>41194</v>
      </c>
      <c r="Q460" s="747" t="s">
        <v>433</v>
      </c>
      <c r="R460" s="304">
        <v>252</v>
      </c>
      <c r="S460" s="768">
        <v>15288</v>
      </c>
      <c r="T460" s="25">
        <f t="shared" si="165"/>
        <v>3852576</v>
      </c>
      <c r="U460" s="189" t="s">
        <v>370</v>
      </c>
      <c r="V460" s="746">
        <v>41235</v>
      </c>
      <c r="W460" s="778">
        <v>48</v>
      </c>
      <c r="X460" s="778">
        <v>42000</v>
      </c>
      <c r="Y460" s="25">
        <f t="shared" si="166"/>
        <v>2016000</v>
      </c>
    </row>
    <row r="461" spans="1:25">
      <c r="A461" s="732">
        <f t="shared" si="167"/>
        <v>3</v>
      </c>
      <c r="B461" s="297" t="s">
        <v>1096</v>
      </c>
      <c r="C461" s="25">
        <f t="shared" si="161"/>
        <v>2324862</v>
      </c>
      <c r="D461" s="733">
        <f t="shared" si="162"/>
        <v>689743.58974358975</v>
      </c>
      <c r="E461" s="733">
        <f t="shared" si="162"/>
        <v>225517.094017094</v>
      </c>
      <c r="F461" s="733">
        <f t="shared" si="162"/>
        <v>270085.47008547012</v>
      </c>
      <c r="G461" s="733">
        <f t="shared" si="162"/>
        <v>311965.811965812</v>
      </c>
      <c r="H461" s="733">
        <f t="shared" si="162"/>
        <v>0</v>
      </c>
      <c r="I461" s="25">
        <f t="shared" si="163"/>
        <v>3822173.965811966</v>
      </c>
      <c r="J461" s="733">
        <v>508</v>
      </c>
      <c r="K461" s="733">
        <f t="shared" ref="K461:K521" si="169">IF(J461&lt;&gt;"",I461/J461,"")</f>
        <v>7523.9644996298539</v>
      </c>
      <c r="L461" s="667"/>
      <c r="M461" s="667"/>
      <c r="N461" s="192" t="s">
        <v>1273</v>
      </c>
      <c r="O461" s="746">
        <f t="shared" si="164"/>
        <v>41191</v>
      </c>
      <c r="P461" s="746">
        <v>41194</v>
      </c>
      <c r="Q461" s="747" t="s">
        <v>433</v>
      </c>
      <c r="R461" s="304">
        <f>J461/4</f>
        <v>127</v>
      </c>
      <c r="S461" s="776">
        <v>18306</v>
      </c>
      <c r="T461" s="25">
        <f t="shared" ref="T461:T521" si="170">ROUND(R461*S461,0)</f>
        <v>2324862</v>
      </c>
      <c r="U461" s="799" t="s">
        <v>717</v>
      </c>
      <c r="V461" s="746">
        <v>41183</v>
      </c>
      <c r="W461" s="776">
        <v>34707</v>
      </c>
      <c r="X461" s="776">
        <v>250</v>
      </c>
      <c r="Y461" s="25">
        <f t="shared" ref="Y461:Y521" si="171">ROUND(W461*X461,0)</f>
        <v>8676750</v>
      </c>
    </row>
    <row r="462" spans="1:25">
      <c r="A462" s="732">
        <f t="shared" si="167"/>
        <v>4</v>
      </c>
      <c r="B462" s="297" t="s">
        <v>1118</v>
      </c>
      <c r="C462" s="25">
        <f t="shared" si="161"/>
        <v>7832500</v>
      </c>
      <c r="D462" s="733">
        <f t="shared" si="162"/>
        <v>1357762.9719362003</v>
      </c>
      <c r="E462" s="733">
        <f t="shared" si="162"/>
        <v>443931.2874352244</v>
      </c>
      <c r="F462" s="733">
        <f t="shared" si="162"/>
        <v>531664.31119187025</v>
      </c>
      <c r="G462" s="733">
        <f t="shared" si="162"/>
        <v>614105.92906655907</v>
      </c>
      <c r="H462" s="733">
        <f t="shared" si="162"/>
        <v>0</v>
      </c>
      <c r="I462" s="25">
        <f t="shared" si="163"/>
        <v>10779964.499629853</v>
      </c>
      <c r="J462" s="733">
        <v>1000</v>
      </c>
      <c r="K462" s="733">
        <f t="shared" si="169"/>
        <v>10779.964499629854</v>
      </c>
      <c r="L462" s="667"/>
      <c r="M462" s="667"/>
      <c r="N462" s="192" t="s">
        <v>1318</v>
      </c>
      <c r="O462" s="746">
        <f t="shared" si="164"/>
        <v>41191</v>
      </c>
      <c r="P462" s="746">
        <v>41194</v>
      </c>
      <c r="Q462" s="747" t="s">
        <v>597</v>
      </c>
      <c r="R462" s="304">
        <v>500</v>
      </c>
      <c r="S462" s="776">
        <v>15665</v>
      </c>
      <c r="T462" s="25">
        <f t="shared" si="170"/>
        <v>7832500</v>
      </c>
      <c r="U462" s="189"/>
      <c r="V462" s="746">
        <v>41183</v>
      </c>
      <c r="W462" s="728"/>
      <c r="X462" s="252"/>
      <c r="Y462" s="25">
        <f t="shared" si="171"/>
        <v>0</v>
      </c>
    </row>
    <row r="463" spans="1:25">
      <c r="A463" s="732">
        <f t="shared" si="167"/>
        <v>5</v>
      </c>
      <c r="B463" s="297" t="s">
        <v>1117</v>
      </c>
      <c r="C463" s="25">
        <f t="shared" si="161"/>
        <v>1855900</v>
      </c>
      <c r="D463" s="733">
        <f t="shared" si="162"/>
        <v>271552.59438724007</v>
      </c>
      <c r="E463" s="733">
        <f t="shared" si="162"/>
        <v>88786.257487044888</v>
      </c>
      <c r="F463" s="733">
        <f t="shared" si="162"/>
        <v>106332.86223837406</v>
      </c>
      <c r="G463" s="733">
        <f t="shared" si="162"/>
        <v>122821.18581331181</v>
      </c>
      <c r="H463" s="733">
        <f t="shared" si="162"/>
        <v>0</v>
      </c>
      <c r="I463" s="25">
        <f t="shared" si="163"/>
        <v>2445392.8999259709</v>
      </c>
      <c r="J463" s="733">
        <v>200</v>
      </c>
      <c r="K463" s="733">
        <f t="shared" si="169"/>
        <v>12226.964499629854</v>
      </c>
      <c r="L463" s="667"/>
      <c r="M463" s="667"/>
      <c r="N463" s="192" t="s">
        <v>1241</v>
      </c>
      <c r="O463" s="746">
        <f t="shared" si="164"/>
        <v>41191</v>
      </c>
      <c r="P463" s="746">
        <v>41194</v>
      </c>
      <c r="Q463" s="747" t="s">
        <v>597</v>
      </c>
      <c r="R463" s="304">
        <v>100</v>
      </c>
      <c r="S463" s="776">
        <v>18559</v>
      </c>
      <c r="T463" s="25">
        <f t="shared" si="170"/>
        <v>1855900</v>
      </c>
      <c r="U463" s="450"/>
      <c r="V463" s="746"/>
      <c r="W463" s="778"/>
      <c r="X463" s="776"/>
      <c r="Y463" s="25">
        <f t="shared" si="171"/>
        <v>0</v>
      </c>
    </row>
    <row r="464" spans="1:25">
      <c r="A464" s="732">
        <f t="shared" si="167"/>
        <v>6</v>
      </c>
      <c r="B464" s="297" t="s">
        <v>1119</v>
      </c>
      <c r="C464" s="25">
        <f t="shared" ref="C464:C478" si="172">T464</f>
        <v>915700</v>
      </c>
      <c r="D464" s="733">
        <f t="shared" si="162"/>
        <v>135776.29719362003</v>
      </c>
      <c r="E464" s="733">
        <f t="shared" si="162"/>
        <v>44393.128743522444</v>
      </c>
      <c r="F464" s="733">
        <f t="shared" si="162"/>
        <v>53166.431119187029</v>
      </c>
      <c r="G464" s="733">
        <f t="shared" si="162"/>
        <v>61410.592906655904</v>
      </c>
      <c r="H464" s="733">
        <f t="shared" si="162"/>
        <v>0</v>
      </c>
      <c r="I464" s="25">
        <f t="shared" ref="I464:I478" si="173">SUM(C464:H464)</f>
        <v>1210446.4499629855</v>
      </c>
      <c r="J464" s="733">
        <v>100</v>
      </c>
      <c r="K464" s="733">
        <f t="shared" ref="K464:K478" si="174">IF(J464&lt;&gt;"",I464/J464,"")</f>
        <v>12104.464499629854</v>
      </c>
      <c r="L464" s="667"/>
      <c r="M464" s="667"/>
      <c r="N464" s="192" t="s">
        <v>1330</v>
      </c>
      <c r="O464" s="746">
        <f t="shared" si="164"/>
        <v>41191</v>
      </c>
      <c r="P464" s="746">
        <v>41194</v>
      </c>
      <c r="Q464" s="747" t="s">
        <v>597</v>
      </c>
      <c r="R464" s="304">
        <v>50</v>
      </c>
      <c r="S464" s="776">
        <v>18314</v>
      </c>
      <c r="T464" s="25">
        <f t="shared" ref="T464:T478" si="175">ROUND(R464*S464,0)</f>
        <v>915700</v>
      </c>
      <c r="U464" s="450"/>
      <c r="V464" s="746"/>
      <c r="W464" s="778"/>
      <c r="X464" s="776"/>
      <c r="Y464" s="25">
        <f t="shared" ref="Y464:Y478" si="176">ROUND(W464*X464,0)</f>
        <v>0</v>
      </c>
    </row>
    <row r="465" spans="1:25">
      <c r="A465" s="732">
        <f t="shared" si="167"/>
        <v>7</v>
      </c>
      <c r="B465" s="297" t="s">
        <v>1118</v>
      </c>
      <c r="C465" s="25">
        <f t="shared" si="172"/>
        <v>7832500</v>
      </c>
      <c r="D465" s="733">
        <f t="shared" si="162"/>
        <v>1357762.9719362003</v>
      </c>
      <c r="E465" s="733">
        <f t="shared" si="162"/>
        <v>443931.2874352244</v>
      </c>
      <c r="F465" s="733">
        <f t="shared" si="162"/>
        <v>531664.31119187025</v>
      </c>
      <c r="G465" s="733">
        <f t="shared" si="162"/>
        <v>614105.92906655907</v>
      </c>
      <c r="H465" s="733">
        <f t="shared" si="162"/>
        <v>0</v>
      </c>
      <c r="I465" s="25">
        <f t="shared" si="173"/>
        <v>10779964.499629853</v>
      </c>
      <c r="J465" s="733">
        <v>1000</v>
      </c>
      <c r="K465" s="733">
        <f t="shared" si="174"/>
        <v>10779.964499629854</v>
      </c>
      <c r="L465" s="667"/>
      <c r="M465" s="667"/>
      <c r="N465" s="192" t="s">
        <v>1318</v>
      </c>
      <c r="O465" s="746">
        <f t="shared" si="164"/>
        <v>41192</v>
      </c>
      <c r="P465" s="746">
        <v>41195</v>
      </c>
      <c r="Q465" s="747" t="s">
        <v>1042</v>
      </c>
      <c r="R465" s="304">
        <v>500</v>
      </c>
      <c r="S465" s="776">
        <v>15665</v>
      </c>
      <c r="T465" s="25">
        <f t="shared" si="175"/>
        <v>7832500</v>
      </c>
      <c r="U465" s="450"/>
      <c r="V465" s="746"/>
      <c r="W465" s="778"/>
      <c r="X465" s="776"/>
      <c r="Y465" s="25">
        <f t="shared" si="176"/>
        <v>0</v>
      </c>
    </row>
    <row r="466" spans="1:25">
      <c r="A466" s="732">
        <f t="shared" si="167"/>
        <v>8</v>
      </c>
      <c r="B466" s="297" t="s">
        <v>1117</v>
      </c>
      <c r="C466" s="25">
        <f t="shared" si="172"/>
        <v>2783850</v>
      </c>
      <c r="D466" s="733">
        <f t="shared" si="162"/>
        <v>407328.89158086007</v>
      </c>
      <c r="E466" s="733">
        <f t="shared" si="162"/>
        <v>133179.38623056732</v>
      </c>
      <c r="F466" s="733">
        <f t="shared" si="162"/>
        <v>159499.29335756108</v>
      </c>
      <c r="G466" s="733">
        <f t="shared" si="162"/>
        <v>184231.77871996773</v>
      </c>
      <c r="H466" s="733">
        <f t="shared" si="162"/>
        <v>0</v>
      </c>
      <c r="I466" s="25">
        <f t="shared" si="173"/>
        <v>3668089.3498889562</v>
      </c>
      <c r="J466" s="733">
        <v>300</v>
      </c>
      <c r="K466" s="733">
        <f t="shared" si="174"/>
        <v>12226.964499629854</v>
      </c>
      <c r="L466" s="667"/>
      <c r="M466" s="667"/>
      <c r="N466" s="192" t="s">
        <v>1241</v>
      </c>
      <c r="O466" s="746">
        <f t="shared" si="164"/>
        <v>41192</v>
      </c>
      <c r="P466" s="746">
        <v>41195</v>
      </c>
      <c r="Q466" s="747" t="s">
        <v>1042</v>
      </c>
      <c r="R466" s="304">
        <v>150</v>
      </c>
      <c r="S466" s="776">
        <v>18559</v>
      </c>
      <c r="T466" s="25">
        <f t="shared" si="175"/>
        <v>2783850</v>
      </c>
      <c r="U466" s="450"/>
      <c r="V466" s="746"/>
      <c r="W466" s="778"/>
      <c r="X466" s="776"/>
      <c r="Y466" s="25">
        <f t="shared" si="176"/>
        <v>0</v>
      </c>
    </row>
    <row r="467" spans="1:25">
      <c r="A467" s="732">
        <f t="shared" si="167"/>
        <v>9</v>
      </c>
      <c r="B467" s="297" t="s">
        <v>1116</v>
      </c>
      <c r="C467" s="25">
        <f t="shared" si="172"/>
        <v>764400</v>
      </c>
      <c r="D467" s="733">
        <f t="shared" si="162"/>
        <v>135776.29719362003</v>
      </c>
      <c r="E467" s="733">
        <f t="shared" si="162"/>
        <v>44393.128743522444</v>
      </c>
      <c r="F467" s="733">
        <f t="shared" si="162"/>
        <v>53166.431119187029</v>
      </c>
      <c r="G467" s="733">
        <f t="shared" si="162"/>
        <v>61410.592906655904</v>
      </c>
      <c r="H467" s="733">
        <f t="shared" si="162"/>
        <v>0</v>
      </c>
      <c r="I467" s="25">
        <f t="shared" si="173"/>
        <v>1059146.4499629855</v>
      </c>
      <c r="J467" s="733">
        <v>100</v>
      </c>
      <c r="K467" s="733">
        <f t="shared" si="174"/>
        <v>10591.464499629854</v>
      </c>
      <c r="L467" s="667"/>
      <c r="M467" s="667"/>
      <c r="N467" s="192" t="s">
        <v>1437</v>
      </c>
      <c r="O467" s="746">
        <f t="shared" si="164"/>
        <v>41192</v>
      </c>
      <c r="P467" s="746">
        <v>41195</v>
      </c>
      <c r="Q467" s="747" t="s">
        <v>1042</v>
      </c>
      <c r="R467" s="304">
        <f>J467/2</f>
        <v>50</v>
      </c>
      <c r="S467" s="768">
        <v>15288</v>
      </c>
      <c r="T467" s="25">
        <f t="shared" si="175"/>
        <v>764400</v>
      </c>
      <c r="U467" s="450"/>
      <c r="V467" s="746"/>
      <c r="W467" s="778"/>
      <c r="X467" s="776"/>
      <c r="Y467" s="25">
        <f t="shared" si="176"/>
        <v>0</v>
      </c>
    </row>
    <row r="468" spans="1:25">
      <c r="A468" s="732">
        <f t="shared" si="167"/>
        <v>10</v>
      </c>
      <c r="B468" s="297" t="s">
        <v>1115</v>
      </c>
      <c r="C468" s="25">
        <f t="shared" si="172"/>
        <v>2269944</v>
      </c>
      <c r="D468" s="733">
        <f t="shared" si="162"/>
        <v>672092.67110841919</v>
      </c>
      <c r="E468" s="733">
        <f t="shared" si="162"/>
        <v>219745.98728043609</v>
      </c>
      <c r="F468" s="733">
        <f t="shared" si="162"/>
        <v>263173.83403997577</v>
      </c>
      <c r="G468" s="733">
        <f t="shared" si="162"/>
        <v>303982.4348879467</v>
      </c>
      <c r="H468" s="733">
        <f t="shared" si="162"/>
        <v>0</v>
      </c>
      <c r="I468" s="25">
        <f t="shared" si="173"/>
        <v>3728938.9273167774</v>
      </c>
      <c r="J468" s="733">
        <v>495</v>
      </c>
      <c r="K468" s="733">
        <f t="shared" si="174"/>
        <v>7533.2099541753078</v>
      </c>
      <c r="L468" s="667"/>
      <c r="M468" s="667"/>
      <c r="N468" s="192" t="s">
        <v>1273</v>
      </c>
      <c r="O468" s="746">
        <f t="shared" si="164"/>
        <v>41195</v>
      </c>
      <c r="P468" s="746">
        <v>41198</v>
      </c>
      <c r="Q468" s="747" t="s">
        <v>434</v>
      </c>
      <c r="R468" s="304">
        <v>124</v>
      </c>
      <c r="S468" s="776">
        <v>18306</v>
      </c>
      <c r="T468" s="25">
        <f t="shared" si="175"/>
        <v>2269944</v>
      </c>
      <c r="U468" s="450"/>
      <c r="V468" s="746"/>
      <c r="W468" s="778"/>
      <c r="X468" s="776"/>
      <c r="Y468" s="25">
        <f t="shared" si="176"/>
        <v>0</v>
      </c>
    </row>
    <row r="469" spans="1:25">
      <c r="A469" s="732">
        <f t="shared" si="167"/>
        <v>11</v>
      </c>
      <c r="B469" s="297" t="s">
        <v>1107</v>
      </c>
      <c r="C469" s="25">
        <f t="shared" si="172"/>
        <v>3822000</v>
      </c>
      <c r="D469" s="733">
        <f t="shared" ref="D469:H478" si="177">IF($J$523&lt;&gt;0,D$523/$J$523*$J469,0)</f>
        <v>663946.09327680198</v>
      </c>
      <c r="E469" s="733">
        <f t="shared" si="177"/>
        <v>217082.39955582476</v>
      </c>
      <c r="F469" s="733">
        <f t="shared" si="177"/>
        <v>259983.84817282457</v>
      </c>
      <c r="G469" s="733">
        <f t="shared" si="177"/>
        <v>300297.79931354738</v>
      </c>
      <c r="H469" s="733">
        <f t="shared" si="177"/>
        <v>0</v>
      </c>
      <c r="I469" s="25">
        <f t="shared" si="173"/>
        <v>5263310.1403189991</v>
      </c>
      <c r="J469" s="733">
        <v>489</v>
      </c>
      <c r="K469" s="733">
        <f t="shared" si="174"/>
        <v>10763.415419875253</v>
      </c>
      <c r="L469" s="667"/>
      <c r="M469" s="667"/>
      <c r="N469" s="192" t="s">
        <v>1437</v>
      </c>
      <c r="O469" s="746">
        <f t="shared" si="164"/>
        <v>41196</v>
      </c>
      <c r="P469" s="746">
        <v>41199</v>
      </c>
      <c r="Q469" s="747" t="s">
        <v>1043</v>
      </c>
      <c r="R469" s="304">
        <v>250</v>
      </c>
      <c r="S469" s="768">
        <v>15288</v>
      </c>
      <c r="T469" s="25">
        <f t="shared" si="175"/>
        <v>3822000</v>
      </c>
      <c r="U469" s="450"/>
      <c r="V469" s="746"/>
      <c r="W469" s="778"/>
      <c r="X469" s="776"/>
      <c r="Y469" s="25">
        <f t="shared" si="176"/>
        <v>0</v>
      </c>
    </row>
    <row r="470" spans="1:25">
      <c r="A470" s="732">
        <f t="shared" si="167"/>
        <v>12</v>
      </c>
      <c r="B470" s="297" t="s">
        <v>1096</v>
      </c>
      <c r="C470" s="25">
        <f t="shared" si="172"/>
        <v>2251638</v>
      </c>
      <c r="D470" s="733">
        <f t="shared" si="177"/>
        <v>665303.85624873813</v>
      </c>
      <c r="E470" s="733">
        <f t="shared" si="177"/>
        <v>217526.33084325996</v>
      </c>
      <c r="F470" s="733">
        <f t="shared" si="177"/>
        <v>260515.51248401645</v>
      </c>
      <c r="G470" s="733">
        <f t="shared" si="177"/>
        <v>300911.90524261392</v>
      </c>
      <c r="H470" s="733">
        <f t="shared" si="177"/>
        <v>0</v>
      </c>
      <c r="I470" s="25">
        <f t="shared" si="173"/>
        <v>3695895.6048186286</v>
      </c>
      <c r="J470" s="733">
        <v>490</v>
      </c>
      <c r="K470" s="733">
        <f t="shared" si="174"/>
        <v>7542.6440914665891</v>
      </c>
      <c r="L470" s="667"/>
      <c r="M470" s="667"/>
      <c r="N470" s="192" t="s">
        <v>1273</v>
      </c>
      <c r="O470" s="746">
        <f t="shared" si="164"/>
        <v>41196</v>
      </c>
      <c r="P470" s="746">
        <v>41199</v>
      </c>
      <c r="Q470" s="747" t="s">
        <v>1043</v>
      </c>
      <c r="R470" s="304">
        <v>123</v>
      </c>
      <c r="S470" s="776">
        <v>18306</v>
      </c>
      <c r="T470" s="25">
        <f t="shared" si="175"/>
        <v>2251638</v>
      </c>
      <c r="U470" s="450"/>
      <c r="V470" s="746"/>
      <c r="W470" s="778"/>
      <c r="X470" s="776"/>
      <c r="Y470" s="25">
        <f t="shared" si="176"/>
        <v>0</v>
      </c>
    </row>
    <row r="471" spans="1:25">
      <c r="A471" s="732">
        <f t="shared" si="167"/>
        <v>13</v>
      </c>
      <c r="B471" s="297" t="s">
        <v>1044</v>
      </c>
      <c r="C471" s="25">
        <f t="shared" si="172"/>
        <v>360135</v>
      </c>
      <c r="D471" s="733">
        <f t="shared" si="177"/>
        <v>143922.87502523724</v>
      </c>
      <c r="E471" s="733">
        <f t="shared" si="177"/>
        <v>47056.716468133789</v>
      </c>
      <c r="F471" s="733">
        <f t="shared" si="177"/>
        <v>56356.416986338249</v>
      </c>
      <c r="G471" s="733">
        <f t="shared" si="177"/>
        <v>65095.228481055259</v>
      </c>
      <c r="H471" s="733">
        <f t="shared" si="177"/>
        <v>0</v>
      </c>
      <c r="I471" s="25">
        <f t="shared" si="173"/>
        <v>672566.23696076439</v>
      </c>
      <c r="J471" s="733">
        <v>106</v>
      </c>
      <c r="K471" s="733">
        <f t="shared" si="174"/>
        <v>6344.964499629853</v>
      </c>
      <c r="L471" s="667"/>
      <c r="M471" s="667"/>
      <c r="N471" s="192" t="s">
        <v>1312</v>
      </c>
      <c r="O471" s="746">
        <f t="shared" si="164"/>
        <v>41196</v>
      </c>
      <c r="P471" s="746">
        <v>41199</v>
      </c>
      <c r="Q471" s="747" t="s">
        <v>435</v>
      </c>
      <c r="R471" s="8">
        <f t="shared" ref="R471:R474" si="178">J471/4</f>
        <v>26.5</v>
      </c>
      <c r="S471" s="776">
        <v>13590</v>
      </c>
      <c r="T471" s="25">
        <f t="shared" si="175"/>
        <v>360135</v>
      </c>
      <c r="U471" s="450"/>
      <c r="V471" s="746"/>
      <c r="W471" s="778"/>
      <c r="X471" s="776"/>
      <c r="Y471" s="25">
        <f t="shared" si="176"/>
        <v>0</v>
      </c>
    </row>
    <row r="472" spans="1:25">
      <c r="A472" s="732">
        <f t="shared" si="167"/>
        <v>14</v>
      </c>
      <c r="B472" s="297" t="s">
        <v>1045</v>
      </c>
      <c r="C472" s="25">
        <f t="shared" si="172"/>
        <v>375856</v>
      </c>
      <c r="D472" s="733">
        <f t="shared" si="177"/>
        <v>141207.34908136484</v>
      </c>
      <c r="E472" s="733">
        <f t="shared" si="177"/>
        <v>46168.853893263338</v>
      </c>
      <c r="F472" s="733">
        <f t="shared" si="177"/>
        <v>55293.088363954514</v>
      </c>
      <c r="G472" s="733">
        <f t="shared" si="177"/>
        <v>63867.016622922143</v>
      </c>
      <c r="H472" s="733">
        <f t="shared" si="177"/>
        <v>0</v>
      </c>
      <c r="I472" s="25">
        <f t="shared" si="173"/>
        <v>682392.30796150491</v>
      </c>
      <c r="J472" s="733">
        <v>104</v>
      </c>
      <c r="K472" s="733">
        <f t="shared" si="174"/>
        <v>6561.4644996298548</v>
      </c>
      <c r="L472" s="667"/>
      <c r="M472" s="667"/>
      <c r="N472" s="192" t="s">
        <v>1429</v>
      </c>
      <c r="O472" s="746">
        <f t="shared" si="164"/>
        <v>41196</v>
      </c>
      <c r="P472" s="746">
        <v>41199</v>
      </c>
      <c r="Q472" s="747" t="s">
        <v>435</v>
      </c>
      <c r="R472" s="8">
        <f t="shared" si="178"/>
        <v>26</v>
      </c>
      <c r="S472" s="776">
        <v>14456</v>
      </c>
      <c r="T472" s="25">
        <f t="shared" si="175"/>
        <v>375856</v>
      </c>
      <c r="U472" s="450"/>
      <c r="V472" s="746"/>
      <c r="W472" s="778"/>
      <c r="X472" s="776"/>
      <c r="Y472" s="25">
        <f t="shared" si="176"/>
        <v>0</v>
      </c>
    </row>
    <row r="473" spans="1:25">
      <c r="A473" s="732">
        <f t="shared" si="167"/>
        <v>15</v>
      </c>
      <c r="B473" s="297" t="s">
        <v>1114</v>
      </c>
      <c r="C473" s="25">
        <f t="shared" si="172"/>
        <v>6407100</v>
      </c>
      <c r="D473" s="733">
        <f t="shared" si="177"/>
        <v>699247.9305471431</v>
      </c>
      <c r="E473" s="733">
        <f t="shared" si="177"/>
        <v>228624.61302914057</v>
      </c>
      <c r="F473" s="733">
        <f t="shared" si="177"/>
        <v>273807.12026381318</v>
      </c>
      <c r="G473" s="733">
        <f t="shared" si="177"/>
        <v>316264.55346927792</v>
      </c>
      <c r="H473" s="733">
        <f t="shared" si="177"/>
        <v>0</v>
      </c>
      <c r="I473" s="25">
        <f t="shared" si="173"/>
        <v>7925044.2173093753</v>
      </c>
      <c r="J473" s="733">
        <v>515</v>
      </c>
      <c r="K473" s="733">
        <f t="shared" si="174"/>
        <v>15388.435373416263</v>
      </c>
      <c r="L473" s="667"/>
      <c r="M473" s="667"/>
      <c r="N473" s="192" t="s">
        <v>1273</v>
      </c>
      <c r="O473" s="746">
        <f t="shared" si="164"/>
        <v>41198</v>
      </c>
      <c r="P473" s="746">
        <v>41201</v>
      </c>
      <c r="Q473" s="747" t="s">
        <v>1046</v>
      </c>
      <c r="R473" s="304">
        <v>350</v>
      </c>
      <c r="S473" s="776">
        <v>18306</v>
      </c>
      <c r="T473" s="25">
        <f t="shared" si="175"/>
        <v>6407100</v>
      </c>
      <c r="U473" s="450"/>
      <c r="V473" s="746"/>
      <c r="W473" s="778"/>
      <c r="X473" s="776"/>
      <c r="Y473" s="25">
        <f t="shared" si="176"/>
        <v>0</v>
      </c>
    </row>
    <row r="474" spans="1:25">
      <c r="A474" s="732">
        <f t="shared" si="167"/>
        <v>16</v>
      </c>
      <c r="B474" s="297" t="s">
        <v>1113</v>
      </c>
      <c r="C474" s="25">
        <f t="shared" si="172"/>
        <v>3744104</v>
      </c>
      <c r="D474" s="733">
        <f t="shared" si="177"/>
        <v>1406642.4389259035</v>
      </c>
      <c r="E474" s="733">
        <f t="shared" si="177"/>
        <v>459912.81378289248</v>
      </c>
      <c r="F474" s="733">
        <f t="shared" si="177"/>
        <v>550804.22639477765</v>
      </c>
      <c r="G474" s="733">
        <f t="shared" si="177"/>
        <v>636213.74251295521</v>
      </c>
      <c r="H474" s="733">
        <f t="shared" si="177"/>
        <v>0</v>
      </c>
      <c r="I474" s="25">
        <f t="shared" si="173"/>
        <v>6797677.221616528</v>
      </c>
      <c r="J474" s="733">
        <v>1036</v>
      </c>
      <c r="K474" s="733">
        <f t="shared" si="174"/>
        <v>6561.464499629853</v>
      </c>
      <c r="L474" s="667"/>
      <c r="M474" s="667"/>
      <c r="N474" s="192" t="s">
        <v>1429</v>
      </c>
      <c r="O474" s="746">
        <f t="shared" si="164"/>
        <v>41198</v>
      </c>
      <c r="P474" s="746">
        <v>41201</v>
      </c>
      <c r="Q474" s="747" t="s">
        <v>1047</v>
      </c>
      <c r="R474" s="8">
        <f t="shared" si="178"/>
        <v>259</v>
      </c>
      <c r="S474" s="776">
        <v>14456</v>
      </c>
      <c r="T474" s="25">
        <f t="shared" si="175"/>
        <v>3744104</v>
      </c>
      <c r="U474" s="450"/>
      <c r="V474" s="746"/>
      <c r="W474" s="778"/>
      <c r="X474" s="776"/>
      <c r="Y474" s="25">
        <f t="shared" si="176"/>
        <v>0</v>
      </c>
    </row>
    <row r="475" spans="1:25">
      <c r="A475" s="732">
        <f t="shared" si="167"/>
        <v>17</v>
      </c>
      <c r="B475" s="297" t="s">
        <v>1100</v>
      </c>
      <c r="C475" s="25">
        <f t="shared" si="172"/>
        <v>5447585</v>
      </c>
      <c r="D475" s="733">
        <f t="shared" si="177"/>
        <v>1384918.2313749243</v>
      </c>
      <c r="E475" s="733">
        <f t="shared" si="177"/>
        <v>452809.91318392893</v>
      </c>
      <c r="F475" s="733">
        <f t="shared" si="177"/>
        <v>542297.59741570766</v>
      </c>
      <c r="G475" s="733">
        <f t="shared" si="177"/>
        <v>626388.04764789017</v>
      </c>
      <c r="H475" s="733">
        <f t="shared" si="177"/>
        <v>0</v>
      </c>
      <c r="I475" s="25">
        <f t="shared" si="173"/>
        <v>8453998.7896224502</v>
      </c>
      <c r="J475" s="733">
        <v>1020</v>
      </c>
      <c r="K475" s="733">
        <f t="shared" si="174"/>
        <v>8288.2341074729902</v>
      </c>
      <c r="L475" s="667"/>
      <c r="M475" s="667"/>
      <c r="N475" s="192" t="s">
        <v>1435</v>
      </c>
      <c r="O475" s="746">
        <f t="shared" si="164"/>
        <v>41202</v>
      </c>
      <c r="P475" s="746">
        <v>41205</v>
      </c>
      <c r="Q475" s="747" t="s">
        <v>1048</v>
      </c>
      <c r="R475" s="304">
        <f>J475/2</f>
        <v>510</v>
      </c>
      <c r="S475" s="776">
        <v>10681.538922155689</v>
      </c>
      <c r="T475" s="25">
        <f t="shared" si="175"/>
        <v>5447585</v>
      </c>
      <c r="U475" s="450"/>
      <c r="V475" s="746"/>
      <c r="W475" s="778"/>
      <c r="X475" s="776"/>
      <c r="Y475" s="25">
        <f t="shared" si="176"/>
        <v>0</v>
      </c>
    </row>
    <row r="476" spans="1:25">
      <c r="A476" s="732">
        <f t="shared" si="167"/>
        <v>18</v>
      </c>
      <c r="B476" s="297" t="s">
        <v>1112</v>
      </c>
      <c r="C476" s="25">
        <f t="shared" si="172"/>
        <v>3447250</v>
      </c>
      <c r="D476" s="733">
        <f t="shared" si="177"/>
        <v>1832980.0121138704</v>
      </c>
      <c r="E476" s="733">
        <f t="shared" si="177"/>
        <v>599307.23803755292</v>
      </c>
      <c r="F476" s="733">
        <f t="shared" si="177"/>
        <v>717746.82010902488</v>
      </c>
      <c r="G476" s="733">
        <f t="shared" si="177"/>
        <v>829043.00423985475</v>
      </c>
      <c r="H476" s="733">
        <f t="shared" si="177"/>
        <v>0</v>
      </c>
      <c r="I476" s="25">
        <f t="shared" si="173"/>
        <v>7426327.0745003019</v>
      </c>
      <c r="J476" s="733">
        <v>1350</v>
      </c>
      <c r="K476" s="733">
        <f t="shared" si="174"/>
        <v>5500.9830181483721</v>
      </c>
      <c r="L476" s="667"/>
      <c r="M476" s="667"/>
      <c r="N476" s="192" t="s">
        <v>1415</v>
      </c>
      <c r="O476" s="746">
        <f t="shared" si="164"/>
        <v>41202</v>
      </c>
      <c r="P476" s="746">
        <v>41205</v>
      </c>
      <c r="Q476" s="747" t="s">
        <v>1049</v>
      </c>
      <c r="R476" s="8">
        <v>250</v>
      </c>
      <c r="S476" s="776">
        <v>13789</v>
      </c>
      <c r="T476" s="25">
        <f t="shared" si="175"/>
        <v>3447250</v>
      </c>
      <c r="U476" s="450"/>
      <c r="V476" s="746"/>
      <c r="W476" s="778"/>
      <c r="X476" s="776"/>
      <c r="Y476" s="25">
        <f t="shared" si="176"/>
        <v>0</v>
      </c>
    </row>
    <row r="477" spans="1:25">
      <c r="A477" s="732">
        <f t="shared" si="167"/>
        <v>19</v>
      </c>
      <c r="B477" s="297" t="s">
        <v>1111</v>
      </c>
      <c r="C477" s="25">
        <f t="shared" si="172"/>
        <v>3742867</v>
      </c>
      <c r="D477" s="733">
        <f t="shared" si="177"/>
        <v>837739.75368463562</v>
      </c>
      <c r="E477" s="733">
        <f t="shared" si="177"/>
        <v>273905.60434753349</v>
      </c>
      <c r="F477" s="733">
        <f t="shared" si="177"/>
        <v>328036.88000538398</v>
      </c>
      <c r="G477" s="733">
        <f t="shared" si="177"/>
        <v>378903.35823406692</v>
      </c>
      <c r="H477" s="733">
        <f t="shared" si="177"/>
        <v>0</v>
      </c>
      <c r="I477" s="25">
        <f t="shared" si="173"/>
        <v>5561452.5962716192</v>
      </c>
      <c r="J477" s="733">
        <v>617</v>
      </c>
      <c r="K477" s="733">
        <f t="shared" si="174"/>
        <v>9013.6995077335814</v>
      </c>
      <c r="L477" s="667"/>
      <c r="M477" s="667"/>
      <c r="N477" s="192" t="s">
        <v>1263</v>
      </c>
      <c r="O477" s="746">
        <f t="shared" si="164"/>
        <v>41202</v>
      </c>
      <c r="P477" s="746">
        <v>41205</v>
      </c>
      <c r="Q477" s="747" t="s">
        <v>1049</v>
      </c>
      <c r="R477" s="304">
        <v>310</v>
      </c>
      <c r="S477" s="776">
        <v>12073.764705882353</v>
      </c>
      <c r="T477" s="25">
        <f t="shared" si="175"/>
        <v>3742867</v>
      </c>
      <c r="U477" s="450"/>
      <c r="V477" s="746"/>
      <c r="W477" s="778"/>
      <c r="X477" s="776"/>
      <c r="Y477" s="25">
        <f t="shared" si="176"/>
        <v>0</v>
      </c>
    </row>
    <row r="478" spans="1:25">
      <c r="A478" s="732">
        <f t="shared" si="167"/>
        <v>20</v>
      </c>
      <c r="B478" s="297" t="s">
        <v>1110</v>
      </c>
      <c r="C478" s="25">
        <f t="shared" si="172"/>
        <v>689450</v>
      </c>
      <c r="D478" s="733">
        <f t="shared" si="177"/>
        <v>397824.55077730666</v>
      </c>
      <c r="E478" s="733">
        <f t="shared" si="177"/>
        <v>130071.86721852075</v>
      </c>
      <c r="F478" s="733">
        <f t="shared" si="177"/>
        <v>155777.64317921799</v>
      </c>
      <c r="G478" s="733">
        <f t="shared" si="177"/>
        <v>179933.03721650181</v>
      </c>
      <c r="H478" s="733">
        <f t="shared" si="177"/>
        <v>0</v>
      </c>
      <c r="I478" s="25">
        <f t="shared" si="173"/>
        <v>1553057.0983915473</v>
      </c>
      <c r="J478" s="733">
        <v>293</v>
      </c>
      <c r="K478" s="733">
        <f t="shared" si="174"/>
        <v>5300.5361719848033</v>
      </c>
      <c r="L478" s="667"/>
      <c r="M478" s="667"/>
      <c r="N478" s="192" t="s">
        <v>1415</v>
      </c>
      <c r="O478" s="746">
        <f t="shared" si="164"/>
        <v>41202</v>
      </c>
      <c r="P478" s="746">
        <v>41205</v>
      </c>
      <c r="Q478" s="747" t="s">
        <v>1049</v>
      </c>
      <c r="R478" s="8">
        <v>50</v>
      </c>
      <c r="S478" s="776">
        <v>13789</v>
      </c>
      <c r="T478" s="25">
        <f t="shared" si="175"/>
        <v>689450</v>
      </c>
      <c r="U478" s="450"/>
      <c r="V478" s="746"/>
      <c r="W478" s="778"/>
      <c r="X478" s="776"/>
      <c r="Y478" s="25">
        <f t="shared" si="176"/>
        <v>0</v>
      </c>
    </row>
    <row r="479" spans="1:25">
      <c r="A479" s="732">
        <f t="shared" si="167"/>
        <v>21</v>
      </c>
      <c r="B479" s="297" t="s">
        <v>1092</v>
      </c>
      <c r="C479" s="25">
        <f t="shared" si="161"/>
        <v>3149328</v>
      </c>
      <c r="D479" s="733">
        <f t="shared" ref="D479:H488" si="179">IF($J$523&lt;&gt;0,D$523/$J$523*$J479,0)</f>
        <v>678881.48596810014</v>
      </c>
      <c r="E479" s="733">
        <f t="shared" si="179"/>
        <v>221965.6437176122</v>
      </c>
      <c r="F479" s="733">
        <f t="shared" si="179"/>
        <v>265832.15559593512</v>
      </c>
      <c r="G479" s="733">
        <f t="shared" si="179"/>
        <v>307052.96453327953</v>
      </c>
      <c r="H479" s="733">
        <f t="shared" si="179"/>
        <v>0</v>
      </c>
      <c r="I479" s="25">
        <f t="shared" si="163"/>
        <v>4623060.2498149266</v>
      </c>
      <c r="J479" s="733">
        <v>500</v>
      </c>
      <c r="K479" s="733">
        <f t="shared" si="169"/>
        <v>9246.1204996298529</v>
      </c>
      <c r="L479" s="667"/>
      <c r="M479" s="667"/>
      <c r="N479" s="192" t="s">
        <v>1333</v>
      </c>
      <c r="O479" s="746">
        <f t="shared" si="164"/>
        <v>41202</v>
      </c>
      <c r="P479" s="746">
        <v>41205</v>
      </c>
      <c r="Q479" s="747" t="s">
        <v>1049</v>
      </c>
      <c r="R479" s="304">
        <v>168</v>
      </c>
      <c r="S479" s="776">
        <v>18746</v>
      </c>
      <c r="T479" s="25">
        <f t="shared" si="170"/>
        <v>3149328</v>
      </c>
      <c r="U479" s="450"/>
      <c r="V479" s="746"/>
      <c r="W479" s="778"/>
      <c r="X479" s="776"/>
      <c r="Y479" s="25">
        <f t="shared" si="171"/>
        <v>0</v>
      </c>
    </row>
    <row r="480" spans="1:25">
      <c r="A480" s="732">
        <f t="shared" si="167"/>
        <v>22</v>
      </c>
      <c r="B480" s="297" t="s">
        <v>1092</v>
      </c>
      <c r="C480" s="25">
        <f t="shared" si="161"/>
        <v>599872</v>
      </c>
      <c r="D480" s="733">
        <f t="shared" si="179"/>
        <v>133060.77124974763</v>
      </c>
      <c r="E480" s="733">
        <f t="shared" si="179"/>
        <v>43505.266168651993</v>
      </c>
      <c r="F480" s="733">
        <f t="shared" si="179"/>
        <v>52103.102496803287</v>
      </c>
      <c r="G480" s="733">
        <f t="shared" si="179"/>
        <v>60182.381048522788</v>
      </c>
      <c r="H480" s="733">
        <f t="shared" si="179"/>
        <v>0</v>
      </c>
      <c r="I480" s="25">
        <f t="shared" si="163"/>
        <v>888723.52096372563</v>
      </c>
      <c r="J480" s="733">
        <v>98</v>
      </c>
      <c r="K480" s="733">
        <f t="shared" si="169"/>
        <v>9068.6073567727108</v>
      </c>
      <c r="L480" s="667"/>
      <c r="M480" s="667"/>
      <c r="N480" s="192" t="s">
        <v>1333</v>
      </c>
      <c r="O480" s="746">
        <f t="shared" si="164"/>
        <v>41205</v>
      </c>
      <c r="P480" s="746">
        <v>41208</v>
      </c>
      <c r="Q480" s="747" t="s">
        <v>1050</v>
      </c>
      <c r="R480" s="304">
        <v>32</v>
      </c>
      <c r="S480" s="776">
        <v>18746</v>
      </c>
      <c r="T480" s="25">
        <f t="shared" si="170"/>
        <v>599872</v>
      </c>
      <c r="U480" s="450"/>
      <c r="V480" s="746"/>
      <c r="W480" s="778"/>
      <c r="X480" s="776"/>
      <c r="Y480" s="25">
        <f t="shared" si="171"/>
        <v>0</v>
      </c>
    </row>
    <row r="481" spans="1:25">
      <c r="A481" s="732">
        <f t="shared" si="167"/>
        <v>23</v>
      </c>
      <c r="B481" s="297" t="s">
        <v>1093</v>
      </c>
      <c r="C481" s="25">
        <f t="shared" si="161"/>
        <v>2854332</v>
      </c>
      <c r="D481" s="733">
        <f t="shared" si="179"/>
        <v>1727074.5003028468</v>
      </c>
      <c r="E481" s="733">
        <f t="shared" si="179"/>
        <v>564680.59761760547</v>
      </c>
      <c r="F481" s="733">
        <f t="shared" si="179"/>
        <v>676277.00383605901</v>
      </c>
      <c r="G481" s="733">
        <f t="shared" si="179"/>
        <v>781142.74177266308</v>
      </c>
      <c r="H481" s="733">
        <f t="shared" si="179"/>
        <v>0</v>
      </c>
      <c r="I481" s="25">
        <f t="shared" si="163"/>
        <v>6603506.8435291741</v>
      </c>
      <c r="J481" s="733">
        <v>1272</v>
      </c>
      <c r="K481" s="733">
        <f t="shared" si="169"/>
        <v>5191.4361977430617</v>
      </c>
      <c r="L481" s="667"/>
      <c r="M481" s="667"/>
      <c r="N481" s="192" t="s">
        <v>873</v>
      </c>
      <c r="O481" s="746">
        <f t="shared" si="164"/>
        <v>41205</v>
      </c>
      <c r="P481" s="746">
        <v>41208</v>
      </c>
      <c r="Q481" s="747" t="s">
        <v>1050</v>
      </c>
      <c r="R481" s="8">
        <v>214</v>
      </c>
      <c r="S481" s="776">
        <v>13338</v>
      </c>
      <c r="T481" s="25">
        <f t="shared" si="170"/>
        <v>2854332</v>
      </c>
      <c r="U481" s="450"/>
      <c r="V481" s="746"/>
      <c r="W481" s="778"/>
      <c r="X481" s="776"/>
      <c r="Y481" s="25">
        <f t="shared" si="171"/>
        <v>0</v>
      </c>
    </row>
    <row r="482" spans="1:25">
      <c r="A482" s="732">
        <f t="shared" si="167"/>
        <v>24</v>
      </c>
      <c r="B482" s="297" t="s">
        <v>1109</v>
      </c>
      <c r="C482" s="25">
        <f t="shared" si="161"/>
        <v>2419200</v>
      </c>
      <c r="D482" s="733">
        <f t="shared" si="179"/>
        <v>868968.30203916819</v>
      </c>
      <c r="E482" s="733">
        <f t="shared" si="179"/>
        <v>284116.02395854361</v>
      </c>
      <c r="F482" s="733">
        <f t="shared" si="179"/>
        <v>340265.15916279698</v>
      </c>
      <c r="G482" s="733">
        <f t="shared" si="179"/>
        <v>393027.79460259777</v>
      </c>
      <c r="H482" s="733">
        <f t="shared" si="179"/>
        <v>0</v>
      </c>
      <c r="I482" s="25">
        <f t="shared" si="163"/>
        <v>4305577.2797631072</v>
      </c>
      <c r="J482" s="733">
        <v>640</v>
      </c>
      <c r="K482" s="733">
        <f t="shared" si="169"/>
        <v>6727.4644996298548</v>
      </c>
      <c r="L482" s="667"/>
      <c r="M482" s="667"/>
      <c r="N482" s="192" t="s">
        <v>1432</v>
      </c>
      <c r="O482" s="746">
        <f t="shared" si="164"/>
        <v>41205</v>
      </c>
      <c r="P482" s="746">
        <v>41208</v>
      </c>
      <c r="Q482" s="747" t="s">
        <v>1050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0"/>
      <c r="V482" s="746"/>
      <c r="W482" s="778"/>
      <c r="X482" s="776"/>
      <c r="Y482" s="25">
        <f t="shared" si="171"/>
        <v>0</v>
      </c>
    </row>
    <row r="483" spans="1:25">
      <c r="A483" s="732">
        <f t="shared" si="167"/>
        <v>25</v>
      </c>
      <c r="B483" s="297" t="s">
        <v>1108</v>
      </c>
      <c r="C483" s="25">
        <f t="shared" si="161"/>
        <v>3236506</v>
      </c>
      <c r="D483" s="733">
        <f t="shared" si="179"/>
        <v>822804.36099333735</v>
      </c>
      <c r="E483" s="733">
        <f t="shared" si="179"/>
        <v>269022.36018574599</v>
      </c>
      <c r="F483" s="733">
        <f t="shared" si="179"/>
        <v>322188.57258227339</v>
      </c>
      <c r="G483" s="733">
        <f t="shared" si="179"/>
        <v>372148.19301433477</v>
      </c>
      <c r="H483" s="733">
        <f t="shared" si="179"/>
        <v>0</v>
      </c>
      <c r="I483" s="25">
        <f t="shared" si="163"/>
        <v>5022669.4867756916</v>
      </c>
      <c r="J483" s="733">
        <v>606</v>
      </c>
      <c r="K483" s="733">
        <f t="shared" si="169"/>
        <v>8288.2334765275446</v>
      </c>
      <c r="L483" s="667"/>
      <c r="M483" s="667"/>
      <c r="N483" s="192" t="s">
        <v>1435</v>
      </c>
      <c r="O483" s="746">
        <f t="shared" si="164"/>
        <v>41205</v>
      </c>
      <c r="P483" s="746">
        <v>41208</v>
      </c>
      <c r="Q483" s="747" t="s">
        <v>1050</v>
      </c>
      <c r="R483" s="304">
        <f>J483/2</f>
        <v>303</v>
      </c>
      <c r="S483" s="776">
        <v>10681.538922155689</v>
      </c>
      <c r="T483" s="25">
        <f t="shared" si="170"/>
        <v>3236506</v>
      </c>
      <c r="U483" s="450"/>
      <c r="V483" s="746"/>
      <c r="W483" s="778"/>
      <c r="X483" s="776"/>
      <c r="Y483" s="25">
        <f t="shared" si="171"/>
        <v>0</v>
      </c>
    </row>
    <row r="484" spans="1:25">
      <c r="A484" s="732">
        <f t="shared" si="167"/>
        <v>26</v>
      </c>
      <c r="B484" s="297" t="s">
        <v>1096</v>
      </c>
      <c r="C484" s="25">
        <f t="shared" si="161"/>
        <v>4576500</v>
      </c>
      <c r="D484" s="733">
        <f t="shared" si="179"/>
        <v>1355047.445992328</v>
      </c>
      <c r="E484" s="733">
        <f t="shared" si="179"/>
        <v>443043.42486035399</v>
      </c>
      <c r="F484" s="733">
        <f t="shared" si="179"/>
        <v>530600.9825694866</v>
      </c>
      <c r="G484" s="733">
        <f t="shared" si="179"/>
        <v>612877.71720842598</v>
      </c>
      <c r="H484" s="733">
        <f t="shared" si="179"/>
        <v>0</v>
      </c>
      <c r="I484" s="25">
        <f t="shared" si="163"/>
        <v>7518069.5706305951</v>
      </c>
      <c r="J484" s="733">
        <v>998</v>
      </c>
      <c r="K484" s="733">
        <f t="shared" si="169"/>
        <v>7533.1358423152251</v>
      </c>
      <c r="L484" s="667"/>
      <c r="M484" s="667"/>
      <c r="N484" s="192" t="s">
        <v>1273</v>
      </c>
      <c r="O484" s="746">
        <f t="shared" si="164"/>
        <v>41210</v>
      </c>
      <c r="P484" s="746">
        <v>41213</v>
      </c>
      <c r="Q484" s="747" t="s">
        <v>1051</v>
      </c>
      <c r="R484" s="304">
        <v>250</v>
      </c>
      <c r="S484" s="776">
        <v>18306</v>
      </c>
      <c r="T484" s="25">
        <f t="shared" si="170"/>
        <v>4576500</v>
      </c>
      <c r="U484" s="450"/>
      <c r="V484" s="746"/>
      <c r="W484" s="778"/>
      <c r="X484" s="776"/>
      <c r="Y484" s="25">
        <f t="shared" si="171"/>
        <v>0</v>
      </c>
    </row>
    <row r="485" spans="1:25">
      <c r="A485" s="732">
        <f t="shared" si="167"/>
        <v>27</v>
      </c>
      <c r="B485" s="297" t="s">
        <v>1107</v>
      </c>
      <c r="C485" s="25">
        <f t="shared" si="161"/>
        <v>1528800</v>
      </c>
      <c r="D485" s="733">
        <f t="shared" si="179"/>
        <v>271552.59438724007</v>
      </c>
      <c r="E485" s="733">
        <f t="shared" si="179"/>
        <v>88786.257487044888</v>
      </c>
      <c r="F485" s="733">
        <f t="shared" si="179"/>
        <v>106332.86223837406</v>
      </c>
      <c r="G485" s="733">
        <f t="shared" si="179"/>
        <v>122821.18581331181</v>
      </c>
      <c r="H485" s="733">
        <f t="shared" si="179"/>
        <v>0</v>
      </c>
      <c r="I485" s="25">
        <f t="shared" si="163"/>
        <v>2118292.8999259709</v>
      </c>
      <c r="J485" s="733">
        <v>200</v>
      </c>
      <c r="K485" s="733">
        <f t="shared" si="169"/>
        <v>10591.464499629854</v>
      </c>
      <c r="L485" s="667"/>
      <c r="M485" s="667"/>
      <c r="N485" s="192" t="s">
        <v>1437</v>
      </c>
      <c r="O485" s="746">
        <f t="shared" si="164"/>
        <v>41210</v>
      </c>
      <c r="P485" s="746">
        <v>41213</v>
      </c>
      <c r="Q485" s="747" t="s">
        <v>1051</v>
      </c>
      <c r="R485" s="304">
        <f>J485/2</f>
        <v>100</v>
      </c>
      <c r="S485" s="768">
        <v>15288</v>
      </c>
      <c r="T485" s="25">
        <f t="shared" si="170"/>
        <v>1528800</v>
      </c>
      <c r="U485" s="450"/>
      <c r="V485" s="746"/>
      <c r="W485" s="778"/>
      <c r="X485" s="776"/>
      <c r="Y485" s="25">
        <f t="shared" si="171"/>
        <v>0</v>
      </c>
    </row>
    <row r="486" spans="1:25">
      <c r="A486" s="732">
        <f t="shared" si="167"/>
        <v>28</v>
      </c>
      <c r="B486" s="297" t="s">
        <v>1052</v>
      </c>
      <c r="C486" s="25">
        <f t="shared" si="161"/>
        <v>915700</v>
      </c>
      <c r="D486" s="733">
        <f t="shared" si="179"/>
        <v>135776.29719362003</v>
      </c>
      <c r="E486" s="733">
        <f t="shared" si="179"/>
        <v>44393.128743522444</v>
      </c>
      <c r="F486" s="733">
        <f t="shared" si="179"/>
        <v>53166.431119187029</v>
      </c>
      <c r="G486" s="733">
        <f t="shared" si="179"/>
        <v>61410.592906655904</v>
      </c>
      <c r="H486" s="733">
        <f t="shared" si="179"/>
        <v>0</v>
      </c>
      <c r="I486" s="25">
        <f t="shared" si="163"/>
        <v>1210446.4499629855</v>
      </c>
      <c r="J486" s="733">
        <v>100</v>
      </c>
      <c r="K486" s="733">
        <f t="shared" si="169"/>
        <v>12104.464499629854</v>
      </c>
      <c r="L486" s="667"/>
      <c r="M486" s="667"/>
      <c r="N486" s="192" t="s">
        <v>1330</v>
      </c>
      <c r="O486" s="746">
        <f t="shared" si="164"/>
        <v>41210</v>
      </c>
      <c r="P486" s="746">
        <v>41213</v>
      </c>
      <c r="Q486" s="747" t="s">
        <v>1053</v>
      </c>
      <c r="R486" s="304">
        <v>50</v>
      </c>
      <c r="S486" s="776">
        <v>18314</v>
      </c>
      <c r="T486" s="25">
        <f t="shared" si="170"/>
        <v>915700</v>
      </c>
      <c r="U486" s="450"/>
      <c r="V486" s="746"/>
      <c r="W486" s="778"/>
      <c r="X486" s="776"/>
      <c r="Y486" s="25">
        <f t="shared" si="171"/>
        <v>0</v>
      </c>
    </row>
    <row r="487" spans="1:25">
      <c r="A487" s="732">
        <f t="shared" si="167"/>
        <v>29</v>
      </c>
      <c r="B487" s="297" t="s">
        <v>1055</v>
      </c>
      <c r="C487" s="25">
        <f t="shared" si="161"/>
        <v>915700</v>
      </c>
      <c r="D487" s="733">
        <f t="shared" si="179"/>
        <v>135776.29719362003</v>
      </c>
      <c r="E487" s="733">
        <f t="shared" si="179"/>
        <v>44393.128743522444</v>
      </c>
      <c r="F487" s="733">
        <f t="shared" si="179"/>
        <v>53166.431119187029</v>
      </c>
      <c r="G487" s="733">
        <f t="shared" si="179"/>
        <v>61410.592906655904</v>
      </c>
      <c r="H487" s="733">
        <f t="shared" si="179"/>
        <v>0</v>
      </c>
      <c r="I487" s="25">
        <f t="shared" si="163"/>
        <v>1210446.4499629855</v>
      </c>
      <c r="J487" s="733">
        <v>100</v>
      </c>
      <c r="K487" s="733">
        <f t="shared" si="169"/>
        <v>12104.464499629854</v>
      </c>
      <c r="L487" s="667"/>
      <c r="M487" s="667"/>
      <c r="N487" s="192" t="s">
        <v>1330</v>
      </c>
      <c r="O487" s="746">
        <f t="shared" si="164"/>
        <v>41210</v>
      </c>
      <c r="P487" s="746">
        <v>41213</v>
      </c>
      <c r="Q487" s="747" t="s">
        <v>1053</v>
      </c>
      <c r="R487" s="304">
        <v>50</v>
      </c>
      <c r="S487" s="776">
        <v>18314</v>
      </c>
      <c r="T487" s="25">
        <f t="shared" si="170"/>
        <v>915700</v>
      </c>
      <c r="U487" s="450"/>
      <c r="V487" s="746"/>
      <c r="W487" s="778"/>
      <c r="X487" s="776"/>
      <c r="Y487" s="25">
        <f t="shared" si="171"/>
        <v>0</v>
      </c>
    </row>
    <row r="488" spans="1:25">
      <c r="A488" s="732">
        <f t="shared" si="167"/>
        <v>30</v>
      </c>
      <c r="B488" s="297" t="s">
        <v>1056</v>
      </c>
      <c r="C488" s="25">
        <f t="shared" si="161"/>
        <v>915700</v>
      </c>
      <c r="D488" s="733">
        <f t="shared" si="179"/>
        <v>135776.29719362003</v>
      </c>
      <c r="E488" s="733">
        <f t="shared" si="179"/>
        <v>44393.128743522444</v>
      </c>
      <c r="F488" s="733">
        <f t="shared" si="179"/>
        <v>53166.431119187029</v>
      </c>
      <c r="G488" s="733">
        <f t="shared" si="179"/>
        <v>61410.592906655904</v>
      </c>
      <c r="H488" s="733">
        <f t="shared" si="179"/>
        <v>0</v>
      </c>
      <c r="I488" s="25">
        <f t="shared" si="163"/>
        <v>1210446.4499629855</v>
      </c>
      <c r="J488" s="733">
        <v>100</v>
      </c>
      <c r="K488" s="733">
        <f t="shared" si="169"/>
        <v>12104.464499629854</v>
      </c>
      <c r="L488" s="667"/>
      <c r="M488" s="667"/>
      <c r="N488" s="192" t="s">
        <v>1330</v>
      </c>
      <c r="O488" s="746">
        <f t="shared" si="164"/>
        <v>41210</v>
      </c>
      <c r="P488" s="746">
        <v>41213</v>
      </c>
      <c r="Q488" s="747" t="s">
        <v>1053</v>
      </c>
      <c r="R488" s="304">
        <v>50</v>
      </c>
      <c r="S488" s="776">
        <v>18314</v>
      </c>
      <c r="T488" s="25">
        <f t="shared" si="170"/>
        <v>915700</v>
      </c>
      <c r="U488" s="450"/>
      <c r="V488" s="746"/>
      <c r="W488" s="778"/>
      <c r="X488" s="776"/>
      <c r="Y488" s="25">
        <f t="shared" si="171"/>
        <v>0</v>
      </c>
    </row>
    <row r="489" spans="1:25">
      <c r="A489" s="732">
        <f t="shared" si="167"/>
        <v>31</v>
      </c>
      <c r="B489" s="297" t="s">
        <v>1057</v>
      </c>
      <c r="C489" s="25">
        <f t="shared" si="161"/>
        <v>1855900</v>
      </c>
      <c r="D489" s="733">
        <f t="shared" ref="D489:H498" si="181">IF($J$523&lt;&gt;0,D$523/$J$523*$J489,0)</f>
        <v>271552.59438724007</v>
      </c>
      <c r="E489" s="733">
        <f t="shared" si="181"/>
        <v>88786.257487044888</v>
      </c>
      <c r="F489" s="733">
        <f t="shared" si="181"/>
        <v>106332.86223837406</v>
      </c>
      <c r="G489" s="733">
        <f t="shared" si="181"/>
        <v>122821.18581331181</v>
      </c>
      <c r="H489" s="733">
        <f t="shared" si="181"/>
        <v>0</v>
      </c>
      <c r="I489" s="25">
        <f t="shared" si="163"/>
        <v>2445392.8999259709</v>
      </c>
      <c r="J489" s="733">
        <v>200</v>
      </c>
      <c r="K489" s="733">
        <f t="shared" si="169"/>
        <v>12226.964499629854</v>
      </c>
      <c r="L489" s="667"/>
      <c r="M489" s="667"/>
      <c r="N489" s="192" t="s">
        <v>1241</v>
      </c>
      <c r="O489" s="746">
        <f t="shared" si="164"/>
        <v>41210</v>
      </c>
      <c r="P489" s="746">
        <v>41213</v>
      </c>
      <c r="Q489" s="747" t="s">
        <v>1053</v>
      </c>
      <c r="R489" s="8">
        <v>100</v>
      </c>
      <c r="S489" s="776">
        <v>18559</v>
      </c>
      <c r="T489" s="25">
        <f t="shared" si="170"/>
        <v>1855900</v>
      </c>
      <c r="U489" s="450"/>
      <c r="V489" s="746"/>
      <c r="W489" s="778"/>
      <c r="X489" s="776"/>
      <c r="Y489" s="25">
        <f t="shared" si="171"/>
        <v>0</v>
      </c>
    </row>
    <row r="490" spans="1:25">
      <c r="A490" s="732">
        <f t="shared" si="167"/>
        <v>32</v>
      </c>
      <c r="B490" s="297" t="s">
        <v>1058</v>
      </c>
      <c r="C490" s="25">
        <f t="shared" si="161"/>
        <v>898900</v>
      </c>
      <c r="D490" s="733">
        <f t="shared" si="181"/>
        <v>135776.29719362003</v>
      </c>
      <c r="E490" s="733">
        <f t="shared" si="181"/>
        <v>44393.128743522444</v>
      </c>
      <c r="F490" s="733">
        <f t="shared" si="181"/>
        <v>53166.431119187029</v>
      </c>
      <c r="G490" s="733">
        <f t="shared" si="181"/>
        <v>61410.592906655904</v>
      </c>
      <c r="H490" s="733">
        <f t="shared" si="181"/>
        <v>0</v>
      </c>
      <c r="I490" s="25">
        <f t="shared" si="163"/>
        <v>1193646.4499629855</v>
      </c>
      <c r="J490" s="733">
        <v>100</v>
      </c>
      <c r="K490" s="733">
        <f t="shared" si="169"/>
        <v>11936.464499629854</v>
      </c>
      <c r="L490" s="667"/>
      <c r="M490" s="667"/>
      <c r="N490" s="192" t="s">
        <v>1317</v>
      </c>
      <c r="O490" s="746">
        <f t="shared" si="164"/>
        <v>41210</v>
      </c>
      <c r="P490" s="746">
        <v>41213</v>
      </c>
      <c r="Q490" s="747" t="s">
        <v>1053</v>
      </c>
      <c r="R490" s="304">
        <v>100</v>
      </c>
      <c r="S490" s="776">
        <v>8989</v>
      </c>
      <c r="T490" s="25">
        <f t="shared" si="170"/>
        <v>898900</v>
      </c>
      <c r="U490" s="450"/>
      <c r="V490" s="746"/>
      <c r="W490" s="778"/>
      <c r="X490" s="776"/>
      <c r="Y490" s="25">
        <f t="shared" si="171"/>
        <v>0</v>
      </c>
    </row>
    <row r="491" spans="1:25">
      <c r="A491" s="732">
        <f t="shared" si="167"/>
        <v>33</v>
      </c>
      <c r="B491" s="297" t="s">
        <v>1059</v>
      </c>
      <c r="C491" s="25">
        <f t="shared" si="161"/>
        <v>1844300</v>
      </c>
      <c r="D491" s="733">
        <f t="shared" si="181"/>
        <v>271552.59438724007</v>
      </c>
      <c r="E491" s="733">
        <f t="shared" si="181"/>
        <v>88786.257487044888</v>
      </c>
      <c r="F491" s="733">
        <f t="shared" si="181"/>
        <v>106332.86223837406</v>
      </c>
      <c r="G491" s="733">
        <f t="shared" si="181"/>
        <v>122821.18581331181</v>
      </c>
      <c r="H491" s="733">
        <f t="shared" si="181"/>
        <v>0</v>
      </c>
      <c r="I491" s="25">
        <f t="shared" si="163"/>
        <v>2433792.8999259709</v>
      </c>
      <c r="J491" s="733">
        <v>200</v>
      </c>
      <c r="K491" s="733">
        <f t="shared" si="169"/>
        <v>12168.964499629854</v>
      </c>
      <c r="L491" s="667"/>
      <c r="M491" s="667"/>
      <c r="N491" s="192" t="s">
        <v>1306</v>
      </c>
      <c r="O491" s="746">
        <f t="shared" si="164"/>
        <v>41210</v>
      </c>
      <c r="P491" s="746">
        <v>41213</v>
      </c>
      <c r="Q491" s="747" t="s">
        <v>1053</v>
      </c>
      <c r="R491" s="304">
        <v>100</v>
      </c>
      <c r="S491" s="776">
        <v>18443</v>
      </c>
      <c r="T491" s="25">
        <f t="shared" si="170"/>
        <v>1844300</v>
      </c>
      <c r="U491" s="450"/>
      <c r="V491" s="746"/>
      <c r="W491" s="778"/>
      <c r="X491" s="776"/>
      <c r="Y491" s="25">
        <f t="shared" si="171"/>
        <v>0</v>
      </c>
    </row>
    <row r="492" spans="1:25">
      <c r="A492" s="732">
        <f t="shared" si="167"/>
        <v>34</v>
      </c>
      <c r="B492" s="297" t="s">
        <v>1093</v>
      </c>
      <c r="C492" s="25">
        <f t="shared" si="161"/>
        <v>3601260</v>
      </c>
      <c r="D492" s="733">
        <f t="shared" si="181"/>
        <v>2198218.2515647081</v>
      </c>
      <c r="E492" s="733">
        <f t="shared" si="181"/>
        <v>718724.75435762829</v>
      </c>
      <c r="F492" s="733">
        <f t="shared" si="181"/>
        <v>860764.51981963799</v>
      </c>
      <c r="G492" s="733">
        <f t="shared" si="181"/>
        <v>994237.49915875914</v>
      </c>
      <c r="H492" s="733">
        <f t="shared" si="181"/>
        <v>0</v>
      </c>
      <c r="I492" s="25">
        <f t="shared" si="163"/>
        <v>8373205.0249007326</v>
      </c>
      <c r="J492" s="733">
        <v>1619</v>
      </c>
      <c r="K492" s="733">
        <f t="shared" si="169"/>
        <v>5171.8375694260239</v>
      </c>
      <c r="L492" s="667"/>
      <c r="M492" s="667"/>
      <c r="N492" s="192" t="s">
        <v>873</v>
      </c>
      <c r="O492" s="746">
        <f t="shared" si="164"/>
        <v>41223</v>
      </c>
      <c r="P492" s="746">
        <v>41226</v>
      </c>
      <c r="Q492" s="747" t="s">
        <v>1060</v>
      </c>
      <c r="R492" s="8">
        <v>270</v>
      </c>
      <c r="S492" s="776">
        <v>13338</v>
      </c>
      <c r="T492" s="25">
        <f t="shared" si="170"/>
        <v>3601260</v>
      </c>
      <c r="U492" s="450"/>
      <c r="V492" s="746"/>
      <c r="W492" s="778"/>
      <c r="X492" s="776"/>
      <c r="Y492" s="25">
        <f t="shared" si="171"/>
        <v>0</v>
      </c>
    </row>
    <row r="493" spans="1:25">
      <c r="A493" s="732">
        <f t="shared" si="167"/>
        <v>35</v>
      </c>
      <c r="B493" s="297" t="s">
        <v>1106</v>
      </c>
      <c r="C493" s="25">
        <f t="shared" si="161"/>
        <v>5583330</v>
      </c>
      <c r="D493" s="733">
        <f t="shared" si="181"/>
        <v>825519.88693720975</v>
      </c>
      <c r="E493" s="733">
        <f t="shared" si="181"/>
        <v>269910.22276061645</v>
      </c>
      <c r="F493" s="733">
        <f t="shared" si="181"/>
        <v>323251.90120465716</v>
      </c>
      <c r="G493" s="733">
        <f t="shared" si="181"/>
        <v>373376.40487246792</v>
      </c>
      <c r="H493" s="733">
        <f t="shared" si="181"/>
        <v>0</v>
      </c>
      <c r="I493" s="25">
        <f t="shared" si="163"/>
        <v>7375388.4157749508</v>
      </c>
      <c r="J493" s="733">
        <v>608</v>
      </c>
      <c r="K493" s="733">
        <f t="shared" si="169"/>
        <v>12130.573052261432</v>
      </c>
      <c r="L493" s="667"/>
      <c r="M493" s="667"/>
      <c r="N493" s="192" t="s">
        <v>1273</v>
      </c>
      <c r="O493" s="746">
        <f t="shared" si="164"/>
        <v>41223</v>
      </c>
      <c r="P493" s="746">
        <v>41226</v>
      </c>
      <c r="Q493" s="747" t="s">
        <v>1060</v>
      </c>
      <c r="R493" s="304">
        <v>305</v>
      </c>
      <c r="S493" s="776">
        <v>18306</v>
      </c>
      <c r="T493" s="25">
        <f t="shared" si="170"/>
        <v>5583330</v>
      </c>
      <c r="U493" s="450"/>
      <c r="V493" s="746"/>
      <c r="W493" s="778"/>
      <c r="X493" s="776"/>
      <c r="Y493" s="25">
        <f t="shared" si="171"/>
        <v>0</v>
      </c>
    </row>
    <row r="494" spans="1:25">
      <c r="A494" s="732">
        <f t="shared" si="167"/>
        <v>36</v>
      </c>
      <c r="B494" s="297" t="s">
        <v>1092</v>
      </c>
      <c r="C494" s="25">
        <f t="shared" ref="C494:C508" si="182">T494</f>
        <v>3749200</v>
      </c>
      <c r="D494" s="733">
        <f t="shared" si="181"/>
        <v>817373.30910559255</v>
      </c>
      <c r="E494" s="733">
        <f t="shared" si="181"/>
        <v>267246.63503600511</v>
      </c>
      <c r="F494" s="733">
        <f t="shared" si="181"/>
        <v>320061.91533750592</v>
      </c>
      <c r="G494" s="733">
        <f t="shared" si="181"/>
        <v>369691.76929806854</v>
      </c>
      <c r="H494" s="733">
        <f t="shared" si="181"/>
        <v>0</v>
      </c>
      <c r="I494" s="25">
        <f t="shared" ref="I494:I508" si="183">SUM(C494:H494)</f>
        <v>5523573.6287771715</v>
      </c>
      <c r="J494" s="733">
        <v>602</v>
      </c>
      <c r="K494" s="733">
        <f t="shared" ref="K494:K508" si="184">IF(J494&lt;&gt;"",I494/J494,"")</f>
        <v>9175.371476374039</v>
      </c>
      <c r="L494" s="667"/>
      <c r="M494" s="667"/>
      <c r="N494" s="192" t="s">
        <v>1333</v>
      </c>
      <c r="O494" s="746">
        <f t="shared" si="164"/>
        <v>41223</v>
      </c>
      <c r="P494" s="746">
        <v>41226</v>
      </c>
      <c r="Q494" s="747" t="s">
        <v>1060</v>
      </c>
      <c r="R494" s="304">
        <v>200</v>
      </c>
      <c r="S494" s="776">
        <v>18746</v>
      </c>
      <c r="T494" s="25">
        <f t="shared" ref="T494:T508" si="185">ROUND(R494*S494,0)</f>
        <v>3749200</v>
      </c>
      <c r="U494" s="450"/>
      <c r="V494" s="746"/>
      <c r="W494" s="778"/>
      <c r="X494" s="776"/>
      <c r="Y494" s="25">
        <f t="shared" ref="Y494:Y508" si="186">ROUND(W494*X494,0)</f>
        <v>0</v>
      </c>
    </row>
    <row r="495" spans="1:25">
      <c r="A495" s="732">
        <f t="shared" si="167"/>
        <v>37</v>
      </c>
      <c r="B495" s="297" t="s">
        <v>1096</v>
      </c>
      <c r="C495" s="25">
        <f t="shared" si="182"/>
        <v>2324862</v>
      </c>
      <c r="D495" s="733">
        <f t="shared" si="181"/>
        <v>687028.06379971735</v>
      </c>
      <c r="E495" s="733">
        <f t="shared" si="181"/>
        <v>224629.23144222356</v>
      </c>
      <c r="F495" s="733">
        <f t="shared" si="181"/>
        <v>269022.14146308636</v>
      </c>
      <c r="G495" s="733">
        <f t="shared" si="181"/>
        <v>310737.60010767885</v>
      </c>
      <c r="H495" s="733">
        <f t="shared" si="181"/>
        <v>0</v>
      </c>
      <c r="I495" s="25">
        <f t="shared" si="183"/>
        <v>3816279.0368127064</v>
      </c>
      <c r="J495" s="733">
        <v>506</v>
      </c>
      <c r="K495" s="733">
        <f t="shared" si="184"/>
        <v>7542.0534324361788</v>
      </c>
      <c r="L495" s="667"/>
      <c r="M495" s="667"/>
      <c r="N495" s="192" t="s">
        <v>1273</v>
      </c>
      <c r="O495" s="746">
        <f t="shared" si="164"/>
        <v>41225</v>
      </c>
      <c r="P495" s="746">
        <v>41228</v>
      </c>
      <c r="Q495" s="747" t="s">
        <v>1061</v>
      </c>
      <c r="R495" s="304">
        <v>127</v>
      </c>
      <c r="S495" s="776">
        <v>18306</v>
      </c>
      <c r="T495" s="25">
        <f t="shared" si="185"/>
        <v>2324862</v>
      </c>
      <c r="U495" s="450"/>
      <c r="V495" s="746"/>
      <c r="W495" s="778"/>
      <c r="X495" s="776"/>
      <c r="Y495" s="25">
        <f t="shared" si="186"/>
        <v>0</v>
      </c>
    </row>
    <row r="496" spans="1:25">
      <c r="A496" s="732">
        <f t="shared" si="167"/>
        <v>38</v>
      </c>
      <c r="B496" s="297" t="s">
        <v>1105</v>
      </c>
      <c r="C496" s="25">
        <f t="shared" si="182"/>
        <v>37372</v>
      </c>
      <c r="D496" s="733">
        <f t="shared" si="181"/>
        <v>142565.11205330104</v>
      </c>
      <c r="E496" s="733">
        <f t="shared" si="181"/>
        <v>46612.785180698564</v>
      </c>
      <c r="F496" s="733">
        <f t="shared" si="181"/>
        <v>55824.752675146381</v>
      </c>
      <c r="G496" s="733">
        <f t="shared" si="181"/>
        <v>64481.122551988701</v>
      </c>
      <c r="H496" s="733">
        <f t="shared" si="181"/>
        <v>0</v>
      </c>
      <c r="I496" s="25">
        <f t="shared" si="183"/>
        <v>346855.77246113465</v>
      </c>
      <c r="J496" s="733">
        <v>105</v>
      </c>
      <c r="K496" s="733">
        <f t="shared" si="184"/>
        <v>3303.3883091536632</v>
      </c>
      <c r="L496" s="667"/>
      <c r="M496" s="667"/>
      <c r="N496" s="192" t="s">
        <v>1312</v>
      </c>
      <c r="O496" s="746">
        <f t="shared" si="164"/>
        <v>41225</v>
      </c>
      <c r="P496" s="746">
        <v>41228</v>
      </c>
      <c r="Q496" s="747" t="s">
        <v>1061</v>
      </c>
      <c r="R496" s="304">
        <v>2.75</v>
      </c>
      <c r="S496" s="776">
        <v>13589.818181818182</v>
      </c>
      <c r="T496" s="25">
        <f t="shared" si="185"/>
        <v>37372</v>
      </c>
      <c r="U496" s="450"/>
      <c r="V496" s="746"/>
      <c r="W496" s="778"/>
      <c r="X496" s="776"/>
      <c r="Y496" s="25">
        <f t="shared" si="186"/>
        <v>0</v>
      </c>
    </row>
    <row r="497" spans="1:25">
      <c r="A497" s="732">
        <f t="shared" si="167"/>
        <v>39</v>
      </c>
      <c r="B497" s="297" t="s">
        <v>1089</v>
      </c>
      <c r="C497" s="25">
        <f t="shared" si="182"/>
        <v>10049437</v>
      </c>
      <c r="D497" s="733">
        <f t="shared" si="181"/>
        <v>1364551.7867958813</v>
      </c>
      <c r="E497" s="733">
        <f t="shared" si="181"/>
        <v>446150.94387240056</v>
      </c>
      <c r="F497" s="733">
        <f t="shared" si="181"/>
        <v>534322.63274782966</v>
      </c>
      <c r="G497" s="733">
        <f t="shared" si="181"/>
        <v>617176.45871189178</v>
      </c>
      <c r="H497" s="733">
        <f t="shared" si="181"/>
        <v>0</v>
      </c>
      <c r="I497" s="25">
        <f t="shared" si="183"/>
        <v>13011638.822128002</v>
      </c>
      <c r="J497" s="733">
        <v>1005</v>
      </c>
      <c r="K497" s="733">
        <f t="shared" si="184"/>
        <v>12946.904300624878</v>
      </c>
      <c r="L497" s="667"/>
      <c r="M497" s="667"/>
      <c r="N497" s="40" t="s">
        <v>1338</v>
      </c>
      <c r="O497" s="746">
        <f t="shared" si="164"/>
        <v>41225</v>
      </c>
      <c r="P497" s="746">
        <v>41228</v>
      </c>
      <c r="Q497" s="747" t="s">
        <v>1062</v>
      </c>
      <c r="R497" s="304">
        <v>503</v>
      </c>
      <c r="S497" s="776">
        <v>19979</v>
      </c>
      <c r="T497" s="25">
        <f t="shared" si="185"/>
        <v>10049437</v>
      </c>
      <c r="U497" s="450"/>
      <c r="V497" s="746"/>
      <c r="W497" s="778"/>
      <c r="X497" s="776"/>
      <c r="Y497" s="25">
        <f t="shared" si="186"/>
        <v>0</v>
      </c>
    </row>
    <row r="498" spans="1:25">
      <c r="A498" s="732">
        <f t="shared" si="167"/>
        <v>40</v>
      </c>
      <c r="B498" s="297" t="s">
        <v>1104</v>
      </c>
      <c r="C498" s="25">
        <f t="shared" si="182"/>
        <v>1681680</v>
      </c>
      <c r="D498" s="733">
        <f t="shared" si="181"/>
        <v>298707.85382596409</v>
      </c>
      <c r="E498" s="733">
        <f t="shared" si="181"/>
        <v>97664.883235749367</v>
      </c>
      <c r="F498" s="733">
        <f t="shared" si="181"/>
        <v>116966.14846221147</v>
      </c>
      <c r="G498" s="733">
        <f t="shared" si="181"/>
        <v>135103.304394643</v>
      </c>
      <c r="H498" s="733">
        <f t="shared" si="181"/>
        <v>0</v>
      </c>
      <c r="I498" s="25">
        <f t="shared" si="183"/>
        <v>2330122.1899185674</v>
      </c>
      <c r="J498" s="733">
        <v>220</v>
      </c>
      <c r="K498" s="733">
        <f t="shared" si="184"/>
        <v>10591.464499629852</v>
      </c>
      <c r="L498" s="667"/>
      <c r="M498" s="667"/>
      <c r="N498" s="192" t="s">
        <v>1437</v>
      </c>
      <c r="O498" s="746">
        <f t="shared" si="164"/>
        <v>41232</v>
      </c>
      <c r="P498" s="746">
        <v>41235</v>
      </c>
      <c r="Q498" s="747" t="s">
        <v>1063</v>
      </c>
      <c r="R498" s="304">
        <f>J498/2</f>
        <v>110</v>
      </c>
      <c r="S498" s="768">
        <v>15288</v>
      </c>
      <c r="T498" s="25">
        <f t="shared" si="185"/>
        <v>1681680</v>
      </c>
      <c r="U498" s="450"/>
      <c r="V498" s="746"/>
      <c r="W498" s="778"/>
      <c r="X498" s="776"/>
      <c r="Y498" s="25">
        <f t="shared" si="186"/>
        <v>0</v>
      </c>
    </row>
    <row r="499" spans="1:25">
      <c r="A499" s="732">
        <f t="shared" si="167"/>
        <v>41</v>
      </c>
      <c r="B499" s="297" t="s">
        <v>1103</v>
      </c>
      <c r="C499" s="25">
        <f t="shared" si="182"/>
        <v>2524000</v>
      </c>
      <c r="D499" s="733">
        <f t="shared" ref="D499:H508" si="187">IF($J$523&lt;&gt;0,D$523/$J$523*$J499,0)</f>
        <v>350302.84675953968</v>
      </c>
      <c r="E499" s="733">
        <f t="shared" si="187"/>
        <v>114534.2721582879</v>
      </c>
      <c r="F499" s="733">
        <f t="shared" si="187"/>
        <v>137169.39228750253</v>
      </c>
      <c r="G499" s="733">
        <f t="shared" si="187"/>
        <v>158439.32969917223</v>
      </c>
      <c r="H499" s="733">
        <f t="shared" si="187"/>
        <v>0</v>
      </c>
      <c r="I499" s="25">
        <f t="shared" si="183"/>
        <v>3284445.8409045022</v>
      </c>
      <c r="J499" s="733">
        <v>258</v>
      </c>
      <c r="K499" s="733">
        <f t="shared" si="184"/>
        <v>12730.410236063963</v>
      </c>
      <c r="L499" s="667"/>
      <c r="M499" s="667"/>
      <c r="N499" s="192" t="s">
        <v>1276</v>
      </c>
      <c r="O499" s="746">
        <f t="shared" si="164"/>
        <v>41232</v>
      </c>
      <c r="P499" s="746">
        <v>41235</v>
      </c>
      <c r="Q499" s="747" t="s">
        <v>1063</v>
      </c>
      <c r="R499" s="304">
        <v>100</v>
      </c>
      <c r="S499" s="776">
        <v>25240</v>
      </c>
      <c r="T499" s="25">
        <f t="shared" si="185"/>
        <v>2524000</v>
      </c>
      <c r="U499" s="450"/>
      <c r="V499" s="746"/>
      <c r="W499" s="778"/>
      <c r="X499" s="776"/>
      <c r="Y499" s="25">
        <f t="shared" si="186"/>
        <v>0</v>
      </c>
    </row>
    <row r="500" spans="1:25">
      <c r="A500" s="732">
        <f t="shared" si="167"/>
        <v>42</v>
      </c>
      <c r="B500" s="297" t="s">
        <v>1102</v>
      </c>
      <c r="C500" s="25">
        <f t="shared" si="182"/>
        <v>2349750</v>
      </c>
      <c r="D500" s="733">
        <f t="shared" si="187"/>
        <v>400540.07672117907</v>
      </c>
      <c r="E500" s="733">
        <f t="shared" si="187"/>
        <v>130959.72979339121</v>
      </c>
      <c r="F500" s="733">
        <f t="shared" si="187"/>
        <v>156840.97180160173</v>
      </c>
      <c r="G500" s="733">
        <f t="shared" si="187"/>
        <v>181161.24907463492</v>
      </c>
      <c r="H500" s="733">
        <f t="shared" si="187"/>
        <v>0</v>
      </c>
      <c r="I500" s="25">
        <f t="shared" si="183"/>
        <v>3219252.0273908074</v>
      </c>
      <c r="J500" s="733">
        <v>295</v>
      </c>
      <c r="K500" s="733">
        <f t="shared" si="184"/>
        <v>10912.718736917992</v>
      </c>
      <c r="L500" s="667"/>
      <c r="M500" s="667"/>
      <c r="N500" s="192" t="s">
        <v>1318</v>
      </c>
      <c r="O500" s="746">
        <f t="shared" si="164"/>
        <v>41232</v>
      </c>
      <c r="P500" s="746">
        <v>41235</v>
      </c>
      <c r="Q500" s="747" t="s">
        <v>1063</v>
      </c>
      <c r="R500" s="304">
        <v>150</v>
      </c>
      <c r="S500" s="776">
        <v>15665</v>
      </c>
      <c r="T500" s="25">
        <f t="shared" si="185"/>
        <v>2349750</v>
      </c>
      <c r="U500" s="450"/>
      <c r="V500" s="746"/>
      <c r="W500" s="778"/>
      <c r="X500" s="776"/>
      <c r="Y500" s="25">
        <f t="shared" si="186"/>
        <v>0</v>
      </c>
    </row>
    <row r="501" spans="1:25">
      <c r="A501" s="732">
        <f>IF(B501&lt;&gt;"",A500+1,"")</f>
        <v>43</v>
      </c>
      <c r="B501" s="297" t="s">
        <v>1101</v>
      </c>
      <c r="C501" s="25">
        <f t="shared" si="182"/>
        <v>2592000</v>
      </c>
      <c r="D501" s="733">
        <f t="shared" si="187"/>
        <v>403255.60266505147</v>
      </c>
      <c r="E501" s="733">
        <f t="shared" si="187"/>
        <v>131847.59236826166</v>
      </c>
      <c r="F501" s="733">
        <f t="shared" si="187"/>
        <v>157904.30042398549</v>
      </c>
      <c r="G501" s="733">
        <f t="shared" si="187"/>
        <v>182389.46093276804</v>
      </c>
      <c r="H501" s="733">
        <f t="shared" si="187"/>
        <v>0</v>
      </c>
      <c r="I501" s="25">
        <f t="shared" si="183"/>
        <v>3467396.9563900661</v>
      </c>
      <c r="J501" s="733">
        <v>297</v>
      </c>
      <c r="K501" s="733">
        <f t="shared" si="184"/>
        <v>11674.73722690258</v>
      </c>
      <c r="L501" s="667"/>
      <c r="M501" s="667"/>
      <c r="N501" s="192" t="s">
        <v>708</v>
      </c>
      <c r="O501" s="746">
        <f t="shared" si="164"/>
        <v>41232</v>
      </c>
      <c r="P501" s="746">
        <v>41235</v>
      </c>
      <c r="Q501" s="747" t="s">
        <v>1063</v>
      </c>
      <c r="R501" s="304">
        <v>300</v>
      </c>
      <c r="S501" s="776">
        <v>8640</v>
      </c>
      <c r="T501" s="25">
        <f t="shared" si="185"/>
        <v>2592000</v>
      </c>
      <c r="U501" s="450"/>
      <c r="V501" s="746"/>
      <c r="W501" s="778"/>
      <c r="X501" s="776"/>
      <c r="Y501" s="25">
        <f t="shared" si="186"/>
        <v>0</v>
      </c>
    </row>
    <row r="502" spans="1:25">
      <c r="A502" s="732">
        <f t="shared" si="167"/>
        <v>44</v>
      </c>
      <c r="B502" s="297" t="s">
        <v>1100</v>
      </c>
      <c r="C502" s="25">
        <f t="shared" si="182"/>
        <v>5607808</v>
      </c>
      <c r="D502" s="733">
        <f t="shared" si="187"/>
        <v>1425651.1205330102</v>
      </c>
      <c r="E502" s="733">
        <f t="shared" si="187"/>
        <v>466127.85180698562</v>
      </c>
      <c r="F502" s="733">
        <f t="shared" si="187"/>
        <v>558247.52675146377</v>
      </c>
      <c r="G502" s="733">
        <f t="shared" si="187"/>
        <v>644811.22551988694</v>
      </c>
      <c r="H502" s="733">
        <f t="shared" si="187"/>
        <v>0</v>
      </c>
      <c r="I502" s="25">
        <f t="shared" si="183"/>
        <v>8702645.7246113457</v>
      </c>
      <c r="J502" s="733">
        <v>1050</v>
      </c>
      <c r="K502" s="733">
        <f t="shared" si="184"/>
        <v>8288.234023439376</v>
      </c>
      <c r="L502" s="667"/>
      <c r="M502" s="667"/>
      <c r="N502" s="192" t="s">
        <v>1435</v>
      </c>
      <c r="O502" s="746">
        <f t="shared" si="164"/>
        <v>41241</v>
      </c>
      <c r="P502" s="746">
        <v>41244</v>
      </c>
      <c r="Q502" s="747" t="s">
        <v>1064</v>
      </c>
      <c r="R502" s="304">
        <f>J502/2</f>
        <v>525</v>
      </c>
      <c r="S502" s="776">
        <v>10681.538922155689</v>
      </c>
      <c r="T502" s="25">
        <f t="shared" si="185"/>
        <v>5607808</v>
      </c>
      <c r="U502" s="450"/>
      <c r="V502" s="746"/>
      <c r="W502" s="778"/>
      <c r="X502" s="776"/>
      <c r="Y502" s="25">
        <f t="shared" si="186"/>
        <v>0</v>
      </c>
    </row>
    <row r="503" spans="1:25">
      <c r="A503" s="732">
        <f t="shared" si="167"/>
        <v>45</v>
      </c>
      <c r="B503" s="297" t="s">
        <v>1099</v>
      </c>
      <c r="C503" s="25">
        <f t="shared" si="182"/>
        <v>3018441</v>
      </c>
      <c r="D503" s="733">
        <f t="shared" si="187"/>
        <v>678881.48596810014</v>
      </c>
      <c r="E503" s="733">
        <f t="shared" si="187"/>
        <v>221965.6437176122</v>
      </c>
      <c r="F503" s="733">
        <f t="shared" si="187"/>
        <v>265832.15559593512</v>
      </c>
      <c r="G503" s="733">
        <f t="shared" si="187"/>
        <v>307052.96453327953</v>
      </c>
      <c r="H503" s="733">
        <f t="shared" si="187"/>
        <v>0</v>
      </c>
      <c r="I503" s="25">
        <f t="shared" si="183"/>
        <v>4492173.2498149266</v>
      </c>
      <c r="J503" s="733">
        <v>500</v>
      </c>
      <c r="K503" s="733">
        <f t="shared" si="184"/>
        <v>8984.3464996298535</v>
      </c>
      <c r="L503" s="667"/>
      <c r="M503" s="667"/>
      <c r="N503" s="192" t="s">
        <v>1263</v>
      </c>
      <c r="O503" s="746">
        <f t="shared" si="164"/>
        <v>41250</v>
      </c>
      <c r="P503" s="746">
        <v>41253</v>
      </c>
      <c r="Q503" s="747" t="s">
        <v>1065</v>
      </c>
      <c r="R503" s="304">
        <f>J503/2</f>
        <v>250</v>
      </c>
      <c r="S503" s="776">
        <v>12073.764705882353</v>
      </c>
      <c r="T503" s="25">
        <f t="shared" si="185"/>
        <v>3018441</v>
      </c>
      <c r="U503" s="450"/>
      <c r="V503" s="746"/>
      <c r="W503" s="778"/>
      <c r="X503" s="776"/>
      <c r="Y503" s="25">
        <f t="shared" si="186"/>
        <v>0</v>
      </c>
    </row>
    <row r="504" spans="1:25">
      <c r="A504" s="732">
        <f t="shared" si="167"/>
        <v>46</v>
      </c>
      <c r="B504" s="297" t="s">
        <v>1098</v>
      </c>
      <c r="C504" s="25">
        <f t="shared" si="182"/>
        <v>2859600</v>
      </c>
      <c r="D504" s="733">
        <f t="shared" si="187"/>
        <v>655799.51544518478</v>
      </c>
      <c r="E504" s="733">
        <f t="shared" si="187"/>
        <v>214418.81183121339</v>
      </c>
      <c r="F504" s="733">
        <f t="shared" si="187"/>
        <v>256793.86230567336</v>
      </c>
      <c r="G504" s="733">
        <f t="shared" si="187"/>
        <v>296613.163739148</v>
      </c>
      <c r="H504" s="733">
        <f t="shared" si="187"/>
        <v>0</v>
      </c>
      <c r="I504" s="25">
        <f t="shared" si="183"/>
        <v>4283225.3533212198</v>
      </c>
      <c r="J504" s="733">
        <v>483</v>
      </c>
      <c r="K504" s="733">
        <f t="shared" si="184"/>
        <v>8867.9613940397921</v>
      </c>
      <c r="L504" s="667"/>
      <c r="M504" s="667"/>
      <c r="N504" s="192" t="s">
        <v>1335</v>
      </c>
      <c r="O504" s="746">
        <f t="shared" si="164"/>
        <v>41250</v>
      </c>
      <c r="P504" s="746">
        <v>41253</v>
      </c>
      <c r="Q504" s="747" t="s">
        <v>1065</v>
      </c>
      <c r="R504" s="304">
        <v>100</v>
      </c>
      <c r="S504" s="293">
        <v>28596</v>
      </c>
      <c r="T504" s="25">
        <f t="shared" si="185"/>
        <v>2859600</v>
      </c>
      <c r="U504" s="450"/>
      <c r="V504" s="746"/>
      <c r="W504" s="778"/>
      <c r="X504" s="776"/>
      <c r="Y504" s="25">
        <f t="shared" si="186"/>
        <v>0</v>
      </c>
    </row>
    <row r="505" spans="1:25">
      <c r="A505" s="732">
        <f t="shared" si="167"/>
        <v>47</v>
      </c>
      <c r="B505" s="297" t="s">
        <v>1097</v>
      </c>
      <c r="C505" s="25">
        <f t="shared" si="182"/>
        <v>2377620</v>
      </c>
      <c r="D505" s="733">
        <f t="shared" si="187"/>
        <v>684312.53785584494</v>
      </c>
      <c r="E505" s="733">
        <f t="shared" si="187"/>
        <v>223741.3688673531</v>
      </c>
      <c r="F505" s="733">
        <f t="shared" si="187"/>
        <v>267958.81284070265</v>
      </c>
      <c r="G505" s="733">
        <f t="shared" si="187"/>
        <v>309509.38824954577</v>
      </c>
      <c r="H505" s="733">
        <f t="shared" si="187"/>
        <v>0</v>
      </c>
      <c r="I505" s="25">
        <f t="shared" si="183"/>
        <v>3863142.1078134463</v>
      </c>
      <c r="J505" s="733">
        <v>504</v>
      </c>
      <c r="K505" s="733">
        <f t="shared" si="184"/>
        <v>7664.9644996298539</v>
      </c>
      <c r="L505" s="667"/>
      <c r="M505" s="667"/>
      <c r="N505" s="192" t="s">
        <v>1416</v>
      </c>
      <c r="O505" s="746">
        <f t="shared" si="164"/>
        <v>41250</v>
      </c>
      <c r="P505" s="746">
        <v>41253</v>
      </c>
      <c r="Q505" s="747" t="s">
        <v>1065</v>
      </c>
      <c r="R505" s="304">
        <v>255</v>
      </c>
      <c r="S505" s="776">
        <v>9324</v>
      </c>
      <c r="T505" s="25">
        <f t="shared" si="185"/>
        <v>2377620</v>
      </c>
      <c r="U505" s="450"/>
      <c r="V505" s="746"/>
      <c r="W505" s="778"/>
      <c r="X505" s="776"/>
      <c r="Y505" s="25">
        <f t="shared" si="186"/>
        <v>0</v>
      </c>
    </row>
    <row r="506" spans="1:25">
      <c r="A506" s="732">
        <f t="shared" si="167"/>
        <v>48</v>
      </c>
      <c r="B506" s="297" t="s">
        <v>1096</v>
      </c>
      <c r="C506" s="25">
        <f t="shared" si="182"/>
        <v>2434698</v>
      </c>
      <c r="D506" s="733">
        <f t="shared" si="187"/>
        <v>719614.37512618618</v>
      </c>
      <c r="E506" s="733">
        <f t="shared" si="187"/>
        <v>235283.58234066895</v>
      </c>
      <c r="F506" s="733">
        <f t="shared" si="187"/>
        <v>281782.08493169124</v>
      </c>
      <c r="G506" s="733">
        <f t="shared" si="187"/>
        <v>325476.1424052763</v>
      </c>
      <c r="H506" s="733">
        <f t="shared" si="187"/>
        <v>0</v>
      </c>
      <c r="I506" s="25">
        <f t="shared" si="183"/>
        <v>3996854.1848038225</v>
      </c>
      <c r="J506" s="733">
        <v>530</v>
      </c>
      <c r="K506" s="733">
        <f t="shared" si="184"/>
        <v>7541.2343109506082</v>
      </c>
      <c r="L506" s="667"/>
      <c r="M506" s="667"/>
      <c r="N506" s="192" t="s">
        <v>1273</v>
      </c>
      <c r="O506" s="746">
        <f t="shared" si="164"/>
        <v>41259</v>
      </c>
      <c r="P506" s="746">
        <v>41262</v>
      </c>
      <c r="Q506" s="747" t="s">
        <v>1067</v>
      </c>
      <c r="R506" s="304">
        <v>133</v>
      </c>
      <c r="S506" s="776">
        <v>18306</v>
      </c>
      <c r="T506" s="25">
        <f t="shared" si="185"/>
        <v>2434698</v>
      </c>
      <c r="U506" s="450"/>
      <c r="V506" s="746"/>
      <c r="W506" s="778"/>
      <c r="X506" s="776"/>
      <c r="Y506" s="25">
        <f t="shared" si="186"/>
        <v>0</v>
      </c>
    </row>
    <row r="507" spans="1:25">
      <c r="A507" s="732">
        <f t="shared" si="167"/>
        <v>49</v>
      </c>
      <c r="B507" s="297" t="s">
        <v>1068</v>
      </c>
      <c r="C507" s="25">
        <f t="shared" si="182"/>
        <v>2509920</v>
      </c>
      <c r="D507" s="733">
        <f t="shared" si="187"/>
        <v>901554.61336563702</v>
      </c>
      <c r="E507" s="733">
        <f t="shared" si="187"/>
        <v>294770.37485698902</v>
      </c>
      <c r="F507" s="733">
        <f t="shared" si="187"/>
        <v>353025.10263140185</v>
      </c>
      <c r="G507" s="733">
        <f t="shared" si="187"/>
        <v>407766.33690019522</v>
      </c>
      <c r="H507" s="733">
        <f t="shared" si="187"/>
        <v>0</v>
      </c>
      <c r="I507" s="25">
        <f t="shared" si="183"/>
        <v>4467036.4277542233</v>
      </c>
      <c r="J507" s="733">
        <v>664</v>
      </c>
      <c r="K507" s="733">
        <f t="shared" si="184"/>
        <v>6727.4644996298548</v>
      </c>
      <c r="L507" s="667"/>
      <c r="M507" s="667"/>
      <c r="N507" s="192" t="s">
        <v>1432</v>
      </c>
      <c r="O507" s="746">
        <f t="shared" si="164"/>
        <v>41259</v>
      </c>
      <c r="P507" s="746">
        <v>41262</v>
      </c>
      <c r="Q507" s="747" t="s">
        <v>1069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0"/>
      <c r="V507" s="746"/>
      <c r="W507" s="778"/>
      <c r="X507" s="776"/>
      <c r="Y507" s="25">
        <f t="shared" si="186"/>
        <v>0</v>
      </c>
    </row>
    <row r="508" spans="1:25">
      <c r="A508" s="732">
        <f t="shared" si="167"/>
        <v>50</v>
      </c>
      <c r="B508" s="297" t="s">
        <v>1070</v>
      </c>
      <c r="C508" s="25">
        <f t="shared" si="182"/>
        <v>211680</v>
      </c>
      <c r="D508" s="733">
        <f t="shared" si="187"/>
        <v>76034.72642842721</v>
      </c>
      <c r="E508" s="733">
        <f t="shared" si="187"/>
        <v>24860.152096372567</v>
      </c>
      <c r="F508" s="733">
        <f t="shared" si="187"/>
        <v>29773.201426744738</v>
      </c>
      <c r="G508" s="733">
        <f t="shared" si="187"/>
        <v>34389.932027727307</v>
      </c>
      <c r="H508" s="733">
        <f t="shared" si="187"/>
        <v>0</v>
      </c>
      <c r="I508" s="25">
        <f t="shared" si="183"/>
        <v>376738.01197927183</v>
      </c>
      <c r="J508" s="733">
        <v>56</v>
      </c>
      <c r="K508" s="733">
        <f t="shared" si="184"/>
        <v>6727.4644996298539</v>
      </c>
      <c r="L508" s="667"/>
      <c r="M508" s="667"/>
      <c r="N508" s="192" t="s">
        <v>1432</v>
      </c>
      <c r="O508" s="746">
        <f t="shared" si="164"/>
        <v>41259</v>
      </c>
      <c r="P508" s="746">
        <v>41262</v>
      </c>
      <c r="Q508" s="747" t="s">
        <v>1069</v>
      </c>
      <c r="R508" s="8">
        <f t="shared" si="188"/>
        <v>14</v>
      </c>
      <c r="S508" s="293">
        <v>15120</v>
      </c>
      <c r="T508" s="25">
        <f t="shared" si="185"/>
        <v>211680</v>
      </c>
      <c r="U508" s="450"/>
      <c r="V508" s="746"/>
      <c r="W508" s="778"/>
      <c r="X508" s="776"/>
      <c r="Y508" s="25">
        <f t="shared" si="186"/>
        <v>0</v>
      </c>
    </row>
    <row r="509" spans="1:25">
      <c r="A509" s="732">
        <f t="shared" si="167"/>
        <v>51</v>
      </c>
      <c r="B509" s="297" t="s">
        <v>1153</v>
      </c>
      <c r="C509" s="25">
        <f t="shared" si="161"/>
        <v>419580</v>
      </c>
      <c r="D509" s="733">
        <f t="shared" ref="D509:H521" si="189">IF($J$523&lt;&gt;0,D$523/$J$523*$J509,0)</f>
        <v>126271.95639006663</v>
      </c>
      <c r="E509" s="733">
        <f t="shared" si="189"/>
        <v>41285.609731475874</v>
      </c>
      <c r="F509" s="733">
        <f t="shared" si="189"/>
        <v>49444.780940843935</v>
      </c>
      <c r="G509" s="733">
        <f t="shared" si="189"/>
        <v>57111.85140318999</v>
      </c>
      <c r="H509" s="733">
        <f t="shared" si="189"/>
        <v>0</v>
      </c>
      <c r="I509" s="25">
        <f t="shared" si="163"/>
        <v>693694.1984655764</v>
      </c>
      <c r="J509" s="733">
        <v>93</v>
      </c>
      <c r="K509" s="733">
        <f t="shared" si="169"/>
        <v>7459.0774028556598</v>
      </c>
      <c r="L509" s="667"/>
      <c r="M509" s="667"/>
      <c r="N509" s="192" t="s">
        <v>1416</v>
      </c>
      <c r="O509" s="746">
        <f t="shared" si="164"/>
        <v>41259</v>
      </c>
      <c r="P509" s="746">
        <v>41262</v>
      </c>
      <c r="Q509" s="747" t="s">
        <v>1069</v>
      </c>
      <c r="R509" s="304">
        <v>45</v>
      </c>
      <c r="S509" s="776">
        <v>9324</v>
      </c>
      <c r="T509" s="25">
        <f t="shared" si="170"/>
        <v>419580</v>
      </c>
      <c r="U509" s="450"/>
      <c r="V509" s="746"/>
      <c r="W509" s="778"/>
      <c r="X509" s="776"/>
      <c r="Y509" s="25">
        <f t="shared" si="171"/>
        <v>0</v>
      </c>
    </row>
    <row r="510" spans="1:25">
      <c r="A510" s="732">
        <f t="shared" si="167"/>
        <v>52</v>
      </c>
      <c r="B510" s="297" t="s">
        <v>1095</v>
      </c>
      <c r="C510" s="25">
        <f t="shared" si="161"/>
        <v>729600</v>
      </c>
      <c r="D510" s="733">
        <f t="shared" si="189"/>
        <v>171078.13446396124</v>
      </c>
      <c r="E510" s="733">
        <f t="shared" si="189"/>
        <v>55935.342216838275</v>
      </c>
      <c r="F510" s="733">
        <f t="shared" si="189"/>
        <v>66989.703210175663</v>
      </c>
      <c r="G510" s="733">
        <f t="shared" si="189"/>
        <v>77377.347062386441</v>
      </c>
      <c r="H510" s="733">
        <f t="shared" si="189"/>
        <v>0</v>
      </c>
      <c r="I510" s="25">
        <f t="shared" si="163"/>
        <v>1100980.5269533615</v>
      </c>
      <c r="J510" s="733">
        <v>126</v>
      </c>
      <c r="K510" s="733">
        <f t="shared" si="169"/>
        <v>8737.9406901060429</v>
      </c>
      <c r="L510" s="667"/>
      <c r="M510" s="667"/>
      <c r="N510" s="192" t="s">
        <v>1391</v>
      </c>
      <c r="O510" s="746">
        <f t="shared" si="164"/>
        <v>41259</v>
      </c>
      <c r="P510" s="746">
        <v>41262</v>
      </c>
      <c r="Q510" s="747" t="s">
        <v>1069</v>
      </c>
      <c r="R510" s="304">
        <v>150</v>
      </c>
      <c r="S510" s="776">
        <v>4864</v>
      </c>
      <c r="T510" s="25">
        <f t="shared" si="170"/>
        <v>729600</v>
      </c>
      <c r="U510" s="450"/>
      <c r="V510" s="746"/>
      <c r="W510" s="778"/>
      <c r="X510" s="776"/>
      <c r="Y510" s="25">
        <f t="shared" si="171"/>
        <v>0</v>
      </c>
    </row>
    <row r="511" spans="1:25">
      <c r="A511" s="732">
        <f t="shared" si="167"/>
        <v>53</v>
      </c>
      <c r="B511" s="297" t="s">
        <v>1094</v>
      </c>
      <c r="C511" s="25">
        <f t="shared" si="161"/>
        <v>744053</v>
      </c>
      <c r="D511" s="733">
        <f t="shared" si="189"/>
        <v>297350.09085402789</v>
      </c>
      <c r="E511" s="733">
        <f t="shared" si="189"/>
        <v>97220.951948314148</v>
      </c>
      <c r="F511" s="733">
        <f t="shared" si="189"/>
        <v>116434.4841510196</v>
      </c>
      <c r="G511" s="733">
        <f t="shared" si="189"/>
        <v>134489.19846557642</v>
      </c>
      <c r="H511" s="733">
        <f t="shared" si="189"/>
        <v>0</v>
      </c>
      <c r="I511" s="25">
        <f t="shared" si="163"/>
        <v>1389547.7254189379</v>
      </c>
      <c r="J511" s="733">
        <v>219</v>
      </c>
      <c r="K511" s="733">
        <f t="shared" si="169"/>
        <v>6344.9667827348758</v>
      </c>
      <c r="L511" s="667"/>
      <c r="M511" s="667"/>
      <c r="N511" s="192" t="s">
        <v>1312</v>
      </c>
      <c r="O511" s="746">
        <f t="shared" si="164"/>
        <v>41260</v>
      </c>
      <c r="P511" s="746">
        <v>41263</v>
      </c>
      <c r="Q511" s="747" t="s">
        <v>1071</v>
      </c>
      <c r="R511" s="8">
        <f t="shared" ref="R511" si="190">J511/4</f>
        <v>54.75</v>
      </c>
      <c r="S511" s="776">
        <v>13590</v>
      </c>
      <c r="T511" s="25">
        <f t="shared" si="170"/>
        <v>744053</v>
      </c>
      <c r="U511" s="450"/>
      <c r="V511" s="746"/>
      <c r="W511" s="778"/>
      <c r="X511" s="776"/>
      <c r="Y511" s="25">
        <f t="shared" si="171"/>
        <v>0</v>
      </c>
    </row>
    <row r="512" spans="1:25">
      <c r="A512" s="732">
        <f t="shared" si="167"/>
        <v>54</v>
      </c>
      <c r="B512" s="297" t="s">
        <v>1045</v>
      </c>
      <c r="C512" s="25">
        <f t="shared" si="161"/>
        <v>361400</v>
      </c>
      <c r="D512" s="733">
        <f t="shared" si="189"/>
        <v>135776.29719362003</v>
      </c>
      <c r="E512" s="733">
        <f t="shared" si="189"/>
        <v>44393.128743522444</v>
      </c>
      <c r="F512" s="733">
        <f t="shared" si="189"/>
        <v>53166.431119187029</v>
      </c>
      <c r="G512" s="733">
        <f t="shared" si="189"/>
        <v>61410.592906655904</v>
      </c>
      <c r="H512" s="733">
        <f t="shared" si="189"/>
        <v>0</v>
      </c>
      <c r="I512" s="25">
        <f t="shared" si="163"/>
        <v>656146.44996298535</v>
      </c>
      <c r="J512" s="733">
        <v>100</v>
      </c>
      <c r="K512" s="733">
        <f t="shared" si="169"/>
        <v>6561.4644996298539</v>
      </c>
      <c r="L512" s="667"/>
      <c r="M512" s="667"/>
      <c r="N512" s="192" t="s">
        <v>1429</v>
      </c>
      <c r="O512" s="746">
        <f t="shared" si="164"/>
        <v>41260</v>
      </c>
      <c r="P512" s="746">
        <v>41263</v>
      </c>
      <c r="Q512" s="747" t="s">
        <v>1071</v>
      </c>
      <c r="R512" s="8">
        <f t="shared" ref="R512:R514" si="191">J512/4</f>
        <v>25</v>
      </c>
      <c r="S512" s="776">
        <v>14456</v>
      </c>
      <c r="T512" s="25">
        <f t="shared" si="170"/>
        <v>361400</v>
      </c>
      <c r="U512" s="450"/>
      <c r="V512" s="746"/>
      <c r="W512" s="778"/>
      <c r="X512" s="776"/>
      <c r="Y512" s="25">
        <f t="shared" si="171"/>
        <v>0</v>
      </c>
    </row>
    <row r="513" spans="1:25">
      <c r="A513" s="732">
        <f t="shared" si="167"/>
        <v>55</v>
      </c>
      <c r="B513" s="297" t="s">
        <v>1044</v>
      </c>
      <c r="C513" s="25">
        <f t="shared" si="161"/>
        <v>353340</v>
      </c>
      <c r="D513" s="733">
        <f t="shared" si="189"/>
        <v>141207.34908136484</v>
      </c>
      <c r="E513" s="733">
        <f t="shared" si="189"/>
        <v>46168.853893263338</v>
      </c>
      <c r="F513" s="733">
        <f t="shared" si="189"/>
        <v>55293.088363954514</v>
      </c>
      <c r="G513" s="733">
        <f t="shared" si="189"/>
        <v>63867.016622922143</v>
      </c>
      <c r="H513" s="733">
        <f t="shared" si="189"/>
        <v>0</v>
      </c>
      <c r="I513" s="25">
        <f t="shared" si="163"/>
        <v>659876.30796150491</v>
      </c>
      <c r="J513" s="733">
        <v>104</v>
      </c>
      <c r="K513" s="733">
        <f t="shared" si="169"/>
        <v>6344.9644996298548</v>
      </c>
      <c r="L513" s="667"/>
      <c r="M513" s="667"/>
      <c r="N513" s="192" t="s">
        <v>1312</v>
      </c>
      <c r="O513" s="746">
        <f t="shared" si="164"/>
        <v>41260</v>
      </c>
      <c r="P513" s="746">
        <v>41263</v>
      </c>
      <c r="Q513" s="747" t="s">
        <v>1071</v>
      </c>
      <c r="R513" s="8">
        <f t="shared" si="191"/>
        <v>26</v>
      </c>
      <c r="S513" s="776">
        <v>13590</v>
      </c>
      <c r="T513" s="25">
        <f t="shared" si="170"/>
        <v>353340</v>
      </c>
      <c r="U513" s="450"/>
      <c r="V513" s="746"/>
      <c r="W513" s="778"/>
      <c r="X513" s="776"/>
      <c r="Y513" s="25">
        <f t="shared" si="171"/>
        <v>0</v>
      </c>
    </row>
    <row r="514" spans="1:25">
      <c r="A514" s="732">
        <f t="shared" si="167"/>
        <v>56</v>
      </c>
      <c r="B514" s="297" t="s">
        <v>1153</v>
      </c>
      <c r="C514" s="25">
        <f t="shared" si="161"/>
        <v>419224</v>
      </c>
      <c r="D514" s="733">
        <f t="shared" si="189"/>
        <v>157500.50474459922</v>
      </c>
      <c r="E514" s="733">
        <f t="shared" si="189"/>
        <v>51496.029342486036</v>
      </c>
      <c r="F514" s="733">
        <f t="shared" si="189"/>
        <v>61673.060098256952</v>
      </c>
      <c r="G514" s="733">
        <f t="shared" si="189"/>
        <v>71236.287771720847</v>
      </c>
      <c r="H514" s="733">
        <f t="shared" si="189"/>
        <v>0</v>
      </c>
      <c r="I514" s="25">
        <f t="shared" si="163"/>
        <v>761129.88195706299</v>
      </c>
      <c r="J514" s="733">
        <v>116</v>
      </c>
      <c r="K514" s="733">
        <f t="shared" si="169"/>
        <v>6561.464499629853</v>
      </c>
      <c r="L514" s="667"/>
      <c r="M514" s="667"/>
      <c r="N514" s="192" t="s">
        <v>1429</v>
      </c>
      <c r="O514" s="746">
        <f t="shared" si="164"/>
        <v>41260</v>
      </c>
      <c r="P514" s="746">
        <v>41263</v>
      </c>
      <c r="Q514" s="747" t="s">
        <v>1071</v>
      </c>
      <c r="R514" s="8">
        <f t="shared" si="191"/>
        <v>29</v>
      </c>
      <c r="S514" s="776">
        <v>14456</v>
      </c>
      <c r="T514" s="25">
        <f t="shared" si="170"/>
        <v>419224</v>
      </c>
      <c r="U514" s="450"/>
      <c r="V514" s="746"/>
      <c r="W514" s="778"/>
      <c r="X514" s="776"/>
      <c r="Y514" s="25">
        <f t="shared" si="171"/>
        <v>0</v>
      </c>
    </row>
    <row r="515" spans="1:25">
      <c r="A515" s="732">
        <f t="shared" si="167"/>
        <v>57</v>
      </c>
      <c r="B515" s="297" t="s">
        <v>1072</v>
      </c>
      <c r="C515" s="25">
        <f t="shared" si="161"/>
        <v>1128280</v>
      </c>
      <c r="D515" s="733">
        <f t="shared" si="189"/>
        <v>271552.59438724007</v>
      </c>
      <c r="E515" s="733">
        <f t="shared" si="189"/>
        <v>88786.257487044888</v>
      </c>
      <c r="F515" s="733">
        <f t="shared" si="189"/>
        <v>106332.86223837406</v>
      </c>
      <c r="G515" s="733">
        <f t="shared" si="189"/>
        <v>122821.18581331181</v>
      </c>
      <c r="H515" s="733">
        <f t="shared" si="189"/>
        <v>0</v>
      </c>
      <c r="I515" s="25">
        <f t="shared" si="163"/>
        <v>1717772.8999259707</v>
      </c>
      <c r="J515" s="733">
        <v>200</v>
      </c>
      <c r="K515" s="733">
        <f t="shared" si="169"/>
        <v>8588.8644996298535</v>
      </c>
      <c r="L515" s="667"/>
      <c r="M515" s="667"/>
      <c r="N515" s="192" t="s">
        <v>1298</v>
      </c>
      <c r="O515" s="746">
        <f t="shared" si="164"/>
        <v>41260</v>
      </c>
      <c r="P515" s="746">
        <v>41263</v>
      </c>
      <c r="Q515" s="747" t="s">
        <v>1071</v>
      </c>
      <c r="R515" s="304">
        <v>40</v>
      </c>
      <c r="S515" s="776">
        <v>28207</v>
      </c>
      <c r="T515" s="25">
        <f t="shared" si="170"/>
        <v>1128280</v>
      </c>
      <c r="U515" s="450"/>
      <c r="V515" s="746"/>
      <c r="W515" s="778"/>
      <c r="X515" s="776"/>
      <c r="Y515" s="25">
        <f t="shared" si="171"/>
        <v>0</v>
      </c>
    </row>
    <row r="516" spans="1:25">
      <c r="A516" s="732">
        <f t="shared" si="167"/>
        <v>58</v>
      </c>
      <c r="B516" s="297" t="s">
        <v>1073</v>
      </c>
      <c r="C516" s="25">
        <f t="shared" si="161"/>
        <v>1855900</v>
      </c>
      <c r="D516" s="733">
        <f t="shared" si="189"/>
        <v>271552.59438724007</v>
      </c>
      <c r="E516" s="733">
        <f t="shared" si="189"/>
        <v>88786.257487044888</v>
      </c>
      <c r="F516" s="733">
        <f t="shared" si="189"/>
        <v>106332.86223837406</v>
      </c>
      <c r="G516" s="733">
        <f t="shared" si="189"/>
        <v>122821.18581331181</v>
      </c>
      <c r="H516" s="733">
        <f t="shared" si="189"/>
        <v>0</v>
      </c>
      <c r="I516" s="25">
        <f t="shared" si="163"/>
        <v>2445392.8999259709</v>
      </c>
      <c r="J516" s="733">
        <v>200</v>
      </c>
      <c r="K516" s="733">
        <f t="shared" si="169"/>
        <v>12226.964499629854</v>
      </c>
      <c r="L516" s="667"/>
      <c r="M516" s="667"/>
      <c r="N516" s="192" t="s">
        <v>1275</v>
      </c>
      <c r="O516" s="746">
        <f t="shared" si="164"/>
        <v>41262</v>
      </c>
      <c r="P516" s="746">
        <v>41265</v>
      </c>
      <c r="Q516" s="747" t="s">
        <v>1074</v>
      </c>
      <c r="R516" s="304">
        <v>100</v>
      </c>
      <c r="S516" s="776">
        <v>18559</v>
      </c>
      <c r="T516" s="25">
        <f t="shared" si="170"/>
        <v>1855900</v>
      </c>
      <c r="U516" s="450"/>
      <c r="V516" s="746"/>
      <c r="W516" s="778"/>
      <c r="X516" s="776"/>
      <c r="Y516" s="25">
        <f t="shared" si="171"/>
        <v>0</v>
      </c>
    </row>
    <row r="517" spans="1:25">
      <c r="A517" s="732">
        <f t="shared" si="167"/>
        <v>59</v>
      </c>
      <c r="B517" s="297" t="s">
        <v>1093</v>
      </c>
      <c r="C517" s="25">
        <f t="shared" si="161"/>
        <v>3601260</v>
      </c>
      <c r="D517" s="733">
        <f t="shared" si="189"/>
        <v>2196860.4885927723</v>
      </c>
      <c r="E517" s="733">
        <f t="shared" si="189"/>
        <v>718280.82307019306</v>
      </c>
      <c r="F517" s="733">
        <f t="shared" si="189"/>
        <v>860232.85550844611</v>
      </c>
      <c r="G517" s="733">
        <f t="shared" si="189"/>
        <v>993623.39322969248</v>
      </c>
      <c r="H517" s="733">
        <f t="shared" si="189"/>
        <v>0</v>
      </c>
      <c r="I517" s="25">
        <f t="shared" si="163"/>
        <v>8370257.5604011025</v>
      </c>
      <c r="J517" s="733">
        <v>1618</v>
      </c>
      <c r="K517" s="733">
        <f t="shared" si="169"/>
        <v>5173.2123364654526</v>
      </c>
      <c r="L517" s="667"/>
      <c r="M517" s="667"/>
      <c r="N517" s="192" t="s">
        <v>873</v>
      </c>
      <c r="O517" s="746">
        <f t="shared" si="164"/>
        <v>41262</v>
      </c>
      <c r="P517" s="746">
        <v>41265</v>
      </c>
      <c r="Q517" s="747" t="s">
        <v>1075</v>
      </c>
      <c r="R517" s="8">
        <v>270</v>
      </c>
      <c r="S517" s="776">
        <v>13338</v>
      </c>
      <c r="T517" s="25">
        <f t="shared" si="170"/>
        <v>3601260</v>
      </c>
      <c r="U517" s="450"/>
      <c r="V517" s="746"/>
      <c r="W517" s="778"/>
      <c r="X517" s="776"/>
      <c r="Y517" s="25">
        <f t="shared" si="171"/>
        <v>0</v>
      </c>
    </row>
    <row r="518" spans="1:25">
      <c r="A518" s="732">
        <f t="shared" si="167"/>
        <v>60</v>
      </c>
      <c r="B518" s="297" t="s">
        <v>1092</v>
      </c>
      <c r="C518" s="25">
        <f t="shared" si="161"/>
        <v>1874600</v>
      </c>
      <c r="D518" s="733">
        <f t="shared" si="189"/>
        <v>410044.41752473247</v>
      </c>
      <c r="E518" s="733">
        <f t="shared" si="189"/>
        <v>134067.24880543776</v>
      </c>
      <c r="F518" s="733">
        <f t="shared" si="189"/>
        <v>160562.62197994482</v>
      </c>
      <c r="G518" s="733">
        <f t="shared" si="189"/>
        <v>185459.99057810084</v>
      </c>
      <c r="H518" s="733">
        <f t="shared" si="189"/>
        <v>0</v>
      </c>
      <c r="I518" s="25">
        <f>SUM(C518:H518)+1</f>
        <v>2764735.2788882162</v>
      </c>
      <c r="J518" s="733">
        <v>302</v>
      </c>
      <c r="K518" s="733">
        <f t="shared" si="169"/>
        <v>9154.7525791000535</v>
      </c>
      <c r="L518" s="667"/>
      <c r="M518" s="667"/>
      <c r="N518" s="192" t="s">
        <v>1333</v>
      </c>
      <c r="O518" s="746">
        <f t="shared" si="164"/>
        <v>41262</v>
      </c>
      <c r="P518" s="746">
        <v>41265</v>
      </c>
      <c r="Q518" s="747" t="s">
        <v>1075</v>
      </c>
      <c r="R518" s="304">
        <v>100</v>
      </c>
      <c r="S518" s="776">
        <v>18746</v>
      </c>
      <c r="T518" s="25">
        <f t="shared" si="170"/>
        <v>1874600</v>
      </c>
      <c r="U518" s="450"/>
      <c r="V518" s="746"/>
      <c r="W518" s="778"/>
      <c r="X518" s="776"/>
      <c r="Y518" s="25">
        <f t="shared" si="171"/>
        <v>0</v>
      </c>
    </row>
    <row r="519" spans="1:25">
      <c r="A519" s="732">
        <f t="shared" si="167"/>
        <v>61</v>
      </c>
      <c r="B519" s="297" t="s">
        <v>1090</v>
      </c>
      <c r="C519" s="25">
        <f t="shared" si="161"/>
        <v>1614000</v>
      </c>
      <c r="D519" s="733">
        <f t="shared" si="189"/>
        <v>131703.00827781143</v>
      </c>
      <c r="E519" s="733">
        <f t="shared" si="189"/>
        <v>43061.334881216768</v>
      </c>
      <c r="F519" s="733">
        <f t="shared" si="189"/>
        <v>51571.43818561142</v>
      </c>
      <c r="G519" s="733">
        <f t="shared" si="189"/>
        <v>59568.27511945623</v>
      </c>
      <c r="H519" s="733">
        <f t="shared" si="189"/>
        <v>0</v>
      </c>
      <c r="I519" s="25">
        <f t="shared" ref="I519:I521" si="192">SUM(C519:H519)+1</f>
        <v>1899905.0564640958</v>
      </c>
      <c r="J519" s="733">
        <v>97</v>
      </c>
      <c r="K519" s="733">
        <f t="shared" si="169"/>
        <v>19586.650066640163</v>
      </c>
      <c r="L519" s="667"/>
      <c r="M519" s="667"/>
      <c r="N519" s="192" t="s">
        <v>1301</v>
      </c>
      <c r="O519" s="746">
        <f t="shared" si="164"/>
        <v>41269</v>
      </c>
      <c r="P519" s="746">
        <v>41272</v>
      </c>
      <c r="Q519" s="747" t="s">
        <v>1076</v>
      </c>
      <c r="R519" s="8">
        <v>100</v>
      </c>
      <c r="S519" s="293">
        <v>16140</v>
      </c>
      <c r="T519" s="25">
        <f t="shared" si="170"/>
        <v>1614000</v>
      </c>
      <c r="U519" s="450"/>
      <c r="V519" s="746"/>
      <c r="W519" s="778"/>
      <c r="X519" s="776"/>
      <c r="Y519" s="25">
        <f t="shared" si="171"/>
        <v>0</v>
      </c>
    </row>
    <row r="520" spans="1:25">
      <c r="A520" s="732">
        <f t="shared" si="167"/>
        <v>62</v>
      </c>
      <c r="B520" s="297" t="s">
        <v>1091</v>
      </c>
      <c r="C520" s="25">
        <f t="shared" si="161"/>
        <v>6639360</v>
      </c>
      <c r="D520" s="733">
        <f t="shared" si="189"/>
        <v>510518.87744801131</v>
      </c>
      <c r="E520" s="733">
        <f t="shared" si="189"/>
        <v>166918.1640756444</v>
      </c>
      <c r="F520" s="733">
        <f t="shared" si="189"/>
        <v>199905.78100814324</v>
      </c>
      <c r="G520" s="733">
        <f t="shared" si="189"/>
        <v>230903.82932902619</v>
      </c>
      <c r="H520" s="733">
        <f t="shared" si="189"/>
        <v>0</v>
      </c>
      <c r="I520" s="25">
        <f t="shared" si="192"/>
        <v>7747607.6518608248</v>
      </c>
      <c r="J520" s="733">
        <v>376</v>
      </c>
      <c r="K520" s="733">
        <f t="shared" si="169"/>
        <v>20605.339499629852</v>
      </c>
      <c r="L520" s="667"/>
      <c r="M520" s="667"/>
      <c r="N520" s="192" t="s">
        <v>1321</v>
      </c>
      <c r="O520" s="746">
        <f t="shared" si="164"/>
        <v>41269</v>
      </c>
      <c r="P520" s="746">
        <v>41272</v>
      </c>
      <c r="Q520" s="747" t="s">
        <v>1076</v>
      </c>
      <c r="R520" s="304">
        <v>190</v>
      </c>
      <c r="S520" s="776">
        <v>34944</v>
      </c>
      <c r="T520" s="25">
        <f t="shared" si="170"/>
        <v>6639360</v>
      </c>
      <c r="U520" s="450"/>
      <c r="V520" s="746"/>
      <c r="W520" s="778"/>
      <c r="X520" s="776"/>
      <c r="Y520" s="25">
        <f t="shared" si="171"/>
        <v>0</v>
      </c>
    </row>
    <row r="521" spans="1:25">
      <c r="A521" s="732">
        <f t="shared" si="167"/>
        <v>63</v>
      </c>
      <c r="B521" s="297" t="s">
        <v>1089</v>
      </c>
      <c r="C521" s="25">
        <f t="shared" si="161"/>
        <v>10189290</v>
      </c>
      <c r="D521" s="733">
        <f t="shared" si="189"/>
        <v>1384918.2313749243</v>
      </c>
      <c r="E521" s="733">
        <f t="shared" si="189"/>
        <v>452809.91318392893</v>
      </c>
      <c r="F521" s="733">
        <f t="shared" si="189"/>
        <v>542297.59741570766</v>
      </c>
      <c r="G521" s="733">
        <f t="shared" si="189"/>
        <v>626388.04764789017</v>
      </c>
      <c r="H521" s="733">
        <f t="shared" si="189"/>
        <v>0</v>
      </c>
      <c r="I521" s="25">
        <f t="shared" si="192"/>
        <v>13195704.789622452</v>
      </c>
      <c r="J521" s="733">
        <v>1020</v>
      </c>
      <c r="K521" s="733">
        <f t="shared" si="169"/>
        <v>12936.965480022012</v>
      </c>
      <c r="L521" s="667"/>
      <c r="M521" s="667"/>
      <c r="N521" s="40" t="s">
        <v>1338</v>
      </c>
      <c r="O521" s="746">
        <f t="shared" si="164"/>
        <v>41269</v>
      </c>
      <c r="P521" s="746">
        <v>41272</v>
      </c>
      <c r="Q521" s="747" t="s">
        <v>1078</v>
      </c>
      <c r="R521" s="304">
        <f>J521/2</f>
        <v>510</v>
      </c>
      <c r="S521" s="776">
        <v>19979</v>
      </c>
      <c r="T521" s="25">
        <f t="shared" si="170"/>
        <v>10189290</v>
      </c>
      <c r="U521" s="450"/>
      <c r="V521" s="746"/>
      <c r="W521" s="778"/>
      <c r="X521" s="776"/>
      <c r="Y521" s="25">
        <f t="shared" si="171"/>
        <v>0</v>
      </c>
    </row>
    <row r="522" spans="1:25">
      <c r="A522" s="732"/>
      <c r="B522" s="297"/>
      <c r="C522" s="25"/>
      <c r="D522" s="733"/>
      <c r="E522" s="733"/>
      <c r="F522" s="733"/>
      <c r="G522" s="733"/>
      <c r="H522" s="733"/>
      <c r="I522" s="25"/>
      <c r="J522" s="733"/>
      <c r="K522" s="733"/>
      <c r="L522" s="667"/>
      <c r="M522" s="667"/>
      <c r="N522" s="450"/>
      <c r="O522" s="746"/>
      <c r="P522" s="746"/>
      <c r="Q522" s="747"/>
      <c r="R522" s="304"/>
      <c r="S522" s="776"/>
      <c r="T522" s="25">
        <f t="shared" si="165"/>
        <v>0</v>
      </c>
      <c r="U522" s="450"/>
      <c r="V522" s="746"/>
      <c r="W522" s="778"/>
      <c r="X522" s="776"/>
      <c r="Y522" s="25">
        <f t="shared" si="166"/>
        <v>0</v>
      </c>
    </row>
    <row r="523" spans="1:25" s="751" customFormat="1">
      <c r="A523" s="734"/>
      <c r="B523" s="735" t="s">
        <v>268</v>
      </c>
      <c r="C523" s="542">
        <f>SUM(C459:C522)</f>
        <v>173817804</v>
      </c>
      <c r="D523" s="542">
        <v>40350000</v>
      </c>
      <c r="E523" s="542">
        <f>$Y$523</f>
        <v>13192750</v>
      </c>
      <c r="F523" s="542">
        <v>15800000</v>
      </c>
      <c r="G523" s="542">
        <v>18250000</v>
      </c>
      <c r="H523" s="542"/>
      <c r="I523" s="542">
        <f>SUM(I459:I522)</f>
        <v>261410558.00000006</v>
      </c>
      <c r="J523" s="542">
        <f>ROUND(SUM(J459:J522),0)</f>
        <v>29718</v>
      </c>
      <c r="K523" s="542"/>
      <c r="L523" s="667"/>
      <c r="M523" s="667"/>
      <c r="N523" s="752"/>
      <c r="O523" s="753"/>
      <c r="P523" s="753"/>
      <c r="Q523" s="754"/>
      <c r="R523" s="795"/>
      <c r="S523" s="775"/>
      <c r="T523" s="47">
        <f>SUM(T459:T522)</f>
        <v>173817804</v>
      </c>
      <c r="U523" s="752"/>
      <c r="V523" s="753"/>
      <c r="W523" s="766"/>
      <c r="X523" s="775"/>
      <c r="Y523" s="47">
        <f>SUM(Y459:Y522)</f>
        <v>13192750</v>
      </c>
    </row>
    <row r="524" spans="1:25" s="730" customFormat="1">
      <c r="A524" s="729"/>
      <c r="B524" s="729"/>
      <c r="C524" s="729"/>
      <c r="D524" s="729"/>
      <c r="E524" s="729"/>
      <c r="F524" s="729"/>
      <c r="G524" s="729"/>
      <c r="H524" s="729"/>
      <c r="I524" s="845"/>
      <c r="J524" s="729"/>
      <c r="K524" s="729"/>
      <c r="L524" s="667"/>
      <c r="M524" s="667"/>
      <c r="N524" s="729"/>
      <c r="O524" s="741"/>
      <c r="P524" s="741"/>
      <c r="Q524" s="742"/>
      <c r="R524" s="788"/>
      <c r="S524" s="293"/>
      <c r="T524" s="729"/>
      <c r="U524" s="729"/>
      <c r="V524" s="741"/>
      <c r="W524" s="293"/>
      <c r="X524" s="293"/>
      <c r="Y524" s="729"/>
    </row>
    <row r="525" spans="1:25">
      <c r="I525" s="758"/>
      <c r="L525" s="667"/>
      <c r="M525" s="667"/>
    </row>
    <row r="526" spans="1:25">
      <c r="I526" s="758"/>
      <c r="L526" s="667"/>
      <c r="M526" s="667"/>
    </row>
    <row r="527" spans="1:25">
      <c r="L527" s="667"/>
      <c r="M527" s="667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5" customWidth="1"/>
    <col min="2" max="2" width="15.7109375" style="595" customWidth="1"/>
    <col min="3" max="3" width="16.85546875" style="595" customWidth="1"/>
    <col min="4" max="9" width="15.28515625" style="595" customWidth="1"/>
    <col min="10" max="10" width="10.140625" style="595" customWidth="1"/>
    <col min="11" max="11" width="5.85546875" style="595" customWidth="1"/>
    <col min="12" max="16384" width="10.28515625" style="595"/>
  </cols>
  <sheetData>
    <row r="1" spans="1:11" s="452" customFormat="1" ht="19.5" customHeight="1">
      <c r="A1" s="582" t="str">
        <f>TH!A1</f>
        <v>Đơn vị: CÔNG TY TNHH SX TM KIM DUNG PHÁT</v>
      </c>
      <c r="B1" s="582"/>
      <c r="D1" s="453"/>
      <c r="E1" s="453"/>
      <c r="F1" s="453"/>
      <c r="G1" s="1033" t="s">
        <v>269</v>
      </c>
      <c r="H1" s="1033"/>
      <c r="I1" s="1033"/>
      <c r="J1" s="454"/>
      <c r="K1" s="455"/>
    </row>
    <row r="2" spans="1:11" s="452" customFormat="1" ht="19.5" customHeight="1">
      <c r="A2" s="632" t="str">
        <f>TH!A2</f>
        <v>Địa chỉ: 1A227/1 Ấp 1, Phạm Văn Hai, Bình Chánh, TPHCM</v>
      </c>
      <c r="B2" s="582"/>
      <c r="D2" s="456"/>
      <c r="E2" s="456"/>
      <c r="F2" s="456"/>
      <c r="G2" s="1034" t="s">
        <v>121</v>
      </c>
      <c r="H2" s="1034"/>
      <c r="I2" s="1034"/>
      <c r="J2" s="454"/>
      <c r="K2" s="441">
        <v>1</v>
      </c>
    </row>
    <row r="3" spans="1:11" s="452" customFormat="1" ht="15">
      <c r="A3" s="583"/>
      <c r="B3" s="584"/>
      <c r="C3" s="456"/>
      <c r="D3" s="456"/>
      <c r="E3" s="456"/>
      <c r="F3" s="456"/>
      <c r="G3" s="1034"/>
      <c r="H3" s="1034"/>
      <c r="I3" s="1034"/>
      <c r="J3" s="454"/>
    </row>
    <row r="4" spans="1:11" s="586" customFormat="1" ht="17.25" customHeight="1">
      <c r="A4" s="1035" t="s">
        <v>270</v>
      </c>
      <c r="B4" s="1035"/>
      <c r="C4" s="1035"/>
      <c r="D4" s="1035"/>
      <c r="E4" s="1035"/>
      <c r="F4" s="1035"/>
      <c r="G4" s="1035"/>
      <c r="H4" s="1035"/>
      <c r="I4" s="1035"/>
      <c r="J4" s="585"/>
    </row>
    <row r="5" spans="1:11" s="587" customFormat="1" ht="17.25" customHeight="1">
      <c r="B5" s="588"/>
      <c r="C5" s="589" t="s">
        <v>375</v>
      </c>
      <c r="D5" s="588" t="str">
        <f>IF($K$2&lt;10,"0"&amp;$K$2&amp;"  năm 2011",$K$2&amp;"  năm 2011")</f>
        <v>01  năm 2011</v>
      </c>
      <c r="E5" s="588"/>
      <c r="F5" s="588"/>
      <c r="G5" s="588"/>
      <c r="H5" s="588"/>
      <c r="I5" s="588"/>
      <c r="J5" s="588"/>
    </row>
    <row r="6" spans="1:11" s="587" customFormat="1" ht="17.25" customHeight="1">
      <c r="B6" s="590"/>
      <c r="C6" s="1036" t="s">
        <v>271</v>
      </c>
      <c r="D6" s="1036"/>
      <c r="E6" s="1037"/>
      <c r="F6" s="1037"/>
      <c r="G6" s="1037"/>
      <c r="H6" s="708"/>
      <c r="I6" s="590"/>
      <c r="J6" s="588"/>
    </row>
    <row r="7" spans="1:11" s="592" customFormat="1" ht="9.75" customHeight="1">
      <c r="A7" s="591"/>
      <c r="B7" s="591"/>
      <c r="C7" s="591"/>
      <c r="D7" s="591"/>
      <c r="E7" s="591"/>
      <c r="F7" s="591"/>
      <c r="G7" s="591"/>
      <c r="H7" s="591"/>
      <c r="I7" s="591"/>
      <c r="J7" s="590"/>
    </row>
    <row r="8" spans="1:11" s="458" customFormat="1" ht="17.25" customHeight="1">
      <c r="A8" s="1038" t="s">
        <v>272</v>
      </c>
      <c r="B8" s="1039" t="s">
        <v>273</v>
      </c>
      <c r="C8" s="1039" t="s">
        <v>274</v>
      </c>
      <c r="D8" s="1039"/>
      <c r="E8" s="1039"/>
      <c r="F8" s="1039"/>
      <c r="G8" s="1039"/>
      <c r="H8" s="1039"/>
      <c r="I8" s="1039"/>
      <c r="J8" s="457"/>
    </row>
    <row r="9" spans="1:11" s="461" customFormat="1" ht="35.25" customHeight="1">
      <c r="A9" s="1038"/>
      <c r="B9" s="1039"/>
      <c r="C9" s="459" t="s">
        <v>505</v>
      </c>
      <c r="D9" s="459" t="s">
        <v>275</v>
      </c>
      <c r="E9" s="459" t="s">
        <v>506</v>
      </c>
      <c r="F9" s="459" t="s">
        <v>507</v>
      </c>
      <c r="G9" s="459" t="s">
        <v>276</v>
      </c>
      <c r="H9" s="459" t="s">
        <v>277</v>
      </c>
      <c r="I9" s="459" t="s">
        <v>508</v>
      </c>
      <c r="J9" s="460"/>
    </row>
    <row r="10" spans="1:11" s="464" customFormat="1" ht="15">
      <c r="A10" s="462" t="s">
        <v>2</v>
      </c>
      <c r="B10" s="463">
        <v>1</v>
      </c>
      <c r="C10" s="463">
        <v>2</v>
      </c>
      <c r="D10" s="463">
        <v>3</v>
      </c>
      <c r="E10" s="463">
        <v>4</v>
      </c>
      <c r="F10" s="463">
        <v>5</v>
      </c>
      <c r="G10" s="463">
        <v>6</v>
      </c>
      <c r="H10" s="463">
        <v>7</v>
      </c>
      <c r="I10" s="463">
        <v>8</v>
      </c>
      <c r="J10" s="454"/>
    </row>
    <row r="11" spans="1:11" s="587" customFormat="1" ht="24.75" customHeight="1">
      <c r="A11" s="593" t="s">
        <v>278</v>
      </c>
      <c r="B11" s="594">
        <f>ROUND(SUM(C11:I11),0)</f>
        <v>0</v>
      </c>
      <c r="C11" s="594">
        <v>0</v>
      </c>
      <c r="D11" s="594">
        <v>0</v>
      </c>
      <c r="E11" s="594">
        <v>0</v>
      </c>
      <c r="F11" s="594">
        <v>0</v>
      </c>
      <c r="G11" s="594">
        <v>0</v>
      </c>
      <c r="H11" s="594">
        <v>0</v>
      </c>
      <c r="I11" s="594">
        <v>0</v>
      </c>
      <c r="J11" s="588"/>
    </row>
    <row r="12" spans="1:11" s="587" customFormat="1" ht="24.75" customHeight="1">
      <c r="A12" s="593" t="s">
        <v>279</v>
      </c>
      <c r="B12" s="594">
        <f ca="1">ROUND(SUM(C12:I12),0)</f>
        <v>0</v>
      </c>
      <c r="C12" s="594">
        <f ca="1">IF(ISNA(VLOOKUP($E6,INDIRECT("DSSP"&amp;$K$2),5,0)),0,VLOOKUP($E6,INDIRECT("DSSP"&amp;$K$2),5,0))</f>
        <v>0</v>
      </c>
      <c r="D12" s="594">
        <f ca="1">IF(ISNA(VLOOKUP($E6,INDIRECT("DSSP"&amp;$K$2),6,0)),0,VLOOKUP($E6,INDIRECT("DSSP"&amp;$K$2),6,0))</f>
        <v>0</v>
      </c>
      <c r="E12" s="594">
        <f ca="1">IF(ISNA(VLOOKUP($E6,INDIRECT("DSSP"&amp;$K$2),7,0)),0,VLOOKUP($E6,INDIRECT("DSSP"&amp;$K$2),7,0))</f>
        <v>0</v>
      </c>
      <c r="F12" s="594">
        <f ca="1">IF(ISNA(VLOOKUP($E6,INDIRECT("DSSP"&amp;$K$2),8,0)),0,VLOOKUP($E6,INDIRECT("DSSP"&amp;$K$2),8,0))</f>
        <v>0</v>
      </c>
      <c r="G12" s="594">
        <f ca="1">IF(ISNA(VLOOKUP($E6,INDIRECT("DSSP"&amp;$K$2),9,0)),0,VLOOKUP($E6,INDIRECT("DSSP"&amp;$K$2),9,0))</f>
        <v>0</v>
      </c>
      <c r="H12" s="594">
        <f ca="1">IF(ISNA(VLOOKUP($E6,INDIRECT("DSSP"&amp;$K$2),10,0)),0,VLOOKUP($E6,INDIRECT("DSSP"&amp;$K$2),10,0))</f>
        <v>0</v>
      </c>
      <c r="I12" s="594">
        <f ca="1">IF(ISNA(VLOOKUP($E6,INDIRECT("DSSP"&amp;$K$2),11,0)),0,VLOOKUP($E6,INDIRECT("DSSP"&amp;$K$2),11,0))</f>
        <v>0</v>
      </c>
      <c r="J12" s="588"/>
    </row>
    <row r="13" spans="1:11" s="587" customFormat="1" ht="24.75" customHeight="1">
      <c r="A13" s="593" t="s">
        <v>280</v>
      </c>
      <c r="B13" s="594">
        <f ca="1">ROUND(IF(ISNA(VLOOKUP($E6,INDIRECT("DSSP"&amp;$K$2),13,0)),0,VLOOKUP($E6,INDIRECT("DSSP"&amp;$K$2),13,0)),0)</f>
        <v>0</v>
      </c>
      <c r="C13" s="594">
        <f t="shared" ref="C13:I13" ca="1" si="0">C12</f>
        <v>0</v>
      </c>
      <c r="D13" s="594">
        <f t="shared" ca="1" si="0"/>
        <v>0</v>
      </c>
      <c r="E13" s="594">
        <f t="shared" ca="1" si="0"/>
        <v>0</v>
      </c>
      <c r="F13" s="594"/>
      <c r="G13" s="594">
        <f t="shared" ca="1" si="0"/>
        <v>0</v>
      </c>
      <c r="H13" s="594"/>
      <c r="I13" s="594">
        <f t="shared" ca="1" si="0"/>
        <v>0</v>
      </c>
      <c r="J13" s="588"/>
    </row>
    <row r="14" spans="1:11" s="587" customFormat="1" ht="24.75" customHeight="1">
      <c r="A14" s="593" t="s">
        <v>281</v>
      </c>
      <c r="B14" s="594">
        <f ca="1">B12-B13</f>
        <v>0</v>
      </c>
      <c r="C14" s="594">
        <f t="shared" ref="C14:I14" ca="1" si="1">C12-C13</f>
        <v>0</v>
      </c>
      <c r="D14" s="594">
        <f t="shared" ca="1" si="1"/>
        <v>0</v>
      </c>
      <c r="E14" s="594">
        <f t="shared" ca="1" si="1"/>
        <v>0</v>
      </c>
      <c r="F14" s="594"/>
      <c r="G14" s="594">
        <f t="shared" ca="1" si="1"/>
        <v>0</v>
      </c>
      <c r="H14" s="594"/>
      <c r="I14" s="594">
        <f t="shared" ca="1" si="1"/>
        <v>0</v>
      </c>
      <c r="J14" s="588"/>
    </row>
    <row r="15" spans="1:11" s="587" customFormat="1" ht="15">
      <c r="B15" s="588"/>
      <c r="C15" s="588"/>
      <c r="D15" s="588"/>
      <c r="E15" s="588"/>
      <c r="F15" s="588"/>
      <c r="G15" s="588"/>
      <c r="H15" s="588"/>
      <c r="I15" s="588"/>
      <c r="J15" s="588"/>
    </row>
    <row r="16" spans="1:11" s="587" customFormat="1" ht="15">
      <c r="B16" s="588"/>
      <c r="C16" s="588"/>
      <c r="D16" s="588"/>
      <c r="E16" s="103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2"/>
      <c r="G16" s="1032"/>
      <c r="H16" s="1032"/>
      <c r="I16" s="1032"/>
      <c r="J16" s="588"/>
    </row>
    <row r="17" spans="2:10" s="587" customFormat="1" ht="15">
      <c r="B17" s="464" t="s">
        <v>282</v>
      </c>
      <c r="C17" s="588"/>
      <c r="D17" s="588"/>
      <c r="E17" s="1032" t="s">
        <v>12</v>
      </c>
      <c r="F17" s="1032"/>
      <c r="G17" s="1032"/>
      <c r="H17" s="1032"/>
      <c r="I17" s="1032"/>
      <c r="J17" s="588"/>
    </row>
    <row r="19" spans="2:10" ht="15">
      <c r="E19" s="596"/>
      <c r="F19" s="596"/>
    </row>
    <row r="26" spans="2:10">
      <c r="B26" s="56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7" customWidth="1"/>
    <col min="2" max="2" width="9.140625" style="497" customWidth="1"/>
    <col min="3" max="3" width="9" style="498" customWidth="1"/>
    <col min="4" max="4" width="28.140625" style="497" customWidth="1"/>
    <col min="5" max="5" width="9.140625" style="497" customWidth="1"/>
    <col min="6" max="6" width="9.28515625" style="498" customWidth="1"/>
    <col min="7" max="7" width="9" style="497" customWidth="1"/>
    <col min="8" max="8" width="14.5703125" style="497" customWidth="1"/>
    <col min="9" max="9" width="6" style="497" customWidth="1"/>
    <col min="10" max="10" width="14.140625" style="497" customWidth="1"/>
    <col min="11" max="11" width="14.85546875" style="499" customWidth="1"/>
    <col min="12" max="12" width="14.42578125" style="497" customWidth="1"/>
    <col min="13" max="13" width="5.85546875" style="497" customWidth="1"/>
    <col min="14" max="14" width="7.42578125" style="497" customWidth="1"/>
    <col min="15" max="15" width="11.7109375" style="497" customWidth="1"/>
    <col min="16" max="16" width="4.5703125" style="569" customWidth="1"/>
    <col min="17" max="17" width="11.140625" style="497" bestFit="1" customWidth="1"/>
    <col min="18" max="18" width="12" style="497" bestFit="1" customWidth="1"/>
    <col min="19" max="16384" width="9.140625" style="497"/>
  </cols>
  <sheetData>
    <row r="1" spans="1:18" ht="15" customHeight="1">
      <c r="A1" s="633" t="str">
        <f>TH!A1</f>
        <v>Đơn vị: CÔNG TY TNHH SX TM KIM DUNG PHÁT</v>
      </c>
      <c r="M1" s="500"/>
      <c r="N1" s="501" t="s">
        <v>302</v>
      </c>
      <c r="O1" s="500"/>
    </row>
    <row r="2" spans="1:18" ht="15" customHeight="1">
      <c r="A2" s="496" t="str">
        <f>TH!A2</f>
        <v>Địa chỉ: 1A227/1 Ấp 1, Phạm Văn Hai, Bình Chánh, TPHCM</v>
      </c>
      <c r="L2" s="499"/>
      <c r="M2" s="499"/>
      <c r="N2" s="502" t="s">
        <v>203</v>
      </c>
      <c r="O2" s="499"/>
    </row>
    <row r="3" spans="1:18" ht="15" customHeight="1">
      <c r="L3" s="499"/>
      <c r="M3" s="499"/>
      <c r="N3" s="502" t="s">
        <v>163</v>
      </c>
      <c r="O3" s="499"/>
    </row>
    <row r="5" spans="1:18" s="503" customFormat="1" ht="24" customHeight="1">
      <c r="A5" s="1040" t="s">
        <v>304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570"/>
    </row>
    <row r="6" spans="1:18" s="503" customFormat="1" ht="21" customHeight="1">
      <c r="A6" s="1041" t="s">
        <v>1084</v>
      </c>
      <c r="B6" s="1041"/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  <c r="O6" s="1041"/>
      <c r="P6" s="570"/>
    </row>
    <row r="7" spans="1:18" s="503" customFormat="1" ht="21" customHeight="1">
      <c r="A7" s="1042" t="s">
        <v>349</v>
      </c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2"/>
      <c r="N7" s="1042"/>
      <c r="O7" s="1042"/>
      <c r="P7" s="570"/>
    </row>
    <row r="8" spans="1:18">
      <c r="D8" s="498"/>
    </row>
    <row r="9" spans="1:18" s="504" customFormat="1" ht="24" customHeight="1">
      <c r="A9" s="1043" t="s">
        <v>251</v>
      </c>
      <c r="B9" s="1046" t="s">
        <v>305</v>
      </c>
      <c r="C9" s="1047"/>
      <c r="D9" s="1047"/>
      <c r="E9" s="1047"/>
      <c r="F9" s="1047"/>
      <c r="G9" s="1047"/>
      <c r="H9" s="1048"/>
      <c r="I9" s="1046" t="s">
        <v>306</v>
      </c>
      <c r="J9" s="1047"/>
      <c r="K9" s="1047"/>
      <c r="L9" s="1048"/>
      <c r="M9" s="1049" t="s">
        <v>307</v>
      </c>
      <c r="N9" s="1049"/>
      <c r="O9" s="1049"/>
      <c r="P9" s="571"/>
    </row>
    <row r="10" spans="1:18" s="504" customFormat="1" ht="24" customHeight="1">
      <c r="A10" s="1044"/>
      <c r="B10" s="1046" t="s">
        <v>308</v>
      </c>
      <c r="C10" s="1048"/>
      <c r="D10" s="1043" t="s">
        <v>309</v>
      </c>
      <c r="E10" s="1043" t="s">
        <v>310</v>
      </c>
      <c r="F10" s="1043" t="s">
        <v>311</v>
      </c>
      <c r="G10" s="1043" t="s">
        <v>312</v>
      </c>
      <c r="H10" s="1043" t="s">
        <v>313</v>
      </c>
      <c r="I10" s="1046" t="s">
        <v>314</v>
      </c>
      <c r="J10" s="1048"/>
      <c r="K10" s="1050" t="s">
        <v>315</v>
      </c>
      <c r="L10" s="1043" t="s">
        <v>316</v>
      </c>
      <c r="M10" s="1049" t="s">
        <v>308</v>
      </c>
      <c r="N10" s="1049"/>
      <c r="O10" s="1049" t="s">
        <v>317</v>
      </c>
      <c r="P10" s="571"/>
    </row>
    <row r="11" spans="1:18" s="504" customFormat="1" ht="55.5" customHeight="1">
      <c r="A11" s="1045"/>
      <c r="B11" s="505" t="s">
        <v>318</v>
      </c>
      <c r="C11" s="505" t="s">
        <v>252</v>
      </c>
      <c r="D11" s="1045"/>
      <c r="E11" s="1045"/>
      <c r="F11" s="1045"/>
      <c r="G11" s="1045"/>
      <c r="H11" s="1045"/>
      <c r="I11" s="505" t="s">
        <v>319</v>
      </c>
      <c r="J11" s="505" t="s">
        <v>320</v>
      </c>
      <c r="K11" s="1051"/>
      <c r="L11" s="1045"/>
      <c r="M11" s="505" t="s">
        <v>15</v>
      </c>
      <c r="N11" s="505" t="s">
        <v>252</v>
      </c>
      <c r="O11" s="1049"/>
      <c r="P11" s="571"/>
    </row>
    <row r="12" spans="1:18" s="508" customFormat="1" ht="13.5">
      <c r="A12" s="506" t="s">
        <v>2</v>
      </c>
      <c r="B12" s="506" t="s">
        <v>3</v>
      </c>
      <c r="C12" s="506" t="s">
        <v>4</v>
      </c>
      <c r="D12" s="506" t="s">
        <v>5</v>
      </c>
      <c r="E12" s="506" t="s">
        <v>6</v>
      </c>
      <c r="F12" s="506" t="s">
        <v>133</v>
      </c>
      <c r="G12" s="506" t="s">
        <v>321</v>
      </c>
      <c r="H12" s="506">
        <v>1</v>
      </c>
      <c r="I12" s="506">
        <v>2</v>
      </c>
      <c r="J12" s="506">
        <v>3</v>
      </c>
      <c r="K12" s="507"/>
      <c r="L12" s="506">
        <v>4</v>
      </c>
      <c r="M12" s="506" t="s">
        <v>322</v>
      </c>
      <c r="N12" s="506" t="s">
        <v>323</v>
      </c>
      <c r="O12" s="506" t="s">
        <v>324</v>
      </c>
      <c r="P12" s="572"/>
    </row>
    <row r="13" spans="1:18" s="508" customFormat="1" ht="21.75" customHeight="1">
      <c r="A13" s="533" t="s">
        <v>322</v>
      </c>
      <c r="B13" s="535" t="s">
        <v>348</v>
      </c>
      <c r="C13" s="533"/>
      <c r="D13" s="533"/>
      <c r="E13" s="533"/>
      <c r="F13" s="533"/>
      <c r="G13" s="574"/>
      <c r="H13" s="540"/>
      <c r="I13" s="540"/>
      <c r="J13" s="540"/>
      <c r="K13" s="540"/>
      <c r="L13" s="8"/>
      <c r="M13" s="533"/>
      <c r="N13" s="533"/>
      <c r="O13" s="182"/>
      <c r="P13" s="572" t="str">
        <f>IF(D13='THE-TS'!$D$11,"x","")</f>
        <v/>
      </c>
    </row>
    <row r="14" spans="1:18" ht="21.75" customHeight="1">
      <c r="A14" s="534">
        <v>1</v>
      </c>
      <c r="B14" s="544" t="s">
        <v>450</v>
      </c>
      <c r="C14" s="510">
        <v>40682</v>
      </c>
      <c r="D14" s="210" t="s">
        <v>423</v>
      </c>
      <c r="E14" s="450" t="s">
        <v>325</v>
      </c>
      <c r="F14" s="543" t="s">
        <v>513</v>
      </c>
      <c r="G14" s="574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0"/>
      <c r="N14" s="450"/>
      <c r="O14" s="182"/>
      <c r="P14" s="572" t="str">
        <f>IF(D14='THE-TS'!$D$11,"x","")</f>
        <v>x</v>
      </c>
      <c r="Q14" s="293"/>
      <c r="R14" s="293"/>
    </row>
    <row r="15" spans="1:18" ht="21.75" customHeight="1">
      <c r="A15" s="534">
        <v>2</v>
      </c>
      <c r="B15" s="543" t="s">
        <v>453</v>
      </c>
      <c r="C15" s="510">
        <v>40686</v>
      </c>
      <c r="D15" s="210" t="s">
        <v>424</v>
      </c>
      <c r="E15" s="450" t="s">
        <v>325</v>
      </c>
      <c r="F15" s="543" t="s">
        <v>513</v>
      </c>
      <c r="G15" s="574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0"/>
      <c r="N15" s="450"/>
      <c r="O15" s="182"/>
      <c r="P15" s="572" t="str">
        <f>IF(D15='THE-TS'!$D$11,"x","")</f>
        <v/>
      </c>
      <c r="Q15" s="293"/>
      <c r="R15" s="293"/>
    </row>
    <row r="16" spans="1:18" ht="21.75" customHeight="1">
      <c r="A16" s="534">
        <v>3</v>
      </c>
      <c r="B16" s="543" t="s">
        <v>367</v>
      </c>
      <c r="C16" s="510">
        <v>40710</v>
      </c>
      <c r="D16" s="210" t="s">
        <v>425</v>
      </c>
      <c r="E16" s="450" t="s">
        <v>325</v>
      </c>
      <c r="F16" s="543" t="s">
        <v>514</v>
      </c>
      <c r="G16" s="574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0"/>
      <c r="N16" s="182"/>
      <c r="O16" s="182"/>
      <c r="P16" s="572" t="str">
        <f>IF(D16='THE-TS'!$D$11,"x","")</f>
        <v/>
      </c>
      <c r="Q16" s="293"/>
      <c r="R16" s="293"/>
    </row>
    <row r="17" spans="1:18" ht="21.75" customHeight="1">
      <c r="A17" s="513"/>
      <c r="B17" s="536"/>
      <c r="C17" s="537"/>
      <c r="D17" s="538"/>
      <c r="E17" s="514"/>
      <c r="F17" s="537"/>
      <c r="G17" s="536"/>
      <c r="H17" s="541"/>
      <c r="I17" s="541"/>
      <c r="J17" s="300"/>
      <c r="K17" s="300"/>
      <c r="L17" s="300"/>
      <c r="M17" s="514"/>
      <c r="N17" s="514"/>
      <c r="O17" s="514"/>
      <c r="P17" s="572" t="str">
        <f>IF(D17='THE-TS'!$D$11,"x","")</f>
        <v/>
      </c>
      <c r="R17" s="531"/>
    </row>
    <row r="18" spans="1:18" s="519" customFormat="1" ht="21.75" customHeight="1">
      <c r="A18" s="517"/>
      <c r="B18" s="518"/>
      <c r="C18" s="517"/>
      <c r="D18" s="517" t="s">
        <v>326</v>
      </c>
      <c r="E18" s="517" t="s">
        <v>19</v>
      </c>
      <c r="F18" s="517" t="s">
        <v>19</v>
      </c>
      <c r="G18" s="517" t="s">
        <v>19</v>
      </c>
      <c r="H18" s="542">
        <f>SUM(H14:H17)</f>
        <v>365000000</v>
      </c>
      <c r="I18" s="542"/>
      <c r="J18" s="542">
        <f t="shared" ref="J18:L18" si="2">SUM(J14:J17)</f>
        <v>73000000</v>
      </c>
      <c r="K18" s="542">
        <f t="shared" si="2"/>
        <v>37250000</v>
      </c>
      <c r="L18" s="542">
        <f t="shared" si="2"/>
        <v>110250000</v>
      </c>
      <c r="M18" s="578" t="s">
        <v>19</v>
      </c>
      <c r="N18" s="578" t="s">
        <v>19</v>
      </c>
      <c r="O18" s="578" t="s">
        <v>19</v>
      </c>
      <c r="P18" s="572" t="str">
        <f>IF(D18='THE-TS'!$D$11,"x","")</f>
        <v/>
      </c>
    </row>
    <row r="19" spans="1:18" ht="6.75" customHeight="1">
      <c r="A19" s="451"/>
      <c r="B19" s="451"/>
      <c r="C19" s="520"/>
      <c r="D19" s="451"/>
      <c r="E19" s="520"/>
      <c r="F19" s="520"/>
      <c r="G19" s="520"/>
      <c r="H19" s="451"/>
      <c r="I19" s="451"/>
      <c r="J19" s="451"/>
      <c r="K19" s="521"/>
      <c r="L19" s="451"/>
      <c r="M19" s="451"/>
      <c r="N19" s="451"/>
      <c r="O19" s="451"/>
      <c r="P19" s="572" t="str">
        <f>IF(D19='THE-TS'!$D$11,"x","")</f>
        <v/>
      </c>
    </row>
    <row r="20" spans="1:18" ht="13.5" customHeight="1">
      <c r="A20" s="451"/>
      <c r="B20" s="451"/>
      <c r="C20" s="520"/>
      <c r="D20" s="451" t="s">
        <v>327</v>
      </c>
      <c r="E20" s="451"/>
      <c r="F20" s="520"/>
      <c r="G20" s="451"/>
      <c r="H20" s="499"/>
      <c r="I20" s="499"/>
      <c r="J20" s="579"/>
      <c r="L20" s="499"/>
      <c r="M20" s="451"/>
      <c r="N20" s="451"/>
      <c r="O20" s="451"/>
      <c r="P20" s="572" t="str">
        <f>IF(D20='THE-TS'!$D$11,"x","")</f>
        <v/>
      </c>
    </row>
    <row r="21" spans="1:18" ht="13.5" customHeight="1">
      <c r="A21" s="451"/>
      <c r="B21" s="451"/>
      <c r="C21" s="520"/>
      <c r="D21" s="451" t="s">
        <v>1085</v>
      </c>
      <c r="E21" s="451"/>
      <c r="F21" s="520"/>
      <c r="G21" s="451"/>
      <c r="H21" s="531"/>
      <c r="I21" s="451"/>
      <c r="J21" s="539"/>
      <c r="K21" s="521"/>
      <c r="L21" s="451"/>
      <c r="M21" s="451"/>
      <c r="N21" s="451"/>
      <c r="O21" s="451"/>
      <c r="P21" s="572" t="str">
        <f>IF(D21='THE-TS'!$D$11,"x","")</f>
        <v/>
      </c>
    </row>
    <row r="22" spans="1:18" ht="13.5" customHeight="1">
      <c r="K22" s="522"/>
      <c r="L22" s="502" t="s">
        <v>1083</v>
      </c>
      <c r="P22" s="572" t="str">
        <f>IF(D22='THE-TS'!$D$11,"x","")</f>
        <v/>
      </c>
    </row>
    <row r="23" spans="1:18" ht="13.5" customHeight="1">
      <c r="B23" s="498"/>
      <c r="D23" s="498" t="s">
        <v>11</v>
      </c>
      <c r="F23" s="498" t="s">
        <v>328</v>
      </c>
      <c r="I23" s="523"/>
      <c r="K23" s="520"/>
      <c r="L23" s="520" t="s">
        <v>110</v>
      </c>
      <c r="P23" s="572" t="str">
        <f>IF(D23='THE-TS'!$D$11,"x","")</f>
        <v/>
      </c>
    </row>
    <row r="24" spans="1:18" ht="13.5" customHeight="1">
      <c r="B24" s="498"/>
      <c r="D24" s="498"/>
      <c r="P24" s="572" t="str">
        <f>IF(D24='THE-TS'!$D$11,"x","")</f>
        <v/>
      </c>
    </row>
    <row r="25" spans="1:18" ht="13.5" customHeight="1">
      <c r="H25" s="524"/>
      <c r="J25" s="524"/>
      <c r="L25" s="524"/>
      <c r="P25" s="572" t="str">
        <f>IF(D25='THE-TS'!$D$11,"x","")</f>
        <v/>
      </c>
    </row>
    <row r="26" spans="1:18" ht="13.5" customHeight="1">
      <c r="H26" s="525"/>
      <c r="P26" s="572" t="str">
        <f>IF(D26='THE-TS'!$D$11,"x","")</f>
        <v/>
      </c>
    </row>
    <row r="27" spans="1:18" ht="13.5" customHeight="1">
      <c r="H27" s="525"/>
      <c r="J27" s="524"/>
      <c r="P27" s="572" t="str">
        <f>IF(D27='THE-TS'!$D$11,"x","")</f>
        <v/>
      </c>
    </row>
    <row r="28" spans="1:18" ht="13.5" customHeight="1">
      <c r="H28" s="525"/>
      <c r="P28" s="572" t="str">
        <f>IF(D28='THE-TS'!$D$11,"x","")</f>
        <v/>
      </c>
    </row>
    <row r="29" spans="1:18" ht="13.5" customHeight="1">
      <c r="H29" s="525"/>
      <c r="P29" s="572" t="str">
        <f>IF(D29='THE-TS'!$D$11,"x","")</f>
        <v/>
      </c>
    </row>
    <row r="30" spans="1:18" s="526" customFormat="1" ht="13.5" customHeight="1">
      <c r="C30" s="527"/>
      <c r="D30" s="527" t="s">
        <v>158</v>
      </c>
      <c r="F30" s="527"/>
      <c r="H30" s="528"/>
      <c r="K30" s="529"/>
      <c r="L30" s="526" t="s">
        <v>104</v>
      </c>
      <c r="P30" s="572" t="str">
        <f>IF(D30='THE-TS'!$D$11,"x","")</f>
        <v/>
      </c>
    </row>
    <row r="31" spans="1:18" ht="13.5">
      <c r="P31" s="572" t="str">
        <f>IF(D31='THE-TS'!$D$11,"x","")</f>
        <v/>
      </c>
    </row>
    <row r="32" spans="1:18" ht="13.5" customHeight="1">
      <c r="H32" s="525"/>
      <c r="P32" s="572" t="str">
        <f>IF(D32='THE-TS'!$D$11,"x","")</f>
        <v/>
      </c>
    </row>
    <row r="33" spans="1:16" ht="13.5">
      <c r="P33" s="572" t="str">
        <f>IF(D33='THE-TS'!$D$11,"x","")</f>
        <v/>
      </c>
    </row>
    <row r="34" spans="1:16" ht="13.5">
      <c r="P34" s="572" t="str">
        <f>IF(D34='THE-TS'!$D$11,"x","")</f>
        <v/>
      </c>
    </row>
    <row r="35" spans="1:16" ht="13.5">
      <c r="P35" s="572" t="str">
        <f>IF(D35='THE-TS'!$D$11,"x","")</f>
        <v/>
      </c>
    </row>
    <row r="36" spans="1:16" ht="13.5">
      <c r="A36" s="496" t="s">
        <v>301</v>
      </c>
      <c r="L36" s="500"/>
      <c r="M36" s="500"/>
      <c r="N36" s="501" t="s">
        <v>302</v>
      </c>
      <c r="O36" s="500"/>
      <c r="P36" s="572" t="str">
        <f>IF(D36='THE-TS'!$D$11,"x","")</f>
        <v/>
      </c>
    </row>
    <row r="37" spans="1:16" ht="13.5">
      <c r="A37" s="496" t="s">
        <v>303</v>
      </c>
      <c r="L37" s="499"/>
      <c r="M37" s="499"/>
      <c r="N37" s="502" t="s">
        <v>203</v>
      </c>
      <c r="O37" s="499"/>
      <c r="P37" s="572" t="str">
        <f>IF(D37='THE-TS'!$D$11,"x","")</f>
        <v/>
      </c>
    </row>
    <row r="38" spans="1:16" ht="13.5">
      <c r="L38" s="499"/>
      <c r="M38" s="499"/>
      <c r="N38" s="502" t="s">
        <v>163</v>
      </c>
      <c r="O38" s="499"/>
      <c r="P38" s="572" t="str">
        <f>IF(D38='THE-TS'!$D$11,"x","")</f>
        <v/>
      </c>
    </row>
    <row r="39" spans="1:16" ht="13.5">
      <c r="P39" s="572" t="str">
        <f>IF(D39='THE-TS'!$D$11,"x","")</f>
        <v/>
      </c>
    </row>
    <row r="40" spans="1:16" s="581" customFormat="1" ht="28.5" customHeight="1">
      <c r="A40" s="1040" t="s">
        <v>304</v>
      </c>
      <c r="B40" s="1040"/>
      <c r="C40" s="1040"/>
      <c r="D40" s="1040"/>
      <c r="E40" s="1040"/>
      <c r="F40" s="1040"/>
      <c r="G40" s="1040"/>
      <c r="H40" s="1040"/>
      <c r="I40" s="1040"/>
      <c r="J40" s="1040"/>
      <c r="K40" s="1040"/>
      <c r="L40" s="1040"/>
      <c r="M40" s="1040"/>
      <c r="N40" s="1040"/>
      <c r="O40" s="1040"/>
      <c r="P40" s="580" t="str">
        <f>IF(D40='THE-TS'!$D$11,"x","")</f>
        <v/>
      </c>
    </row>
    <row r="41" spans="1:16" s="503" customFormat="1" ht="19.5" customHeight="1">
      <c r="A41" s="1041" t="s">
        <v>345</v>
      </c>
      <c r="B41" s="1041"/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1041"/>
      <c r="N41" s="1041"/>
      <c r="O41" s="1041"/>
      <c r="P41" s="572" t="str">
        <f>IF(D41='THE-TS'!$D$11,"x","")</f>
        <v/>
      </c>
    </row>
    <row r="42" spans="1:16" s="503" customFormat="1" ht="19.5" customHeight="1">
      <c r="A42" s="1042" t="s">
        <v>350</v>
      </c>
      <c r="B42" s="1042"/>
      <c r="C42" s="1042"/>
      <c r="D42" s="1042"/>
      <c r="E42" s="1042"/>
      <c r="F42" s="1042"/>
      <c r="G42" s="1042"/>
      <c r="H42" s="1042"/>
      <c r="I42" s="1042"/>
      <c r="J42" s="1042"/>
      <c r="K42" s="1042"/>
      <c r="L42" s="1042"/>
      <c r="M42" s="1042"/>
      <c r="N42" s="1042"/>
      <c r="O42" s="1042"/>
      <c r="P42" s="572" t="str">
        <f>IF(D42='THE-TS'!$D$11,"x","")</f>
        <v/>
      </c>
    </row>
    <row r="43" spans="1:16" ht="13.5">
      <c r="D43" s="498"/>
      <c r="P43" s="572" t="str">
        <f>IF(D43='THE-TS'!$D$11,"x","")</f>
        <v/>
      </c>
    </row>
    <row r="44" spans="1:16" s="504" customFormat="1" ht="17.25" customHeight="1">
      <c r="A44" s="1043" t="s">
        <v>251</v>
      </c>
      <c r="B44" s="1046" t="s">
        <v>305</v>
      </c>
      <c r="C44" s="1047"/>
      <c r="D44" s="1047"/>
      <c r="E44" s="1047"/>
      <c r="F44" s="1047"/>
      <c r="G44" s="1047"/>
      <c r="H44" s="1048"/>
      <c r="I44" s="1046" t="s">
        <v>306</v>
      </c>
      <c r="J44" s="1047"/>
      <c r="K44" s="1047"/>
      <c r="L44" s="1048"/>
      <c r="M44" s="1049" t="s">
        <v>307</v>
      </c>
      <c r="N44" s="1049"/>
      <c r="O44" s="1049"/>
      <c r="P44" s="572" t="str">
        <f>IF(D44='THE-TS'!$D$11,"x","")</f>
        <v/>
      </c>
    </row>
    <row r="45" spans="1:16" s="504" customFormat="1" ht="17.25" customHeight="1">
      <c r="A45" s="1044"/>
      <c r="B45" s="1046" t="s">
        <v>308</v>
      </c>
      <c r="C45" s="1048"/>
      <c r="D45" s="1043" t="s">
        <v>309</v>
      </c>
      <c r="E45" s="1043" t="s">
        <v>310</v>
      </c>
      <c r="F45" s="1043" t="s">
        <v>311</v>
      </c>
      <c r="G45" s="1043" t="s">
        <v>312</v>
      </c>
      <c r="H45" s="1043" t="s">
        <v>313</v>
      </c>
      <c r="I45" s="1046" t="s">
        <v>314</v>
      </c>
      <c r="J45" s="1048"/>
      <c r="K45" s="1050" t="s">
        <v>315</v>
      </c>
      <c r="L45" s="1043" t="s">
        <v>316</v>
      </c>
      <c r="M45" s="1049" t="s">
        <v>308</v>
      </c>
      <c r="N45" s="1049"/>
      <c r="O45" s="1049" t="s">
        <v>317</v>
      </c>
      <c r="P45" s="572" t="str">
        <f>IF(D45='THE-TS'!$D$11,"x","")</f>
        <v/>
      </c>
    </row>
    <row r="46" spans="1:16" s="504" customFormat="1" ht="55.5" customHeight="1">
      <c r="A46" s="1045"/>
      <c r="B46" s="505" t="s">
        <v>318</v>
      </c>
      <c r="C46" s="505" t="s">
        <v>252</v>
      </c>
      <c r="D46" s="1045"/>
      <c r="E46" s="1045"/>
      <c r="F46" s="1045"/>
      <c r="G46" s="1045"/>
      <c r="H46" s="1045"/>
      <c r="I46" s="505" t="s">
        <v>319</v>
      </c>
      <c r="J46" s="505" t="s">
        <v>320</v>
      </c>
      <c r="K46" s="1051"/>
      <c r="L46" s="1045"/>
      <c r="M46" s="505" t="s">
        <v>15</v>
      </c>
      <c r="N46" s="505" t="s">
        <v>252</v>
      </c>
      <c r="O46" s="1049"/>
      <c r="P46" s="572" t="str">
        <f>IF(D46='THE-TS'!$D$11,"x","")</f>
        <v/>
      </c>
    </row>
    <row r="47" spans="1:16" s="508" customFormat="1" ht="13.5">
      <c r="A47" s="506" t="s">
        <v>2</v>
      </c>
      <c r="B47" s="506" t="s">
        <v>3</v>
      </c>
      <c r="C47" s="506" t="s">
        <v>4</v>
      </c>
      <c r="D47" s="506" t="s">
        <v>5</v>
      </c>
      <c r="E47" s="506" t="s">
        <v>6</v>
      </c>
      <c r="F47" s="506" t="s">
        <v>133</v>
      </c>
      <c r="G47" s="506" t="s">
        <v>321</v>
      </c>
      <c r="H47" s="506">
        <v>1</v>
      </c>
      <c r="I47" s="506">
        <v>2</v>
      </c>
      <c r="J47" s="506">
        <v>3</v>
      </c>
      <c r="K47" s="507"/>
      <c r="L47" s="506">
        <v>4</v>
      </c>
      <c r="M47" s="506" t="s">
        <v>322</v>
      </c>
      <c r="N47" s="506" t="s">
        <v>323</v>
      </c>
      <c r="O47" s="506" t="s">
        <v>324</v>
      </c>
      <c r="P47" s="572" t="str">
        <f>IF(D47='THE-TS'!$D$11,"x","")</f>
        <v/>
      </c>
    </row>
    <row r="48" spans="1:16" ht="15.75" customHeight="1">
      <c r="A48" s="509">
        <v>1</v>
      </c>
      <c r="B48" s="543"/>
      <c r="C48" s="510"/>
      <c r="D48" s="210"/>
      <c r="E48" s="449"/>
      <c r="F48" s="544"/>
      <c r="G48" s="574"/>
      <c r="H48" s="210"/>
      <c r="I48" s="512"/>
      <c r="J48" s="8"/>
      <c r="K48" s="511"/>
      <c r="L48" s="511"/>
      <c r="M48" s="449"/>
      <c r="N48" s="449"/>
      <c r="O48" s="182"/>
      <c r="P48" s="572" t="str">
        <f>IF(D48='THE-TS'!$D$11,"x","")</f>
        <v/>
      </c>
    </row>
    <row r="49" spans="1:16" ht="15.75" customHeight="1">
      <c r="A49" s="513"/>
      <c r="B49" s="514"/>
      <c r="C49" s="513"/>
      <c r="D49" s="514"/>
      <c r="E49" s="514"/>
      <c r="F49" s="513"/>
      <c r="G49" s="514"/>
      <c r="H49" s="514"/>
      <c r="I49" s="515"/>
      <c r="J49" s="514"/>
      <c r="K49" s="516"/>
      <c r="L49" s="514"/>
      <c r="M49" s="514"/>
      <c r="N49" s="514"/>
      <c r="O49" s="514"/>
      <c r="P49" s="572" t="str">
        <f>IF(D49='THE-TS'!$D$11,"x","")</f>
        <v/>
      </c>
    </row>
    <row r="50" spans="1:16" s="519" customFormat="1" ht="15.75" customHeight="1">
      <c r="A50" s="517"/>
      <c r="B50" s="518"/>
      <c r="C50" s="517"/>
      <c r="D50" s="517" t="s">
        <v>326</v>
      </c>
      <c r="E50" s="518"/>
      <c r="F50" s="517"/>
      <c r="G50" s="518"/>
      <c r="H50" s="542">
        <f>SUM(H48:H49)</f>
        <v>0</v>
      </c>
      <c r="I50" s="542"/>
      <c r="J50" s="542">
        <f>SUM(J48:J49)</f>
        <v>0</v>
      </c>
      <c r="K50" s="542">
        <f>SUM(K48:K49)</f>
        <v>0</v>
      </c>
      <c r="L50" s="542">
        <f>SUM(L48:L49)</f>
        <v>0</v>
      </c>
      <c r="M50" s="542"/>
      <c r="N50" s="542"/>
      <c r="O50" s="542"/>
      <c r="P50" s="572" t="str">
        <f>IF(D50='THE-TS'!$D$11,"x","")</f>
        <v/>
      </c>
    </row>
    <row r="51" spans="1:16" ht="6.75" customHeight="1">
      <c r="A51" s="451"/>
      <c r="B51" s="451"/>
      <c r="C51" s="520"/>
      <c r="D51" s="451"/>
      <c r="E51" s="451"/>
      <c r="F51" s="520"/>
      <c r="G51" s="451"/>
      <c r="H51" s="451"/>
      <c r="I51" s="451"/>
      <c r="J51" s="451"/>
      <c r="K51" s="521"/>
      <c r="L51" s="451"/>
      <c r="M51" s="451"/>
      <c r="N51" s="451"/>
      <c r="O51" s="451"/>
    </row>
    <row r="52" spans="1:16">
      <c r="A52" s="451"/>
      <c r="B52" s="451"/>
      <c r="C52" s="520"/>
      <c r="D52" s="451" t="s">
        <v>327</v>
      </c>
      <c r="E52" s="451"/>
      <c r="F52" s="520"/>
      <c r="G52" s="451"/>
      <c r="H52" s="451"/>
      <c r="I52" s="451"/>
      <c r="J52" s="451"/>
      <c r="K52" s="521"/>
      <c r="L52" s="451"/>
      <c r="M52" s="451"/>
      <c r="N52" s="451"/>
      <c r="O52" s="451"/>
    </row>
    <row r="53" spans="1:16">
      <c r="A53" s="451"/>
      <c r="B53" s="451"/>
      <c r="C53" s="520"/>
      <c r="D53" s="451" t="s">
        <v>346</v>
      </c>
      <c r="E53" s="451"/>
      <c r="F53" s="520"/>
      <c r="G53" s="451"/>
      <c r="I53" s="451"/>
      <c r="J53" s="451"/>
      <c r="K53" s="521"/>
      <c r="L53" s="451"/>
      <c r="M53" s="451"/>
      <c r="N53" s="451"/>
      <c r="O53" s="451"/>
    </row>
    <row r="54" spans="1:16">
      <c r="K54" s="502"/>
      <c r="L54" s="502" t="s">
        <v>347</v>
      </c>
    </row>
    <row r="55" spans="1:16" ht="16.5" customHeight="1">
      <c r="B55" s="498"/>
      <c r="D55" s="498" t="s">
        <v>11</v>
      </c>
      <c r="F55" s="498" t="s">
        <v>328</v>
      </c>
      <c r="I55" s="523"/>
      <c r="K55" s="520"/>
      <c r="L55" s="520" t="s">
        <v>110</v>
      </c>
    </row>
    <row r="58" spans="1:16">
      <c r="L58" s="524"/>
    </row>
    <row r="59" spans="1:16">
      <c r="D59" s="524"/>
    </row>
    <row r="60" spans="1:16">
      <c r="D60" s="499"/>
      <c r="L60" s="524"/>
    </row>
    <row r="61" spans="1:16">
      <c r="D61" s="531"/>
      <c r="L61" s="524"/>
    </row>
    <row r="62" spans="1:16" s="526" customFormat="1" ht="13.5" customHeight="1">
      <c r="C62" s="527"/>
      <c r="D62" s="527" t="s">
        <v>158</v>
      </c>
      <c r="F62" s="527"/>
      <c r="H62" s="528"/>
      <c r="K62" s="529"/>
      <c r="L62" s="526" t="s">
        <v>104</v>
      </c>
      <c r="P62" s="573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6" customWidth="1"/>
    <col min="2" max="2" width="10.140625" style="546" customWidth="1"/>
    <col min="3" max="3" width="11.5703125" style="546" customWidth="1"/>
    <col min="4" max="4" width="28.7109375" style="546" customWidth="1"/>
    <col min="5" max="5" width="13.28515625" style="546" customWidth="1"/>
    <col min="6" max="6" width="9.140625" style="546"/>
    <col min="7" max="7" width="14" style="546" customWidth="1"/>
    <col min="8" max="8" width="14.7109375" style="546" customWidth="1"/>
    <col min="9" max="10" width="9.140625" style="546"/>
    <col min="11" max="11" width="13.85546875" style="546" customWidth="1"/>
    <col min="12" max="16384" width="9.140625" style="546"/>
  </cols>
  <sheetData>
    <row r="1" spans="1:11" hidden="1"/>
    <row r="2" spans="1:11">
      <c r="A2" s="634" t="str">
        <f>TH!A1</f>
        <v>Đơn vị: CÔNG TY TNHH SX TM KIM DUNG PHÁT</v>
      </c>
      <c r="B2" s="545"/>
      <c r="C2" s="545"/>
      <c r="D2" s="545"/>
      <c r="E2" s="501"/>
      <c r="F2" s="501"/>
      <c r="G2" s="501" t="s">
        <v>329</v>
      </c>
      <c r="H2" s="501"/>
    </row>
    <row r="3" spans="1:11">
      <c r="A3" s="562" t="str">
        <f>TH!A2</f>
        <v>Địa chỉ: 1A227/1 Ấp 1, Phạm Văn Hai, Bình Chánh, TPHCM</v>
      </c>
      <c r="B3" s="545"/>
      <c r="C3" s="545"/>
      <c r="D3" s="545"/>
      <c r="E3" s="502"/>
      <c r="F3" s="502"/>
      <c r="G3" s="502" t="s">
        <v>203</v>
      </c>
      <c r="H3" s="502"/>
    </row>
    <row r="4" spans="1:11">
      <c r="A4" s="498"/>
      <c r="B4" s="498"/>
      <c r="C4" s="502"/>
      <c r="D4" s="502"/>
      <c r="E4" s="502"/>
      <c r="F4" s="502"/>
      <c r="G4" s="502" t="s">
        <v>163</v>
      </c>
      <c r="H4" s="502"/>
    </row>
    <row r="5" spans="1:11">
      <c r="A5" s="498"/>
      <c r="B5" s="498"/>
      <c r="C5" s="502"/>
      <c r="D5" s="502"/>
      <c r="E5" s="502"/>
      <c r="F5" s="502"/>
      <c r="G5" s="502"/>
      <c r="H5" s="502"/>
    </row>
    <row r="6" spans="1:11" ht="23.25" customHeight="1" thickBot="1">
      <c r="A6" s="1063" t="s">
        <v>330</v>
      </c>
      <c r="B6" s="1063"/>
      <c r="C6" s="1063"/>
      <c r="D6" s="1063"/>
      <c r="E6" s="1063"/>
      <c r="F6" s="1063"/>
      <c r="G6" s="1063"/>
      <c r="H6" s="1063"/>
    </row>
    <row r="7" spans="1:11" ht="17.25" customHeight="1" thickBot="1">
      <c r="A7" s="1064" t="str">
        <f ca="1" xml:space="preserve"> IF(ROWS($1:1)&gt;COUNT(Dong3),"","Số: "&amp;OFFSET('SO-TS'!$G$1,SMALL(Dong3,ROWS($1:1)),))</f>
        <v>Số: SX01/11</v>
      </c>
      <c r="B7" s="1064"/>
      <c r="C7" s="1064"/>
      <c r="D7" s="1064"/>
      <c r="E7" s="1064"/>
      <c r="F7" s="1064"/>
      <c r="G7" s="1064"/>
      <c r="H7" s="1064"/>
      <c r="J7" s="563" t="s">
        <v>351</v>
      </c>
      <c r="K7" s="564" t="s">
        <v>357</v>
      </c>
    </row>
    <row r="8" spans="1:11" ht="17.25" customHeight="1">
      <c r="A8" s="10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5"/>
      <c r="C8" s="1065"/>
      <c r="D8" s="1065"/>
      <c r="E8" s="1065"/>
      <c r="F8" s="1065"/>
      <c r="G8" s="1065"/>
      <c r="H8" s="1065"/>
    </row>
    <row r="9" spans="1:11" ht="12" customHeight="1">
      <c r="A9" s="498"/>
      <c r="B9" s="498"/>
      <c r="C9" s="498"/>
      <c r="D9" s="498"/>
      <c r="E9" s="498"/>
      <c r="F9" s="498"/>
      <c r="G9" s="502"/>
      <c r="H9" s="502"/>
    </row>
    <row r="10" spans="1:11" ht="15" customHeight="1">
      <c r="A10" s="497" t="str">
        <f ca="1">"Căn cứ vào biên bản giao nhận TSCĐ "&amp;"  "&amp;A7&amp;"  "&amp;A8</f>
        <v>Căn cứ vào biên bản giao nhận TSCĐ   Số: SX01/11  Ngày   19   tháng   5  năm   2011</v>
      </c>
      <c r="B10" s="497"/>
      <c r="C10" s="497"/>
      <c r="D10" s="497"/>
      <c r="E10" s="497"/>
      <c r="F10" s="497"/>
      <c r="G10" s="497"/>
      <c r="H10" s="497"/>
    </row>
    <row r="11" spans="1:11" ht="15" customHeight="1">
      <c r="A11" s="497" t="s">
        <v>352</v>
      </c>
      <c r="B11" s="497"/>
      <c r="C11" s="497"/>
      <c r="D11" s="497" t="s">
        <v>423</v>
      </c>
      <c r="E11" s="497" t="str">
        <f ca="1" xml:space="preserve"> IF(ROWS($1:1)&gt;COUNT(Dong3),"","Số hiệu TSCĐ:   "&amp;OFFSET('SO-TS'!$G$1,SMALL(Dong3,ROWS($1:1)),))</f>
        <v>Số hiệu TSCĐ:   SX01/11</v>
      </c>
      <c r="F11" s="497"/>
      <c r="H11" s="497"/>
    </row>
    <row r="12" spans="1:11" ht="15" customHeight="1">
      <c r="A12" s="497" t="str">
        <f ca="1" xml:space="preserve"> IF(ROWS($1:1)&gt;COUNT(Dong3),"","Nước sản xuất:   "&amp;OFFSET('SO-TS'!$E$1,SMALL(Dong3,ROWS($1:1)),))</f>
        <v>Nước sản xuất:   Việt Nam</v>
      </c>
      <c r="B12" s="497"/>
      <c r="C12" s="497"/>
      <c r="D12" s="497"/>
      <c r="E12" s="497" t="s">
        <v>353</v>
      </c>
      <c r="F12" s="497"/>
      <c r="G12" s="497"/>
      <c r="H12" s="497"/>
    </row>
    <row r="13" spans="1:11" ht="15" customHeight="1">
      <c r="A13" s="49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7"/>
      <c r="C13" s="497"/>
      <c r="D13" s="497"/>
      <c r="E13" s="497" t="str">
        <f ca="1" xml:space="preserve"> IF(ROWS($1:1)&gt;COUNT(Dong3),"","Tháng, năm đưa vào sử dụng:    "&amp;OFFSET('SO-TS'!$F$1,SMALL(Dong3,ROWS($1:1)),))</f>
        <v>Tháng, năm đưa vào sử dụng:    06/2011</v>
      </c>
      <c r="F13" s="497"/>
      <c r="G13" s="497"/>
      <c r="H13" s="497"/>
    </row>
    <row r="14" spans="1:11" ht="15" customHeight="1">
      <c r="A14" s="497" t="s">
        <v>331</v>
      </c>
      <c r="B14" s="497"/>
      <c r="C14" s="497"/>
      <c r="D14" s="497"/>
      <c r="E14" s="497"/>
      <c r="F14" s="497"/>
      <c r="G14" s="497"/>
      <c r="H14" s="497"/>
    </row>
    <row r="15" spans="1:11" ht="15" customHeight="1">
      <c r="A15" s="497" t="s">
        <v>355</v>
      </c>
      <c r="B15" s="497"/>
      <c r="C15" s="497"/>
      <c r="D15" s="497"/>
      <c r="E15" s="497"/>
      <c r="F15" s="497"/>
      <c r="G15" s="497"/>
      <c r="H15" s="497"/>
    </row>
    <row r="16" spans="1:11" ht="15" customHeight="1">
      <c r="A16" s="565" t="s">
        <v>354</v>
      </c>
      <c r="B16" s="565"/>
      <c r="C16" s="565"/>
      <c r="D16" s="565"/>
      <c r="E16" s="565"/>
      <c r="F16" s="565"/>
      <c r="G16" s="565"/>
      <c r="H16" s="565"/>
    </row>
    <row r="17" spans="1:8" s="559" customFormat="1" ht="18" customHeight="1">
      <c r="A17" s="1053" t="s">
        <v>127</v>
      </c>
      <c r="B17" s="1054"/>
      <c r="C17" s="1057" t="s">
        <v>332</v>
      </c>
      <c r="D17" s="1058"/>
      <c r="E17" s="1059"/>
      <c r="F17" s="1060" t="s">
        <v>333</v>
      </c>
      <c r="G17" s="1061"/>
      <c r="H17" s="1062"/>
    </row>
    <row r="18" spans="1:8" s="559" customFormat="1" ht="28.5" customHeight="1">
      <c r="A18" s="1055"/>
      <c r="B18" s="1056"/>
      <c r="C18" s="532" t="s">
        <v>334</v>
      </c>
      <c r="D18" s="532" t="s">
        <v>0</v>
      </c>
      <c r="E18" s="532" t="s">
        <v>335</v>
      </c>
      <c r="F18" s="532" t="s">
        <v>336</v>
      </c>
      <c r="G18" s="532" t="s">
        <v>337</v>
      </c>
      <c r="H18" s="532" t="s">
        <v>338</v>
      </c>
    </row>
    <row r="19" spans="1:8" s="561" customFormat="1">
      <c r="A19" s="1066" t="s">
        <v>2</v>
      </c>
      <c r="B19" s="1066"/>
      <c r="C19" s="560" t="s">
        <v>3</v>
      </c>
      <c r="D19" s="560" t="s">
        <v>4</v>
      </c>
      <c r="E19" s="560">
        <v>1</v>
      </c>
      <c r="F19" s="560">
        <v>2</v>
      </c>
      <c r="G19" s="560">
        <v>3</v>
      </c>
      <c r="H19" s="560">
        <v>4</v>
      </c>
    </row>
    <row r="20" spans="1:8" ht="17.25" customHeight="1">
      <c r="A20" s="467">
        <f ca="1">IF(B20&lt;&gt;"",ROW()-19,"")</f>
        <v>1</v>
      </c>
      <c r="B20" s="547" t="str">
        <f ca="1" xml:space="preserve"> IF(ROWS($1:1)&gt;COUNT(Dong3),"",OFFSET('SO-TS'!G$1,SMALL(Dong3,ROWS($1:1)),))</f>
        <v>SX01/11</v>
      </c>
      <c r="C20" s="547" t="str">
        <f ca="1" xml:space="preserve"> IF(ROWS($1:1)&gt;COUNT(Dong3),"",OFFSET('SO-TS'!F$1,SMALL(Dong3,ROWS($1:1)),))</f>
        <v>06/2011</v>
      </c>
      <c r="D20" s="575" t="str">
        <f ca="1" xml:space="preserve"> IF(ROWS($1:1)&gt;COUNT(Dong3),"",OFFSET('SO-TS'!D$1,SMALL(Dong3,ROWS($1:1)),))</f>
        <v>Máy chap khe khổ 2m</v>
      </c>
      <c r="E20" s="576">
        <f ca="1" xml:space="preserve"> IF(ROWS($1:1)&gt;COUNT(Dong3),"",OFFSET('SO-TS'!H$1,SMALL(Dong3,ROWS($1:1)),))</f>
        <v>18000000</v>
      </c>
      <c r="F20" s="577" t="str">
        <f ca="1" xml:space="preserve"> IF(ROWS($1:1)&gt;COUNT(Dong3),"",RIGHT(OFFSET('SO-TS'!F$1,SMALL(Dong3,ROWS($1:1)),),4))</f>
        <v>2011</v>
      </c>
      <c r="G20" s="778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8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3" t="str">
        <f ca="1" xml:space="preserve"> IF(ROWS($1:2)&gt;COUNT(Dong3),"",OFFSET(#REF!,SMALL(Dong3,ROWS($1:2)),))</f>
        <v/>
      </c>
      <c r="C21" s="833" t="str">
        <f ca="1" xml:space="preserve"> IF(ROWS($1:2)&gt;COUNT(Dong3),"",OFFSET(#REF!,SMALL(Dong3,ROWS($1:2)),))</f>
        <v/>
      </c>
      <c r="D21" s="834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835">
        <f ca="1">IF(OR(F20="",(ROW()-19)&gt;OFFSET('SO-TS'!I$1,SMALL(Dong3,ROWS($1:$1)),)+1),"",IF(VALUE(F20)&gt;VALUE(YEAR(NOW())),"",F20+1))</f>
        <v>2012</v>
      </c>
      <c r="G21" s="77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6">
        <f ca="1">IF(G21&lt;&gt;0,H20+G21,0)</f>
        <v>5700000</v>
      </c>
    </row>
    <row r="22" spans="1:8" ht="17.25" customHeight="1">
      <c r="A22" s="6"/>
      <c r="B22" s="833"/>
      <c r="C22" s="833"/>
      <c r="D22" s="834"/>
      <c r="E22" s="255"/>
      <c r="F22" s="835"/>
      <c r="G22" s="776"/>
      <c r="H22" s="776"/>
    </row>
    <row r="23" spans="1:8" ht="17.25" customHeight="1">
      <c r="A23" s="6"/>
      <c r="B23" s="833"/>
      <c r="C23" s="833"/>
      <c r="D23" s="834"/>
      <c r="E23" s="255"/>
      <c r="F23" s="835"/>
      <c r="G23" s="776"/>
      <c r="H23" s="776"/>
    </row>
    <row r="24" spans="1:8" ht="17.25" customHeight="1">
      <c r="A24" s="836" t="str">
        <f t="shared" ref="A24" si="1">IF(B24&lt;&gt;"",ROW()-19,"")</f>
        <v/>
      </c>
      <c r="B24" s="513"/>
      <c r="C24" s="548"/>
      <c r="D24" s="548"/>
      <c r="E24" s="777"/>
      <c r="F24" s="837"/>
      <c r="G24" s="777"/>
      <c r="H24" s="777"/>
    </row>
    <row r="25" spans="1:8" ht="17.25" customHeight="1">
      <c r="A25" s="517"/>
      <c r="B25" s="517" t="s">
        <v>339</v>
      </c>
      <c r="C25" s="549"/>
      <c r="D25" s="549"/>
      <c r="E25" s="578">
        <f ca="1">SUM(E20:E24)</f>
        <v>18000000</v>
      </c>
      <c r="F25" s="549"/>
      <c r="G25" s="578">
        <f ca="1">SUM(G20:G24)</f>
        <v>5700000</v>
      </c>
      <c r="H25" s="578"/>
    </row>
    <row r="26" spans="1:8" ht="17.25" customHeight="1">
      <c r="A26" s="550"/>
      <c r="B26" s="550"/>
      <c r="C26" s="551"/>
      <c r="D26" s="551"/>
      <c r="E26" s="551"/>
      <c r="F26" s="551"/>
      <c r="G26" s="552"/>
      <c r="H26" s="552"/>
    </row>
    <row r="27" spans="1:8" ht="17.25" customHeight="1">
      <c r="A27" s="550"/>
      <c r="B27" s="550"/>
      <c r="C27" s="551"/>
      <c r="D27" s="551"/>
      <c r="E27" s="551"/>
      <c r="F27" s="551"/>
      <c r="G27" s="552"/>
      <c r="H27" s="552"/>
    </row>
    <row r="28" spans="1:8" ht="17.25" customHeight="1">
      <c r="A28" s="1067" t="s">
        <v>340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17" t="s">
        <v>35</v>
      </c>
      <c r="B29" s="1046" t="s">
        <v>341</v>
      </c>
      <c r="C29" s="1048"/>
      <c r="D29" s="549" t="s">
        <v>210</v>
      </c>
      <c r="E29" s="549" t="s">
        <v>342</v>
      </c>
      <c r="F29" s="549" t="s">
        <v>343</v>
      </c>
      <c r="G29" s="552"/>
      <c r="H29" s="552"/>
    </row>
    <row r="30" spans="1:8" ht="17.25" customHeight="1">
      <c r="A30" s="517" t="s">
        <v>2</v>
      </c>
      <c r="B30" s="517" t="s">
        <v>3</v>
      </c>
      <c r="C30" s="549"/>
      <c r="D30" s="549" t="s">
        <v>4</v>
      </c>
      <c r="E30" s="549">
        <v>1</v>
      </c>
      <c r="F30" s="549">
        <v>2</v>
      </c>
      <c r="G30" s="552"/>
      <c r="H30" s="552"/>
    </row>
    <row r="31" spans="1:8" ht="17.25" customHeight="1">
      <c r="A31" s="553"/>
      <c r="B31" s="553"/>
      <c r="C31" s="554"/>
      <c r="D31" s="554"/>
      <c r="E31" s="554"/>
      <c r="F31" s="554"/>
      <c r="G31" s="552"/>
      <c r="H31" s="552"/>
    </row>
    <row r="32" spans="1:8" ht="17.25" customHeight="1">
      <c r="A32" s="555"/>
      <c r="B32" s="555"/>
      <c r="C32" s="556"/>
      <c r="D32" s="556"/>
      <c r="E32" s="556"/>
      <c r="F32" s="556"/>
      <c r="G32" s="552"/>
      <c r="H32" s="552"/>
    </row>
    <row r="33" spans="1:8" ht="17.25" customHeight="1">
      <c r="A33" s="555"/>
      <c r="B33" s="555"/>
      <c r="C33" s="556"/>
      <c r="D33" s="556"/>
      <c r="E33" s="556"/>
      <c r="F33" s="556"/>
      <c r="G33" s="552"/>
      <c r="H33" s="552"/>
    </row>
    <row r="34" spans="1:8" ht="17.25" customHeight="1">
      <c r="A34" s="555"/>
      <c r="B34" s="555"/>
      <c r="C34" s="556"/>
      <c r="D34" s="556"/>
      <c r="E34" s="556"/>
      <c r="F34" s="556"/>
      <c r="G34" s="552"/>
      <c r="H34" s="552"/>
    </row>
    <row r="35" spans="1:8" ht="17.25" customHeight="1">
      <c r="A35" s="557"/>
      <c r="B35" s="557"/>
      <c r="C35" s="558"/>
      <c r="D35" s="558"/>
      <c r="E35" s="558"/>
      <c r="F35" s="558"/>
      <c r="G35" s="552"/>
      <c r="H35" s="552"/>
    </row>
    <row r="36" spans="1:8">
      <c r="A36" s="550"/>
      <c r="B36" s="550"/>
      <c r="C36" s="551"/>
      <c r="D36" s="551"/>
      <c r="E36" s="551"/>
      <c r="F36" s="551"/>
      <c r="G36" s="552"/>
      <c r="H36" s="552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27"/>
      <c r="B39" s="527"/>
      <c r="C39" s="522"/>
      <c r="D39" s="522"/>
      <c r="E39" s="1052" t="s">
        <v>493</v>
      </c>
      <c r="F39" s="1052"/>
      <c r="G39" s="1052"/>
      <c r="H39" s="1052"/>
    </row>
    <row r="40" spans="1:8">
      <c r="A40" s="1064" t="s">
        <v>344</v>
      </c>
      <c r="B40" s="1064"/>
      <c r="C40" s="1064" t="s">
        <v>12</v>
      </c>
      <c r="D40" s="1064"/>
      <c r="E40" s="1069" t="s">
        <v>110</v>
      </c>
      <c r="F40" s="1069"/>
      <c r="G40" s="1069"/>
      <c r="H40" s="1069"/>
    </row>
    <row r="41" spans="1:8">
      <c r="A41" s="498"/>
      <c r="B41" s="498"/>
      <c r="C41" s="502"/>
      <c r="D41" s="502"/>
      <c r="E41" s="502"/>
      <c r="F41" s="502"/>
      <c r="G41" s="502"/>
      <c r="H41" s="502"/>
    </row>
    <row r="42" spans="1:8">
      <c r="A42" s="498"/>
      <c r="B42" s="498"/>
      <c r="C42" s="502"/>
      <c r="D42" s="502"/>
      <c r="E42" s="502"/>
      <c r="F42" s="502"/>
      <c r="G42" s="502"/>
      <c r="H42" s="502"/>
    </row>
    <row r="43" spans="1:8">
      <c r="A43" s="498"/>
      <c r="B43" s="498"/>
      <c r="C43" s="502"/>
      <c r="D43" s="502"/>
      <c r="E43" s="502"/>
      <c r="F43" s="502"/>
      <c r="G43" s="502"/>
      <c r="H43" s="502"/>
    </row>
    <row r="44" spans="1:8">
      <c r="A44" s="498"/>
      <c r="B44" s="498"/>
      <c r="C44" s="502"/>
      <c r="D44" s="502"/>
      <c r="E44" s="502"/>
      <c r="F44" s="502"/>
      <c r="G44" s="502"/>
      <c r="H44" s="502"/>
    </row>
    <row r="45" spans="1:8">
      <c r="A45" s="498"/>
      <c r="B45" s="498"/>
      <c r="C45" s="502"/>
      <c r="D45" s="502"/>
      <c r="E45" s="502"/>
      <c r="F45" s="502"/>
      <c r="G45" s="502"/>
      <c r="H45" s="502"/>
    </row>
    <row r="46" spans="1:8">
      <c r="A46" s="498"/>
      <c r="B46" s="498"/>
      <c r="C46" s="502"/>
      <c r="D46" s="502"/>
      <c r="E46" s="502"/>
      <c r="F46" s="502"/>
      <c r="G46" s="502"/>
      <c r="H46" s="502"/>
    </row>
    <row r="47" spans="1:8">
      <c r="A47" s="498"/>
      <c r="B47" s="498"/>
      <c r="C47" s="502"/>
      <c r="D47" s="502"/>
      <c r="E47" s="502"/>
      <c r="F47" s="502"/>
      <c r="G47" s="502"/>
      <c r="H47" s="502"/>
    </row>
    <row r="48" spans="1:8">
      <c r="A48" s="1070" t="s">
        <v>158</v>
      </c>
      <c r="B48" s="1070"/>
      <c r="C48" s="522"/>
      <c r="D48" s="522"/>
      <c r="E48" s="1052" t="s">
        <v>104</v>
      </c>
      <c r="F48" s="1052"/>
      <c r="G48" s="1052"/>
      <c r="H48" s="1052"/>
    </row>
  </sheetData>
  <dataConsolidate/>
  <mergeCells count="17">
    <mergeCell ref="A40:B40"/>
    <mergeCell ref="C40:D40"/>
    <mergeCell ref="E40:H40"/>
    <mergeCell ref="A48:B48"/>
    <mergeCell ref="E48:H48"/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2017-03-06T02:39:15Z</dcterms:modified>
</cp:coreProperties>
</file>