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330" windowWidth="15150" windowHeight="8460" tabRatio="897" activeTab="12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-11'!$A$1:$AS$43</definedName>
    <definedName name="_xlnm.Print_Area" localSheetId="15">'CC -12'!$A$1:$AS$43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J30" i="15" l="1"/>
  <c r="AL20" i="41" l="1"/>
  <c r="D20" i="41"/>
  <c r="C20" i="41"/>
  <c r="AL20" i="43"/>
  <c r="D20" i="43"/>
  <c r="C20" i="43"/>
  <c r="AL20" i="45"/>
  <c r="D20" i="45"/>
  <c r="C20" i="45"/>
  <c r="A20" i="45"/>
  <c r="R17" i="46"/>
  <c r="P17" i="46"/>
  <c r="O17" i="46"/>
  <c r="N17" i="46"/>
  <c r="E17" i="46"/>
  <c r="D17" i="46"/>
  <c r="C17" i="46"/>
  <c r="R16" i="46"/>
  <c r="P16" i="46"/>
  <c r="O16" i="46"/>
  <c r="N16" i="46"/>
  <c r="E16" i="46"/>
  <c r="D16" i="46"/>
  <c r="C16" i="46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P13" i="46" s="1"/>
  <c r="O10" i="46"/>
  <c r="N10" i="46"/>
  <c r="E10" i="46"/>
  <c r="D10" i="46"/>
  <c r="C10" i="46"/>
  <c r="E4" i="46"/>
  <c r="S21" i="46" s="1"/>
  <c r="A3" i="46"/>
  <c r="A2" i="46"/>
  <c r="AL18" i="45"/>
  <c r="D18" i="45"/>
  <c r="C18" i="45"/>
  <c r="A18" i="45"/>
  <c r="AL16" i="45"/>
  <c r="D16" i="45"/>
  <c r="C16" i="45"/>
  <c r="AL13" i="45"/>
  <c r="D13" i="45"/>
  <c r="C13" i="45"/>
  <c r="A13" i="45"/>
  <c r="AL11" i="45"/>
  <c r="D11" i="45"/>
  <c r="C11" i="45"/>
  <c r="A11" i="45"/>
  <c r="AL9" i="45"/>
  <c r="D9" i="45"/>
  <c r="C9" i="45"/>
  <c r="F5" i="45"/>
  <c r="G5" i="45" s="1"/>
  <c r="A3" i="45"/>
  <c r="A2" i="45"/>
  <c r="S1" i="45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5" i="44"/>
  <c r="P15" i="44"/>
  <c r="O15" i="44"/>
  <c r="N15" i="44"/>
  <c r="E15" i="44"/>
  <c r="D15" i="44"/>
  <c r="C15" i="44"/>
  <c r="R11" i="44"/>
  <c r="P11" i="44"/>
  <c r="O11" i="44"/>
  <c r="N11" i="44"/>
  <c r="E11" i="44"/>
  <c r="D11" i="44"/>
  <c r="C11" i="44"/>
  <c r="R10" i="44"/>
  <c r="R13" i="44" s="1"/>
  <c r="P10" i="44"/>
  <c r="O10" i="44"/>
  <c r="N10" i="44"/>
  <c r="E10" i="44"/>
  <c r="D10" i="44"/>
  <c r="C10" i="44"/>
  <c r="E4" i="44"/>
  <c r="S21" i="44" s="1"/>
  <c r="A3" i="44"/>
  <c r="A2" i="44"/>
  <c r="AL18" i="43"/>
  <c r="D18" i="43"/>
  <c r="C18" i="43"/>
  <c r="A18" i="43"/>
  <c r="A20" i="43" s="1"/>
  <c r="AL16" i="43"/>
  <c r="D16" i="43"/>
  <c r="C16" i="43"/>
  <c r="AL13" i="43"/>
  <c r="D13" i="43"/>
  <c r="C13" i="43"/>
  <c r="A13" i="43"/>
  <c r="AL11" i="43"/>
  <c r="D11" i="43"/>
  <c r="C11" i="43"/>
  <c r="A11" i="43"/>
  <c r="AL9" i="43"/>
  <c r="D9" i="43"/>
  <c r="C9" i="43"/>
  <c r="F6" i="43"/>
  <c r="F5" i="43"/>
  <c r="G5" i="43" s="1"/>
  <c r="A3" i="43"/>
  <c r="A2" i="43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3" i="42"/>
  <c r="A2" i="42"/>
  <c r="AL18" i="41"/>
  <c r="D18" i="41"/>
  <c r="C18" i="41"/>
  <c r="A18" i="41"/>
  <c r="A20" i="41" s="1"/>
  <c r="AL16" i="41"/>
  <c r="D16" i="41"/>
  <c r="C16" i="41"/>
  <c r="AL13" i="41"/>
  <c r="D13" i="41"/>
  <c r="C13" i="41"/>
  <c r="A13" i="41"/>
  <c r="AL11" i="41"/>
  <c r="D11" i="41"/>
  <c r="C11" i="41"/>
  <c r="A11" i="41"/>
  <c r="AL9" i="41"/>
  <c r="D9" i="41"/>
  <c r="C9" i="41"/>
  <c r="F5" i="41"/>
  <c r="G5" i="41" s="1"/>
  <c r="A3" i="41"/>
  <c r="A2" i="41"/>
  <c r="S1" i="41"/>
  <c r="E20" i="42" l="1"/>
  <c r="R20" i="42"/>
  <c r="E19" i="44"/>
  <c r="R19" i="44"/>
  <c r="N13" i="46"/>
  <c r="F6" i="45"/>
  <c r="F6" i="41"/>
  <c r="N14" i="42"/>
  <c r="E19" i="46"/>
  <c r="P20" i="42"/>
  <c r="D1" i="42"/>
  <c r="P19" i="44"/>
  <c r="D1" i="44"/>
  <c r="N13" i="44"/>
  <c r="O19" i="46"/>
  <c r="P19" i="46"/>
  <c r="O13" i="46"/>
  <c r="N19" i="46"/>
  <c r="R13" i="46"/>
  <c r="R19" i="46"/>
  <c r="D1" i="46"/>
  <c r="G6" i="45"/>
  <c r="H5" i="45"/>
  <c r="E13" i="46"/>
  <c r="O13" i="44"/>
  <c r="N19" i="44"/>
  <c r="P13" i="44"/>
  <c r="O19" i="44"/>
  <c r="G6" i="43"/>
  <c r="H5" i="43"/>
  <c r="E13" i="44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3" i="40"/>
  <c r="A2" i="40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A3" i="39"/>
  <c r="A2" i="39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3" i="38"/>
  <c r="A2" i="38"/>
  <c r="D1" i="38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A3" i="37"/>
  <c r="A2" i="37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A3" i="36"/>
  <c r="A2" i="36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A3" i="35"/>
  <c r="A2" i="35"/>
  <c r="S1" i="35"/>
  <c r="N14" i="40" l="1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F11" i="34"/>
  <c r="L11" i="34" s="1"/>
  <c r="H11" i="34"/>
  <c r="N11" i="34"/>
  <c r="O11" i="34"/>
  <c r="P11" i="34"/>
  <c r="R11" i="34"/>
  <c r="C12" i="34"/>
  <c r="D12" i="34"/>
  <c r="E12" i="34"/>
  <c r="F12" i="34"/>
  <c r="H12" i="34"/>
  <c r="N12" i="34"/>
  <c r="O12" i="34"/>
  <c r="P12" i="34"/>
  <c r="R12" i="34"/>
  <c r="AL11" i="33"/>
  <c r="D11" i="33"/>
  <c r="C11" i="33"/>
  <c r="A11" i="33"/>
  <c r="C16" i="16"/>
  <c r="D16" i="16"/>
  <c r="E16" i="16"/>
  <c r="F16" i="16"/>
  <c r="L16" i="16" s="1"/>
  <c r="H16" i="16"/>
  <c r="N16" i="16"/>
  <c r="O16" i="16"/>
  <c r="P16" i="16"/>
  <c r="R16" i="16"/>
  <c r="C17" i="16"/>
  <c r="D17" i="16"/>
  <c r="E17" i="16"/>
  <c r="F17" i="16"/>
  <c r="L17" i="16" s="1"/>
  <c r="H17" i="16"/>
  <c r="N17" i="16"/>
  <c r="O17" i="16"/>
  <c r="P17" i="16"/>
  <c r="R17" i="16"/>
  <c r="C18" i="16"/>
  <c r="D18" i="16"/>
  <c r="E18" i="16"/>
  <c r="F18" i="16"/>
  <c r="H18" i="16"/>
  <c r="N18" i="16"/>
  <c r="O18" i="16"/>
  <c r="P18" i="16"/>
  <c r="R18" i="16"/>
  <c r="C10" i="16"/>
  <c r="D10" i="16"/>
  <c r="E10" i="16"/>
  <c r="F10" i="16"/>
  <c r="H10" i="16"/>
  <c r="N10" i="16"/>
  <c r="O10" i="16"/>
  <c r="P10" i="16"/>
  <c r="R10" i="16"/>
  <c r="C11" i="16"/>
  <c r="D11" i="16"/>
  <c r="E11" i="16"/>
  <c r="F11" i="16"/>
  <c r="L11" i="16" s="1"/>
  <c r="H11" i="16"/>
  <c r="N11" i="16"/>
  <c r="O11" i="16"/>
  <c r="P11" i="16"/>
  <c r="R11" i="16"/>
  <c r="C12" i="16"/>
  <c r="D12" i="16"/>
  <c r="E12" i="16"/>
  <c r="F12" i="16"/>
  <c r="L12" i="16" s="1"/>
  <c r="H12" i="16"/>
  <c r="N12" i="16"/>
  <c r="O12" i="16"/>
  <c r="P12" i="16"/>
  <c r="R12" i="16"/>
  <c r="J5" i="45" l="1"/>
  <c r="I6" i="45"/>
  <c r="G11" i="34"/>
  <c r="J5" i="43"/>
  <c r="I6" i="43"/>
  <c r="J5" i="41"/>
  <c r="I6" i="41"/>
  <c r="I5" i="39"/>
  <c r="H6" i="39"/>
  <c r="G17" i="16"/>
  <c r="J17" i="16"/>
  <c r="I11" i="34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I12" i="34"/>
  <c r="J18" i="16"/>
  <c r="G16" i="16"/>
  <c r="J12" i="34"/>
  <c r="O14" i="16"/>
  <c r="I18" i="16"/>
  <c r="G12" i="34"/>
  <c r="J11" i="34"/>
  <c r="L12" i="34"/>
  <c r="J11" i="16"/>
  <c r="G18" i="16"/>
  <c r="I16" i="16"/>
  <c r="L18" i="16"/>
  <c r="L20" i="16" s="1"/>
  <c r="I17" i="16"/>
  <c r="J16" i="16"/>
  <c r="G12" i="16"/>
  <c r="G11" i="16"/>
  <c r="G10" i="16"/>
  <c r="I10" i="16"/>
  <c r="I12" i="16"/>
  <c r="L10" i="16"/>
  <c r="L14" i="16" s="1"/>
  <c r="I11" i="16"/>
  <c r="J10" i="16"/>
  <c r="J12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K11" i="34" l="1"/>
  <c r="M11" i="34" s="1"/>
  <c r="Q11" i="34" s="1"/>
  <c r="S11" i="34" s="1"/>
  <c r="J6" i="45"/>
  <c r="K5" i="45"/>
  <c r="K12" i="34"/>
  <c r="J6" i="43"/>
  <c r="K5" i="43"/>
  <c r="K17" i="16"/>
  <c r="M17" i="16" s="1"/>
  <c r="Q17" i="16" s="1"/>
  <c r="S17" i="16" s="1"/>
  <c r="J6" i="41"/>
  <c r="K5" i="41"/>
  <c r="J5" i="39"/>
  <c r="I6" i="39"/>
  <c r="K18" i="16"/>
  <c r="M18" i="16" s="1"/>
  <c r="Q18" i="16" s="1"/>
  <c r="S18" i="16" s="1"/>
  <c r="I5" i="37"/>
  <c r="H6" i="37"/>
  <c r="G20" i="16"/>
  <c r="K16" i="16"/>
  <c r="I20" i="16"/>
  <c r="I5" i="35"/>
  <c r="H6" i="35"/>
  <c r="M12" i="34"/>
  <c r="Q12" i="34" s="1"/>
  <c r="S12" i="34" s="1"/>
  <c r="K12" i="16"/>
  <c r="M12" i="16" s="1"/>
  <c r="Q12" i="16" s="1"/>
  <c r="S12" i="16" s="1"/>
  <c r="I14" i="16"/>
  <c r="G14" i="16"/>
  <c r="K10" i="16"/>
  <c r="M10" i="16" s="1"/>
  <c r="K11" i="16"/>
  <c r="M11" i="16" s="1"/>
  <c r="Q11" i="16" s="1"/>
  <c r="S11" i="16" s="1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3" i="34"/>
  <c r="A2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A3" i="33"/>
  <c r="A2" i="33"/>
  <c r="S1" i="33"/>
  <c r="K6" i="45" l="1"/>
  <c r="L5" i="45"/>
  <c r="M14" i="16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M16" i="16"/>
  <c r="K20" i="16"/>
  <c r="S22" i="34"/>
  <c r="K14" i="16"/>
  <c r="Q10" i="16"/>
  <c r="Q14" i="16" s="1"/>
  <c r="F6" i="33"/>
  <c r="G6" i="33"/>
  <c r="H5" i="33"/>
  <c r="D1" i="34"/>
  <c r="E28" i="15"/>
  <c r="M5" i="45" l="1"/>
  <c r="L6" i="45"/>
  <c r="M5" i="43"/>
  <c r="L6" i="43"/>
  <c r="M5" i="41"/>
  <c r="L6" i="41"/>
  <c r="K6" i="39"/>
  <c r="L5" i="39"/>
  <c r="J6" i="37"/>
  <c r="K5" i="37"/>
  <c r="Q16" i="16"/>
  <c r="M20" i="16"/>
  <c r="J6" i="35"/>
  <c r="K5" i="35"/>
  <c r="S10" i="16"/>
  <c r="S14" i="16" s="1"/>
  <c r="I5" i="33"/>
  <c r="H6" i="33"/>
  <c r="J22" i="15"/>
  <c r="F22" i="15"/>
  <c r="N5" i="45" l="1"/>
  <c r="M6" i="45"/>
  <c r="N5" i="43"/>
  <c r="M6" i="43"/>
  <c r="N5" i="41"/>
  <c r="M6" i="41"/>
  <c r="M5" i="39"/>
  <c r="L6" i="39"/>
  <c r="K6" i="37"/>
  <c r="L5" i="37"/>
  <c r="S16" i="16"/>
  <c r="S20" i="16" s="1"/>
  <c r="Q20" i="16"/>
  <c r="K6" i="35"/>
  <c r="L5" i="35"/>
  <c r="J5" i="33"/>
  <c r="I6" i="33"/>
  <c r="E4" i="16"/>
  <c r="A3" i="16"/>
  <c r="A2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A3" i="14"/>
  <c r="A2" i="14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0" i="45" l="1"/>
  <c r="AN20" i="45" s="1"/>
  <c r="AM20" i="45"/>
  <c r="AK20" i="43"/>
  <c r="AN20" i="43" s="1"/>
  <c r="AM20" i="43"/>
  <c r="H17" i="44" s="1"/>
  <c r="I17" i="44" s="1"/>
  <c r="AM20" i="41"/>
  <c r="H18" i="42" s="1"/>
  <c r="I18" i="42" s="1"/>
  <c r="AK20" i="41"/>
  <c r="AN20" i="41" s="1"/>
  <c r="AM18" i="45"/>
  <c r="H16" i="46" s="1"/>
  <c r="I16" i="46" s="1"/>
  <c r="AK13" i="45"/>
  <c r="AK16" i="45"/>
  <c r="H17" i="46"/>
  <c r="I17" i="46" s="1"/>
  <c r="AM13" i="45"/>
  <c r="AM16" i="45"/>
  <c r="H15" i="46" s="1"/>
  <c r="I15" i="46" s="1"/>
  <c r="AK11" i="45"/>
  <c r="AM11" i="45"/>
  <c r="H11" i="46" s="1"/>
  <c r="I11" i="46" s="1"/>
  <c r="AK9" i="45"/>
  <c r="AK18" i="45"/>
  <c r="AM9" i="45"/>
  <c r="H10" i="46" s="1"/>
  <c r="I10" i="46" s="1"/>
  <c r="AK13" i="43"/>
  <c r="AM18" i="43"/>
  <c r="H16" i="44" s="1"/>
  <c r="I16" i="44" s="1"/>
  <c r="AM13" i="43"/>
  <c r="AK18" i="43"/>
  <c r="AK11" i="43"/>
  <c r="AM11" i="43"/>
  <c r="H11" i="44" s="1"/>
  <c r="I11" i="44" s="1"/>
  <c r="AK16" i="43"/>
  <c r="AK9" i="43"/>
  <c r="AM16" i="43"/>
  <c r="H15" i="44" s="1"/>
  <c r="I15" i="44" s="1"/>
  <c r="AM9" i="43"/>
  <c r="H10" i="44" s="1"/>
  <c r="I10" i="44" s="1"/>
  <c r="AK11" i="41"/>
  <c r="AM13" i="41"/>
  <c r="H12" i="42" s="1"/>
  <c r="I12" i="42" s="1"/>
  <c r="AK9" i="41"/>
  <c r="AK18" i="41"/>
  <c r="AM11" i="41"/>
  <c r="H11" i="42" s="1"/>
  <c r="I11" i="42" s="1"/>
  <c r="AK16" i="41"/>
  <c r="AM18" i="41"/>
  <c r="H17" i="42" s="1"/>
  <c r="I17" i="42" s="1"/>
  <c r="AK13" i="4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I14" i="42" l="1"/>
  <c r="I13" i="44"/>
  <c r="I19" i="46"/>
  <c r="I13" i="46"/>
  <c r="I19" i="44"/>
  <c r="I20" i="42"/>
  <c r="F11" i="46"/>
  <c r="AN11" i="45"/>
  <c r="AN18" i="45"/>
  <c r="F16" i="46"/>
  <c r="F15" i="46"/>
  <c r="AN16" i="45"/>
  <c r="AN9" i="45"/>
  <c r="F10" i="46"/>
  <c r="AN13" i="45"/>
  <c r="F17" i="46"/>
  <c r="F17" i="44"/>
  <c r="F11" i="44"/>
  <c r="AN11" i="43"/>
  <c r="AN18" i="43"/>
  <c r="F16" i="44"/>
  <c r="AN9" i="43"/>
  <c r="F10" i="44"/>
  <c r="F15" i="44"/>
  <c r="AN16" i="43"/>
  <c r="AN13" i="43"/>
  <c r="AN9" i="41"/>
  <c r="F10" i="42"/>
  <c r="F16" i="42"/>
  <c r="AN16" i="41"/>
  <c r="F12" i="42"/>
  <c r="AN13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L10" i="46" l="1"/>
  <c r="G10" i="46"/>
  <c r="J10" i="46"/>
  <c r="L16" i="46"/>
  <c r="G16" i="46"/>
  <c r="K16" i="46" s="1"/>
  <c r="J16" i="46"/>
  <c r="L17" i="46"/>
  <c r="G17" i="46"/>
  <c r="K17" i="46" s="1"/>
  <c r="J17" i="46"/>
  <c r="J15" i="46"/>
  <c r="L15" i="46"/>
  <c r="G15" i="46"/>
  <c r="L11" i="46"/>
  <c r="G11" i="46"/>
  <c r="K11" i="46" s="1"/>
  <c r="J11" i="46"/>
  <c r="L10" i="44"/>
  <c r="G10" i="44"/>
  <c r="J10" i="44"/>
  <c r="L11" i="44"/>
  <c r="G11" i="44"/>
  <c r="K11" i="44" s="1"/>
  <c r="J11" i="44"/>
  <c r="L16" i="44"/>
  <c r="J16" i="44"/>
  <c r="G16" i="44"/>
  <c r="K16" i="44" s="1"/>
  <c r="J15" i="44"/>
  <c r="L15" i="44"/>
  <c r="G15" i="44"/>
  <c r="L17" i="44"/>
  <c r="G17" i="44"/>
  <c r="K17" i="44" s="1"/>
  <c r="J17" i="44"/>
  <c r="L17" i="42"/>
  <c r="G17" i="42"/>
  <c r="K17" i="42" s="1"/>
  <c r="M17" i="42" s="1"/>
  <c r="Q17" i="42" s="1"/>
  <c r="S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M18" i="42" s="1"/>
  <c r="Q18" i="42" s="1"/>
  <c r="S18" i="42" s="1"/>
  <c r="J18" i="42"/>
  <c r="J12" i="42"/>
  <c r="G12" i="42"/>
  <c r="K12" i="42" s="1"/>
  <c r="M12" i="42" s="1"/>
  <c r="Q12" i="42" s="1"/>
  <c r="S12" i="42" s="1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M17" i="46" l="1"/>
  <c r="Q17" i="46" s="1"/>
  <c r="S17" i="46" s="1"/>
  <c r="L19" i="46"/>
  <c r="M16" i="46"/>
  <c r="Q16" i="46" s="1"/>
  <c r="S16" i="46" s="1"/>
  <c r="L19" i="44"/>
  <c r="G19" i="46"/>
  <c r="K15" i="46"/>
  <c r="M11" i="44"/>
  <c r="Q11" i="44" s="1"/>
  <c r="S11" i="44" s="1"/>
  <c r="G13" i="46"/>
  <c r="K10" i="46"/>
  <c r="M11" i="46"/>
  <c r="Q11" i="46" s="1"/>
  <c r="S11" i="46" s="1"/>
  <c r="L13" i="46"/>
  <c r="L14" i="42"/>
  <c r="M16" i="44"/>
  <c r="Q16" i="44" s="1"/>
  <c r="S16" i="44" s="1"/>
  <c r="G19" i="44"/>
  <c r="K15" i="44"/>
  <c r="G13" i="44"/>
  <c r="K10" i="44"/>
  <c r="M17" i="44"/>
  <c r="Q17" i="44" s="1"/>
  <c r="S17" i="44" s="1"/>
  <c r="L13" i="44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K19" i="46" l="1"/>
  <c r="M15" i="46"/>
  <c r="K13" i="46"/>
  <c r="M10" i="46"/>
  <c r="K13" i="44"/>
  <c r="M10" i="44"/>
  <c r="K19" i="44"/>
  <c r="M15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AK11" i="33"/>
  <c r="AN11" i="33" s="1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AK16" i="33"/>
  <c r="AK13" i="33"/>
  <c r="Z5" i="14"/>
  <c r="Y6" i="14"/>
  <c r="Q10" i="46" l="1"/>
  <c r="M13" i="46"/>
  <c r="Q15" i="46"/>
  <c r="M19" i="46"/>
  <c r="Q15" i="44"/>
  <c r="M19" i="44"/>
  <c r="Q10" i="44"/>
  <c r="M13" i="44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Q19" i="46" l="1"/>
  <c r="S15" i="46"/>
  <c r="S19" i="46" s="1"/>
  <c r="Q13" i="46"/>
  <c r="S10" i="46"/>
  <c r="S13" i="46" s="1"/>
  <c r="Q13" i="44"/>
  <c r="S10" i="44"/>
  <c r="S13" i="44" s="1"/>
  <c r="Q19" i="44"/>
  <c r="S15" i="44"/>
  <c r="S19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Q14" i="40" l="1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6" i="34"/>
  <c r="M17" i="34"/>
  <c r="Q17" i="34" s="1"/>
  <c r="S17" i="34" s="1"/>
  <c r="K10" i="34"/>
  <c r="K14" i="34" s="1"/>
  <c r="AB6" i="14"/>
  <c r="AC5" i="14"/>
  <c r="Q14" i="38" l="1"/>
  <c r="S10" i="38"/>
  <c r="S14" i="38" s="1"/>
  <c r="Q20" i="38"/>
  <c r="S16" i="38"/>
  <c r="S20" i="38" s="1"/>
  <c r="Q14" i="36"/>
  <c r="S10" i="36"/>
  <c r="S14" i="36" s="1"/>
  <c r="Q20" i="36"/>
  <c r="S16" i="36"/>
  <c r="S20" i="36" s="1"/>
  <c r="Q16" i="34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AM11" i="14"/>
  <c r="AM18" i="14"/>
  <c r="AK9" i="14"/>
  <c r="AK18" i="14"/>
  <c r="AM20" i="14"/>
  <c r="AK16" i="14"/>
  <c r="AK20" i="14"/>
  <c r="AM9" i="14"/>
  <c r="AM16" i="14"/>
  <c r="AM13" i="14"/>
  <c r="AK13" i="14"/>
  <c r="AN11" i="14" l="1"/>
  <c r="AN20" i="14"/>
  <c r="AN18" i="14"/>
  <c r="AN9" i="14"/>
  <c r="AN13" i="14"/>
  <c r="AN16" i="14"/>
</calcChain>
</file>

<file path=xl/sharedStrings.xml><?xml version="1.0" encoding="utf-8"?>
<sst xmlns="http://schemas.openxmlformats.org/spreadsheetml/2006/main" count="889" uniqueCount="187">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</sst>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79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8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L33" sqref="L3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27" t="s">
        <v>35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</row>
    <row r="6" spans="1:26" ht="23.25" customHeight="1">
      <c r="A6" s="228" t="str">
        <f>"Tháng "&amp;'CC -5'!C4&amp;" năm 2011"</f>
        <v>Tháng  năm 2011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29" t="s">
        <v>19</v>
      </c>
      <c r="B8" s="229" t="s">
        <v>3</v>
      </c>
      <c r="C8" s="229" t="s">
        <v>1</v>
      </c>
      <c r="D8" s="229" t="s">
        <v>2</v>
      </c>
      <c r="E8" s="232" t="s">
        <v>56</v>
      </c>
      <c r="F8" s="232"/>
      <c r="G8" s="232" t="s">
        <v>36</v>
      </c>
      <c r="H8" s="232"/>
      <c r="I8" s="232" t="s">
        <v>24</v>
      </c>
      <c r="J8" s="232" t="s">
        <v>33</v>
      </c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0" t="s">
        <v>39</v>
      </c>
      <c r="W8" s="230" t="s">
        <v>23</v>
      </c>
      <c r="X8" s="230" t="s">
        <v>11</v>
      </c>
      <c r="Y8" s="107"/>
      <c r="Z8" s="107"/>
    </row>
    <row r="9" spans="1:26" s="1" customFormat="1" ht="20.25" customHeight="1">
      <c r="A9" s="229"/>
      <c r="B9" s="229"/>
      <c r="C9" s="229"/>
      <c r="D9" s="229"/>
      <c r="E9" s="173" t="s">
        <v>159</v>
      </c>
      <c r="F9" s="173">
        <v>2015</v>
      </c>
      <c r="G9" s="172" t="s">
        <v>57</v>
      </c>
      <c r="H9" s="172" t="s">
        <v>38</v>
      </c>
      <c r="I9" s="232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31"/>
      <c r="W9" s="231"/>
      <c r="X9" s="231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2100000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1900000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1900000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21" t="s">
        <v>25</v>
      </c>
      <c r="B22" s="222"/>
      <c r="C22" s="222"/>
      <c r="D22" s="155" t="s">
        <v>135</v>
      </c>
      <c r="E22" s="152">
        <f>SUM(E11:E21)</f>
        <v>15500000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23"/>
      <c r="B23" s="224"/>
      <c r="C23" s="224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25"/>
      <c r="B24" s="226"/>
      <c r="C24" s="226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>
        <f>3317000*0.105</f>
        <v>348285</v>
      </c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>
        <f>E13/26/8</f>
        <v>9134.6153846153848</v>
      </c>
      <c r="K30" s="23"/>
      <c r="L30" s="23">
        <v>14716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>
        <v>1.6110147368421099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0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0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0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0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0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0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0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0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0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0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0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0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0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0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0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0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0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0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0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0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0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0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0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0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0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0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0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0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0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0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0" t="str">
        <f>M64</f>
        <v>ALTP017</v>
      </c>
    </row>
    <row r="80" spans="3:14">
      <c r="C80" s="154"/>
      <c r="G80" s="2" t="s">
        <v>103</v>
      </c>
      <c r="J80" s="2" t="s">
        <v>93</v>
      </c>
      <c r="N80" s="220"/>
    </row>
    <row r="81" spans="3:14">
      <c r="C81" s="154"/>
      <c r="G81" s="31" t="s">
        <v>104</v>
      </c>
      <c r="J81" s="2" t="s">
        <v>94</v>
      </c>
      <c r="N81" s="220" t="str">
        <f>M65</f>
        <v>ALTP018</v>
      </c>
    </row>
    <row r="82" spans="3:14">
      <c r="C82" s="154"/>
      <c r="G82" s="31" t="s">
        <v>139</v>
      </c>
      <c r="J82" s="2" t="s">
        <v>95</v>
      </c>
      <c r="N82" s="220"/>
    </row>
    <row r="83" spans="3:14">
      <c r="C83" s="154"/>
      <c r="G83" s="31" t="s">
        <v>146</v>
      </c>
      <c r="J83" s="2" t="s">
        <v>96</v>
      </c>
      <c r="N83" s="220" t="str">
        <f>M66</f>
        <v>ALTP019</v>
      </c>
    </row>
    <row r="84" spans="3:14">
      <c r="C84" s="154"/>
      <c r="G84" s="31" t="s">
        <v>147</v>
      </c>
      <c r="J84" s="2" t="s">
        <v>97</v>
      </c>
      <c r="N84" s="220"/>
    </row>
    <row r="85" spans="3:14">
      <c r="C85" s="154"/>
      <c r="G85" s="31" t="s">
        <v>148</v>
      </c>
      <c r="J85" s="2" t="s">
        <v>98</v>
      </c>
      <c r="N85" s="220" t="str">
        <f>M67</f>
        <v>ALTP020</v>
      </c>
    </row>
    <row r="86" spans="3:14">
      <c r="C86" s="154"/>
      <c r="G86" s="31" t="s">
        <v>149</v>
      </c>
      <c r="J86" s="2" t="s">
        <v>99</v>
      </c>
      <c r="N86" s="220"/>
    </row>
    <row r="87" spans="3:14">
      <c r="C87" s="154"/>
      <c r="N87" s="220" t="str">
        <f>M68</f>
        <v>ALTP025</v>
      </c>
    </row>
    <row r="88" spans="3:14">
      <c r="C88" s="154"/>
      <c r="N88" s="220"/>
    </row>
    <row r="89" spans="3:14">
      <c r="C89" s="154"/>
      <c r="N89" s="220" t="str">
        <f>M69</f>
        <v>ALTP027</v>
      </c>
    </row>
    <row r="90" spans="3:14">
      <c r="C90" s="154"/>
      <c r="N90" s="220"/>
    </row>
    <row r="91" spans="3:14">
      <c r="C91" s="154"/>
      <c r="N91" s="220" t="str">
        <f>M70</f>
        <v>ALTN001</v>
      </c>
    </row>
    <row r="92" spans="3:14">
      <c r="C92" s="154"/>
      <c r="N92" s="220"/>
    </row>
    <row r="93" spans="3:14">
      <c r="C93" s="154"/>
      <c r="N93" s="220" t="str">
        <f>M71</f>
        <v>ALTN002</v>
      </c>
    </row>
    <row r="94" spans="3:14">
      <c r="C94" s="154"/>
      <c r="N94" s="220"/>
    </row>
    <row r="95" spans="3:14">
      <c r="C95" s="154"/>
      <c r="N95" s="220" t="str">
        <f>M72</f>
        <v>ALTN003</v>
      </c>
    </row>
    <row r="96" spans="3:14">
      <c r="C96" s="154"/>
      <c r="N96" s="220"/>
    </row>
    <row r="97" spans="3:14">
      <c r="C97" s="154"/>
      <c r="N97" s="220" t="str">
        <f>M73</f>
        <v>ALTN004</v>
      </c>
    </row>
    <row r="98" spans="3:14">
      <c r="C98" s="154"/>
      <c r="N98" s="220"/>
    </row>
    <row r="99" spans="3:14">
      <c r="C99" s="154"/>
      <c r="N99" s="220" t="str">
        <f>M74</f>
        <v>ALTN006</v>
      </c>
    </row>
    <row r="100" spans="3:14">
      <c r="C100" s="154"/>
      <c r="N100" s="220"/>
    </row>
    <row r="101" spans="3:14">
      <c r="C101" s="154"/>
      <c r="N101" s="220" t="str">
        <f>M75</f>
        <v>ALTN007</v>
      </c>
    </row>
    <row r="102" spans="3:14">
      <c r="C102" s="154"/>
      <c r="N102" s="220"/>
    </row>
    <row r="103" spans="3:14">
      <c r="C103" s="154"/>
      <c r="N103" s="220" t="str">
        <f>M76</f>
        <v>ALTN008</v>
      </c>
    </row>
    <row r="104" spans="3:14">
      <c r="C104" s="154"/>
      <c r="N104" s="220"/>
    </row>
    <row r="105" spans="3:14">
      <c r="C105" s="154"/>
      <c r="N105" s="220" t="str">
        <f>M77</f>
        <v>ALTN009</v>
      </c>
    </row>
    <row r="106" spans="3:14">
      <c r="C106" s="154"/>
      <c r="N106" s="220"/>
    </row>
    <row r="107" spans="3:14">
      <c r="C107" s="154"/>
      <c r="N107" s="220" t="str">
        <f>M78</f>
        <v>ALTN010</v>
      </c>
    </row>
    <row r="108" spans="3:14">
      <c r="C108" s="154"/>
      <c r="N108" s="220"/>
    </row>
    <row r="109" spans="3:14">
      <c r="C109" s="154"/>
      <c r="N109" s="220" t="str">
        <f>M79</f>
        <v>ALTN011</v>
      </c>
    </row>
    <row r="110" spans="3:14">
      <c r="C110" s="154"/>
      <c r="N110" s="220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37">
        <f>((SUM(F9:AJ9))/8)-(SUMIF($F$6:$AJ$6,"C.Nhật",F9:AJ9)/8)</f>
        <v>25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25</v>
      </c>
      <c r="AO9" s="233">
        <v>0</v>
      </c>
      <c r="AP9" s="241"/>
      <c r="AQ9" s="241"/>
      <c r="AR9" s="241"/>
      <c r="AS9" s="244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37">
        <f t="shared" ref="AK11" si="2">((SUM(F11:AJ11))/8)-(SUMIF($F$6:$AJ$6,"C.Nhật",F11:AJ11)/8)</f>
        <v>25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25</v>
      </c>
      <c r="AO11" s="233">
        <v>0</v>
      </c>
      <c r="AP11" s="241"/>
      <c r="AQ11" s="241"/>
      <c r="AR11" s="241"/>
      <c r="AS11" s="244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v>3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37">
        <f t="shared" ref="AK13" si="6">((SUM(F13:AJ13))/8)-(SUMIF($F$6:$AJ$6,"C.Nhật",F13:AJ13)/8)</f>
        <v>25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25</v>
      </c>
      <c r="AO13" s="233">
        <v>0</v>
      </c>
      <c r="AP13" s="241"/>
      <c r="AQ13" s="241"/>
      <c r="AR13" s="241"/>
      <c r="AS13" s="244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37">
        <f t="shared" ref="AK16" si="9">((SUM(F16:AJ16))/8)-(SUMIF($F$6:$AJ$6,"C.Nhật",F16:AJ16)/8)</f>
        <v>25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25</v>
      </c>
      <c r="AO16" s="233">
        <v>0</v>
      </c>
      <c r="AP16" s="241"/>
      <c r="AQ16" s="241"/>
      <c r="AR16" s="241"/>
      <c r="AS16" s="244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37">
        <f t="shared" ref="AK18" si="11">((SUM(F18:AJ18))/8)-(SUMIF($F$6:$AJ$6,"C.Nhật",F18:AJ18)/8)</f>
        <v>25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25</v>
      </c>
      <c r="AO18" s="233">
        <v>0</v>
      </c>
      <c r="AP18" s="241"/>
      <c r="AQ18" s="241"/>
      <c r="AR18" s="241"/>
      <c r="AS18" s="244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37">
        <f t="shared" ref="AK20" si="15">((SUM(F20:AJ20))/8)-(SUMIF($F$6:$AJ$6,"C.Nhật",F20:AJ20)/8)</f>
        <v>25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25</v>
      </c>
      <c r="AO20" s="233">
        <v>0</v>
      </c>
      <c r="AP20" s="241"/>
      <c r="AQ20" s="241"/>
      <c r="AR20" s="241"/>
      <c r="AS20" s="244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</mergeCells>
  <phoneticPr fontId="47" type="noConversion"/>
  <conditionalFormatting sqref="F5:AJ6 F13:G14 F9:AJ10 H11:AJ14 F16:G21">
    <cfRule type="expression" dxfId="86" priority="25" stopIfTrue="1">
      <formula>IF(WEEKDAY(F$5)=1,TRUE,FALSE)</formula>
    </cfRule>
  </conditionalFormatting>
  <conditionalFormatting sqref="F13:G14 F9:AJ10 H11:AJ14">
    <cfRule type="expression" dxfId="85" priority="22" stopIfTrue="1">
      <formula>IF(WEEKDAY(F$5)=1,TRUE,FALSE)</formula>
    </cfRule>
  </conditionalFormatting>
  <conditionalFormatting sqref="F16:G21">
    <cfRule type="expression" dxfId="84" priority="5" stopIfTrue="1">
      <formula>IF(WEEKDAY(F$5)=1,TRUE,FALSE)</formula>
    </cfRule>
  </conditionalFormatting>
  <conditionalFormatting sqref="F11:G12">
    <cfRule type="expression" dxfId="83" priority="4" stopIfTrue="1">
      <formula>IF(WEEKDAY(F$5)=1,TRUE,FALSE)</formula>
    </cfRule>
  </conditionalFormatting>
  <conditionalFormatting sqref="F11:G12">
    <cfRule type="expression" dxfId="82" priority="3" stopIfTrue="1">
      <formula>IF(WEEKDAY(F$5)=1,TRUE,FALSE)</formula>
    </cfRule>
  </conditionalFormatting>
  <conditionalFormatting sqref="H16:AJ21">
    <cfRule type="expression" dxfId="81" priority="2" stopIfTrue="1">
      <formula>IF(WEEKDAY(H$5)=1,TRUE,FALSE)</formula>
    </cfRule>
  </conditionalFormatting>
  <conditionalFormatting sqref="H16:AJ21">
    <cfRule type="expression" dxfId="80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62" t="str">
        <f>"BẢNG THANH TOÁN LƯƠNG THÁNG"&amp;" "&amp;TEXT($E$4,"mm")&amp;" / "&amp;TEXT($E$4,"yyyy")</f>
        <v>BẢNG THANH TOÁN LƯƠNG THÁNG 05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34" t="s">
        <v>40</v>
      </c>
      <c r="G7" s="35" t="s">
        <v>18</v>
      </c>
      <c r="H7" s="171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-5'!$B$8:$AS$21,36,0)</f>
        <v>25</v>
      </c>
      <c r="G10" s="145">
        <f t="shared" ref="G10" si="3">ROUND(E10/$U$2*F10,0)</f>
        <v>2100000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2100000</v>
      </c>
      <c r="L10" s="90">
        <f t="shared" ref="L10" si="6">+F10*15000</f>
        <v>375000</v>
      </c>
      <c r="M10" s="40">
        <f t="shared" ref="M10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2475000</v>
      </c>
      <c r="R10" s="39">
        <f>VLOOKUP(B10,DS,23,0)</f>
        <v>0</v>
      </c>
      <c r="S10" s="45">
        <f t="shared" ref="S10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-5'!$B$8:$AS$21,36,0)</f>
        <v>25</v>
      </c>
      <c r="G11" s="145">
        <f t="shared" ref="G11:G12" si="13">ROUND(E11/$U$2*F11,0)</f>
        <v>1900000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1900000</v>
      </c>
      <c r="L11" s="90">
        <f t="shared" ref="L11:L12" si="17">+F11*15000</f>
        <v>375000</v>
      </c>
      <c r="M11" s="40">
        <f t="shared" ref="M11:M12" si="18">K11+L11</f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2275000</v>
      </c>
      <c r="R11" s="39">
        <f>VLOOKUP(B11,DS,23,0)</f>
        <v>0</v>
      </c>
      <c r="S11" s="45">
        <f t="shared" ref="S11:S12" si="20">Q11-R11</f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-5'!$B$8:$AS$21,36,0)</f>
        <v>25</v>
      </c>
      <c r="G12" s="145">
        <f t="shared" si="13"/>
        <v>1900000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1900000</v>
      </c>
      <c r="L12" s="90">
        <f t="shared" si="17"/>
        <v>375000</v>
      </c>
      <c r="M12" s="40">
        <f t="shared" si="18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2275000</v>
      </c>
      <c r="R12" s="39">
        <f>VLOOKUP(B12,DS,23,0)</f>
        <v>0</v>
      </c>
      <c r="S12" s="45">
        <f t="shared" si="20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1125000</v>
      </c>
      <c r="M14" s="140">
        <f t="shared" si="21"/>
        <v>7025000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7025000</v>
      </c>
      <c r="R14" s="140">
        <f t="shared" si="21"/>
        <v>0</v>
      </c>
      <c r="S14" s="140">
        <f t="shared" si="21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26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26</v>
      </c>
      <c r="AO13" s="233">
        <v>0</v>
      </c>
      <c r="AP13" s="241"/>
      <c r="AQ13" s="241"/>
      <c r="AR13" s="241"/>
      <c r="AS13" s="244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26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26</v>
      </c>
      <c r="AO16" s="233">
        <v>0</v>
      </c>
      <c r="AP16" s="241"/>
      <c r="AQ16" s="241"/>
      <c r="AR16" s="241"/>
      <c r="AS16" s="244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26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26</v>
      </c>
      <c r="AO18" s="233">
        <v>0</v>
      </c>
      <c r="AP18" s="241"/>
      <c r="AQ18" s="241"/>
      <c r="AR18" s="241"/>
      <c r="AS18" s="244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26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26</v>
      </c>
      <c r="AO20" s="233">
        <v>0</v>
      </c>
      <c r="AP20" s="241"/>
      <c r="AQ20" s="241"/>
      <c r="AR20" s="241"/>
      <c r="AS20" s="244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  <mergeCell ref="AN13:AN14"/>
    <mergeCell ref="AO13:AO14"/>
    <mergeCell ref="AM9:AM10"/>
    <mergeCell ref="AN9:AN10"/>
    <mergeCell ref="AO9:AO10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N18:AN19"/>
    <mergeCell ref="AO18:AO19"/>
    <mergeCell ref="AP18:AP19"/>
    <mergeCell ref="AQ18:AQ19"/>
    <mergeCell ref="AR18:AR19"/>
    <mergeCell ref="C18:C19"/>
    <mergeCell ref="D18:D19"/>
    <mergeCell ref="AK18:AK19"/>
    <mergeCell ref="AL18:AL19"/>
    <mergeCell ref="AM18:AM19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</mergeCells>
  <conditionalFormatting sqref="F5:AJ6 F9:AJ10 F16:AJ21 F13:AJ14">
    <cfRule type="expression" dxfId="79" priority="12" stopIfTrue="1">
      <formula>IF(WEEKDAY(F$5)=1,TRUE,FALSE)</formula>
    </cfRule>
  </conditionalFormatting>
  <conditionalFormatting sqref="F9:AJ10 F13:AJ14">
    <cfRule type="expression" dxfId="78" priority="11" stopIfTrue="1">
      <formula>IF(WEEKDAY(F$5)=1,TRUE,FALSE)</formula>
    </cfRule>
  </conditionalFormatting>
  <conditionalFormatting sqref="F16:AJ21">
    <cfRule type="expression" dxfId="77" priority="10" stopIfTrue="1">
      <formula>IF(WEEKDAY(F$5)=1,TRUE,FALSE)</formula>
    </cfRule>
  </conditionalFormatting>
  <conditionalFormatting sqref="F16:AJ21">
    <cfRule type="expression" dxfId="76" priority="9" stopIfTrue="1">
      <formula>IF(WEEKDAY(F$5)=1,TRUE,FALSE)</formula>
    </cfRule>
  </conditionalFormatting>
  <conditionalFormatting sqref="F16:AI21">
    <cfRule type="expression" dxfId="75" priority="8" stopIfTrue="1">
      <formula>IF(WEEKDAY(F$5)=1,TRUE,FALSE)</formula>
    </cfRule>
  </conditionalFormatting>
  <conditionalFormatting sqref="F16:AJ21">
    <cfRule type="expression" dxfId="74" priority="7" stopIfTrue="1">
      <formula>IF(WEEKDAY(F$5)=1,TRUE,FALSE)</formula>
    </cfRule>
  </conditionalFormatting>
  <conditionalFormatting sqref="F16:AI21">
    <cfRule type="expression" dxfId="73" priority="6" stopIfTrue="1">
      <formula>IF(WEEKDAY(F$5)=1,TRUE,FALSE)</formula>
    </cfRule>
  </conditionalFormatting>
  <conditionalFormatting sqref="F16:AJ21">
    <cfRule type="expression" dxfId="72" priority="5" stopIfTrue="1">
      <formula>IF(WEEKDAY(F$5)=1,TRUE,FALSE)</formula>
    </cfRule>
  </conditionalFormatting>
  <conditionalFormatting sqref="F16:AJ21">
    <cfRule type="expression" dxfId="71" priority="4" stopIfTrue="1">
      <formula>IF(WEEKDAY(F$5)=1,TRUE,FALSE)</formula>
    </cfRule>
  </conditionalFormatting>
  <conditionalFormatting sqref="F16:AJ21">
    <cfRule type="expression" dxfId="70" priority="3" stopIfTrue="1">
      <formula>IF(WEEKDAY(F$5)=1,TRUE,FALSE)</formula>
    </cfRule>
  </conditionalFormatting>
  <conditionalFormatting sqref="F11:AJ12">
    <cfRule type="expression" dxfId="69" priority="2" stopIfTrue="1">
      <formula>IF(WEEKDAY(F$5)=1,TRUE,FALSE)</formula>
    </cfRule>
  </conditionalFormatting>
  <conditionalFormatting sqref="F11:AJ12">
    <cfRule type="expression" dxfId="6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62" t="str">
        <f>"BẢNG THANH TOÁN LƯƠNG THÁNG"&amp;" "&amp;TEXT($E$4,"mm")&amp;" / "&amp;TEXT($E$4,"yyyy")</f>
        <v>BẢNG THANH TOÁN LƯƠNG THÁNG 06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196" t="s">
        <v>40</v>
      </c>
      <c r="G7" s="193" t="s">
        <v>18</v>
      </c>
      <c r="H7" s="196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-6'!$B$8:$AS$21,36,0)</f>
        <v>26</v>
      </c>
      <c r="G10" s="145">
        <f t="shared" ref="G10" si="3">ROUND(E10/$U$2*F10,0)</f>
        <v>2100000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2100000</v>
      </c>
      <c r="L10" s="90">
        <f t="shared" ref="L10" si="6">+F10*15000</f>
        <v>390000</v>
      </c>
      <c r="M10" s="40">
        <f t="shared" ref="M10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2490000</v>
      </c>
      <c r="R10" s="39">
        <f>VLOOKUP(B10,DS,23,0)</f>
        <v>0</v>
      </c>
      <c r="S10" s="45">
        <f t="shared" ref="S10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-6'!$B$8:$AS$21,36,0)</f>
        <v>26</v>
      </c>
      <c r="G11" s="145">
        <f t="shared" ref="G11:G12" si="13">ROUND(E11/$U$2*F11,0)</f>
        <v>1900000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1900000</v>
      </c>
      <c r="L11" s="90">
        <f t="shared" ref="L11:L12" si="17">+F11*15000</f>
        <v>390000</v>
      </c>
      <c r="M11" s="40">
        <f t="shared" ref="M11:M12" si="18">K11+L11</f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2290000</v>
      </c>
      <c r="R11" s="39">
        <f>VLOOKUP(B11,DS,23,0)</f>
        <v>0</v>
      </c>
      <c r="S11" s="45">
        <f t="shared" ref="S11:S12" si="20">Q11-R11</f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-6'!$B$8:$AS$21,36,0)</f>
        <v>26</v>
      </c>
      <c r="G12" s="145">
        <f t="shared" si="13"/>
        <v>1900000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1900000</v>
      </c>
      <c r="L12" s="90">
        <f t="shared" si="17"/>
        <v>390000</v>
      </c>
      <c r="M12" s="40">
        <f t="shared" si="18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2290000</v>
      </c>
      <c r="R12" s="39">
        <f>VLOOKUP(B12,DS,23,0)</f>
        <v>0</v>
      </c>
      <c r="S12" s="45">
        <f t="shared" si="20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1170000</v>
      </c>
      <c r="M14" s="140">
        <f t="shared" si="21"/>
        <v>7070000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7070000</v>
      </c>
      <c r="R14" s="140">
        <f t="shared" si="21"/>
        <v>0</v>
      </c>
      <c r="S14" s="140">
        <f t="shared" si="21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16" sqref="F16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26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26</v>
      </c>
      <c r="AO13" s="233">
        <v>0</v>
      </c>
      <c r="AP13" s="241"/>
      <c r="AQ13" s="241"/>
      <c r="AR13" s="241"/>
      <c r="AS13" s="244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26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26</v>
      </c>
      <c r="AO16" s="233">
        <v>0</v>
      </c>
      <c r="AP16" s="241"/>
      <c r="AQ16" s="241"/>
      <c r="AR16" s="241"/>
      <c r="AS16" s="244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26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26</v>
      </c>
      <c r="AO18" s="233">
        <v>0</v>
      </c>
      <c r="AP18" s="241"/>
      <c r="AQ18" s="241"/>
      <c r="AR18" s="241"/>
      <c r="AS18" s="244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26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26</v>
      </c>
      <c r="AO20" s="233">
        <v>0</v>
      </c>
      <c r="AP20" s="241"/>
      <c r="AQ20" s="241"/>
      <c r="AR20" s="241"/>
      <c r="AS20" s="244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21">
    <cfRule type="expression" dxfId="67" priority="13" stopIfTrue="1">
      <formula>IF(WEEKDAY(F$5)=1,TRUE,FALSE)</formula>
    </cfRule>
  </conditionalFormatting>
  <conditionalFormatting sqref="F9:AJ14">
    <cfRule type="expression" dxfId="66" priority="12" stopIfTrue="1">
      <formula>IF(WEEKDAY(F$5)=1,TRUE,FALSE)</formula>
    </cfRule>
  </conditionalFormatting>
  <conditionalFormatting sqref="F16:AJ21">
    <cfRule type="expression" dxfId="65" priority="11" stopIfTrue="1">
      <formula>IF(WEEKDAY(F$5)=1,TRUE,FALSE)</formula>
    </cfRule>
  </conditionalFormatting>
  <conditionalFormatting sqref="F16:AJ21">
    <cfRule type="expression" dxfId="64" priority="10" stopIfTrue="1">
      <formula>IF(WEEKDAY(F$5)=1,TRUE,FALSE)</formula>
    </cfRule>
  </conditionalFormatting>
  <conditionalFormatting sqref="F16:AI21">
    <cfRule type="expression" dxfId="63" priority="9" stopIfTrue="1">
      <formula>IF(WEEKDAY(F$5)=1,TRUE,FALSE)</formula>
    </cfRule>
  </conditionalFormatting>
  <conditionalFormatting sqref="F16:AJ21">
    <cfRule type="expression" dxfId="62" priority="8" stopIfTrue="1">
      <formula>IF(WEEKDAY(F$5)=1,TRUE,FALSE)</formula>
    </cfRule>
  </conditionalFormatting>
  <conditionalFormatting sqref="F16:AI21">
    <cfRule type="expression" dxfId="61" priority="7" stopIfTrue="1">
      <formula>IF(WEEKDAY(F$5)=1,TRUE,FALSE)</formula>
    </cfRule>
  </conditionalFormatting>
  <conditionalFormatting sqref="F16:AJ21">
    <cfRule type="expression" dxfId="60" priority="6" stopIfTrue="1">
      <formula>IF(WEEKDAY(F$5)=1,TRUE,FALSE)</formula>
    </cfRule>
  </conditionalFormatting>
  <conditionalFormatting sqref="F16:AJ21">
    <cfRule type="expression" dxfId="59" priority="5" stopIfTrue="1">
      <formula>IF(WEEKDAY(F$5)=1,TRUE,FALSE)</formula>
    </cfRule>
  </conditionalFormatting>
  <conditionalFormatting sqref="F16:AJ21">
    <cfRule type="expression" dxfId="58" priority="4" stopIfTrue="1">
      <formula>IF(WEEKDAY(F$5)=1,TRUE,FALSE)</formula>
    </cfRule>
  </conditionalFormatting>
  <conditionalFormatting sqref="F16:AJ21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2" t="str">
        <f>"BẢNG THANH TOÁN LƯƠNG THÁNG"&amp;" "&amp;TEXT($E$4,"mm")&amp;" / "&amp;TEXT($E$4,"yyyy")</f>
        <v>BẢNG THANH TOÁN LƯƠNG THÁNG 07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-7'!$B$8:$AS$21,36,0)</f>
        <v>26</v>
      </c>
      <c r="G10" s="145">
        <f t="shared" ref="G10:G12" si="3">ROUND(E10/$U$2*F10,0)</f>
        <v>2100000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2100000</v>
      </c>
      <c r="L10" s="90">
        <f t="shared" ref="L10:L12" si="6">+F10*15000</f>
        <v>390000</v>
      </c>
      <c r="M10" s="40">
        <f t="shared" ref="M10:M12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2490000</v>
      </c>
      <c r="R10" s="39">
        <f>VLOOKUP(B10,DS,23,0)</f>
        <v>0</v>
      </c>
      <c r="S10" s="45">
        <f t="shared" ref="S10:S12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-7'!$B$8:$AS$21,36,0)</f>
        <v>26</v>
      </c>
      <c r="G11" s="145">
        <f t="shared" si="3"/>
        <v>1900000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-7'!$B$8:$AS$21,36,0)</f>
        <v>26</v>
      </c>
      <c r="G12" s="145">
        <f t="shared" si="3"/>
        <v>1900000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1900000</v>
      </c>
      <c r="L12" s="90">
        <f t="shared" si="6"/>
        <v>390000</v>
      </c>
      <c r="M12" s="40">
        <f t="shared" si="7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2290000</v>
      </c>
      <c r="R12" s="39">
        <f>VLOOKUP(B12,DS,23,0)</f>
        <v>0</v>
      </c>
      <c r="S12" s="45">
        <f t="shared" si="9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1170000</v>
      </c>
      <c r="M14" s="140">
        <f t="shared" si="10"/>
        <v>7070000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7070000</v>
      </c>
      <c r="R14" s="140">
        <f t="shared" si="10"/>
        <v>0</v>
      </c>
      <c r="S14" s="140">
        <f t="shared" si="10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37">
        <f>((SUM(F9:AJ9))/8)-(SUMIF($F$6:$AJ$6,"C.Nhật",F9:AJ9)/8)</f>
        <v>27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27</v>
      </c>
      <c r="AO9" s="233">
        <v>0</v>
      </c>
      <c r="AP9" s="241"/>
      <c r="AQ9" s="241"/>
      <c r="AR9" s="241"/>
      <c r="AS9" s="244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37">
        <f t="shared" ref="AK11" si="2">((SUM(F11:AJ11))/8)-(SUMIF($F$6:$AJ$6,"C.Nhật",F11:AJ11)/8)</f>
        <v>27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27</v>
      </c>
      <c r="AO11" s="233">
        <v>0</v>
      </c>
      <c r="AP11" s="241"/>
      <c r="AQ11" s="241"/>
      <c r="AR11" s="241"/>
      <c r="AS11" s="244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37">
        <f t="shared" ref="AK13" si="6">((SUM(F13:AJ13))/8)-(SUMIF($F$6:$AJ$6,"C.Nhật",F13:AJ13)/8)</f>
        <v>27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27</v>
      </c>
      <c r="AO13" s="233">
        <v>0</v>
      </c>
      <c r="AP13" s="241"/>
      <c r="AQ13" s="241"/>
      <c r="AR13" s="241"/>
      <c r="AS13" s="244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37">
        <f t="shared" ref="AK16" si="9">((SUM(F16:AJ16))/8)-(SUMIF($F$6:$AJ$6,"C.Nhật",F16:AJ16)/8)</f>
        <v>27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27</v>
      </c>
      <c r="AO16" s="233">
        <v>0</v>
      </c>
      <c r="AP16" s="241"/>
      <c r="AQ16" s="241"/>
      <c r="AR16" s="241"/>
      <c r="AS16" s="244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37">
        <f t="shared" ref="AK18" si="11">((SUM(F18:AJ18))/8)-(SUMIF($F$6:$AJ$6,"C.Nhật",F18:AJ18)/8)</f>
        <v>27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27</v>
      </c>
      <c r="AO18" s="233">
        <v>0</v>
      </c>
      <c r="AP18" s="241"/>
      <c r="AQ18" s="241"/>
      <c r="AR18" s="241"/>
      <c r="AS18" s="244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37">
        <f t="shared" ref="AK20" si="15">((SUM(F20:AJ20))/8)-(SUMIF($F$6:$AJ$6,"C.Nhật",F20:AJ20)/8)</f>
        <v>27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27</v>
      </c>
      <c r="AO20" s="233">
        <v>0</v>
      </c>
      <c r="AP20" s="241"/>
      <c r="AQ20" s="241"/>
      <c r="AR20" s="241"/>
      <c r="AS20" s="244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21">
    <cfRule type="expression" dxfId="56" priority="12" stopIfTrue="1">
      <formula>IF(WEEKDAY(F$5)=1,TRUE,FALSE)</formula>
    </cfRule>
  </conditionalFormatting>
  <conditionalFormatting sqref="F9:AJ14">
    <cfRule type="expression" dxfId="55" priority="11" stopIfTrue="1">
      <formula>IF(WEEKDAY(F$5)=1,TRUE,FALSE)</formula>
    </cfRule>
  </conditionalFormatting>
  <conditionalFormatting sqref="F16:AJ21">
    <cfRule type="expression" dxfId="54" priority="10" stopIfTrue="1">
      <formula>IF(WEEKDAY(F$5)=1,TRUE,FALSE)</formula>
    </cfRule>
  </conditionalFormatting>
  <conditionalFormatting sqref="F16:AJ21">
    <cfRule type="expression" dxfId="53" priority="9" stopIfTrue="1">
      <formula>IF(WEEKDAY(F$5)=1,TRUE,FALSE)</formula>
    </cfRule>
  </conditionalFormatting>
  <conditionalFormatting sqref="F16:AI21">
    <cfRule type="expression" dxfId="52" priority="8" stopIfTrue="1">
      <formula>IF(WEEKDAY(F$5)=1,TRUE,FALSE)</formula>
    </cfRule>
  </conditionalFormatting>
  <conditionalFormatting sqref="F16:AJ21">
    <cfRule type="expression" dxfId="51" priority="7" stopIfTrue="1">
      <formula>IF(WEEKDAY(F$5)=1,TRUE,FALSE)</formula>
    </cfRule>
  </conditionalFormatting>
  <conditionalFormatting sqref="F16:AI21">
    <cfRule type="expression" dxfId="50" priority="6" stopIfTrue="1">
      <formula>IF(WEEKDAY(F$5)=1,TRUE,FALSE)</formula>
    </cfRule>
  </conditionalFormatting>
  <conditionalFormatting sqref="F16:AJ21">
    <cfRule type="expression" dxfId="49" priority="5" stopIfTrue="1">
      <formula>IF(WEEKDAY(F$5)=1,TRUE,FALSE)</formula>
    </cfRule>
  </conditionalFormatting>
  <conditionalFormatting sqref="F16:AJ21">
    <cfRule type="expression" dxfId="48" priority="4" stopIfTrue="1">
      <formula>IF(WEEKDAY(F$5)=1,TRUE,FALSE)</formula>
    </cfRule>
  </conditionalFormatting>
  <conditionalFormatting sqref="F16:AJ21">
    <cfRule type="expression" dxfId="47" priority="3" stopIfTrue="1">
      <formula>IF(WEEKDAY(F$5)=1,TRUE,FALSE)</formula>
    </cfRule>
  </conditionalFormatting>
  <conditionalFormatting sqref="F16:AJ21">
    <cfRule type="expression" dxfId="46" priority="2" stopIfTrue="1">
      <formula>IF(WEEKDAY(F$5)=1,TRUE,FALSE)</formula>
    </cfRule>
  </conditionalFormatting>
  <conditionalFormatting sqref="F16:AJ21">
    <cfRule type="expression" dxfId="4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2" t="str">
        <f>"BẢNG THANH TOÁN LƯƠNG THÁNG"&amp;" "&amp;TEXT($E$4,"mm")&amp;" / "&amp;TEXT($E$4,"yyyy")</f>
        <v>BẢNG THANH TOÁN LƯƠNG THÁNG 08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- 8'!$B$8:$AS$21,36,0)</f>
        <v>27</v>
      </c>
      <c r="G10" s="145">
        <f t="shared" ref="G10:G12" si="3">ROUND(E10/$U$2*F10,0)</f>
        <v>2100000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2100000</v>
      </c>
      <c r="L10" s="90">
        <f t="shared" ref="L10:L12" si="6">+F10*15000</f>
        <v>405000</v>
      </c>
      <c r="M10" s="40">
        <f t="shared" ref="M10:M12" si="7">K10+L10</f>
        <v>2505000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2505000</v>
      </c>
      <c r="R10" s="39">
        <f>VLOOKUP(B10,DS,23,0)</f>
        <v>0</v>
      </c>
      <c r="S10" s="45">
        <f t="shared" ref="S10:S12" si="9">Q10-R10</f>
        <v>2505000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- 8'!$B$8:$AS$21,36,0)</f>
        <v>27</v>
      </c>
      <c r="G11" s="145">
        <f t="shared" si="3"/>
        <v>1900000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1900000</v>
      </c>
      <c r="L11" s="90">
        <f t="shared" si="6"/>
        <v>405000</v>
      </c>
      <c r="M11" s="40">
        <f t="shared" si="7"/>
        <v>2305000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2305000</v>
      </c>
      <c r="R11" s="39">
        <f>VLOOKUP(B11,DS,23,0)</f>
        <v>0</v>
      </c>
      <c r="S11" s="45">
        <f t="shared" si="9"/>
        <v>2305000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- 8'!$B$8:$AS$21,36,0)</f>
        <v>27</v>
      </c>
      <c r="G12" s="145">
        <f t="shared" si="3"/>
        <v>1900000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1900000</v>
      </c>
      <c r="L12" s="90">
        <f t="shared" si="6"/>
        <v>405000</v>
      </c>
      <c r="M12" s="40">
        <f t="shared" si="7"/>
        <v>2305000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2305000</v>
      </c>
      <c r="R12" s="39">
        <f>VLOOKUP(B12,DS,23,0)</f>
        <v>0</v>
      </c>
      <c r="S12" s="45">
        <f t="shared" si="9"/>
        <v>2305000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1215000</v>
      </c>
      <c r="M14" s="140">
        <f t="shared" si="10"/>
        <v>7115000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7115000</v>
      </c>
      <c r="R14" s="140">
        <f t="shared" si="10"/>
        <v>0</v>
      </c>
      <c r="S14" s="140">
        <f t="shared" si="10"/>
        <v>7115000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6" sqref="F16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25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25</v>
      </c>
      <c r="AO9" s="233">
        <v>0</v>
      </c>
      <c r="AP9" s="241"/>
      <c r="AQ9" s="241"/>
      <c r="AR9" s="241"/>
      <c r="AS9" s="244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25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25</v>
      </c>
      <c r="AO11" s="233">
        <v>0</v>
      </c>
      <c r="AP11" s="241"/>
      <c r="AQ11" s="241"/>
      <c r="AR11" s="241"/>
      <c r="AS11" s="244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25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25</v>
      </c>
      <c r="AO13" s="233">
        <v>0</v>
      </c>
      <c r="AP13" s="241"/>
      <c r="AQ13" s="241"/>
      <c r="AR13" s="241"/>
      <c r="AS13" s="244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25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25</v>
      </c>
      <c r="AO16" s="233">
        <v>0</v>
      </c>
      <c r="AP16" s="241"/>
      <c r="AQ16" s="241"/>
      <c r="AR16" s="241"/>
      <c r="AS16" s="244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25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25</v>
      </c>
      <c r="AO18" s="233">
        <v>0</v>
      </c>
      <c r="AP18" s="241"/>
      <c r="AQ18" s="241"/>
      <c r="AR18" s="241"/>
      <c r="AS18" s="244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25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25</v>
      </c>
      <c r="AO20" s="233">
        <v>0</v>
      </c>
      <c r="AP20" s="241"/>
      <c r="AQ20" s="241"/>
      <c r="AR20" s="241"/>
      <c r="AS20" s="244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21 AJ13:AJ14 F9:AJ10 F11:AI14">
    <cfRule type="expression" dxfId="44" priority="14" stopIfTrue="1">
      <formula>IF(WEEKDAY(F$5)=1,TRUE,FALSE)</formula>
    </cfRule>
  </conditionalFormatting>
  <conditionalFormatting sqref="AJ13:AJ14 F9:AJ10 F11:AI14">
    <cfRule type="expression" dxfId="43" priority="13" stopIfTrue="1">
      <formula>IF(WEEKDAY(F$5)=1,TRUE,FALSE)</formula>
    </cfRule>
  </conditionalFormatting>
  <conditionalFormatting sqref="AJ16:AJ21">
    <cfRule type="expression" dxfId="42" priority="12" stopIfTrue="1">
      <formula>IF(WEEKDAY(AJ$5)=1,TRUE,FALSE)</formula>
    </cfRule>
  </conditionalFormatting>
  <conditionalFormatting sqref="AJ16:AJ21">
    <cfRule type="expression" dxfId="41" priority="11" stopIfTrue="1">
      <formula>IF(WEEKDAY(AJ$5)=1,TRUE,FALSE)</formula>
    </cfRule>
  </conditionalFormatting>
  <conditionalFormatting sqref="AJ16:AJ21">
    <cfRule type="expression" dxfId="40" priority="9" stopIfTrue="1">
      <formula>IF(WEEKDAY(AJ$5)=1,TRUE,FALSE)</formula>
    </cfRule>
  </conditionalFormatting>
  <conditionalFormatting sqref="AJ16:AJ21">
    <cfRule type="expression" dxfId="39" priority="7" stopIfTrue="1">
      <formula>IF(WEEKDAY(AJ$5)=1,TRUE,FALSE)</formula>
    </cfRule>
  </conditionalFormatting>
  <conditionalFormatting sqref="AJ16:AJ21">
    <cfRule type="expression" dxfId="38" priority="6" stopIfTrue="1">
      <formula>IF(WEEKDAY(AJ$5)=1,TRUE,FALSE)</formula>
    </cfRule>
  </conditionalFormatting>
  <conditionalFormatting sqref="AJ16:AJ21">
    <cfRule type="expression" dxfId="37" priority="5" stopIfTrue="1">
      <formula>IF(WEEKDAY(AJ$5)=1,TRUE,FALSE)</formula>
    </cfRule>
  </conditionalFormatting>
  <conditionalFormatting sqref="AJ11:AJ12">
    <cfRule type="expression" dxfId="36" priority="4" stopIfTrue="1">
      <formula>IF(WEEKDAY(AJ$5)=1,TRUE,FALSE)</formula>
    </cfRule>
  </conditionalFormatting>
  <conditionalFormatting sqref="AJ11:AJ12">
    <cfRule type="expression" dxfId="35" priority="3" stopIfTrue="1">
      <formula>IF(WEEKDAY(AJ$5)=1,TRUE,FALSE)</formula>
    </cfRule>
  </conditionalFormatting>
  <conditionalFormatting sqref="F16:AI21">
    <cfRule type="expression" dxfId="34" priority="2" stopIfTrue="1">
      <formula>IF(WEEKDAY(F$5)=1,TRUE,FALSE)</formula>
    </cfRule>
  </conditionalFormatting>
  <conditionalFormatting sqref="F16:AI21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2" t="str">
        <f>"BẢNG THANH TOÁN LƯƠNG THÁNG"&amp;" "&amp;TEXT($E$4,"mm")&amp;" / "&amp;TEXT($E$4,"yyyy")</f>
        <v>BẢNG THANH TOÁN LƯƠNG THÁNG 09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-9'!$B$8:$AS$21,36,0)</f>
        <v>25</v>
      </c>
      <c r="G10" s="145">
        <f t="shared" ref="G10:G12" si="3">ROUND(E10/$U$2*F10,0)</f>
        <v>2100000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2100000</v>
      </c>
      <c r="L10" s="90">
        <f t="shared" ref="L10:L12" si="6">+F10*15000</f>
        <v>375000</v>
      </c>
      <c r="M10" s="40">
        <f t="shared" ref="M10:M12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2475000</v>
      </c>
      <c r="R10" s="39">
        <f>VLOOKUP(B10,DS,23,0)</f>
        <v>0</v>
      </c>
      <c r="S10" s="45">
        <f t="shared" ref="S10:S12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-9'!$B$8:$AS$21,36,0)</f>
        <v>25</v>
      </c>
      <c r="G11" s="145">
        <f t="shared" si="3"/>
        <v>1900000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1900000</v>
      </c>
      <c r="L11" s="90">
        <f t="shared" si="6"/>
        <v>375000</v>
      </c>
      <c r="M11" s="40">
        <f t="shared" si="7"/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2275000</v>
      </c>
      <c r="R11" s="39">
        <f>VLOOKUP(B11,DS,23,0)</f>
        <v>0</v>
      </c>
      <c r="S11" s="45">
        <f t="shared" si="9"/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-9'!$B$8:$AS$21,36,0)</f>
        <v>25</v>
      </c>
      <c r="G12" s="145">
        <f t="shared" si="3"/>
        <v>1900000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1900000</v>
      </c>
      <c r="L12" s="90">
        <f t="shared" si="6"/>
        <v>375000</v>
      </c>
      <c r="M12" s="40">
        <f t="shared" si="7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2275000</v>
      </c>
      <c r="R12" s="39">
        <f>VLOOKUP(B12,DS,23,0)</f>
        <v>0</v>
      </c>
      <c r="S12" s="45">
        <f t="shared" si="9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1125000</v>
      </c>
      <c r="M14" s="140">
        <f t="shared" si="10"/>
        <v>7025000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7025000</v>
      </c>
      <c r="R14" s="140">
        <f t="shared" si="10"/>
        <v>0</v>
      </c>
      <c r="S14" s="140">
        <f t="shared" si="10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C14" sqref="AC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37">
        <f>((SUM(F9:AJ9))/8)-(SUMIF($F$6:$AJ$6,"C.Nhật",F9:AJ9)/8)</f>
        <v>25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25</v>
      </c>
      <c r="AO9" s="233">
        <v>0</v>
      </c>
      <c r="AP9" s="241"/>
      <c r="AQ9" s="241"/>
      <c r="AR9" s="241"/>
      <c r="AS9" s="244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37">
        <f t="shared" ref="AK11" si="2">((SUM(F11:AJ11))/8)-(SUMIF($F$6:$AJ$6,"C.Nhật",F11:AJ11)/8)</f>
        <v>25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25</v>
      </c>
      <c r="AO11" s="233">
        <v>0</v>
      </c>
      <c r="AP11" s="241"/>
      <c r="AQ11" s="241"/>
      <c r="AR11" s="241"/>
      <c r="AS11" s="244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5.6110147368421099</v>
      </c>
      <c r="AD13" s="143"/>
      <c r="AE13" s="143"/>
      <c r="AF13" s="143"/>
      <c r="AG13" s="143"/>
      <c r="AH13" s="143"/>
      <c r="AI13" s="143"/>
      <c r="AJ13" s="143"/>
      <c r="AK13" s="237">
        <f t="shared" ref="AK13" si="6">((SUM(F13:AJ13))/8)-(SUMIF($F$6:$AJ$6,"C.Nhật",F13:AJ13)/8)</f>
        <v>18.701376842105265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18.701376842105265</v>
      </c>
      <c r="AO13" s="233">
        <v>0</v>
      </c>
      <c r="AP13" s="241"/>
      <c r="AQ13" s="241"/>
      <c r="AR13" s="241"/>
      <c r="AS13" s="244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37">
        <f t="shared" ref="AK16" si="9">((SUM(F16:AJ16))/8)-(SUMIF($F$6:$AJ$6,"C.Nhật",F16:AJ16)/8)</f>
        <v>25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25</v>
      </c>
      <c r="AO16" s="233">
        <v>0</v>
      </c>
      <c r="AP16" s="241"/>
      <c r="AQ16" s="241"/>
      <c r="AR16" s="241"/>
      <c r="AS16" s="244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37">
        <f t="shared" ref="AK18" si="11">((SUM(F18:AJ18))/8)-(SUMIF($F$6:$AJ$6,"C.Nhật",F18:AJ18)/8)</f>
        <v>25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25</v>
      </c>
      <c r="AO18" s="233">
        <v>0</v>
      </c>
      <c r="AP18" s="241"/>
      <c r="AQ18" s="241"/>
      <c r="AR18" s="241"/>
      <c r="AS18" s="244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37">
        <f t="shared" ref="AK20" si="15">((SUM(F20:AJ20))/8)-(SUMIF($F$6:$AJ$6,"C.Nhật",F20:AJ20)/8)</f>
        <v>25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25</v>
      </c>
      <c r="AO20" s="233">
        <v>0</v>
      </c>
      <c r="AP20" s="241"/>
      <c r="AQ20" s="241"/>
      <c r="AR20" s="241"/>
      <c r="AS20" s="244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S20:AS21"/>
    <mergeCell ref="AM20:AM21"/>
    <mergeCell ref="AN20:AN21"/>
    <mergeCell ref="AO20:AO21"/>
    <mergeCell ref="AP20:AP21"/>
    <mergeCell ref="AQ20:AQ21"/>
    <mergeCell ref="AR20:AR21"/>
  </mergeCells>
  <conditionalFormatting sqref="F5:AJ6 F9:AJ14">
    <cfRule type="expression" dxfId="32" priority="16" stopIfTrue="1">
      <formula>IF(WEEKDAY(F$5)=1,TRUE,FALSE)</formula>
    </cfRule>
  </conditionalFormatting>
  <conditionalFormatting sqref="F9:AJ14">
    <cfRule type="expression" dxfId="31" priority="15" stopIfTrue="1">
      <formula>IF(WEEKDAY(F$5)=1,TRUE,FALSE)</formula>
    </cfRule>
  </conditionalFormatting>
  <conditionalFormatting sqref="F16:AJ19">
    <cfRule type="expression" dxfId="30" priority="4" stopIfTrue="1">
      <formula>IF(WEEKDAY(F$5)=1,TRUE,FALSE)</formula>
    </cfRule>
  </conditionalFormatting>
  <conditionalFormatting sqref="F16:AJ19">
    <cfRule type="expression" dxfId="29" priority="3" stopIfTrue="1">
      <formula>IF(WEEKDAY(F$5)=1,TRUE,FALSE)</formula>
    </cfRule>
  </conditionalFormatting>
  <conditionalFormatting sqref="F20:AJ21">
    <cfRule type="expression" dxfId="28" priority="2" stopIfTrue="1">
      <formula>IF(WEEKDAY(F$5)=1,TRUE,FALSE)</formula>
    </cfRule>
  </conditionalFormatting>
  <conditionalFormatting sqref="F20:AJ21">
    <cfRule type="expression" dxfId="2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2" t="str">
        <f>"BẢNG THANH TOÁN LƯƠNG THÁNG"&amp;" "&amp;TEXT($E$4,"mm")&amp;" / "&amp;TEXT($E$4,"yyyy")</f>
        <v>BẢNG THANH TOÁN LƯƠNG THÁNG 10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19" t="s">
        <v>40</v>
      </c>
      <c r="G7" s="216" t="s">
        <v>18</v>
      </c>
      <c r="H7" s="219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-10'!$B$8:$AS$21,36,0)</f>
        <v>25</v>
      </c>
      <c r="G10" s="145">
        <f t="shared" ref="G10:G12" si="3">ROUND(E10/$U$2*F10,0)</f>
        <v>2019231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2019231</v>
      </c>
      <c r="L10" s="90">
        <f t="shared" ref="L10:L12" si="6">+F10*15000</f>
        <v>375000</v>
      </c>
      <c r="M10" s="40">
        <f t="shared" ref="M10:M12" si="7">K10+L10</f>
        <v>2394231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2394231</v>
      </c>
      <c r="R10" s="39">
        <f>VLOOKUP(B10,DS,23,0)</f>
        <v>0</v>
      </c>
      <c r="S10" s="45">
        <f t="shared" ref="S10:S12" si="9">Q10-R10</f>
        <v>2394231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-10'!$B$8:$AS$21,36,0)</f>
        <v>25</v>
      </c>
      <c r="G11" s="145">
        <f t="shared" si="3"/>
        <v>1826923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1826923</v>
      </c>
      <c r="L11" s="90">
        <f t="shared" si="6"/>
        <v>375000</v>
      </c>
      <c r="M11" s="40">
        <f t="shared" si="7"/>
        <v>2201923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2201923</v>
      </c>
      <c r="R11" s="39">
        <f>VLOOKUP(B11,DS,23,0)</f>
        <v>0</v>
      </c>
      <c r="S11" s="45">
        <f t="shared" si="9"/>
        <v>2201923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-10'!$B$8:$AS$21,36,0)</f>
        <v>18.701376842105265</v>
      </c>
      <c r="G12" s="145">
        <f t="shared" si="3"/>
        <v>1366639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18.701376842105265</v>
      </c>
      <c r="K12" s="39">
        <f t="shared" si="5"/>
        <v>1366639</v>
      </c>
      <c r="L12" s="90">
        <v>277500</v>
      </c>
      <c r="M12" s="40">
        <f t="shared" si="7"/>
        <v>1644139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1644139</v>
      </c>
      <c r="R12" s="39">
        <f>VLOOKUP(B12,DS,23,0)</f>
        <v>0</v>
      </c>
      <c r="S12" s="45">
        <f t="shared" si="9"/>
        <v>1644139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5212793</v>
      </c>
      <c r="H14" s="140"/>
      <c r="I14" s="140">
        <f>SUM(I9:I12)</f>
        <v>0</v>
      </c>
      <c r="J14" s="140"/>
      <c r="K14" s="140">
        <f t="shared" ref="K14:S14" si="10">SUM(K9:K12)</f>
        <v>5212793</v>
      </c>
      <c r="L14" s="140">
        <f t="shared" si="10"/>
        <v>1027500</v>
      </c>
      <c r="M14" s="140">
        <f t="shared" si="10"/>
        <v>6240293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6240293</v>
      </c>
      <c r="R14" s="140">
        <f t="shared" si="10"/>
        <v>0</v>
      </c>
      <c r="S14" s="140">
        <f t="shared" si="10"/>
        <v>6240293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-10'!$B$8:$AS$21,36,0)</f>
        <v>25</v>
      </c>
      <c r="G16" s="145">
        <f t="shared" ref="G16:G18" si="14">ROUND(E16/$U$2*F16,0)</f>
        <v>1730769</v>
      </c>
      <c r="H16" s="92">
        <f>(VLOOKUP(B16,'CC -10'!$B$8:$AS$21,37,0)+VLOOKUP(B16,'CC -10'!$B$8:$AS$21,38,0))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1730769</v>
      </c>
      <c r="L16" s="90">
        <f t="shared" ref="L16:L18" si="17">+F16*15000</f>
        <v>375000</v>
      </c>
      <c r="M16" s="40">
        <f t="shared" ref="M16:M18" si="18">K16+L16</f>
        <v>2105769</v>
      </c>
      <c r="N16" s="40">
        <f>IF(VLOOKUP(B16,DS,9,0)="x",'L - 10'!E16*$N$4,0)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2105769</v>
      </c>
      <c r="R16" s="39">
        <f t="shared" ref="R16:R18" si="21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-10'!$B$8:$AS$21,36,0)</f>
        <v>25</v>
      </c>
      <c r="G17" s="145">
        <f t="shared" si="14"/>
        <v>1730769</v>
      </c>
      <c r="H17" s="92">
        <f>(VLOOKUP(B17,'CC -10'!$B$8:$AS$21,37,0)+VLOOKUP(B17,'CC -10'!$B$8:$AS$21,38,0))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1730769</v>
      </c>
      <c r="L17" s="90">
        <f t="shared" si="17"/>
        <v>375000</v>
      </c>
      <c r="M17" s="40">
        <f t="shared" si="18"/>
        <v>2105769</v>
      </c>
      <c r="N17" s="40">
        <f>IF(VLOOKUP(B17,DS,9,0)="x",'L - 10'!E17*$N$4,0)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2105769</v>
      </c>
      <c r="R17" s="39">
        <f t="shared" si="21"/>
        <v>0</v>
      </c>
      <c r="S17" s="45">
        <f t="shared" ref="S17:S18" si="23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-10'!$B$8:$AS$21,36,0)</f>
        <v>25</v>
      </c>
      <c r="G18" s="145">
        <f t="shared" si="14"/>
        <v>1442308</v>
      </c>
      <c r="H18" s="92">
        <f>(VLOOKUP(B18,'CC -10'!$B$8:$AS$21,37,0)+VLOOKUP(B18,'CC -10'!$B$8:$AS$21,38,0))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1442308</v>
      </c>
      <c r="L18" s="90">
        <f t="shared" si="17"/>
        <v>375000</v>
      </c>
      <c r="M18" s="40">
        <f t="shared" si="18"/>
        <v>1817308</v>
      </c>
      <c r="N18" s="40">
        <f>IF(VLOOKUP(B18,DS,9,0)="x",'L - 10'!E18*$N$4,0)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1817308</v>
      </c>
      <c r="R18" s="39">
        <f t="shared" si="21"/>
        <v>0</v>
      </c>
      <c r="S18" s="45">
        <f t="shared" si="23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4">SUM(K15:K19)</f>
        <v>4903846</v>
      </c>
      <c r="L20" s="140">
        <f t="shared" si="24"/>
        <v>1125000</v>
      </c>
      <c r="M20" s="140">
        <f t="shared" si="24"/>
        <v>6028846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6028846</v>
      </c>
      <c r="R20" s="140">
        <f t="shared" si="24"/>
        <v>0</v>
      </c>
      <c r="S20" s="140">
        <f t="shared" si="24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4:D14"/>
    <mergeCell ref="A20:D20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22" sqref="A22:XFD2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26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26</v>
      </c>
      <c r="AO13" s="233">
        <v>0</v>
      </c>
      <c r="AP13" s="241"/>
      <c r="AQ13" s="241"/>
      <c r="AR13" s="241"/>
      <c r="AS13" s="244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26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26</v>
      </c>
      <c r="AO16" s="233">
        <v>0</v>
      </c>
      <c r="AP16" s="241"/>
      <c r="AQ16" s="241"/>
      <c r="AR16" s="241"/>
      <c r="AS16" s="244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26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26</v>
      </c>
      <c r="AO18" s="233">
        <v>0</v>
      </c>
      <c r="AP18" s="241"/>
      <c r="AQ18" s="241"/>
      <c r="AR18" s="241"/>
      <c r="AS18" s="244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26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26</v>
      </c>
      <c r="AO20" s="233">
        <v>0</v>
      </c>
      <c r="AP20" s="241"/>
      <c r="AQ20" s="241"/>
      <c r="AR20" s="241"/>
      <c r="AS20" s="244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S20:AS21"/>
    <mergeCell ref="AM20:AM21"/>
    <mergeCell ref="AN20:AN21"/>
    <mergeCell ref="AO20:AO21"/>
    <mergeCell ref="AP20:AP21"/>
    <mergeCell ref="AQ20:AQ21"/>
    <mergeCell ref="AR20:AR21"/>
  </mergeCells>
  <conditionalFormatting sqref="F5:AJ6 AJ16:AJ19 AJ13:AJ14 F9:AJ10 F11:AI14">
    <cfRule type="expression" dxfId="26" priority="23" stopIfTrue="1">
      <formula>IF(WEEKDAY(F$5)=1,TRUE,FALSE)</formula>
    </cfRule>
  </conditionalFormatting>
  <conditionalFormatting sqref="AJ13:AJ14 F9:AJ10 F11:AI14">
    <cfRule type="expression" dxfId="25" priority="22" stopIfTrue="1">
      <formula>IF(WEEKDAY(F$5)=1,TRUE,FALSE)</formula>
    </cfRule>
  </conditionalFormatting>
  <conditionalFormatting sqref="AJ16:AJ19">
    <cfRule type="expression" dxfId="24" priority="21" stopIfTrue="1">
      <formula>IF(WEEKDAY(AJ$5)=1,TRUE,FALSE)</formula>
    </cfRule>
  </conditionalFormatting>
  <conditionalFormatting sqref="AJ16:AJ19">
    <cfRule type="expression" dxfId="23" priority="20" stopIfTrue="1">
      <formula>IF(WEEKDAY(AJ$5)=1,TRUE,FALSE)</formula>
    </cfRule>
  </conditionalFormatting>
  <conditionalFormatting sqref="AJ16:AJ19">
    <cfRule type="expression" dxfId="22" priority="19" stopIfTrue="1">
      <formula>IF(WEEKDAY(AJ$5)=1,TRUE,FALSE)</formula>
    </cfRule>
  </conditionalFormatting>
  <conditionalFormatting sqref="AJ16:AJ19">
    <cfRule type="expression" dxfId="21" priority="18" stopIfTrue="1">
      <formula>IF(WEEKDAY(AJ$5)=1,TRUE,FALSE)</formula>
    </cfRule>
  </conditionalFormatting>
  <conditionalFormatting sqref="AJ16:AJ19">
    <cfRule type="expression" dxfId="20" priority="17" stopIfTrue="1">
      <formula>IF(WEEKDAY(AJ$5)=1,TRUE,FALSE)</formula>
    </cfRule>
  </conditionalFormatting>
  <conditionalFormatting sqref="AJ16:AJ19">
    <cfRule type="expression" dxfId="19" priority="16" stopIfTrue="1">
      <formula>IF(WEEKDAY(AJ$5)=1,TRUE,FALSE)</formula>
    </cfRule>
  </conditionalFormatting>
  <conditionalFormatting sqref="AJ11:AJ12">
    <cfRule type="expression" dxfId="18" priority="15" stopIfTrue="1">
      <formula>IF(WEEKDAY(AJ$5)=1,TRUE,FALSE)</formula>
    </cfRule>
  </conditionalFormatting>
  <conditionalFormatting sqref="AJ11:AJ12">
    <cfRule type="expression" dxfId="17" priority="14" stopIfTrue="1">
      <formula>IF(WEEKDAY(AJ$5)=1,TRUE,FALSE)</formula>
    </cfRule>
  </conditionalFormatting>
  <conditionalFormatting sqref="F16:AI19">
    <cfRule type="expression" dxfId="16" priority="11" stopIfTrue="1">
      <formula>IF(WEEKDAY(F$5)=1,TRUE,FALSE)</formula>
    </cfRule>
  </conditionalFormatting>
  <conditionalFormatting sqref="F16:AI19">
    <cfRule type="expression" dxfId="15" priority="10" stopIfTrue="1">
      <formula>IF(WEEKDAY(F$5)=1,TRUE,FALSE)</formula>
    </cfRule>
  </conditionalFormatting>
  <conditionalFormatting sqref="F20:AI21">
    <cfRule type="expression" dxfId="14" priority="2" stopIfTrue="1">
      <formula>IF(WEEKDAY(F$5)=1,TRUE,FALSE)</formula>
    </cfRule>
  </conditionalFormatting>
  <conditionalFormatting sqref="F20:AI21">
    <cfRule type="expression" dxfId="13" priority="1" stopIfTrue="1">
      <formula>IF(WEEKDAY(F$5)=1,TRUE,FALSE)</formula>
    </cfRule>
  </conditionalFormatting>
  <conditionalFormatting sqref="AJ20:AJ21">
    <cfRule type="expression" dxfId="12" priority="9" stopIfTrue="1">
      <formula>IF(WEEKDAY(AJ$5)=1,TRUE,FALSE)</formula>
    </cfRule>
  </conditionalFormatting>
  <conditionalFormatting sqref="AJ20:AJ21">
    <cfRule type="expression" dxfId="11" priority="8" stopIfTrue="1">
      <formula>IF(WEEKDAY(AJ$5)=1,TRUE,FALSE)</formula>
    </cfRule>
  </conditionalFormatting>
  <conditionalFormatting sqref="AJ20:AJ21">
    <cfRule type="expression" dxfId="10" priority="7" stopIfTrue="1">
      <formula>IF(WEEKDAY(AJ$5)=1,TRUE,FALSE)</formula>
    </cfRule>
  </conditionalFormatting>
  <conditionalFormatting sqref="AJ20:AJ21">
    <cfRule type="expression" dxfId="9" priority="6" stopIfTrue="1">
      <formula>IF(WEEKDAY(AJ$5)=1,TRUE,FALSE)</formula>
    </cfRule>
  </conditionalFormatting>
  <conditionalFormatting sqref="AJ20:AJ21">
    <cfRule type="expression" dxfId="8" priority="5" stopIfTrue="1">
      <formula>IF(WEEKDAY(AJ$5)=1,TRUE,FALSE)</formula>
    </cfRule>
  </conditionalFormatting>
  <conditionalFormatting sqref="AJ20:AJ21">
    <cfRule type="expression" dxfId="7" priority="4" stopIfTrue="1">
      <formula>IF(WEEKDAY(AJ$5)=1,TRUE,FALSE)</formula>
    </cfRule>
  </conditionalFormatting>
  <conditionalFormatting sqref="AJ20:AJ21">
    <cfRule type="expression" dxfId="6" priority="3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3" sqref="S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2" t="str">
        <f>"BẢNG THANH TOÁN LƯƠNG THÁNG"&amp;" "&amp;TEXT($E$4,"mm")&amp;" / "&amp;TEXT($E$4,"yyyy")</f>
        <v>BẢNG THANH TOÁN LƯƠNG THÁNG 11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19" t="s">
        <v>40</v>
      </c>
      <c r="G7" s="216" t="s">
        <v>18</v>
      </c>
      <c r="H7" s="219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-11'!$B$8:$AS$21,36,0)</f>
        <v>26</v>
      </c>
      <c r="G10" s="145">
        <f t="shared" ref="G10:G11" si="3">ROUND(E10/$U$2*F10,0)</f>
        <v>2100000</v>
      </c>
      <c r="H10" s="92">
        <f>(VLOOKUP(B10,'CC -11'!$B$8:$AS$21,37,0)+VLOOKUP(B10,'CC -11'!$B$8:$AS$21,38,0))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2100000</v>
      </c>
      <c r="L10" s="90">
        <f t="shared" ref="L10:L11" si="6">+F10*15000</f>
        <v>390000</v>
      </c>
      <c r="M10" s="40">
        <f t="shared" ref="M10:M11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2490000</v>
      </c>
      <c r="R10" s="39">
        <f>VLOOKUP(B10,DS,23,0)</f>
        <v>0</v>
      </c>
      <c r="S10" s="45">
        <f t="shared" ref="S10:S11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-11'!$B$8:$AS$21,36,0)</f>
        <v>26</v>
      </c>
      <c r="G11" s="145">
        <f t="shared" si="3"/>
        <v>1900000</v>
      </c>
      <c r="H11" s="92">
        <f>(VLOOKUP(B11,'CC -11'!$B$8:$AS$21,37,0)+VLOOKUP(B11,'CC -11'!$B$8:$AS$21,38,0))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1" t="s">
        <v>25</v>
      </c>
      <c r="B13" s="261"/>
      <c r="C13" s="261"/>
      <c r="D13" s="261"/>
      <c r="E13" s="140">
        <f>SUM(E9:E11)</f>
        <v>4000000</v>
      </c>
      <c r="F13" s="140"/>
      <c r="G13" s="140">
        <f>SUM(G9:G11)</f>
        <v>4000000</v>
      </c>
      <c r="H13" s="140"/>
      <c r="I13" s="140">
        <f>SUM(I9:I11)</f>
        <v>0</v>
      </c>
      <c r="J13" s="140"/>
      <c r="K13" s="140">
        <f t="shared" ref="K13:S13" si="10">SUM(K9:K11)</f>
        <v>4000000</v>
      </c>
      <c r="L13" s="140">
        <f t="shared" si="10"/>
        <v>780000</v>
      </c>
      <c r="M13" s="140">
        <f t="shared" si="10"/>
        <v>4780000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4780000</v>
      </c>
      <c r="R13" s="140">
        <f t="shared" si="10"/>
        <v>0</v>
      </c>
      <c r="S13" s="140">
        <f t="shared" si="10"/>
        <v>4780000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1800000</v>
      </c>
      <c r="F15" s="92">
        <f>VLOOKUP(B15,'CC -11'!$B$8:$AS$21,36,0)</f>
        <v>26</v>
      </c>
      <c r="G15" s="145">
        <f t="shared" ref="G15:G17" si="14">ROUND(E15/$U$2*F15,0)</f>
        <v>1800000</v>
      </c>
      <c r="H15" s="92">
        <f>(VLOOKUP(B15,'CC -11'!$B$8:$AS$21,37,0)+VLOOKUP(B15,'CC -11'!$B$8:$AS$21,38,0))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1800000</v>
      </c>
      <c r="L15" s="90">
        <f t="shared" ref="L15:L17" si="17">+F15*15000</f>
        <v>390000</v>
      </c>
      <c r="M15" s="40">
        <f t="shared" ref="M15:M17" si="18">K15+L15</f>
        <v>2190000</v>
      </c>
      <c r="N15" s="40">
        <f>IF(VLOOKUP(B15,DS,9,0)="x",'L - 11'!E15*$N$4,0)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2190000</v>
      </c>
      <c r="R15" s="39">
        <f t="shared" ref="R15:R17" si="21">VLOOKUP(B15,DS,23,0)</f>
        <v>0</v>
      </c>
      <c r="S15" s="45">
        <f>Q15-R15</f>
        <v>2190000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1800000</v>
      </c>
      <c r="F16" s="92">
        <f>VLOOKUP(B16,'CC -11'!$B$8:$AS$21,36,0)</f>
        <v>26</v>
      </c>
      <c r="G16" s="145">
        <f t="shared" si="14"/>
        <v>1800000</v>
      </c>
      <c r="H16" s="92">
        <f>(VLOOKUP(B16,'CC -11'!$B$8:$AS$21,37,0)+VLOOKUP(B16,'CC -11'!$B$8:$AS$21,38,0))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1800000</v>
      </c>
      <c r="L16" s="90">
        <f t="shared" si="17"/>
        <v>390000</v>
      </c>
      <c r="M16" s="40">
        <f t="shared" si="18"/>
        <v>2190000</v>
      </c>
      <c r="N16" s="40">
        <f>IF(VLOOKUP(B16,DS,9,0)="x",'L - 11'!E16*$N$4,0)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2190000</v>
      </c>
      <c r="R16" s="39">
        <f t="shared" si="21"/>
        <v>0</v>
      </c>
      <c r="S16" s="45">
        <f t="shared" ref="S16:S17" si="23"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1500000</v>
      </c>
      <c r="F17" s="92">
        <f>VLOOKUP(B17,'CC -11'!$B$8:$AS$21,36,0)</f>
        <v>26</v>
      </c>
      <c r="G17" s="145">
        <f t="shared" si="14"/>
        <v>1500000</v>
      </c>
      <c r="H17" s="92">
        <f>(VLOOKUP(B17,'CC -11'!$B$8:$AS$21,37,0)+VLOOKUP(B17,'CC -11'!$B$8:$AS$21,38,0))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1500000</v>
      </c>
      <c r="L17" s="90">
        <f t="shared" si="17"/>
        <v>390000</v>
      </c>
      <c r="M17" s="40">
        <f t="shared" si="18"/>
        <v>1890000</v>
      </c>
      <c r="N17" s="40">
        <f>IF(VLOOKUP(B17,DS,9,0)="x",'L - 11'!E17*$N$4,0)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1890000</v>
      </c>
      <c r="R17" s="39">
        <f t="shared" si="21"/>
        <v>0</v>
      </c>
      <c r="S17" s="45">
        <f t="shared" si="23"/>
        <v>1890000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1" t="s">
        <v>25</v>
      </c>
      <c r="B19" s="261"/>
      <c r="C19" s="261"/>
      <c r="D19" s="261"/>
      <c r="E19" s="140">
        <f>SUM(E14:E18)</f>
        <v>5100000</v>
      </c>
      <c r="F19" s="140"/>
      <c r="G19" s="140">
        <f>SUM(G14:G18)</f>
        <v>5100000</v>
      </c>
      <c r="H19" s="140"/>
      <c r="I19" s="140">
        <f>SUM(I14:I18)</f>
        <v>0</v>
      </c>
      <c r="J19" s="140"/>
      <c r="K19" s="140">
        <f t="shared" ref="K19:S19" si="24">SUM(K14:K18)</f>
        <v>5100000</v>
      </c>
      <c r="L19" s="140">
        <f t="shared" si="24"/>
        <v>1170000</v>
      </c>
      <c r="M19" s="140">
        <f t="shared" si="24"/>
        <v>6270000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6270000</v>
      </c>
      <c r="R19" s="140">
        <f t="shared" si="24"/>
        <v>0</v>
      </c>
      <c r="S19" s="140">
        <f t="shared" si="24"/>
        <v>6270000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9:D19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J9" sqref="AJ9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26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26</v>
      </c>
      <c r="AO13" s="233">
        <v>0</v>
      </c>
      <c r="AP13" s="241"/>
      <c r="AQ13" s="241"/>
      <c r="AR13" s="241"/>
      <c r="AS13" s="244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26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26</v>
      </c>
      <c r="AO16" s="233">
        <v>0</v>
      </c>
      <c r="AP16" s="241"/>
      <c r="AQ16" s="241"/>
      <c r="AR16" s="241"/>
      <c r="AS16" s="244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26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26</v>
      </c>
      <c r="AO18" s="233">
        <v>0</v>
      </c>
      <c r="AP18" s="241"/>
      <c r="AQ18" s="241"/>
      <c r="AR18" s="241"/>
      <c r="AS18" s="244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A16+1</f>
        <v>2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26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26</v>
      </c>
      <c r="AO20" s="233">
        <v>0</v>
      </c>
      <c r="AP20" s="241"/>
      <c r="AQ20" s="241"/>
      <c r="AR20" s="241"/>
      <c r="AS20" s="244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S20:AS21"/>
    <mergeCell ref="AM20:AM21"/>
    <mergeCell ref="AN20:AN21"/>
    <mergeCell ref="AO20:AO21"/>
    <mergeCell ref="AP20:AP21"/>
    <mergeCell ref="AQ20:AQ21"/>
    <mergeCell ref="AR20:AR21"/>
  </mergeCells>
  <conditionalFormatting sqref="F5:AJ6 F9:AJ14">
    <cfRule type="expression" dxfId="5" priority="16" stopIfTrue="1">
      <formula>IF(WEEKDAY(F$5)=1,TRUE,FALSE)</formula>
    </cfRule>
  </conditionalFormatting>
  <conditionalFormatting sqref="F9:AJ14">
    <cfRule type="expression" dxfId="4" priority="15" stopIfTrue="1">
      <formula>IF(WEEKDAY(F$5)=1,TRUE,FALSE)</formula>
    </cfRule>
  </conditionalFormatting>
  <conditionalFormatting sqref="F16:AJ19">
    <cfRule type="expression" dxfId="3" priority="4" stopIfTrue="1">
      <formula>IF(WEEKDAY(F$5)=1,TRUE,FALSE)</formula>
    </cfRule>
  </conditionalFormatting>
  <conditionalFormatting sqref="F16:AJ19">
    <cfRule type="expression" dxfId="2" priority="3" stopIfTrue="1">
      <formula>IF(WEEKDAY(F$5)=1,TRUE,FALSE)</formula>
    </cfRule>
  </conditionalFormatting>
  <conditionalFormatting sqref="F20:AJ21">
    <cfRule type="expression" dxfId="1" priority="2" stopIfTrue="1">
      <formula>IF(WEEKDAY(F$5)=1,TRUE,FALSE)</formula>
    </cfRule>
  </conditionalFormatting>
  <conditionalFormatting sqref="F20:AJ21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3" sqref="S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2" t="str">
        <f>"BẢNG THANH TOÁN LƯƠNG THÁNG"&amp;" "&amp;TEXT($E$4,"mm")&amp;" / "&amp;TEXT($E$4,"yyyy")</f>
        <v>BẢNG THANH TOÁN LƯƠNG THÁNG 12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19" t="s">
        <v>40</v>
      </c>
      <c r="G7" s="216" t="s">
        <v>18</v>
      </c>
      <c r="H7" s="219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-12'!$B$8:$AS$21,36,0)</f>
        <v>26</v>
      </c>
      <c r="G10" s="145">
        <f t="shared" ref="G10:G11" si="3">ROUND(E10/$U$2*F10,0)</f>
        <v>2022222</v>
      </c>
      <c r="H10" s="92">
        <f>(VLOOKUP(B10,'CC -12'!$B$8:$AS$21,37,0)+VLOOKUP(B10,'CC -12'!$B$8:$AS$21,38,0))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2022222</v>
      </c>
      <c r="L10" s="90">
        <f t="shared" ref="L10:L11" si="6">+F10*15000</f>
        <v>390000</v>
      </c>
      <c r="M10" s="40">
        <f t="shared" ref="M10:M11" si="7">K10+L10</f>
        <v>2412222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2412222</v>
      </c>
      <c r="R10" s="39">
        <f>VLOOKUP(B10,DS,23,0)</f>
        <v>0</v>
      </c>
      <c r="S10" s="45">
        <f t="shared" ref="S10:S11" si="9">Q10-R10</f>
        <v>2412222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-12'!$B$8:$AS$21,36,0)</f>
        <v>26</v>
      </c>
      <c r="G11" s="145">
        <f t="shared" si="3"/>
        <v>1829630</v>
      </c>
      <c r="H11" s="92">
        <f>(VLOOKUP(B11,'CC -12'!$B$8:$AS$21,37,0)+VLOOKUP(B11,'CC -12'!$B$8:$AS$21,38,0))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1829630</v>
      </c>
      <c r="L11" s="90">
        <f t="shared" si="6"/>
        <v>390000</v>
      </c>
      <c r="M11" s="40">
        <f t="shared" si="7"/>
        <v>2219630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2219630</v>
      </c>
      <c r="R11" s="39">
        <f>VLOOKUP(B11,DS,23,0)</f>
        <v>0</v>
      </c>
      <c r="S11" s="45">
        <f t="shared" si="9"/>
        <v>2219630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1" t="s">
        <v>25</v>
      </c>
      <c r="B13" s="261"/>
      <c r="C13" s="261"/>
      <c r="D13" s="261"/>
      <c r="E13" s="140">
        <f>SUM(E9:E11)</f>
        <v>4000000</v>
      </c>
      <c r="F13" s="140"/>
      <c r="G13" s="140">
        <f>SUM(G9:G11)</f>
        <v>3851852</v>
      </c>
      <c r="H13" s="140"/>
      <c r="I13" s="140">
        <f>SUM(I9:I11)</f>
        <v>0</v>
      </c>
      <c r="J13" s="140"/>
      <c r="K13" s="140">
        <f t="shared" ref="K13:S13" si="10">SUM(K9:K11)</f>
        <v>3851852</v>
      </c>
      <c r="L13" s="140">
        <f t="shared" si="10"/>
        <v>780000</v>
      </c>
      <c r="M13" s="140">
        <f t="shared" si="10"/>
        <v>4631852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4631852</v>
      </c>
      <c r="R13" s="140">
        <f t="shared" si="10"/>
        <v>0</v>
      </c>
      <c r="S13" s="140">
        <f t="shared" si="10"/>
        <v>4631852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1800000</v>
      </c>
      <c r="F15" s="92">
        <f>VLOOKUP(B15,'CC -12'!$B$8:$AS$21,36,0)</f>
        <v>26</v>
      </c>
      <c r="G15" s="145">
        <f t="shared" ref="G15:G17" si="14">ROUND(E15/$U$2*F15,0)</f>
        <v>1733333</v>
      </c>
      <c r="H15" s="92">
        <f>(VLOOKUP(B15,'CC -12'!$B$8:$AS$21,37,0)+VLOOKUP(B15,'CC -12'!$B$8:$AS$21,38,0))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1733333</v>
      </c>
      <c r="L15" s="90">
        <f t="shared" ref="L15:L17" si="17">+F15*15000</f>
        <v>390000</v>
      </c>
      <c r="M15" s="40">
        <f t="shared" ref="M15:M17" si="18">K15+L15</f>
        <v>2123333</v>
      </c>
      <c r="N15" s="40">
        <f>IF(VLOOKUP(B15,DS,9,0)="x",'L - 12'!E15*$N$4,0)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2123333</v>
      </c>
      <c r="R15" s="39">
        <f t="shared" ref="R15:R17" si="21">VLOOKUP(B15,DS,23,0)</f>
        <v>0</v>
      </c>
      <c r="S15" s="45">
        <f>Q15-R15</f>
        <v>2123333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1800000</v>
      </c>
      <c r="F16" s="92">
        <f>VLOOKUP(B16,'CC -12'!$B$8:$AS$21,36,0)</f>
        <v>26</v>
      </c>
      <c r="G16" s="145">
        <f t="shared" si="14"/>
        <v>1733333</v>
      </c>
      <c r="H16" s="92">
        <f>(VLOOKUP(B16,'CC -12'!$B$8:$AS$21,37,0)+VLOOKUP(B16,'CC -12'!$B$8:$AS$21,38,0))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1733333</v>
      </c>
      <c r="L16" s="90">
        <f t="shared" si="17"/>
        <v>390000</v>
      </c>
      <c r="M16" s="40">
        <f t="shared" si="18"/>
        <v>2123333</v>
      </c>
      <c r="N16" s="40">
        <f>IF(VLOOKUP(B16,DS,9,0)="x",'L - 12'!E16*$N$4,0)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2123333</v>
      </c>
      <c r="R16" s="39">
        <f t="shared" si="21"/>
        <v>0</v>
      </c>
      <c r="S16" s="45">
        <f t="shared" ref="S16:S17" si="23">Q16-R16</f>
        <v>2123333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1500000</v>
      </c>
      <c r="F17" s="92">
        <f>VLOOKUP(B17,'CC -12'!$B$8:$AS$21,36,0)</f>
        <v>26</v>
      </c>
      <c r="G17" s="145">
        <f t="shared" si="14"/>
        <v>1444444</v>
      </c>
      <c r="H17" s="92">
        <f>(VLOOKUP(B17,'CC -12'!$B$8:$AS$21,37,0)+VLOOKUP(B17,'CC -12'!$B$8:$AS$21,38,0))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1444444</v>
      </c>
      <c r="L17" s="90">
        <f t="shared" si="17"/>
        <v>390000</v>
      </c>
      <c r="M17" s="40">
        <f t="shared" si="18"/>
        <v>1834444</v>
      </c>
      <c r="N17" s="40">
        <f>IF(VLOOKUP(B17,DS,9,0)="x",'L - 12'!E17*$N$4,0)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1834444</v>
      </c>
      <c r="R17" s="39">
        <f t="shared" si="21"/>
        <v>0</v>
      </c>
      <c r="S17" s="45">
        <f t="shared" si="23"/>
        <v>1834444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1" t="s">
        <v>25</v>
      </c>
      <c r="B19" s="261"/>
      <c r="C19" s="261"/>
      <c r="D19" s="261"/>
      <c r="E19" s="140">
        <f>SUM(E14:E18)</f>
        <v>5100000</v>
      </c>
      <c r="F19" s="140"/>
      <c r="G19" s="140">
        <f>SUM(G14:G18)</f>
        <v>4911110</v>
      </c>
      <c r="H19" s="140"/>
      <c r="I19" s="140">
        <f>SUM(I14:I18)</f>
        <v>0</v>
      </c>
      <c r="J19" s="140"/>
      <c r="K19" s="140">
        <f t="shared" ref="K19:S19" si="24">SUM(K14:K18)</f>
        <v>4911110</v>
      </c>
      <c r="L19" s="140">
        <f t="shared" si="24"/>
        <v>1170000</v>
      </c>
      <c r="M19" s="140">
        <f t="shared" si="24"/>
        <v>6081110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6081110</v>
      </c>
      <c r="R19" s="140">
        <f t="shared" si="24"/>
        <v>0</v>
      </c>
      <c r="S19" s="140">
        <f t="shared" si="24"/>
        <v>6081110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9:D19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2016-05-17T06:25:39Z</dcterms:modified>
</cp:coreProperties>
</file>