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0" yWindow="1815" windowWidth="14820" windowHeight="700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TH!$R$10:$R$1381</definedName>
    <definedName name="_C112">TH!$U$10:$U$1381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NXT!$A$11:$N$286</definedName>
    <definedName name="_xlnm._FilterDatabase" localSheetId="1" hidden="1">TH!$A$9:$AE$1266</definedName>
    <definedName name="_xlnm._FilterDatabase" localSheetId="17" hidden="1">TK!$A$1:$J$1</definedName>
    <definedName name="_M">TH!$B$10:$B$1381</definedName>
    <definedName name="_N111">TH!$Q$10:$Q$1381</definedName>
    <definedName name="_N112">TH!$T$10:$T$1381</definedName>
    <definedName name="_TM1">IF('IN-TC'!$S$4=1,1,IF('IN-TC'!$S$4=2,4,IF('IN-TC'!$S$4=3,7,10)))</definedName>
    <definedName name="_TM2">IF('IN-TC'!$S$4=1,3,IF('IN-TC'!$S$4=2,6,IF('IN-TC'!$S$4=3,9,12)))</definedName>
    <definedName name="DG">TH!$J$10:$J$1381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'131'!$B$6:$B$45</definedName>
    <definedName name="DSGT1">BTGT!$B$6:$B$125</definedName>
    <definedName name="DSGT2">BTGT!$B$134:$B$384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BTGT!$B$134:$K$384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TH!$H$10:$H$1381</definedName>
    <definedName name="KHC">TH!$M$10:$M$1381</definedName>
    <definedName name="KHN">TH!$L$10:$L$1381</definedName>
    <definedName name="Loai">OFFSET(TH!$N$5,,,COUNTA(TH!$N$5:$N$39691))</definedName>
    <definedName name="Loai1">OFFSET(TH!$P$5,,,COUNTA(TH!$P$5:$P$39691))</definedName>
    <definedName name="Loai10">OFFSET(TH!$O$5,,,COUNTA(TH!$O$5:$O$39443))</definedName>
    <definedName name="Loai2">OFFSET(TH!$S$5,,,COUNTA(TH!$S$5:$S$39691))</definedName>
    <definedName name="Loai3">OFFSET('SO-TS'!$P$14,,,COUNTA('SO-TS'!$P$14:$P$3890))</definedName>
    <definedName name="Loai4">OFFSET(TH!$V$5,,,COUNTA(TH!$V$5:$V$39691))</definedName>
    <definedName name="Loai5">OFFSET(TH!$W$5,,,COUNTA(TH!$W$5:$W$39691))</definedName>
    <definedName name="Loai6">OFFSET(TH!$AA$5,,,COUNTA(TH!$AA$5:$AA$39691))</definedName>
    <definedName name="Loai7">OFFSET(TH!$X$5,,,COUNTA(TH!$X$5:$X$39691))</definedName>
    <definedName name="Loai8">OFFSET(TH!$Y$5,,,COUNTA(TH!$Y$5:$Y$39691))</definedName>
    <definedName name="Loai9">OFFSET(TH!$Z$5,,,COUNTA(TH!$Z$5:$Z$39691))</definedName>
    <definedName name="MH">TH!$F$10:$F$1381</definedName>
    <definedName name="NXT">NXT!$A$12:$A$608</definedName>
    <definedName name="_xlnm.Print_Area" localSheetId="4">'111'!$A$1:$J$72</definedName>
    <definedName name="_xlnm.Print_Area" localSheetId="6">'112'!$A$1:$I$103</definedName>
    <definedName name="_xlnm.Print_Area" localSheetId="7">'131'!$A$1:$H$52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BTGT!$A$129:$K$385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NXT!$B$1:$L$291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TH!$I$10:$I$1381</definedName>
    <definedName name="TH">TH!$K$10:$K$1381</definedName>
    <definedName name="TM">TH!$A$10:$M$1381</definedName>
  </definedNames>
  <calcPr calcId="144525"/>
</workbook>
</file>

<file path=xl/calcChain.xml><?xml version="1.0" encoding="utf-8"?>
<calcChain xmlns="http://schemas.openxmlformats.org/spreadsheetml/2006/main">
  <c r="Z303" i="34" l="1"/>
  <c r="Y303" i="34"/>
  <c r="O303" i="34"/>
  <c r="N303" i="34"/>
  <c r="C303" i="34"/>
  <c r="B303" i="34" s="1"/>
  <c r="Z302" i="34"/>
  <c r="Y302" i="34"/>
  <c r="O302" i="34"/>
  <c r="N302" i="34"/>
  <c r="C302" i="34"/>
  <c r="B302" i="34" s="1"/>
  <c r="Z316" i="34"/>
  <c r="Y316" i="34"/>
  <c r="O316" i="34"/>
  <c r="N316" i="34"/>
  <c r="C316" i="34"/>
  <c r="B316" i="34" s="1"/>
  <c r="Z315" i="34"/>
  <c r="Y315" i="34"/>
  <c r="O315" i="34"/>
  <c r="N315" i="34"/>
  <c r="C315" i="34"/>
  <c r="B315" i="34" s="1"/>
  <c r="Z299" i="34"/>
  <c r="Y299" i="34"/>
  <c r="O299" i="34"/>
  <c r="N299" i="34"/>
  <c r="Z298" i="34"/>
  <c r="Y298" i="34"/>
  <c r="O298" i="34"/>
  <c r="N298" i="34"/>
  <c r="Z297" i="34"/>
  <c r="Y297" i="34"/>
  <c r="O297" i="34"/>
  <c r="N297" i="34"/>
  <c r="X302" i="34" l="1"/>
  <c r="T302" i="34"/>
  <c r="P302" i="34"/>
  <c r="A302" i="34"/>
  <c r="AA302" i="34"/>
  <c r="S302" i="34"/>
  <c r="V302" i="34"/>
  <c r="R302" i="34"/>
  <c r="U302" i="34"/>
  <c r="Q302" i="34"/>
  <c r="AA303" i="34"/>
  <c r="S303" i="34"/>
  <c r="A303" i="34"/>
  <c r="V303" i="34"/>
  <c r="R303" i="34"/>
  <c r="U303" i="34"/>
  <c r="Q303" i="34"/>
  <c r="X303" i="34"/>
  <c r="T303" i="34"/>
  <c r="P303" i="34"/>
  <c r="X315" i="34"/>
  <c r="S315" i="34"/>
  <c r="R315" i="34"/>
  <c r="AA315" i="34"/>
  <c r="V315" i="34"/>
  <c r="A315" i="34"/>
  <c r="AA316" i="34"/>
  <c r="S316" i="34"/>
  <c r="A316" i="34"/>
  <c r="V316" i="34"/>
  <c r="R316" i="34"/>
  <c r="U316" i="34"/>
  <c r="Q316" i="34"/>
  <c r="X316" i="34"/>
  <c r="T316" i="34"/>
  <c r="P316" i="34"/>
  <c r="Q315" i="34"/>
  <c r="U315" i="34"/>
  <c r="P315" i="34"/>
  <c r="T315" i="34"/>
  <c r="Z306" i="34" l="1"/>
  <c r="Y306" i="34"/>
  <c r="O306" i="34"/>
  <c r="N306" i="34"/>
  <c r="Z305" i="34"/>
  <c r="Y305" i="34"/>
  <c r="O305" i="34"/>
  <c r="N305" i="34"/>
  <c r="Z304" i="34"/>
  <c r="Y304" i="34"/>
  <c r="O304" i="34"/>
  <c r="N304" i="34"/>
  <c r="Z312" i="34"/>
  <c r="Y312" i="34"/>
  <c r="O312" i="34"/>
  <c r="N312" i="34"/>
  <c r="Z311" i="34"/>
  <c r="Y311" i="34"/>
  <c r="O311" i="34"/>
  <c r="N311" i="34"/>
  <c r="Z310" i="34"/>
  <c r="Y310" i="34"/>
  <c r="O310" i="34"/>
  <c r="N310" i="34"/>
  <c r="Z318" i="34"/>
  <c r="Y318" i="34"/>
  <c r="O318" i="34"/>
  <c r="N318" i="34"/>
  <c r="Z317" i="34"/>
  <c r="Y317" i="34"/>
  <c r="O317" i="34"/>
  <c r="N317" i="34"/>
  <c r="Z342" i="34" l="1"/>
  <c r="Y342" i="34"/>
  <c r="O342" i="34"/>
  <c r="N342" i="34"/>
  <c r="Z341" i="34"/>
  <c r="Y341" i="34"/>
  <c r="O341" i="34"/>
  <c r="N341" i="34"/>
  <c r="C310" i="34"/>
  <c r="B310" i="34" s="1"/>
  <c r="C318" i="34"/>
  <c r="B318" i="34" s="1"/>
  <c r="C317" i="34"/>
  <c r="B317" i="34" s="1"/>
  <c r="Z314" i="34"/>
  <c r="Y314" i="34"/>
  <c r="O314" i="34"/>
  <c r="N314" i="34"/>
  <c r="C314" i="34"/>
  <c r="B314" i="34" s="1"/>
  <c r="Z320" i="34"/>
  <c r="Y320" i="34"/>
  <c r="O320" i="34"/>
  <c r="N320" i="34"/>
  <c r="C320" i="34"/>
  <c r="B320" i="34" s="1"/>
  <c r="Z332" i="34"/>
  <c r="Y332" i="34"/>
  <c r="O332" i="34"/>
  <c r="N332" i="34"/>
  <c r="C332" i="34"/>
  <c r="B332" i="34" s="1"/>
  <c r="X332" i="34" s="1"/>
  <c r="Z337" i="34"/>
  <c r="Y337" i="34"/>
  <c r="O337" i="34"/>
  <c r="N337" i="34"/>
  <c r="C337" i="34"/>
  <c r="B337" i="34" s="1"/>
  <c r="U337" i="34" s="1"/>
  <c r="C342" i="34"/>
  <c r="B342" i="34" s="1"/>
  <c r="X342" i="34" s="1"/>
  <c r="C341" i="34"/>
  <c r="B341" i="34" s="1"/>
  <c r="T341" i="34" s="1"/>
  <c r="C299" i="34"/>
  <c r="B299" i="34" s="1"/>
  <c r="C298" i="34"/>
  <c r="B298" i="34" s="1"/>
  <c r="C297" i="34"/>
  <c r="B297" i="34" s="1"/>
  <c r="C306" i="34"/>
  <c r="B306" i="34" s="1"/>
  <c r="C305" i="34"/>
  <c r="B305" i="34" s="1"/>
  <c r="C304" i="34"/>
  <c r="B304" i="34" s="1"/>
  <c r="C312" i="34"/>
  <c r="B312" i="34" s="1"/>
  <c r="C311" i="34"/>
  <c r="B311" i="34" s="1"/>
  <c r="Z340" i="34"/>
  <c r="Y340" i="34"/>
  <c r="O340" i="34"/>
  <c r="N340" i="34"/>
  <c r="C340" i="34"/>
  <c r="B340" i="34" s="1"/>
  <c r="Z295" i="34"/>
  <c r="Y295" i="34"/>
  <c r="O295" i="34"/>
  <c r="N295" i="34"/>
  <c r="C295" i="34"/>
  <c r="B295" i="34" s="1"/>
  <c r="U295" i="34" s="1"/>
  <c r="Z296" i="34"/>
  <c r="Y296" i="34"/>
  <c r="O296" i="34"/>
  <c r="N296" i="34"/>
  <c r="C296" i="34"/>
  <c r="B296" i="34" s="1"/>
  <c r="Z301" i="34"/>
  <c r="Y301" i="34"/>
  <c r="O301" i="34"/>
  <c r="N301" i="34"/>
  <c r="C301" i="34"/>
  <c r="B301" i="34" s="1"/>
  <c r="Z300" i="34"/>
  <c r="Y300" i="34"/>
  <c r="O300" i="34"/>
  <c r="N300" i="34"/>
  <c r="C300" i="34"/>
  <c r="B300" i="34" s="1"/>
  <c r="Z329" i="34"/>
  <c r="Y329" i="34"/>
  <c r="O329" i="34"/>
  <c r="N329" i="34"/>
  <c r="C329" i="34"/>
  <c r="B329" i="34" s="1"/>
  <c r="Z333" i="34"/>
  <c r="Y333" i="34"/>
  <c r="O333" i="34"/>
  <c r="N333" i="34"/>
  <c r="C333" i="34"/>
  <c r="B333" i="34" s="1"/>
  <c r="X333" i="34" s="1"/>
  <c r="Z336" i="34"/>
  <c r="Y336" i="34"/>
  <c r="O336" i="34"/>
  <c r="N336" i="34"/>
  <c r="C336" i="34"/>
  <c r="B336" i="34" s="1"/>
  <c r="U336" i="34" s="1"/>
  <c r="Z309" i="34"/>
  <c r="Y309" i="34"/>
  <c r="O309" i="34"/>
  <c r="N309" i="34"/>
  <c r="C309" i="34"/>
  <c r="B309" i="34" s="1"/>
  <c r="Z313" i="34"/>
  <c r="Y313" i="34"/>
  <c r="O313" i="34"/>
  <c r="N313" i="34"/>
  <c r="C313" i="34"/>
  <c r="B313" i="34" s="1"/>
  <c r="Z319" i="34"/>
  <c r="Y319" i="34"/>
  <c r="O319" i="34"/>
  <c r="N319" i="34"/>
  <c r="C319" i="34"/>
  <c r="B319" i="34" s="1"/>
  <c r="X319" i="34" s="1"/>
  <c r="T342" i="34" l="1"/>
  <c r="P342" i="34"/>
  <c r="X310" i="34"/>
  <c r="S310" i="34"/>
  <c r="AA310" i="34"/>
  <c r="V310" i="34"/>
  <c r="R310" i="34"/>
  <c r="U310" i="34"/>
  <c r="Q310" i="34"/>
  <c r="T310" i="34"/>
  <c r="P310" i="34"/>
  <c r="Q341" i="34"/>
  <c r="U341" i="34"/>
  <c r="R341" i="34"/>
  <c r="V341" i="34"/>
  <c r="AA341" i="34"/>
  <c r="Q342" i="34"/>
  <c r="U342" i="34"/>
  <c r="S341" i="34"/>
  <c r="X341" i="34"/>
  <c r="R342" i="34"/>
  <c r="V342" i="34"/>
  <c r="AA342" i="34"/>
  <c r="P341" i="34"/>
  <c r="S342" i="34"/>
  <c r="X317" i="34"/>
  <c r="S317" i="34"/>
  <c r="V317" i="34"/>
  <c r="U317" i="34"/>
  <c r="Q317" i="34"/>
  <c r="T317" i="34"/>
  <c r="P317" i="34"/>
  <c r="AA317" i="34"/>
  <c r="R317" i="34"/>
  <c r="AA318" i="34"/>
  <c r="V318" i="34"/>
  <c r="R318" i="34"/>
  <c r="U318" i="34"/>
  <c r="Q318" i="34"/>
  <c r="T318" i="34"/>
  <c r="P318" i="34"/>
  <c r="X318" i="34"/>
  <c r="S318" i="34"/>
  <c r="AA298" i="34"/>
  <c r="S298" i="34"/>
  <c r="V298" i="34"/>
  <c r="Q298" i="34"/>
  <c r="X298" i="34"/>
  <c r="T298" i="34"/>
  <c r="P298" i="34"/>
  <c r="R298" i="34"/>
  <c r="U298" i="34"/>
  <c r="U297" i="34"/>
  <c r="P297" i="34"/>
  <c r="AA297" i="34"/>
  <c r="X297" i="34"/>
  <c r="T297" i="34"/>
  <c r="S297" i="34"/>
  <c r="V297" i="34"/>
  <c r="R297" i="34"/>
  <c r="Q297" i="34"/>
  <c r="U299" i="34"/>
  <c r="Q299" i="34"/>
  <c r="T299" i="34"/>
  <c r="AA299" i="34"/>
  <c r="S299" i="34"/>
  <c r="V299" i="34"/>
  <c r="R299" i="34"/>
  <c r="X299" i="34"/>
  <c r="P299" i="34"/>
  <c r="U304" i="34"/>
  <c r="Q304" i="34"/>
  <c r="X304" i="34"/>
  <c r="T304" i="34"/>
  <c r="P304" i="34"/>
  <c r="AA304" i="34"/>
  <c r="S304" i="34"/>
  <c r="V304" i="34"/>
  <c r="R304" i="34"/>
  <c r="AA305" i="34"/>
  <c r="S305" i="34"/>
  <c r="V305" i="34"/>
  <c r="R305" i="34"/>
  <c r="U305" i="34"/>
  <c r="Q305" i="34"/>
  <c r="X305" i="34"/>
  <c r="T305" i="34"/>
  <c r="P305" i="34"/>
  <c r="U306" i="34"/>
  <c r="Q306" i="34"/>
  <c r="X306" i="34"/>
  <c r="T306" i="34"/>
  <c r="P306" i="34"/>
  <c r="AA306" i="34"/>
  <c r="S306" i="34"/>
  <c r="V306" i="34"/>
  <c r="R306" i="34"/>
  <c r="AA312" i="34"/>
  <c r="S312" i="34"/>
  <c r="Q312" i="34"/>
  <c r="V312" i="34"/>
  <c r="R312" i="34"/>
  <c r="U312" i="34"/>
  <c r="X312" i="34"/>
  <c r="T312" i="34"/>
  <c r="P312" i="34"/>
  <c r="Q311" i="34"/>
  <c r="X311" i="34"/>
  <c r="T311" i="34"/>
  <c r="V311" i="34"/>
  <c r="R311" i="34"/>
  <c r="U311" i="34"/>
  <c r="P311" i="34"/>
  <c r="AA311" i="34"/>
  <c r="S311" i="34"/>
  <c r="A318" i="34"/>
  <c r="S332" i="34"/>
  <c r="V332" i="34"/>
  <c r="A332" i="34"/>
  <c r="R332" i="34"/>
  <c r="AA332" i="34"/>
  <c r="A341" i="34"/>
  <c r="V314" i="34"/>
  <c r="R314" i="34"/>
  <c r="U314" i="34"/>
  <c r="Q314" i="34"/>
  <c r="X314" i="34"/>
  <c r="T314" i="34"/>
  <c r="P314" i="34"/>
  <c r="AA314" i="34"/>
  <c r="S314" i="34"/>
  <c r="A314" i="34"/>
  <c r="A342" i="34"/>
  <c r="A305" i="34"/>
  <c r="A299" i="34"/>
  <c r="A310" i="34"/>
  <c r="AA320" i="34"/>
  <c r="S320" i="34"/>
  <c r="A320" i="34"/>
  <c r="V320" i="34"/>
  <c r="R320" i="34"/>
  <c r="U320" i="34"/>
  <c r="Q320" i="34"/>
  <c r="X320" i="34"/>
  <c r="T320" i="34"/>
  <c r="P320" i="34"/>
  <c r="R337" i="34"/>
  <c r="V337" i="34"/>
  <c r="Q332" i="34"/>
  <c r="U332" i="34"/>
  <c r="A337" i="34"/>
  <c r="S337" i="34"/>
  <c r="AA337" i="34"/>
  <c r="A317" i="34"/>
  <c r="P337" i="34"/>
  <c r="T337" i="34"/>
  <c r="X337" i="34"/>
  <c r="Q337" i="34"/>
  <c r="P332" i="34"/>
  <c r="T332" i="34"/>
  <c r="A311" i="34"/>
  <c r="A312" i="34"/>
  <c r="A306" i="34"/>
  <c r="A297" i="34"/>
  <c r="A304" i="34"/>
  <c r="A298" i="34"/>
  <c r="AA340" i="34"/>
  <c r="S340" i="34"/>
  <c r="A340" i="34"/>
  <c r="V340" i="34"/>
  <c r="R340" i="34"/>
  <c r="U340" i="34"/>
  <c r="Q340" i="34"/>
  <c r="X340" i="34"/>
  <c r="T340" i="34"/>
  <c r="P340" i="34"/>
  <c r="X300" i="34"/>
  <c r="AA300" i="34"/>
  <c r="S300" i="34"/>
  <c r="R300" i="34"/>
  <c r="A300" i="34"/>
  <c r="V300" i="34"/>
  <c r="V296" i="34"/>
  <c r="R296" i="34"/>
  <c r="U296" i="34"/>
  <c r="Q296" i="34"/>
  <c r="X296" i="34"/>
  <c r="T296" i="34"/>
  <c r="P296" i="34"/>
  <c r="AA296" i="34"/>
  <c r="S296" i="34"/>
  <c r="A296" i="34"/>
  <c r="AA301" i="34"/>
  <c r="S301" i="34"/>
  <c r="A301" i="34"/>
  <c r="V301" i="34"/>
  <c r="R301" i="34"/>
  <c r="U301" i="34"/>
  <c r="Q301" i="34"/>
  <c r="X301" i="34"/>
  <c r="T301" i="34"/>
  <c r="P301" i="34"/>
  <c r="Q300" i="34"/>
  <c r="U300" i="34"/>
  <c r="R295" i="34"/>
  <c r="V295" i="34"/>
  <c r="A295" i="34"/>
  <c r="S295" i="34"/>
  <c r="AA295" i="34"/>
  <c r="P295" i="34"/>
  <c r="T295" i="34"/>
  <c r="X295" i="34"/>
  <c r="P300" i="34"/>
  <c r="T300" i="34"/>
  <c r="Q295" i="34"/>
  <c r="S319" i="34"/>
  <c r="AA319" i="34"/>
  <c r="V319" i="34"/>
  <c r="A319" i="34"/>
  <c r="R319" i="34"/>
  <c r="S333" i="34"/>
  <c r="AA333" i="34"/>
  <c r="V333" i="34"/>
  <c r="A333" i="34"/>
  <c r="R333" i="34"/>
  <c r="AA329" i="34"/>
  <c r="S329" i="34"/>
  <c r="A329" i="34"/>
  <c r="V329" i="34"/>
  <c r="R329" i="34"/>
  <c r="U329" i="34"/>
  <c r="Q329" i="34"/>
  <c r="X329" i="34"/>
  <c r="T329" i="34"/>
  <c r="P329" i="34"/>
  <c r="R336" i="34"/>
  <c r="V336" i="34"/>
  <c r="Q333" i="34"/>
  <c r="U333" i="34"/>
  <c r="A336" i="34"/>
  <c r="S336" i="34"/>
  <c r="AA336" i="34"/>
  <c r="P336" i="34"/>
  <c r="T336" i="34"/>
  <c r="X336" i="34"/>
  <c r="Q336" i="34"/>
  <c r="P333" i="34"/>
  <c r="T333" i="34"/>
  <c r="AA313" i="34"/>
  <c r="S313" i="34"/>
  <c r="A313" i="34"/>
  <c r="V313" i="34"/>
  <c r="U313" i="34"/>
  <c r="Q313" i="34"/>
  <c r="X313" i="34"/>
  <c r="T313" i="34"/>
  <c r="P313" i="34"/>
  <c r="R313" i="34"/>
  <c r="V309" i="34"/>
  <c r="R309" i="34"/>
  <c r="U309" i="34"/>
  <c r="Q309" i="34"/>
  <c r="X309" i="34"/>
  <c r="T309" i="34"/>
  <c r="P309" i="34"/>
  <c r="AA309" i="34"/>
  <c r="S309" i="34"/>
  <c r="A309" i="34"/>
  <c r="Q319" i="34"/>
  <c r="U319" i="34"/>
  <c r="P319" i="34"/>
  <c r="T319" i="34"/>
  <c r="K135" i="60"/>
  <c r="K136" i="60"/>
  <c r="K137" i="60"/>
  <c r="K138" i="60"/>
  <c r="K139" i="60"/>
  <c r="K140" i="60"/>
  <c r="K141" i="60"/>
  <c r="K142" i="60"/>
  <c r="K143" i="60"/>
  <c r="K144" i="60"/>
  <c r="K145" i="60"/>
  <c r="K146" i="60"/>
  <c r="K147" i="60"/>
  <c r="K148" i="60"/>
  <c r="K149" i="60"/>
  <c r="K150" i="60"/>
  <c r="K151" i="60"/>
  <c r="K152" i="60"/>
  <c r="K153" i="60"/>
  <c r="K154" i="60"/>
  <c r="K155" i="60"/>
  <c r="K156" i="60"/>
  <c r="K157" i="60"/>
  <c r="K158" i="60"/>
  <c r="K159" i="60"/>
  <c r="K160" i="60"/>
  <c r="K161" i="60"/>
  <c r="K162" i="60"/>
  <c r="K163" i="60"/>
  <c r="K164" i="60"/>
  <c r="K165" i="60"/>
  <c r="K166" i="60"/>
  <c r="K167" i="60"/>
  <c r="K168" i="60"/>
  <c r="K169" i="60"/>
  <c r="K170" i="60"/>
  <c r="K171" i="60"/>
  <c r="K172" i="60"/>
  <c r="K173" i="60"/>
  <c r="K174" i="60"/>
  <c r="K175" i="60"/>
  <c r="K176" i="60"/>
  <c r="K177" i="60"/>
  <c r="K178" i="60"/>
  <c r="K179" i="60"/>
  <c r="K180" i="60"/>
  <c r="K181" i="60"/>
  <c r="K182" i="60"/>
  <c r="K183" i="60"/>
  <c r="K184" i="60"/>
  <c r="K185" i="60"/>
  <c r="K186" i="60"/>
  <c r="K187" i="60"/>
  <c r="K188" i="60"/>
  <c r="K189" i="60"/>
  <c r="K190" i="60"/>
  <c r="K191" i="60"/>
  <c r="K192" i="60"/>
  <c r="K193" i="60"/>
  <c r="K194" i="60"/>
  <c r="K195" i="60"/>
  <c r="K196" i="60"/>
  <c r="K197" i="60"/>
  <c r="K198" i="60"/>
  <c r="K199" i="60"/>
  <c r="K200" i="60"/>
  <c r="K201" i="60"/>
  <c r="K202" i="60"/>
  <c r="K203" i="60"/>
  <c r="K204" i="60"/>
  <c r="K205" i="60"/>
  <c r="K206" i="60"/>
  <c r="K207" i="60"/>
  <c r="K208" i="60"/>
  <c r="K209" i="60"/>
  <c r="K210" i="60"/>
  <c r="K211" i="60"/>
  <c r="K212" i="60"/>
  <c r="K213" i="60"/>
  <c r="K214" i="60"/>
  <c r="K215" i="60"/>
  <c r="K216" i="60"/>
  <c r="K217" i="60"/>
  <c r="K218" i="60"/>
  <c r="K219" i="60"/>
  <c r="K220" i="60"/>
  <c r="K221" i="60"/>
  <c r="K222" i="60"/>
  <c r="K223" i="60"/>
  <c r="K224" i="60"/>
  <c r="K225" i="60"/>
  <c r="K226" i="60"/>
  <c r="K227" i="60"/>
  <c r="K228" i="60"/>
  <c r="K229" i="60"/>
  <c r="K230" i="60"/>
  <c r="K231" i="60"/>
  <c r="K232" i="60"/>
  <c r="K233" i="60"/>
  <c r="K234" i="60"/>
  <c r="K235" i="60"/>
  <c r="K236" i="60"/>
  <c r="K237" i="60"/>
  <c r="K238" i="60"/>
  <c r="K239" i="60"/>
  <c r="K240" i="60"/>
  <c r="K241" i="60"/>
  <c r="K242" i="60"/>
  <c r="K243" i="60"/>
  <c r="K244" i="60"/>
  <c r="K245" i="60"/>
  <c r="K246" i="60"/>
  <c r="K247" i="60"/>
  <c r="K248" i="60"/>
  <c r="K249" i="60"/>
  <c r="K250" i="60"/>
  <c r="K251" i="60"/>
  <c r="K252" i="60"/>
  <c r="K253" i="60"/>
  <c r="K254" i="60"/>
  <c r="K255" i="60"/>
  <c r="K256" i="60"/>
  <c r="K257" i="60"/>
  <c r="K258" i="60"/>
  <c r="K259" i="60"/>
  <c r="K260" i="60"/>
  <c r="K261" i="60"/>
  <c r="K262" i="60"/>
  <c r="K263" i="60"/>
  <c r="K264" i="60"/>
  <c r="K265" i="60"/>
  <c r="K266" i="60"/>
  <c r="K267" i="60"/>
  <c r="K268" i="60"/>
  <c r="K269" i="60"/>
  <c r="K270" i="60"/>
  <c r="K271" i="60"/>
  <c r="K272" i="60"/>
  <c r="K273" i="60"/>
  <c r="K274" i="60"/>
  <c r="K275" i="60"/>
  <c r="K276" i="60"/>
  <c r="K277" i="60"/>
  <c r="K278" i="60"/>
  <c r="K279" i="60"/>
  <c r="K280" i="60"/>
  <c r="K281" i="60"/>
  <c r="K282" i="60"/>
  <c r="K283" i="60"/>
  <c r="K284" i="60"/>
  <c r="K285" i="60"/>
  <c r="K286" i="60"/>
  <c r="K287" i="60"/>
  <c r="K288" i="60"/>
  <c r="K289" i="60"/>
  <c r="K290" i="60"/>
  <c r="K291" i="60"/>
  <c r="K292" i="60"/>
  <c r="K293" i="60"/>
  <c r="K294" i="60"/>
  <c r="K295" i="60"/>
  <c r="K296" i="60"/>
  <c r="K297" i="60"/>
  <c r="K298" i="60"/>
  <c r="K299" i="60"/>
  <c r="K300" i="60"/>
  <c r="K301" i="60"/>
  <c r="K302" i="60"/>
  <c r="K303" i="60"/>
  <c r="K304" i="60"/>
  <c r="K305" i="60"/>
  <c r="K306" i="60"/>
  <c r="K307" i="60"/>
  <c r="K308" i="60"/>
  <c r="K309" i="60"/>
  <c r="K310" i="60"/>
  <c r="K311" i="60"/>
  <c r="K312" i="60"/>
  <c r="K313" i="60"/>
  <c r="K314" i="60"/>
  <c r="K315" i="60"/>
  <c r="K316" i="60"/>
  <c r="K317" i="60"/>
  <c r="K318" i="60"/>
  <c r="K319" i="60"/>
  <c r="K320" i="60"/>
  <c r="K321" i="60"/>
  <c r="K322" i="60"/>
  <c r="K323" i="60"/>
  <c r="K324" i="60"/>
  <c r="K325" i="60"/>
  <c r="K326" i="60"/>
  <c r="K327" i="60"/>
  <c r="K328" i="60"/>
  <c r="K329" i="60"/>
  <c r="K330" i="60"/>
  <c r="K331" i="60"/>
  <c r="K332" i="60"/>
  <c r="K333" i="60"/>
  <c r="K334" i="60"/>
  <c r="K335" i="60"/>
  <c r="K336" i="60"/>
  <c r="K337" i="60"/>
  <c r="K338" i="60"/>
  <c r="K339" i="60"/>
  <c r="K340" i="60"/>
  <c r="K341" i="60"/>
  <c r="K342" i="60"/>
  <c r="K343" i="60"/>
  <c r="K344" i="60"/>
  <c r="K345" i="60"/>
  <c r="K346" i="60"/>
  <c r="K347" i="60"/>
  <c r="K348" i="60"/>
  <c r="K349" i="60"/>
  <c r="K350" i="60"/>
  <c r="K351" i="60"/>
  <c r="K352" i="60"/>
  <c r="K353" i="60"/>
  <c r="K354" i="60"/>
  <c r="K355" i="60"/>
  <c r="K356" i="60"/>
  <c r="K357" i="60"/>
  <c r="K358" i="60"/>
  <c r="K359" i="60"/>
  <c r="K360" i="60"/>
  <c r="K361" i="60"/>
  <c r="K362" i="60"/>
  <c r="K363" i="60"/>
  <c r="K364" i="60"/>
  <c r="K365" i="60"/>
  <c r="K366" i="60"/>
  <c r="K367" i="60"/>
  <c r="K368" i="60"/>
  <c r="K369" i="60"/>
  <c r="K370" i="60"/>
  <c r="K371" i="60"/>
  <c r="K372" i="60"/>
  <c r="K373" i="60"/>
  <c r="K374" i="60"/>
  <c r="K375" i="60"/>
  <c r="K376" i="60"/>
  <c r="K377" i="60"/>
  <c r="K378" i="60"/>
  <c r="K379" i="60"/>
  <c r="K380" i="60"/>
  <c r="K381" i="60"/>
  <c r="K382" i="60"/>
  <c r="K383" i="60"/>
  <c r="K134" i="60"/>
  <c r="A135" i="60" l="1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63" i="60"/>
  <c r="A264" i="60"/>
  <c r="A265" i="60"/>
  <c r="A266" i="60"/>
  <c r="A267" i="60"/>
  <c r="A268" i="60"/>
  <c r="A269" i="60"/>
  <c r="A270" i="60"/>
  <c r="A271" i="60"/>
  <c r="A272" i="60"/>
  <c r="A273" i="60"/>
  <c r="A274" i="60"/>
  <c r="A275" i="60"/>
  <c r="A276" i="60"/>
  <c r="A277" i="60"/>
  <c r="A278" i="60"/>
  <c r="A279" i="60"/>
  <c r="A28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134" i="60"/>
  <c r="H340" i="60"/>
  <c r="J340" i="60" s="1"/>
  <c r="H339" i="60"/>
  <c r="J339" i="60" s="1"/>
  <c r="H338" i="60"/>
  <c r="J338" i="60" s="1"/>
  <c r="H337" i="60"/>
  <c r="J337" i="60" s="1"/>
  <c r="H336" i="60"/>
  <c r="J336" i="60" s="1"/>
  <c r="J335" i="60"/>
  <c r="H335" i="60"/>
  <c r="H334" i="60"/>
  <c r="J334" i="60" s="1"/>
  <c r="H333" i="60"/>
  <c r="J333" i="60" s="1"/>
  <c r="H332" i="60"/>
  <c r="J332" i="60" s="1"/>
  <c r="H331" i="60"/>
  <c r="J331" i="60" s="1"/>
  <c r="H330" i="60"/>
  <c r="J330" i="60" s="1"/>
  <c r="H329" i="60"/>
  <c r="J329" i="60" s="1"/>
  <c r="H328" i="60"/>
  <c r="J328" i="60" s="1"/>
  <c r="J327" i="60"/>
  <c r="H327" i="60"/>
  <c r="H326" i="60"/>
  <c r="J326" i="60" s="1"/>
  <c r="H325" i="60"/>
  <c r="J325" i="60" s="1"/>
  <c r="H324" i="60"/>
  <c r="J324" i="60" s="1"/>
  <c r="H323" i="60"/>
  <c r="J323" i="60" s="1"/>
  <c r="H322" i="60"/>
  <c r="J322" i="60" s="1"/>
  <c r="J321" i="60"/>
  <c r="H321" i="60"/>
  <c r="H320" i="60"/>
  <c r="J320" i="60" s="1"/>
  <c r="H319" i="60"/>
  <c r="J319" i="60" s="1"/>
  <c r="H318" i="60"/>
  <c r="J318" i="60" s="1"/>
  <c r="H317" i="60"/>
  <c r="J317" i="60" s="1"/>
  <c r="H316" i="60"/>
  <c r="J316" i="60" s="1"/>
  <c r="H365" i="60"/>
  <c r="H364" i="60"/>
  <c r="H363" i="60"/>
  <c r="H362" i="60"/>
  <c r="H361" i="60"/>
  <c r="H360" i="60"/>
  <c r="H359" i="60"/>
  <c r="H358" i="60"/>
  <c r="H357" i="60"/>
  <c r="H356" i="60"/>
  <c r="H355" i="60"/>
  <c r="H354" i="60"/>
  <c r="H353" i="60"/>
  <c r="H352" i="60"/>
  <c r="H351" i="60"/>
  <c r="H350" i="60"/>
  <c r="H349" i="60"/>
  <c r="H348" i="60"/>
  <c r="H347" i="60"/>
  <c r="H346" i="60"/>
  <c r="H345" i="60"/>
  <c r="H344" i="60"/>
  <c r="H343" i="60"/>
  <c r="H342" i="60"/>
  <c r="H341" i="60"/>
  <c r="H135" i="60"/>
  <c r="J135" i="60" s="1"/>
  <c r="H136" i="60"/>
  <c r="J136" i="60" s="1"/>
  <c r="H137" i="60"/>
  <c r="H138" i="60"/>
  <c r="J138" i="60" s="1"/>
  <c r="H139" i="60"/>
  <c r="H140" i="60"/>
  <c r="J140" i="60" s="1"/>
  <c r="H141" i="60"/>
  <c r="H142" i="60"/>
  <c r="J142" i="60" s="1"/>
  <c r="H143" i="60"/>
  <c r="H144" i="60"/>
  <c r="J144" i="60" s="1"/>
  <c r="H145" i="60"/>
  <c r="H146" i="60"/>
  <c r="J146" i="60" s="1"/>
  <c r="H147" i="60"/>
  <c r="H148" i="60"/>
  <c r="J148" i="60" s="1"/>
  <c r="H149" i="60"/>
  <c r="H150" i="60"/>
  <c r="J150" i="60" s="1"/>
  <c r="H151" i="60"/>
  <c r="H152" i="60"/>
  <c r="J152" i="60" s="1"/>
  <c r="H153" i="60"/>
  <c r="H154" i="60"/>
  <c r="J154" i="60" s="1"/>
  <c r="H155" i="60"/>
  <c r="H156" i="60"/>
  <c r="J156" i="60" s="1"/>
  <c r="H157" i="60"/>
  <c r="H158" i="60"/>
  <c r="J158" i="60" s="1"/>
  <c r="H159" i="60"/>
  <c r="H160" i="60"/>
  <c r="J160" i="60" s="1"/>
  <c r="H161" i="60"/>
  <c r="H162" i="60"/>
  <c r="J162" i="60" s="1"/>
  <c r="H163" i="60"/>
  <c r="H164" i="60"/>
  <c r="J164" i="60" s="1"/>
  <c r="H165" i="60"/>
  <c r="H166" i="60"/>
  <c r="J166" i="60" s="1"/>
  <c r="H167" i="60"/>
  <c r="H168" i="60"/>
  <c r="J168" i="60" s="1"/>
  <c r="H169" i="60"/>
  <c r="H170" i="60"/>
  <c r="J170" i="60" s="1"/>
  <c r="H171" i="60"/>
  <c r="H172" i="60"/>
  <c r="J172" i="60" s="1"/>
  <c r="H173" i="60"/>
  <c r="H174" i="60"/>
  <c r="J174" i="60" s="1"/>
  <c r="H175" i="60"/>
  <c r="J175" i="60" s="1"/>
  <c r="H176" i="60"/>
  <c r="H177" i="60"/>
  <c r="H178" i="60"/>
  <c r="J178" i="60" s="1"/>
  <c r="H179" i="60"/>
  <c r="J179" i="60" s="1"/>
  <c r="H180" i="60"/>
  <c r="J180" i="60" s="1"/>
  <c r="H181" i="60"/>
  <c r="H182" i="60"/>
  <c r="J182" i="60" s="1"/>
  <c r="H183" i="60"/>
  <c r="J183" i="60" s="1"/>
  <c r="H184" i="60"/>
  <c r="J184" i="60" s="1"/>
  <c r="H185" i="60"/>
  <c r="H186" i="60"/>
  <c r="J186" i="60"/>
  <c r="H187" i="60"/>
  <c r="H188" i="60"/>
  <c r="J188" i="60" s="1"/>
  <c r="H189" i="60"/>
  <c r="H190" i="60"/>
  <c r="J190" i="60" s="1"/>
  <c r="H191" i="60"/>
  <c r="J191" i="60" s="1"/>
  <c r="H192" i="60"/>
  <c r="H193" i="60"/>
  <c r="H194" i="60"/>
  <c r="J194" i="60" s="1"/>
  <c r="H195" i="60"/>
  <c r="J195" i="60" s="1"/>
  <c r="H196" i="60"/>
  <c r="J196" i="60" s="1"/>
  <c r="H197" i="60"/>
  <c r="H198" i="60"/>
  <c r="J198" i="60" s="1"/>
  <c r="H199" i="60"/>
  <c r="J199" i="60" s="1"/>
  <c r="H200" i="60"/>
  <c r="J200" i="60" s="1"/>
  <c r="H201" i="60"/>
  <c r="H202" i="60"/>
  <c r="J202" i="60" s="1"/>
  <c r="H203" i="60"/>
  <c r="H204" i="60"/>
  <c r="J204" i="60" s="1"/>
  <c r="H205" i="60"/>
  <c r="H206" i="60"/>
  <c r="J206" i="60" s="1"/>
  <c r="H207" i="60"/>
  <c r="J207" i="60" s="1"/>
  <c r="H208" i="60"/>
  <c r="H209" i="60"/>
  <c r="H210" i="60"/>
  <c r="J210" i="60" s="1"/>
  <c r="H211" i="60"/>
  <c r="J211" i="60" s="1"/>
  <c r="H212" i="60"/>
  <c r="J212" i="60" s="1"/>
  <c r="H213" i="60"/>
  <c r="H214" i="60"/>
  <c r="J214" i="60" s="1"/>
  <c r="H215" i="60"/>
  <c r="J215" i="60" s="1"/>
  <c r="H216" i="60"/>
  <c r="J216" i="60" s="1"/>
  <c r="H217" i="60"/>
  <c r="H218" i="60"/>
  <c r="J218" i="60" s="1"/>
  <c r="H219" i="60"/>
  <c r="H220" i="60"/>
  <c r="J220" i="60" s="1"/>
  <c r="H221" i="60"/>
  <c r="H222" i="60"/>
  <c r="J222" i="60" s="1"/>
  <c r="H223" i="60"/>
  <c r="J223" i="60" s="1"/>
  <c r="H224" i="60"/>
  <c r="H225" i="60"/>
  <c r="H226" i="60"/>
  <c r="J226" i="60" s="1"/>
  <c r="H227" i="60"/>
  <c r="J227" i="60" s="1"/>
  <c r="H228" i="60"/>
  <c r="J228" i="60" s="1"/>
  <c r="H229" i="60"/>
  <c r="H230" i="60"/>
  <c r="J230" i="60" s="1"/>
  <c r="H231" i="60"/>
  <c r="J231" i="60" s="1"/>
  <c r="H232" i="60"/>
  <c r="J232" i="60" s="1"/>
  <c r="H233" i="60"/>
  <c r="H234" i="60"/>
  <c r="J234" i="60" s="1"/>
  <c r="H235" i="60"/>
  <c r="H236" i="60"/>
  <c r="J236" i="60" s="1"/>
  <c r="H237" i="60"/>
  <c r="H238" i="60"/>
  <c r="J238" i="60" s="1"/>
  <c r="H239" i="60"/>
  <c r="J239" i="60" s="1"/>
  <c r="H240" i="60"/>
  <c r="H241" i="60"/>
  <c r="H242" i="60"/>
  <c r="H243" i="60"/>
  <c r="J243" i="60" s="1"/>
  <c r="H244" i="60"/>
  <c r="H245" i="60"/>
  <c r="H246" i="60"/>
  <c r="J246" i="60" s="1"/>
  <c r="H247" i="60"/>
  <c r="J247" i="60" s="1"/>
  <c r="H248" i="60"/>
  <c r="J248" i="60" s="1"/>
  <c r="H249" i="60"/>
  <c r="H250" i="60"/>
  <c r="H251" i="60"/>
  <c r="J251" i="60" s="1"/>
  <c r="H252" i="60"/>
  <c r="J252" i="60" s="1"/>
  <c r="H253" i="60"/>
  <c r="H254" i="60"/>
  <c r="H255" i="60"/>
  <c r="J255" i="60" s="1"/>
  <c r="H256" i="60"/>
  <c r="J256" i="60" s="1"/>
  <c r="H257" i="60"/>
  <c r="H258" i="60"/>
  <c r="H259" i="60"/>
  <c r="J259" i="60" s="1"/>
  <c r="H260" i="60"/>
  <c r="J260" i="60" s="1"/>
  <c r="H261" i="60"/>
  <c r="H262" i="60"/>
  <c r="J262" i="60" s="1"/>
  <c r="H263" i="60"/>
  <c r="H264" i="60"/>
  <c r="J264" i="60" s="1"/>
  <c r="H265" i="60"/>
  <c r="H266" i="60"/>
  <c r="J266" i="60" s="1"/>
  <c r="H267" i="60"/>
  <c r="J267" i="60" s="1"/>
  <c r="H268" i="60"/>
  <c r="H269" i="60"/>
  <c r="H270" i="60"/>
  <c r="H271" i="60"/>
  <c r="J271" i="60" s="1"/>
  <c r="H272" i="60"/>
  <c r="H273" i="60"/>
  <c r="J273" i="60" s="1"/>
  <c r="H274" i="60"/>
  <c r="H275" i="60"/>
  <c r="J275" i="60" s="1"/>
  <c r="H276" i="60"/>
  <c r="J276" i="60" s="1"/>
  <c r="H277" i="60"/>
  <c r="J277" i="60" s="1"/>
  <c r="H278" i="60"/>
  <c r="H279" i="60"/>
  <c r="J279" i="60" s="1"/>
  <c r="H280" i="60"/>
  <c r="H281" i="60"/>
  <c r="J281" i="60" s="1"/>
  <c r="H282" i="60"/>
  <c r="H283" i="60"/>
  <c r="J283" i="60" s="1"/>
  <c r="H284" i="60"/>
  <c r="J284" i="60" s="1"/>
  <c r="H285" i="60"/>
  <c r="J285" i="60" s="1"/>
  <c r="H286" i="60"/>
  <c r="H287" i="60"/>
  <c r="J287" i="60" s="1"/>
  <c r="H288" i="60"/>
  <c r="H289" i="60"/>
  <c r="J289" i="60" s="1"/>
  <c r="H290" i="60"/>
  <c r="H291" i="60"/>
  <c r="J291" i="60" s="1"/>
  <c r="H292" i="60"/>
  <c r="J292" i="60" s="1"/>
  <c r="H293" i="60"/>
  <c r="J293" i="60" s="1"/>
  <c r="H294" i="60"/>
  <c r="H295" i="60"/>
  <c r="J295" i="60" s="1"/>
  <c r="H296" i="60"/>
  <c r="H297" i="60"/>
  <c r="J297" i="60" s="1"/>
  <c r="H298" i="60"/>
  <c r="H299" i="60"/>
  <c r="J299" i="60" s="1"/>
  <c r="H300" i="60"/>
  <c r="J300" i="60" s="1"/>
  <c r="H301" i="60"/>
  <c r="J301" i="60" s="1"/>
  <c r="H302" i="60"/>
  <c r="H303" i="60"/>
  <c r="J303" i="60" s="1"/>
  <c r="H304" i="60"/>
  <c r="H305" i="60"/>
  <c r="J305" i="60" s="1"/>
  <c r="H306" i="60"/>
  <c r="H307" i="60"/>
  <c r="H308" i="60"/>
  <c r="J308" i="60" s="1"/>
  <c r="H309" i="60"/>
  <c r="J309" i="60" s="1"/>
  <c r="H310" i="60"/>
  <c r="J310" i="60" s="1"/>
  <c r="H311" i="60"/>
  <c r="H312" i="60"/>
  <c r="J312" i="60" s="1"/>
  <c r="H313" i="60"/>
  <c r="H314" i="60"/>
  <c r="J314" i="60" s="1"/>
  <c r="H315" i="60"/>
  <c r="H366" i="60"/>
  <c r="J366" i="60" s="1"/>
  <c r="H367" i="60"/>
  <c r="H368" i="60"/>
  <c r="J368" i="60" s="1"/>
  <c r="H369" i="60"/>
  <c r="H370" i="60"/>
  <c r="J370" i="60" s="1"/>
  <c r="H371" i="60"/>
  <c r="H372" i="60"/>
  <c r="J372" i="60" s="1"/>
  <c r="H373" i="60"/>
  <c r="H374" i="60"/>
  <c r="J374" i="60" s="1"/>
  <c r="H375" i="60"/>
  <c r="J375" i="60" s="1"/>
  <c r="H376" i="60"/>
  <c r="J376" i="60" s="1"/>
  <c r="H377" i="60"/>
  <c r="J377" i="60" s="1"/>
  <c r="H378" i="60"/>
  <c r="J378" i="60" s="1"/>
  <c r="H379" i="60"/>
  <c r="J379" i="60" s="1"/>
  <c r="H380" i="60"/>
  <c r="J380" i="60" s="1"/>
  <c r="H381" i="60"/>
  <c r="J381" i="60" s="1"/>
  <c r="H382" i="60"/>
  <c r="J382" i="60" s="1"/>
  <c r="H383" i="60"/>
  <c r="J383" i="60" s="1"/>
  <c r="H134" i="60"/>
  <c r="C780" i="34"/>
  <c r="C781" i="34"/>
  <c r="J367" i="60" l="1"/>
  <c r="J304" i="60"/>
  <c r="J296" i="60"/>
  <c r="J288" i="60"/>
  <c r="J282" i="60"/>
  <c r="J272" i="60"/>
  <c r="J268" i="60"/>
  <c r="J263" i="60"/>
  <c r="J313" i="60"/>
  <c r="J306" i="60"/>
  <c r="J298" i="60"/>
  <c r="J290" i="60"/>
  <c r="J280" i="60"/>
  <c r="J274" i="60"/>
  <c r="J371" i="60"/>
  <c r="J244" i="60"/>
  <c r="J240" i="60"/>
  <c r="J235" i="60"/>
  <c r="J224" i="60"/>
  <c r="J219" i="60"/>
  <c r="J208" i="60"/>
  <c r="J203" i="60"/>
  <c r="J192" i="60"/>
  <c r="J187" i="60"/>
  <c r="J176" i="60"/>
  <c r="J171" i="60"/>
  <c r="J167" i="60"/>
  <c r="J163" i="60"/>
  <c r="J159" i="60"/>
  <c r="J155" i="60"/>
  <c r="J151" i="60"/>
  <c r="J147" i="60"/>
  <c r="J143" i="60"/>
  <c r="J139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250" i="60"/>
  <c r="J373" i="60"/>
  <c r="J369" i="60"/>
  <c r="J315" i="60"/>
  <c r="J311" i="60"/>
  <c r="J307" i="60"/>
  <c r="J265" i="60"/>
  <c r="J258" i="60"/>
  <c r="J249" i="60"/>
  <c r="J242" i="60"/>
  <c r="J302" i="60"/>
  <c r="J294" i="60"/>
  <c r="J286" i="60"/>
  <c r="J278" i="60"/>
  <c r="J270" i="60"/>
  <c r="J261" i="60"/>
  <c r="J254" i="60"/>
  <c r="J245" i="60"/>
  <c r="J257" i="60"/>
  <c r="J241" i="60"/>
  <c r="J269" i="60"/>
  <c r="J253" i="60"/>
  <c r="J237" i="60"/>
  <c r="J233" i="60"/>
  <c r="J229" i="60"/>
  <c r="J225" i="60"/>
  <c r="J221" i="60"/>
  <c r="J217" i="60"/>
  <c r="J213" i="60"/>
  <c r="J209" i="60"/>
  <c r="J205" i="60"/>
  <c r="J201" i="60"/>
  <c r="J197" i="60"/>
  <c r="J193" i="60"/>
  <c r="J189" i="60"/>
  <c r="J185" i="60"/>
  <c r="J181" i="60"/>
  <c r="J177" i="60"/>
  <c r="J173" i="60"/>
  <c r="J169" i="60"/>
  <c r="J165" i="60"/>
  <c r="J161" i="60"/>
  <c r="J157" i="60"/>
  <c r="J153" i="60"/>
  <c r="J149" i="60"/>
  <c r="J145" i="60"/>
  <c r="J141" i="60"/>
  <c r="J137" i="60"/>
  <c r="J134" i="60"/>
  <c r="Z758" i="34"/>
  <c r="Y758" i="34"/>
  <c r="U758" i="34"/>
  <c r="T758" i="34"/>
  <c r="S758" i="34"/>
  <c r="O758" i="34"/>
  <c r="N758" i="34"/>
  <c r="C758" i="34"/>
  <c r="B758" i="34" s="1"/>
  <c r="Z757" i="34"/>
  <c r="Y757" i="34"/>
  <c r="U757" i="34"/>
  <c r="T757" i="34"/>
  <c r="S757" i="34"/>
  <c r="O757" i="34"/>
  <c r="N757" i="34"/>
  <c r="K757" i="34"/>
  <c r="C757" i="34"/>
  <c r="B757" i="34" s="1"/>
  <c r="Z607" i="34"/>
  <c r="Y607" i="34"/>
  <c r="U607" i="34"/>
  <c r="T607" i="34"/>
  <c r="S607" i="34"/>
  <c r="O607" i="34"/>
  <c r="N607" i="34"/>
  <c r="C607" i="34"/>
  <c r="B607" i="34" s="1"/>
  <c r="Z606" i="34"/>
  <c r="Y606" i="34"/>
  <c r="U606" i="34"/>
  <c r="T606" i="34"/>
  <c r="S606" i="34"/>
  <c r="O606" i="34"/>
  <c r="N606" i="34"/>
  <c r="C606" i="34"/>
  <c r="B606" i="34" s="1"/>
  <c r="Z605" i="34"/>
  <c r="Y605" i="34"/>
  <c r="U605" i="34"/>
  <c r="T605" i="34"/>
  <c r="S605" i="34"/>
  <c r="O605" i="34"/>
  <c r="N605" i="34"/>
  <c r="K605" i="34"/>
  <c r="C605" i="34"/>
  <c r="B605" i="34" s="1"/>
  <c r="Q605" i="34" s="1"/>
  <c r="A757" i="34" l="1"/>
  <c r="V757" i="34"/>
  <c r="R757" i="34"/>
  <c r="AA758" i="34"/>
  <c r="A758" i="34"/>
  <c r="V758" i="34"/>
  <c r="R758" i="34"/>
  <c r="Q758" i="34"/>
  <c r="P758" i="34"/>
  <c r="Q757" i="34"/>
  <c r="AA757" i="34"/>
  <c r="P757" i="34"/>
  <c r="P606" i="34"/>
  <c r="AA606" i="34"/>
  <c r="V606" i="34"/>
  <c r="R606" i="34"/>
  <c r="Q606" i="34"/>
  <c r="A606" i="34"/>
  <c r="AA607" i="34"/>
  <c r="A607" i="34"/>
  <c r="V607" i="34"/>
  <c r="R607" i="34"/>
  <c r="Q607" i="34"/>
  <c r="P607" i="34"/>
  <c r="AA605" i="34"/>
  <c r="A605" i="34"/>
  <c r="R605" i="34"/>
  <c r="V605" i="34"/>
  <c r="P605" i="34"/>
  <c r="Z339" i="34"/>
  <c r="Y339" i="34"/>
  <c r="U339" i="34"/>
  <c r="T339" i="34"/>
  <c r="S339" i="34"/>
  <c r="O339" i="34"/>
  <c r="N339" i="34"/>
  <c r="C339" i="34"/>
  <c r="B339" i="34" s="1"/>
  <c r="Z338" i="34"/>
  <c r="Y338" i="34"/>
  <c r="U338" i="34"/>
  <c r="T338" i="34"/>
  <c r="S338" i="34"/>
  <c r="O338" i="34"/>
  <c r="N338" i="34"/>
  <c r="K338" i="34"/>
  <c r="C338" i="34"/>
  <c r="B338" i="34" s="1"/>
  <c r="K780" i="34"/>
  <c r="AA339" i="34" l="1"/>
  <c r="A339" i="34"/>
  <c r="V339" i="34"/>
  <c r="R339" i="34"/>
  <c r="P339" i="34"/>
  <c r="Q339" i="34"/>
  <c r="A338" i="34"/>
  <c r="R338" i="34"/>
  <c r="V338" i="34"/>
  <c r="Q338" i="34"/>
  <c r="AA338" i="34"/>
  <c r="P338" i="34"/>
  <c r="I772" i="34"/>
  <c r="Z294" i="34" l="1"/>
  <c r="Y294" i="34"/>
  <c r="U294" i="34"/>
  <c r="T294" i="34"/>
  <c r="S294" i="34"/>
  <c r="O294" i="34"/>
  <c r="N294" i="34"/>
  <c r="C294" i="34"/>
  <c r="B294" i="34" s="1"/>
  <c r="Z293" i="34"/>
  <c r="Y293" i="34"/>
  <c r="U293" i="34"/>
  <c r="T293" i="34"/>
  <c r="S293" i="34"/>
  <c r="O293" i="34"/>
  <c r="N293" i="34"/>
  <c r="K293" i="34"/>
  <c r="C293" i="34"/>
  <c r="B293" i="34" s="1"/>
  <c r="Z308" i="34"/>
  <c r="Y308" i="34"/>
  <c r="U308" i="34"/>
  <c r="T308" i="34"/>
  <c r="S308" i="34"/>
  <c r="O308" i="34"/>
  <c r="N308" i="34"/>
  <c r="C308" i="34"/>
  <c r="B308" i="34" s="1"/>
  <c r="Z307" i="34"/>
  <c r="Y307" i="34"/>
  <c r="U307" i="34"/>
  <c r="T307" i="34"/>
  <c r="S307" i="34"/>
  <c r="O307" i="34"/>
  <c r="N307" i="34"/>
  <c r="K307" i="34"/>
  <c r="C307" i="34"/>
  <c r="B307" i="34" s="1"/>
  <c r="Z325" i="34"/>
  <c r="Y325" i="34"/>
  <c r="U325" i="34"/>
  <c r="T325" i="34"/>
  <c r="S325" i="34"/>
  <c r="O325" i="34"/>
  <c r="N325" i="34"/>
  <c r="C325" i="34"/>
  <c r="B325" i="34" s="1"/>
  <c r="AA325" i="34" s="1"/>
  <c r="Z324" i="34"/>
  <c r="Y324" i="34"/>
  <c r="U324" i="34"/>
  <c r="T324" i="34"/>
  <c r="S324" i="34"/>
  <c r="O324" i="34"/>
  <c r="N324" i="34"/>
  <c r="C324" i="34"/>
  <c r="B324" i="34" s="1"/>
  <c r="Z323" i="34"/>
  <c r="Y323" i="34"/>
  <c r="U323" i="34"/>
  <c r="T323" i="34"/>
  <c r="S323" i="34"/>
  <c r="O323" i="34"/>
  <c r="N323" i="34"/>
  <c r="K323" i="34"/>
  <c r="C323" i="34"/>
  <c r="B323" i="34" s="1"/>
  <c r="Q323" i="34" s="1"/>
  <c r="Z335" i="34"/>
  <c r="Y335" i="34"/>
  <c r="U335" i="34"/>
  <c r="T335" i="34"/>
  <c r="S335" i="34"/>
  <c r="O335" i="34"/>
  <c r="N335" i="34"/>
  <c r="C335" i="34"/>
  <c r="B335" i="34" s="1"/>
  <c r="Z334" i="34"/>
  <c r="Y334" i="34"/>
  <c r="U334" i="34"/>
  <c r="T334" i="34"/>
  <c r="S334" i="34"/>
  <c r="O334" i="34"/>
  <c r="N334" i="34"/>
  <c r="K334" i="34"/>
  <c r="C334" i="34"/>
  <c r="B334" i="34" s="1"/>
  <c r="Z322" i="34"/>
  <c r="Y322" i="34"/>
  <c r="U322" i="34"/>
  <c r="T322" i="34"/>
  <c r="S322" i="34"/>
  <c r="O322" i="34"/>
  <c r="N322" i="34"/>
  <c r="C322" i="34"/>
  <c r="B322" i="34" s="1"/>
  <c r="AA322" i="34" s="1"/>
  <c r="Z321" i="34"/>
  <c r="Y321" i="34"/>
  <c r="U321" i="34"/>
  <c r="T321" i="34"/>
  <c r="S321" i="34"/>
  <c r="O321" i="34"/>
  <c r="N321" i="34"/>
  <c r="C321" i="34"/>
  <c r="B321" i="34" s="1"/>
  <c r="Z328" i="34"/>
  <c r="Y328" i="34"/>
  <c r="U328" i="34"/>
  <c r="T328" i="34"/>
  <c r="S328" i="34"/>
  <c r="O328" i="34"/>
  <c r="N328" i="34"/>
  <c r="C328" i="34"/>
  <c r="B328" i="34" s="1"/>
  <c r="AA328" i="34" s="1"/>
  <c r="Z327" i="34"/>
  <c r="Y327" i="34"/>
  <c r="U327" i="34"/>
  <c r="T327" i="34"/>
  <c r="S327" i="34"/>
  <c r="O327" i="34"/>
  <c r="N327" i="34"/>
  <c r="C327" i="34"/>
  <c r="B327" i="34" s="1"/>
  <c r="Z326" i="34"/>
  <c r="Y326" i="34"/>
  <c r="U326" i="34"/>
  <c r="T326" i="34"/>
  <c r="S326" i="34"/>
  <c r="O326" i="34"/>
  <c r="N326" i="34"/>
  <c r="K326" i="34"/>
  <c r="C326" i="34"/>
  <c r="B326" i="34" s="1"/>
  <c r="Q326" i="34" s="1"/>
  <c r="Z331" i="34"/>
  <c r="Y331" i="34"/>
  <c r="U331" i="34"/>
  <c r="T331" i="34"/>
  <c r="S331" i="34"/>
  <c r="O331" i="34"/>
  <c r="N331" i="34"/>
  <c r="C331" i="34"/>
  <c r="B331" i="34" s="1"/>
  <c r="Z330" i="34"/>
  <c r="Y330" i="34"/>
  <c r="U330" i="34"/>
  <c r="T330" i="34"/>
  <c r="S330" i="34"/>
  <c r="O330" i="34"/>
  <c r="N330" i="34"/>
  <c r="K330" i="34"/>
  <c r="C330" i="34"/>
  <c r="B330" i="34" s="1"/>
  <c r="Z773" i="34"/>
  <c r="Y773" i="34"/>
  <c r="U773" i="34"/>
  <c r="T773" i="34"/>
  <c r="S773" i="34"/>
  <c r="O773" i="34"/>
  <c r="N773" i="34"/>
  <c r="K773" i="34"/>
  <c r="C773" i="34"/>
  <c r="B773" i="34" s="1"/>
  <c r="Z772" i="34"/>
  <c r="Y772" i="34"/>
  <c r="U772" i="34"/>
  <c r="T772" i="34"/>
  <c r="S772" i="34"/>
  <c r="O772" i="34"/>
  <c r="N772" i="34"/>
  <c r="K772" i="34"/>
  <c r="C772" i="34"/>
  <c r="B772" i="34" s="1"/>
  <c r="Z771" i="34"/>
  <c r="Y771" i="34"/>
  <c r="U771" i="34"/>
  <c r="T771" i="34"/>
  <c r="S771" i="34"/>
  <c r="O771" i="34"/>
  <c r="N771" i="34"/>
  <c r="C771" i="34"/>
  <c r="B771" i="34" s="1"/>
  <c r="Z770" i="34"/>
  <c r="Y770" i="34"/>
  <c r="U770" i="34"/>
  <c r="T770" i="34"/>
  <c r="S770" i="34"/>
  <c r="O770" i="34"/>
  <c r="N770" i="34"/>
  <c r="K770" i="34"/>
  <c r="C770" i="34"/>
  <c r="B770" i="34" s="1"/>
  <c r="Q770" i="34" s="1"/>
  <c r="Z774" i="34"/>
  <c r="Y774" i="34"/>
  <c r="U774" i="34"/>
  <c r="T774" i="34"/>
  <c r="S774" i="34"/>
  <c r="O774" i="34"/>
  <c r="N774" i="34"/>
  <c r="C774" i="34"/>
  <c r="B774" i="34" s="1"/>
  <c r="Z769" i="34"/>
  <c r="Y769" i="34"/>
  <c r="U769" i="34"/>
  <c r="T769" i="34"/>
  <c r="S769" i="34"/>
  <c r="O769" i="34"/>
  <c r="N769" i="34"/>
  <c r="C769" i="34"/>
  <c r="B769" i="34" s="1"/>
  <c r="Z768" i="34"/>
  <c r="Y768" i="34"/>
  <c r="U768" i="34"/>
  <c r="T768" i="34"/>
  <c r="S768" i="34"/>
  <c r="O768" i="34"/>
  <c r="N768" i="34"/>
  <c r="K768" i="34"/>
  <c r="C768" i="34"/>
  <c r="B768" i="34" s="1"/>
  <c r="K754" i="34"/>
  <c r="K751" i="34"/>
  <c r="K748" i="34"/>
  <c r="K745" i="34"/>
  <c r="A39" i="70"/>
  <c r="A40" i="70"/>
  <c r="A41" i="70"/>
  <c r="A42" i="70"/>
  <c r="A43" i="70"/>
  <c r="A44" i="70"/>
  <c r="K740" i="34"/>
  <c r="K734" i="34"/>
  <c r="K731" i="34"/>
  <c r="I726" i="34"/>
  <c r="K726" i="34" s="1"/>
  <c r="I724" i="34"/>
  <c r="K724" i="34" s="1"/>
  <c r="Z714" i="34"/>
  <c r="Y714" i="34"/>
  <c r="U714" i="34"/>
  <c r="T714" i="34"/>
  <c r="S714" i="34"/>
  <c r="O714" i="34"/>
  <c r="N714" i="34"/>
  <c r="K714" i="34"/>
  <c r="C714" i="34"/>
  <c r="B714" i="34" s="1"/>
  <c r="I716" i="34"/>
  <c r="K716" i="34" s="1"/>
  <c r="I713" i="34"/>
  <c r="K713" i="34" s="1"/>
  <c r="Z721" i="34"/>
  <c r="Y721" i="34"/>
  <c r="U721" i="34"/>
  <c r="T721" i="34"/>
  <c r="S721" i="34"/>
  <c r="O721" i="34"/>
  <c r="N721" i="34"/>
  <c r="K721" i="34"/>
  <c r="C721" i="34"/>
  <c r="B721" i="34" s="1"/>
  <c r="Z720" i="34"/>
  <c r="Y720" i="34"/>
  <c r="U720" i="34"/>
  <c r="T720" i="34"/>
  <c r="S720" i="34"/>
  <c r="O720" i="34"/>
  <c r="N720" i="34"/>
  <c r="K720" i="34"/>
  <c r="C720" i="34"/>
  <c r="B720" i="34" s="1"/>
  <c r="Q720" i="34" s="1"/>
  <c r="Z719" i="34"/>
  <c r="Y719" i="34"/>
  <c r="U719" i="34"/>
  <c r="T719" i="34"/>
  <c r="S719" i="34"/>
  <c r="O719" i="34"/>
  <c r="N719" i="34"/>
  <c r="K719" i="34"/>
  <c r="C719" i="34"/>
  <c r="B719" i="34" s="1"/>
  <c r="Z718" i="34"/>
  <c r="Y718" i="34"/>
  <c r="U718" i="34"/>
  <c r="T718" i="34"/>
  <c r="S718" i="34"/>
  <c r="O718" i="34"/>
  <c r="N718" i="34"/>
  <c r="K718" i="34"/>
  <c r="C718" i="34"/>
  <c r="B718" i="34" s="1"/>
  <c r="Z717" i="34"/>
  <c r="Y717" i="34"/>
  <c r="U717" i="34"/>
  <c r="T717" i="34"/>
  <c r="S717" i="34"/>
  <c r="O717" i="34"/>
  <c r="N717" i="34"/>
  <c r="C717" i="34"/>
  <c r="B717" i="34" s="1"/>
  <c r="Z716" i="34"/>
  <c r="Y716" i="34"/>
  <c r="U716" i="34"/>
  <c r="T716" i="34"/>
  <c r="S716" i="34"/>
  <c r="O716" i="34"/>
  <c r="N716" i="34"/>
  <c r="C716" i="34"/>
  <c r="B716" i="34" s="1"/>
  <c r="Z715" i="34"/>
  <c r="Y715" i="34"/>
  <c r="U715" i="34"/>
  <c r="T715" i="34"/>
  <c r="S715" i="34"/>
  <c r="O715" i="34"/>
  <c r="N715" i="34"/>
  <c r="K715" i="34"/>
  <c r="C715" i="34"/>
  <c r="B715" i="34" s="1"/>
  <c r="Z713" i="34"/>
  <c r="Y713" i="34"/>
  <c r="U713" i="34"/>
  <c r="T713" i="34"/>
  <c r="S713" i="34"/>
  <c r="O713" i="34"/>
  <c r="N713" i="34"/>
  <c r="C713" i="34"/>
  <c r="B713" i="34" s="1"/>
  <c r="Z733" i="34"/>
  <c r="Y733" i="34"/>
  <c r="U733" i="34"/>
  <c r="T733" i="34"/>
  <c r="S733" i="34"/>
  <c r="O733" i="34"/>
  <c r="N733" i="34"/>
  <c r="C733" i="34"/>
  <c r="B733" i="34" s="1"/>
  <c r="V733" i="34" s="1"/>
  <c r="Z732" i="34"/>
  <c r="Y732" i="34"/>
  <c r="U732" i="34"/>
  <c r="T732" i="34"/>
  <c r="S732" i="34"/>
  <c r="O732" i="34"/>
  <c r="N732" i="34"/>
  <c r="C732" i="34"/>
  <c r="B732" i="34" s="1"/>
  <c r="Z731" i="34"/>
  <c r="Y731" i="34"/>
  <c r="U731" i="34"/>
  <c r="T731" i="34"/>
  <c r="S731" i="34"/>
  <c r="O731" i="34"/>
  <c r="N731" i="34"/>
  <c r="C731" i="34"/>
  <c r="B731" i="34" s="1"/>
  <c r="Z730" i="34"/>
  <c r="Y730" i="34"/>
  <c r="U730" i="34"/>
  <c r="T730" i="34"/>
  <c r="S730" i="34"/>
  <c r="O730" i="34"/>
  <c r="N730" i="34"/>
  <c r="C730" i="34"/>
  <c r="B730" i="34" s="1"/>
  <c r="Z729" i="34"/>
  <c r="Y729" i="34"/>
  <c r="U729" i="34"/>
  <c r="T729" i="34"/>
  <c r="S729" i="34"/>
  <c r="O729" i="34"/>
  <c r="N729" i="34"/>
  <c r="K729" i="34"/>
  <c r="C729" i="34"/>
  <c r="B729" i="34" s="1"/>
  <c r="V729" i="34" s="1"/>
  <c r="Z728" i="34"/>
  <c r="Y728" i="34"/>
  <c r="U728" i="34"/>
  <c r="T728" i="34"/>
  <c r="S728" i="34"/>
  <c r="O728" i="34"/>
  <c r="N728" i="34"/>
  <c r="K728" i="34"/>
  <c r="C728" i="34"/>
  <c r="B728" i="34" s="1"/>
  <c r="Z727" i="34"/>
  <c r="Y727" i="34"/>
  <c r="U727" i="34"/>
  <c r="T727" i="34"/>
  <c r="S727" i="34"/>
  <c r="O727" i="34"/>
  <c r="N727" i="34"/>
  <c r="C727" i="34"/>
  <c r="B727" i="34" s="1"/>
  <c r="V727" i="34" s="1"/>
  <c r="Z726" i="34"/>
  <c r="Y726" i="34"/>
  <c r="U726" i="34"/>
  <c r="T726" i="34"/>
  <c r="S726" i="34"/>
  <c r="O726" i="34"/>
  <c r="N726" i="34"/>
  <c r="C726" i="34"/>
  <c r="B726" i="34" s="1"/>
  <c r="Z725" i="34"/>
  <c r="Y725" i="34"/>
  <c r="U725" i="34"/>
  <c r="T725" i="34"/>
  <c r="S725" i="34"/>
  <c r="O725" i="34"/>
  <c r="N725" i="34"/>
  <c r="C725" i="34"/>
  <c r="B725" i="34" s="1"/>
  <c r="V725" i="34" s="1"/>
  <c r="Z724" i="34"/>
  <c r="Y724" i="34"/>
  <c r="U724" i="34"/>
  <c r="T724" i="34"/>
  <c r="S724" i="34"/>
  <c r="O724" i="34"/>
  <c r="N724" i="34"/>
  <c r="C724" i="34"/>
  <c r="B724" i="34" s="1"/>
  <c r="Z723" i="34"/>
  <c r="Y723" i="34"/>
  <c r="U723" i="34"/>
  <c r="T723" i="34"/>
  <c r="S723" i="34"/>
  <c r="O723" i="34"/>
  <c r="N723" i="34"/>
  <c r="C723" i="34"/>
  <c r="B723" i="34" s="1"/>
  <c r="V723" i="34" s="1"/>
  <c r="Z722" i="34"/>
  <c r="Y722" i="34"/>
  <c r="U722" i="34"/>
  <c r="T722" i="34"/>
  <c r="S722" i="34"/>
  <c r="O722" i="34"/>
  <c r="N722" i="34"/>
  <c r="K722" i="34"/>
  <c r="C722" i="34"/>
  <c r="B722" i="34" s="1"/>
  <c r="Z745" i="34"/>
  <c r="Y745" i="34"/>
  <c r="U745" i="34"/>
  <c r="T745" i="34"/>
  <c r="S745" i="34"/>
  <c r="O745" i="34"/>
  <c r="N745" i="34"/>
  <c r="C745" i="34"/>
  <c r="B745" i="34" s="1"/>
  <c r="V745" i="34" s="1"/>
  <c r="Z744" i="34"/>
  <c r="Y744" i="34"/>
  <c r="U744" i="34"/>
  <c r="T744" i="34"/>
  <c r="S744" i="34"/>
  <c r="O744" i="34"/>
  <c r="N744" i="34"/>
  <c r="C744" i="34"/>
  <c r="B744" i="34" s="1"/>
  <c r="Z743" i="34"/>
  <c r="Y743" i="34"/>
  <c r="U743" i="34"/>
  <c r="T743" i="34"/>
  <c r="S743" i="34"/>
  <c r="O743" i="34"/>
  <c r="N743" i="34"/>
  <c r="K743" i="34"/>
  <c r="C743" i="34"/>
  <c r="B743" i="34" s="1"/>
  <c r="V743" i="34" s="1"/>
  <c r="Z742" i="34"/>
  <c r="Y742" i="34"/>
  <c r="U742" i="34"/>
  <c r="T742" i="34"/>
  <c r="S742" i="34"/>
  <c r="O742" i="34"/>
  <c r="N742" i="34"/>
  <c r="C742" i="34"/>
  <c r="B742" i="34" s="1"/>
  <c r="Z741" i="34"/>
  <c r="Y741" i="34"/>
  <c r="U741" i="34"/>
  <c r="T741" i="34"/>
  <c r="S741" i="34"/>
  <c r="O741" i="34"/>
  <c r="N741" i="34"/>
  <c r="C741" i="34"/>
  <c r="B741" i="34" s="1"/>
  <c r="V741" i="34" s="1"/>
  <c r="Z740" i="34"/>
  <c r="Y740" i="34"/>
  <c r="U740" i="34"/>
  <c r="T740" i="34"/>
  <c r="S740" i="34"/>
  <c r="O740" i="34"/>
  <c r="N740" i="34"/>
  <c r="C740" i="34"/>
  <c r="B740" i="34" s="1"/>
  <c r="Z739" i="34"/>
  <c r="Y739" i="34"/>
  <c r="U739" i="34"/>
  <c r="T739" i="34"/>
  <c r="S739" i="34"/>
  <c r="O739" i="34"/>
  <c r="N739" i="34"/>
  <c r="C739" i="34"/>
  <c r="B739" i="34" s="1"/>
  <c r="V739" i="34" s="1"/>
  <c r="Z738" i="34"/>
  <c r="Y738" i="34"/>
  <c r="U738" i="34"/>
  <c r="T738" i="34"/>
  <c r="S738" i="34"/>
  <c r="O738" i="34"/>
  <c r="N738" i="34"/>
  <c r="K738" i="34"/>
  <c r="C738" i="34"/>
  <c r="B738" i="34" s="1"/>
  <c r="Z737" i="34"/>
  <c r="Y737" i="34"/>
  <c r="U737" i="34"/>
  <c r="T737" i="34"/>
  <c r="S737" i="34"/>
  <c r="O737" i="34"/>
  <c r="N737" i="34"/>
  <c r="K737" i="34"/>
  <c r="C737" i="34"/>
  <c r="B737" i="34" s="1"/>
  <c r="V737" i="34" s="1"/>
  <c r="Z736" i="34"/>
  <c r="Y736" i="34"/>
  <c r="U736" i="34"/>
  <c r="T736" i="34"/>
  <c r="S736" i="34"/>
  <c r="O736" i="34"/>
  <c r="N736" i="34"/>
  <c r="C736" i="34"/>
  <c r="B736" i="34" s="1"/>
  <c r="Z735" i="34"/>
  <c r="Y735" i="34"/>
  <c r="U735" i="34"/>
  <c r="T735" i="34"/>
  <c r="S735" i="34"/>
  <c r="O735" i="34"/>
  <c r="N735" i="34"/>
  <c r="C735" i="34"/>
  <c r="B735" i="34" s="1"/>
  <c r="V735" i="34" s="1"/>
  <c r="Z734" i="34"/>
  <c r="Y734" i="34"/>
  <c r="U734" i="34"/>
  <c r="T734" i="34"/>
  <c r="S734" i="34"/>
  <c r="O734" i="34"/>
  <c r="N734" i="34"/>
  <c r="C734" i="34"/>
  <c r="B734" i="34" s="1"/>
  <c r="Z759" i="34"/>
  <c r="Y759" i="34"/>
  <c r="U759" i="34"/>
  <c r="T759" i="34"/>
  <c r="S759" i="34"/>
  <c r="O759" i="34"/>
  <c r="N759" i="34"/>
  <c r="K759" i="34"/>
  <c r="C759" i="34"/>
  <c r="B759" i="34" s="1"/>
  <c r="V759" i="34" s="1"/>
  <c r="Z756" i="34"/>
  <c r="Y756" i="34"/>
  <c r="U756" i="34"/>
  <c r="T756" i="34"/>
  <c r="S756" i="34"/>
  <c r="O756" i="34"/>
  <c r="N756" i="34"/>
  <c r="C756" i="34"/>
  <c r="B756" i="34" s="1"/>
  <c r="Z755" i="34"/>
  <c r="Y755" i="34"/>
  <c r="U755" i="34"/>
  <c r="T755" i="34"/>
  <c r="S755" i="34"/>
  <c r="O755" i="34"/>
  <c r="N755" i="34"/>
  <c r="C755" i="34"/>
  <c r="B755" i="34" s="1"/>
  <c r="V755" i="34" s="1"/>
  <c r="Z754" i="34"/>
  <c r="Y754" i="34"/>
  <c r="U754" i="34"/>
  <c r="T754" i="34"/>
  <c r="S754" i="34"/>
  <c r="O754" i="34"/>
  <c r="N754" i="34"/>
  <c r="C754" i="34"/>
  <c r="B754" i="34" s="1"/>
  <c r="Z753" i="34"/>
  <c r="Y753" i="34"/>
  <c r="U753" i="34"/>
  <c r="T753" i="34"/>
  <c r="S753" i="34"/>
  <c r="O753" i="34"/>
  <c r="N753" i="34"/>
  <c r="C753" i="34"/>
  <c r="B753" i="34" s="1"/>
  <c r="V753" i="34" s="1"/>
  <c r="Z752" i="34"/>
  <c r="Y752" i="34"/>
  <c r="U752" i="34"/>
  <c r="T752" i="34"/>
  <c r="S752" i="34"/>
  <c r="O752" i="34"/>
  <c r="N752" i="34"/>
  <c r="C752" i="34"/>
  <c r="B752" i="34" s="1"/>
  <c r="Z751" i="34"/>
  <c r="Y751" i="34"/>
  <c r="U751" i="34"/>
  <c r="T751" i="34"/>
  <c r="S751" i="34"/>
  <c r="O751" i="34"/>
  <c r="N751" i="34"/>
  <c r="C751" i="34"/>
  <c r="B751" i="34" s="1"/>
  <c r="V751" i="34" s="1"/>
  <c r="Z750" i="34"/>
  <c r="Y750" i="34"/>
  <c r="U750" i="34"/>
  <c r="T750" i="34"/>
  <c r="S750" i="34"/>
  <c r="O750" i="34"/>
  <c r="N750" i="34"/>
  <c r="C750" i="34"/>
  <c r="B750" i="34" s="1"/>
  <c r="Z749" i="34"/>
  <c r="Y749" i="34"/>
  <c r="U749" i="34"/>
  <c r="T749" i="34"/>
  <c r="S749" i="34"/>
  <c r="O749" i="34"/>
  <c r="N749" i="34"/>
  <c r="C749" i="34"/>
  <c r="B749" i="34" s="1"/>
  <c r="V749" i="34" s="1"/>
  <c r="Z748" i="34"/>
  <c r="Y748" i="34"/>
  <c r="U748" i="34"/>
  <c r="T748" i="34"/>
  <c r="S748" i="34"/>
  <c r="O748" i="34"/>
  <c r="N748" i="34"/>
  <c r="C748" i="34"/>
  <c r="B748" i="34" s="1"/>
  <c r="Z747" i="34"/>
  <c r="Y747" i="34"/>
  <c r="U747" i="34"/>
  <c r="T747" i="34"/>
  <c r="S747" i="34"/>
  <c r="O747" i="34"/>
  <c r="N747" i="34"/>
  <c r="C747" i="34"/>
  <c r="B747" i="34" s="1"/>
  <c r="V747" i="34" s="1"/>
  <c r="Z746" i="34"/>
  <c r="Y746" i="34"/>
  <c r="U746" i="34"/>
  <c r="T746" i="34"/>
  <c r="S746" i="34"/>
  <c r="O746" i="34"/>
  <c r="N746" i="34"/>
  <c r="C746" i="34"/>
  <c r="B746" i="34" s="1"/>
  <c r="K710" i="34"/>
  <c r="K707" i="34"/>
  <c r="A34" i="70"/>
  <c r="A35" i="70"/>
  <c r="A36" i="70"/>
  <c r="A37" i="70"/>
  <c r="A38" i="70"/>
  <c r="I698" i="34"/>
  <c r="K698" i="34" s="1"/>
  <c r="K695" i="34"/>
  <c r="K692" i="34"/>
  <c r="K689" i="34"/>
  <c r="K673" i="34"/>
  <c r="Z704" i="34"/>
  <c r="Y704" i="34"/>
  <c r="U704" i="34"/>
  <c r="T704" i="34"/>
  <c r="S704" i="34"/>
  <c r="O704" i="34"/>
  <c r="N704" i="34"/>
  <c r="K704" i="34"/>
  <c r="C704" i="34"/>
  <c r="B704" i="34" s="1"/>
  <c r="AA704" i="34" s="1"/>
  <c r="Z703" i="34"/>
  <c r="Y703" i="34"/>
  <c r="U703" i="34"/>
  <c r="T703" i="34"/>
  <c r="S703" i="34"/>
  <c r="O703" i="34"/>
  <c r="N703" i="34"/>
  <c r="C703" i="34"/>
  <c r="B703" i="34" s="1"/>
  <c r="Z702" i="34"/>
  <c r="Y702" i="34"/>
  <c r="U702" i="34"/>
  <c r="T702" i="34"/>
  <c r="S702" i="34"/>
  <c r="O702" i="34"/>
  <c r="N702" i="34"/>
  <c r="K702" i="34"/>
  <c r="C702" i="34"/>
  <c r="B702" i="34" s="1"/>
  <c r="AA702" i="34" s="1"/>
  <c r="Z701" i="34"/>
  <c r="Y701" i="34"/>
  <c r="U701" i="34"/>
  <c r="T701" i="34"/>
  <c r="S701" i="34"/>
  <c r="O701" i="34"/>
  <c r="N701" i="34"/>
  <c r="C701" i="34"/>
  <c r="B701" i="34" s="1"/>
  <c r="Z700" i="34"/>
  <c r="Y700" i="34"/>
  <c r="U700" i="34"/>
  <c r="T700" i="34"/>
  <c r="S700" i="34"/>
  <c r="O700" i="34"/>
  <c r="N700" i="34"/>
  <c r="K700" i="34"/>
  <c r="C700" i="34"/>
  <c r="B700" i="34" s="1"/>
  <c r="Z699" i="34"/>
  <c r="Y699" i="34"/>
  <c r="U699" i="34"/>
  <c r="T699" i="34"/>
  <c r="S699" i="34"/>
  <c r="O699" i="34"/>
  <c r="N699" i="34"/>
  <c r="C699" i="34"/>
  <c r="B699" i="34" s="1"/>
  <c r="Z698" i="34"/>
  <c r="Y698" i="34"/>
  <c r="U698" i="34"/>
  <c r="T698" i="34"/>
  <c r="S698" i="34"/>
  <c r="O698" i="34"/>
  <c r="N698" i="34"/>
  <c r="C698" i="34"/>
  <c r="B698" i="34" s="1"/>
  <c r="Z697" i="34"/>
  <c r="Y697" i="34"/>
  <c r="U697" i="34"/>
  <c r="T697" i="34"/>
  <c r="S697" i="34"/>
  <c r="O697" i="34"/>
  <c r="N697" i="34"/>
  <c r="C697" i="34"/>
  <c r="B697" i="34" s="1"/>
  <c r="Z696" i="34"/>
  <c r="Y696" i="34"/>
  <c r="U696" i="34"/>
  <c r="T696" i="34"/>
  <c r="S696" i="34"/>
  <c r="O696" i="34"/>
  <c r="N696" i="34"/>
  <c r="C696" i="34"/>
  <c r="B696" i="34" s="1"/>
  <c r="Z695" i="34"/>
  <c r="Y695" i="34"/>
  <c r="U695" i="34"/>
  <c r="T695" i="34"/>
  <c r="S695" i="34"/>
  <c r="O695" i="34"/>
  <c r="N695" i="34"/>
  <c r="C695" i="34"/>
  <c r="B695" i="34" s="1"/>
  <c r="Z694" i="34"/>
  <c r="Y694" i="34"/>
  <c r="U694" i="34"/>
  <c r="T694" i="34"/>
  <c r="S694" i="34"/>
  <c r="O694" i="34"/>
  <c r="N694" i="34"/>
  <c r="C694" i="34"/>
  <c r="B694" i="34" s="1"/>
  <c r="Z693" i="34"/>
  <c r="Y693" i="34"/>
  <c r="U693" i="34"/>
  <c r="T693" i="34"/>
  <c r="S693" i="34"/>
  <c r="O693" i="34"/>
  <c r="N693" i="34"/>
  <c r="C693" i="34"/>
  <c r="B693" i="34" s="1"/>
  <c r="Z692" i="34"/>
  <c r="Y692" i="34"/>
  <c r="U692" i="34"/>
  <c r="T692" i="34"/>
  <c r="S692" i="34"/>
  <c r="O692" i="34"/>
  <c r="N692" i="34"/>
  <c r="C692" i="34"/>
  <c r="B692" i="34" s="1"/>
  <c r="Z691" i="34"/>
  <c r="Y691" i="34"/>
  <c r="U691" i="34"/>
  <c r="T691" i="34"/>
  <c r="S691" i="34"/>
  <c r="O691" i="34"/>
  <c r="N691" i="34"/>
  <c r="C691" i="34"/>
  <c r="B691" i="34" s="1"/>
  <c r="Z690" i="34"/>
  <c r="Y690" i="34"/>
  <c r="U690" i="34"/>
  <c r="T690" i="34"/>
  <c r="S690" i="34"/>
  <c r="O690" i="34"/>
  <c r="N690" i="34"/>
  <c r="C690" i="34"/>
  <c r="B690" i="34" s="1"/>
  <c r="Z689" i="34"/>
  <c r="Y689" i="34"/>
  <c r="U689" i="34"/>
  <c r="T689" i="34"/>
  <c r="S689" i="34"/>
  <c r="O689" i="34"/>
  <c r="N689" i="34"/>
  <c r="C689" i="34"/>
  <c r="B689" i="34" s="1"/>
  <c r="Z675" i="34"/>
  <c r="Y675" i="34"/>
  <c r="U675" i="34"/>
  <c r="T675" i="34"/>
  <c r="S675" i="34"/>
  <c r="O675" i="34"/>
  <c r="N675" i="34"/>
  <c r="C675" i="34"/>
  <c r="B675" i="34" s="1"/>
  <c r="Z674" i="34"/>
  <c r="Y674" i="34"/>
  <c r="U674" i="34"/>
  <c r="T674" i="34"/>
  <c r="S674" i="34"/>
  <c r="O674" i="34"/>
  <c r="N674" i="34"/>
  <c r="C674" i="34"/>
  <c r="B674" i="34" s="1"/>
  <c r="Z673" i="34"/>
  <c r="Y673" i="34"/>
  <c r="U673" i="34"/>
  <c r="T673" i="34"/>
  <c r="S673" i="34"/>
  <c r="O673" i="34"/>
  <c r="N673" i="34"/>
  <c r="C673" i="34"/>
  <c r="B673" i="34" s="1"/>
  <c r="Z709" i="34"/>
  <c r="Y709" i="34"/>
  <c r="U709" i="34"/>
  <c r="T709" i="34"/>
  <c r="S709" i="34"/>
  <c r="O709" i="34"/>
  <c r="N709" i="34"/>
  <c r="C709" i="34"/>
  <c r="B709" i="34" s="1"/>
  <c r="Z708" i="34"/>
  <c r="Y708" i="34"/>
  <c r="U708" i="34"/>
  <c r="T708" i="34"/>
  <c r="S708" i="34"/>
  <c r="O708" i="34"/>
  <c r="N708" i="34"/>
  <c r="C708" i="34"/>
  <c r="B708" i="34" s="1"/>
  <c r="Z707" i="34"/>
  <c r="Y707" i="34"/>
  <c r="U707" i="34"/>
  <c r="T707" i="34"/>
  <c r="S707" i="34"/>
  <c r="O707" i="34"/>
  <c r="N707" i="34"/>
  <c r="C707" i="34"/>
  <c r="B707" i="34" s="1"/>
  <c r="Z706" i="34"/>
  <c r="Y706" i="34"/>
  <c r="U706" i="34"/>
  <c r="T706" i="34"/>
  <c r="S706" i="34"/>
  <c r="O706" i="34"/>
  <c r="N706" i="34"/>
  <c r="C706" i="34"/>
  <c r="B706" i="34" s="1"/>
  <c r="Q706" i="34" s="1"/>
  <c r="Z705" i="34"/>
  <c r="Y705" i="34"/>
  <c r="U705" i="34"/>
  <c r="T705" i="34"/>
  <c r="S705" i="34"/>
  <c r="O705" i="34"/>
  <c r="N705" i="34"/>
  <c r="K705" i="34"/>
  <c r="C705" i="34"/>
  <c r="B705" i="34" s="1"/>
  <c r="Z761" i="34"/>
  <c r="Y761" i="34"/>
  <c r="U761" i="34"/>
  <c r="T761" i="34"/>
  <c r="S761" i="34"/>
  <c r="O761" i="34"/>
  <c r="N761" i="34"/>
  <c r="K761" i="34"/>
  <c r="C761" i="34"/>
  <c r="B761" i="34" s="1"/>
  <c r="Z760" i="34"/>
  <c r="Y760" i="34"/>
  <c r="U760" i="34"/>
  <c r="T760" i="34"/>
  <c r="S760" i="34"/>
  <c r="O760" i="34"/>
  <c r="N760" i="34"/>
  <c r="C760" i="34"/>
  <c r="B760" i="34" s="1"/>
  <c r="Z712" i="34"/>
  <c r="Y712" i="34"/>
  <c r="U712" i="34"/>
  <c r="T712" i="34"/>
  <c r="S712" i="34"/>
  <c r="O712" i="34"/>
  <c r="N712" i="34"/>
  <c r="C712" i="34"/>
  <c r="B712" i="34" s="1"/>
  <c r="Z711" i="34"/>
  <c r="Y711" i="34"/>
  <c r="U711" i="34"/>
  <c r="T711" i="34"/>
  <c r="S711" i="34"/>
  <c r="O711" i="34"/>
  <c r="N711" i="34"/>
  <c r="C711" i="34"/>
  <c r="B711" i="34" s="1"/>
  <c r="Q711" i="34" s="1"/>
  <c r="Z710" i="34"/>
  <c r="Y710" i="34"/>
  <c r="U710" i="34"/>
  <c r="T710" i="34"/>
  <c r="S710" i="34"/>
  <c r="O710" i="34"/>
  <c r="N710" i="34"/>
  <c r="C710" i="34"/>
  <c r="B710" i="34" s="1"/>
  <c r="Z766" i="34"/>
  <c r="Y766" i="34"/>
  <c r="U766" i="34"/>
  <c r="T766" i="34"/>
  <c r="S766" i="34"/>
  <c r="O766" i="34"/>
  <c r="N766" i="34"/>
  <c r="K766" i="34"/>
  <c r="C766" i="34"/>
  <c r="B766" i="34" s="1"/>
  <c r="Z765" i="34"/>
  <c r="Y765" i="34"/>
  <c r="U765" i="34"/>
  <c r="T765" i="34"/>
  <c r="S765" i="34"/>
  <c r="O765" i="34"/>
  <c r="N765" i="34"/>
  <c r="K765" i="34"/>
  <c r="C765" i="34"/>
  <c r="B765" i="34" s="1"/>
  <c r="Z764" i="34"/>
  <c r="Y764" i="34"/>
  <c r="U764" i="34"/>
  <c r="T764" i="34"/>
  <c r="S764" i="34"/>
  <c r="O764" i="34"/>
  <c r="N764" i="34"/>
  <c r="K764" i="34"/>
  <c r="C764" i="34"/>
  <c r="B764" i="34" s="1"/>
  <c r="Z763" i="34"/>
  <c r="Y763" i="34"/>
  <c r="U763" i="34"/>
  <c r="T763" i="34"/>
  <c r="S763" i="34"/>
  <c r="O763" i="34"/>
  <c r="N763" i="34"/>
  <c r="K763" i="34"/>
  <c r="C763" i="34"/>
  <c r="B763" i="34" s="1"/>
  <c r="Z762" i="34"/>
  <c r="Y762" i="34"/>
  <c r="U762" i="34"/>
  <c r="T762" i="34"/>
  <c r="S762" i="34"/>
  <c r="O762" i="34"/>
  <c r="N762" i="34"/>
  <c r="K762" i="34"/>
  <c r="C762" i="34"/>
  <c r="B762" i="34" s="1"/>
  <c r="K670" i="34"/>
  <c r="A334" i="34" l="1"/>
  <c r="A330" i="34"/>
  <c r="V294" i="34"/>
  <c r="A294" i="34"/>
  <c r="A307" i="34"/>
  <c r="A754" i="34"/>
  <c r="A730" i="34"/>
  <c r="A326" i="34"/>
  <c r="AA294" i="34"/>
  <c r="P293" i="34"/>
  <c r="AA293" i="34"/>
  <c r="V293" i="34"/>
  <c r="R293" i="34"/>
  <c r="A293" i="34"/>
  <c r="Q293" i="34"/>
  <c r="P294" i="34"/>
  <c r="Q294" i="34"/>
  <c r="R294" i="34"/>
  <c r="AA308" i="34"/>
  <c r="Q307" i="34"/>
  <c r="R307" i="34"/>
  <c r="V307" i="34"/>
  <c r="P308" i="34"/>
  <c r="Q308" i="34"/>
  <c r="AA307" i="34"/>
  <c r="R308" i="34"/>
  <c r="V308" i="34"/>
  <c r="P307" i="34"/>
  <c r="A308" i="34"/>
  <c r="R323" i="34"/>
  <c r="V323" i="34"/>
  <c r="A323" i="34"/>
  <c r="P324" i="34"/>
  <c r="AA324" i="34"/>
  <c r="A324" i="34"/>
  <c r="V324" i="34"/>
  <c r="R324" i="34"/>
  <c r="Q324" i="34"/>
  <c r="P325" i="34"/>
  <c r="AA323" i="34"/>
  <c r="Q325" i="34"/>
  <c r="P323" i="34"/>
  <c r="R325" i="34"/>
  <c r="V325" i="34"/>
  <c r="A325" i="34"/>
  <c r="AA335" i="34"/>
  <c r="Q334" i="34"/>
  <c r="R334" i="34"/>
  <c r="V334" i="34"/>
  <c r="P335" i="34"/>
  <c r="Q335" i="34"/>
  <c r="AA334" i="34"/>
  <c r="R335" i="34"/>
  <c r="V335" i="34"/>
  <c r="P334" i="34"/>
  <c r="A335" i="34"/>
  <c r="P321" i="34"/>
  <c r="AA321" i="34"/>
  <c r="A321" i="34"/>
  <c r="V321" i="34"/>
  <c r="R321" i="34"/>
  <c r="Q321" i="34"/>
  <c r="P322" i="34"/>
  <c r="Q322" i="34"/>
  <c r="R322" i="34"/>
  <c r="V322" i="34"/>
  <c r="A322" i="34"/>
  <c r="P328" i="34"/>
  <c r="R326" i="34"/>
  <c r="V326" i="34"/>
  <c r="P327" i="34"/>
  <c r="AA327" i="34"/>
  <c r="A327" i="34"/>
  <c r="V327" i="34"/>
  <c r="R327" i="34"/>
  <c r="Q327" i="34"/>
  <c r="AA326" i="34"/>
  <c r="Q328" i="34"/>
  <c r="P326" i="34"/>
  <c r="R328" i="34"/>
  <c r="V328" i="34"/>
  <c r="A328" i="34"/>
  <c r="AA331" i="34"/>
  <c r="Q330" i="34"/>
  <c r="R330" i="34"/>
  <c r="V330" i="34"/>
  <c r="P331" i="34"/>
  <c r="Q331" i="34"/>
  <c r="AA330" i="34"/>
  <c r="R331" i="34"/>
  <c r="V331" i="34"/>
  <c r="A734" i="34"/>
  <c r="P330" i="34"/>
  <c r="A331" i="34"/>
  <c r="A748" i="34"/>
  <c r="A724" i="34"/>
  <c r="A738" i="34"/>
  <c r="A770" i="34"/>
  <c r="Q768" i="34"/>
  <c r="A768" i="34"/>
  <c r="A752" i="34"/>
  <c r="A742" i="34"/>
  <c r="A774" i="34"/>
  <c r="Q774" i="34"/>
  <c r="R774" i="34"/>
  <c r="V774" i="34"/>
  <c r="Q772" i="34"/>
  <c r="A772" i="34"/>
  <c r="V772" i="34"/>
  <c r="R772" i="34"/>
  <c r="R770" i="34"/>
  <c r="V770" i="34"/>
  <c r="AA771" i="34"/>
  <c r="V771" i="34"/>
  <c r="R771" i="34"/>
  <c r="A771" i="34"/>
  <c r="Q771" i="34"/>
  <c r="P771" i="34"/>
  <c r="AA773" i="34"/>
  <c r="V773" i="34"/>
  <c r="R773" i="34"/>
  <c r="A773" i="34"/>
  <c r="Q773" i="34"/>
  <c r="P773" i="34"/>
  <c r="AA770" i="34"/>
  <c r="AA772" i="34"/>
  <c r="P770" i="34"/>
  <c r="P772" i="34"/>
  <c r="AA774" i="34"/>
  <c r="P774" i="34"/>
  <c r="R768" i="34"/>
  <c r="V768" i="34"/>
  <c r="AA769" i="34"/>
  <c r="V769" i="34"/>
  <c r="R769" i="34"/>
  <c r="A769" i="34"/>
  <c r="Q769" i="34"/>
  <c r="P769" i="34"/>
  <c r="AA768" i="34"/>
  <c r="P768" i="34"/>
  <c r="R756" i="34"/>
  <c r="V756" i="34"/>
  <c r="A756" i="34"/>
  <c r="R754" i="34"/>
  <c r="V754" i="34"/>
  <c r="R752" i="34"/>
  <c r="V752" i="34"/>
  <c r="A750" i="34"/>
  <c r="V750" i="34"/>
  <c r="R750" i="34"/>
  <c r="R748" i="34"/>
  <c r="V748" i="34"/>
  <c r="A746" i="34"/>
  <c r="V746" i="34"/>
  <c r="R746" i="34"/>
  <c r="R730" i="34"/>
  <c r="V730" i="34"/>
  <c r="R728" i="34"/>
  <c r="V728" i="34"/>
  <c r="A728" i="34"/>
  <c r="R726" i="34"/>
  <c r="V726" i="34"/>
  <c r="A726" i="34"/>
  <c r="R724" i="34"/>
  <c r="V724" i="34"/>
  <c r="R722" i="34"/>
  <c r="V722" i="34"/>
  <c r="A722" i="34"/>
  <c r="A736" i="34"/>
  <c r="V736" i="34"/>
  <c r="R736" i="34"/>
  <c r="A744" i="34"/>
  <c r="V744" i="34"/>
  <c r="R744" i="34"/>
  <c r="A740" i="34"/>
  <c r="V740" i="34"/>
  <c r="R740" i="34"/>
  <c r="AA714" i="34"/>
  <c r="V714" i="34"/>
  <c r="R714" i="34"/>
  <c r="Q714" i="34"/>
  <c r="A714" i="34"/>
  <c r="P714" i="34"/>
  <c r="R734" i="34"/>
  <c r="V734" i="34"/>
  <c r="R738" i="34"/>
  <c r="V738" i="34"/>
  <c r="R742" i="34"/>
  <c r="V742" i="34"/>
  <c r="V731" i="34"/>
  <c r="AA731" i="34"/>
  <c r="Q732" i="34"/>
  <c r="A732" i="34"/>
  <c r="V732" i="34"/>
  <c r="R732" i="34"/>
  <c r="Q718" i="34"/>
  <c r="V718" i="34"/>
  <c r="R718" i="34"/>
  <c r="A718" i="34"/>
  <c r="Q713" i="34"/>
  <c r="A713" i="34"/>
  <c r="R720" i="34"/>
  <c r="V720" i="34"/>
  <c r="Q746" i="34"/>
  <c r="Q748" i="34"/>
  <c r="Q750" i="34"/>
  <c r="Q752" i="34"/>
  <c r="Q754" i="34"/>
  <c r="Q756" i="34"/>
  <c r="Q734" i="34"/>
  <c r="Q736" i="34"/>
  <c r="Q738" i="34"/>
  <c r="Q740" i="34"/>
  <c r="Q742" i="34"/>
  <c r="Q744" i="34"/>
  <c r="Q722" i="34"/>
  <c r="Q724" i="34"/>
  <c r="Q726" i="34"/>
  <c r="Q728" i="34"/>
  <c r="Q730" i="34"/>
  <c r="A720" i="34"/>
  <c r="Q716" i="34"/>
  <c r="A716" i="34"/>
  <c r="V716" i="34"/>
  <c r="R716" i="34"/>
  <c r="R713" i="34"/>
  <c r="V713" i="34"/>
  <c r="AA715" i="34"/>
  <c r="V715" i="34"/>
  <c r="R715" i="34"/>
  <c r="A715" i="34"/>
  <c r="Q715" i="34"/>
  <c r="P715" i="34"/>
  <c r="AA719" i="34"/>
  <c r="V719" i="34"/>
  <c r="R719" i="34"/>
  <c r="A719" i="34"/>
  <c r="Q719" i="34"/>
  <c r="P719" i="34"/>
  <c r="AA717" i="34"/>
  <c r="V717" i="34"/>
  <c r="R717" i="34"/>
  <c r="A717" i="34"/>
  <c r="Q717" i="34"/>
  <c r="P717" i="34"/>
  <c r="AA721" i="34"/>
  <c r="V721" i="34"/>
  <c r="R721" i="34"/>
  <c r="A721" i="34"/>
  <c r="Q721" i="34"/>
  <c r="P721" i="34"/>
  <c r="AA713" i="34"/>
  <c r="AA716" i="34"/>
  <c r="AA718" i="34"/>
  <c r="AA720" i="34"/>
  <c r="P713" i="34"/>
  <c r="P716" i="34"/>
  <c r="P718" i="34"/>
  <c r="P720" i="34"/>
  <c r="AA723" i="34"/>
  <c r="AA725" i="34"/>
  <c r="AA727" i="34"/>
  <c r="AA729" i="34"/>
  <c r="AA733" i="34"/>
  <c r="P723" i="34"/>
  <c r="P725" i="34"/>
  <c r="P727" i="34"/>
  <c r="P729" i="34"/>
  <c r="P731" i="34"/>
  <c r="P733" i="34"/>
  <c r="AA722" i="34"/>
  <c r="Q723" i="34"/>
  <c r="AA724" i="34"/>
  <c r="Q725" i="34"/>
  <c r="AA726" i="34"/>
  <c r="Q727" i="34"/>
  <c r="AA728" i="34"/>
  <c r="Q729" i="34"/>
  <c r="AA730" i="34"/>
  <c r="Q731" i="34"/>
  <c r="AA732" i="34"/>
  <c r="Q733" i="34"/>
  <c r="P722" i="34"/>
  <c r="A723" i="34"/>
  <c r="R723" i="34"/>
  <c r="P724" i="34"/>
  <c r="A725" i="34"/>
  <c r="R725" i="34"/>
  <c r="P726" i="34"/>
  <c r="A727" i="34"/>
  <c r="R727" i="34"/>
  <c r="P728" i="34"/>
  <c r="A729" i="34"/>
  <c r="R729" i="34"/>
  <c r="P730" i="34"/>
  <c r="A731" i="34"/>
  <c r="R731" i="34"/>
  <c r="P732" i="34"/>
  <c r="A733" i="34"/>
  <c r="R733" i="34"/>
  <c r="AA735" i="34"/>
  <c r="AA737" i="34"/>
  <c r="AA739" i="34"/>
  <c r="AA741" i="34"/>
  <c r="AA743" i="34"/>
  <c r="AA745" i="34"/>
  <c r="P735" i="34"/>
  <c r="P737" i="34"/>
  <c r="P739" i="34"/>
  <c r="P741" i="34"/>
  <c r="P743" i="34"/>
  <c r="P745" i="34"/>
  <c r="AA734" i="34"/>
  <c r="Q735" i="34"/>
  <c r="AA736" i="34"/>
  <c r="Q737" i="34"/>
  <c r="AA738" i="34"/>
  <c r="Q739" i="34"/>
  <c r="AA740" i="34"/>
  <c r="Q741" i="34"/>
  <c r="AA742" i="34"/>
  <c r="Q743" i="34"/>
  <c r="AA744" i="34"/>
  <c r="Q745" i="34"/>
  <c r="P734" i="34"/>
  <c r="A735" i="34"/>
  <c r="R735" i="34"/>
  <c r="P736" i="34"/>
  <c r="A737" i="34"/>
  <c r="R737" i="34"/>
  <c r="P738" i="34"/>
  <c r="A739" i="34"/>
  <c r="R739" i="34"/>
  <c r="P740" i="34"/>
  <c r="A741" i="34"/>
  <c r="R741" i="34"/>
  <c r="P742" i="34"/>
  <c r="A743" i="34"/>
  <c r="R743" i="34"/>
  <c r="P744" i="34"/>
  <c r="A745" i="34"/>
  <c r="R745" i="34"/>
  <c r="A692" i="34"/>
  <c r="AA747" i="34"/>
  <c r="AA749" i="34"/>
  <c r="AA751" i="34"/>
  <c r="AA753" i="34"/>
  <c r="AA755" i="34"/>
  <c r="AA759" i="34"/>
  <c r="P747" i="34"/>
  <c r="P749" i="34"/>
  <c r="P751" i="34"/>
  <c r="P753" i="34"/>
  <c r="P755" i="34"/>
  <c r="P759" i="34"/>
  <c r="AA746" i="34"/>
  <c r="Q747" i="34"/>
  <c r="AA748" i="34"/>
  <c r="Q749" i="34"/>
  <c r="AA750" i="34"/>
  <c r="Q751" i="34"/>
  <c r="AA752" i="34"/>
  <c r="Q753" i="34"/>
  <c r="AA754" i="34"/>
  <c r="Q755" i="34"/>
  <c r="AA756" i="34"/>
  <c r="Q759" i="34"/>
  <c r="P746" i="34"/>
  <c r="A747" i="34"/>
  <c r="R747" i="34"/>
  <c r="P748" i="34"/>
  <c r="A749" i="34"/>
  <c r="R749" i="34"/>
  <c r="P750" i="34"/>
  <c r="A751" i="34"/>
  <c r="R751" i="34"/>
  <c r="P752" i="34"/>
  <c r="A753" i="34"/>
  <c r="R753" i="34"/>
  <c r="P754" i="34"/>
  <c r="A755" i="34"/>
  <c r="R755" i="34"/>
  <c r="P756" i="34"/>
  <c r="A759" i="34"/>
  <c r="R759" i="34"/>
  <c r="A701" i="34"/>
  <c r="A699" i="34"/>
  <c r="A696" i="34"/>
  <c r="Q765" i="34"/>
  <c r="A765" i="34"/>
  <c r="Q760" i="34"/>
  <c r="A760" i="34"/>
  <c r="R690" i="34"/>
  <c r="V690" i="34"/>
  <c r="R694" i="34"/>
  <c r="V694" i="34"/>
  <c r="R698" i="34"/>
  <c r="V698" i="34"/>
  <c r="A690" i="34"/>
  <c r="R692" i="34"/>
  <c r="V692" i="34"/>
  <c r="A694" i="34"/>
  <c r="R696" i="34"/>
  <c r="V696" i="34"/>
  <c r="A698" i="34"/>
  <c r="Q763" i="34"/>
  <c r="A763" i="34"/>
  <c r="V763" i="34"/>
  <c r="R763" i="34"/>
  <c r="A703" i="34"/>
  <c r="V703" i="34"/>
  <c r="R703" i="34"/>
  <c r="Q703" i="34"/>
  <c r="Q708" i="34"/>
  <c r="A708" i="34"/>
  <c r="V708" i="34"/>
  <c r="R708" i="34"/>
  <c r="A706" i="34"/>
  <c r="A673" i="34"/>
  <c r="R699" i="34"/>
  <c r="V699" i="34"/>
  <c r="R701" i="34"/>
  <c r="V701" i="34"/>
  <c r="R711" i="34"/>
  <c r="V711" i="34"/>
  <c r="R765" i="34"/>
  <c r="V765" i="34"/>
  <c r="R706" i="34"/>
  <c r="V706" i="34"/>
  <c r="A711" i="34"/>
  <c r="R760" i="34"/>
  <c r="V760" i="34"/>
  <c r="Q690" i="34"/>
  <c r="Q692" i="34"/>
  <c r="Q694" i="34"/>
  <c r="Q696" i="34"/>
  <c r="Q698" i="34"/>
  <c r="Q699" i="34"/>
  <c r="Q701" i="34"/>
  <c r="Q675" i="34"/>
  <c r="A675" i="34"/>
  <c r="V675" i="34"/>
  <c r="R675" i="34"/>
  <c r="Q673" i="34"/>
  <c r="R673" i="34"/>
  <c r="V673" i="34"/>
  <c r="V674" i="34"/>
  <c r="R674" i="34"/>
  <c r="A674" i="34"/>
  <c r="Q674" i="34"/>
  <c r="V689" i="34"/>
  <c r="R689" i="34"/>
  <c r="A689" i="34"/>
  <c r="Q689" i="34"/>
  <c r="V691" i="34"/>
  <c r="R691" i="34"/>
  <c r="A691" i="34"/>
  <c r="Q691" i="34"/>
  <c r="V693" i="34"/>
  <c r="R693" i="34"/>
  <c r="A693" i="34"/>
  <c r="Q693" i="34"/>
  <c r="V695" i="34"/>
  <c r="R695" i="34"/>
  <c r="A695" i="34"/>
  <c r="Q695" i="34"/>
  <c r="V697" i="34"/>
  <c r="R697" i="34"/>
  <c r="A697" i="34"/>
  <c r="Q697" i="34"/>
  <c r="V700" i="34"/>
  <c r="R700" i="34"/>
  <c r="A700" i="34"/>
  <c r="Q700" i="34"/>
  <c r="AA700" i="34"/>
  <c r="P674" i="34"/>
  <c r="AA674" i="34"/>
  <c r="P689" i="34"/>
  <c r="AA689" i="34"/>
  <c r="P691" i="34"/>
  <c r="AA691" i="34"/>
  <c r="P693" i="34"/>
  <c r="AA693" i="34"/>
  <c r="P695" i="34"/>
  <c r="AA695" i="34"/>
  <c r="P697" i="34"/>
  <c r="AA697" i="34"/>
  <c r="P700" i="34"/>
  <c r="V704" i="34"/>
  <c r="R704" i="34"/>
  <c r="A704" i="34"/>
  <c r="Q704" i="34"/>
  <c r="P704" i="34"/>
  <c r="V702" i="34"/>
  <c r="R702" i="34"/>
  <c r="A702" i="34"/>
  <c r="Q702" i="34"/>
  <c r="P702" i="34"/>
  <c r="AA673" i="34"/>
  <c r="AA675" i="34"/>
  <c r="AA690" i="34"/>
  <c r="AA692" i="34"/>
  <c r="AA694" i="34"/>
  <c r="AA696" i="34"/>
  <c r="AA698" i="34"/>
  <c r="AA699" i="34"/>
  <c r="AA701" i="34"/>
  <c r="AA703" i="34"/>
  <c r="P673" i="34"/>
  <c r="P675" i="34"/>
  <c r="P690" i="34"/>
  <c r="P692" i="34"/>
  <c r="P694" i="34"/>
  <c r="P696" i="34"/>
  <c r="P698" i="34"/>
  <c r="P699" i="34"/>
  <c r="P701" i="34"/>
  <c r="P703" i="34"/>
  <c r="AA705" i="34"/>
  <c r="V705" i="34"/>
  <c r="R705" i="34"/>
  <c r="A705" i="34"/>
  <c r="Q705" i="34"/>
  <c r="P705" i="34"/>
  <c r="AA707" i="34"/>
  <c r="P707" i="34"/>
  <c r="V707" i="34"/>
  <c r="R707" i="34"/>
  <c r="A707" i="34"/>
  <c r="Q707" i="34"/>
  <c r="AA709" i="34"/>
  <c r="P709" i="34"/>
  <c r="V709" i="34"/>
  <c r="R709" i="34"/>
  <c r="A709" i="34"/>
  <c r="Q709" i="34"/>
  <c r="AA706" i="34"/>
  <c r="AA708" i="34"/>
  <c r="P706" i="34"/>
  <c r="P708" i="34"/>
  <c r="AA712" i="34"/>
  <c r="V712" i="34"/>
  <c r="R712" i="34"/>
  <c r="A712" i="34"/>
  <c r="Q712" i="34"/>
  <c r="P712" i="34"/>
  <c r="AA710" i="34"/>
  <c r="V710" i="34"/>
  <c r="R710" i="34"/>
  <c r="A710" i="34"/>
  <c r="Q710" i="34"/>
  <c r="P710" i="34"/>
  <c r="AA761" i="34"/>
  <c r="V761" i="34"/>
  <c r="R761" i="34"/>
  <c r="A761" i="34"/>
  <c r="Q761" i="34"/>
  <c r="P761" i="34"/>
  <c r="AA711" i="34"/>
  <c r="AA760" i="34"/>
  <c r="P711" i="34"/>
  <c r="P760" i="34"/>
  <c r="AA762" i="34"/>
  <c r="V762" i="34"/>
  <c r="R762" i="34"/>
  <c r="A762" i="34"/>
  <c r="Q762" i="34"/>
  <c r="P762" i="34"/>
  <c r="AA766" i="34"/>
  <c r="V766" i="34"/>
  <c r="R766" i="34"/>
  <c r="A766" i="34"/>
  <c r="Q766" i="34"/>
  <c r="P766" i="34"/>
  <c r="AA764" i="34"/>
  <c r="V764" i="34"/>
  <c r="R764" i="34"/>
  <c r="A764" i="34"/>
  <c r="Q764" i="34"/>
  <c r="P764" i="34"/>
  <c r="AA763" i="34"/>
  <c r="AA765" i="34"/>
  <c r="P763" i="34"/>
  <c r="P765" i="34"/>
  <c r="Z229" i="34"/>
  <c r="Y229" i="34"/>
  <c r="U229" i="34"/>
  <c r="T229" i="34"/>
  <c r="S229" i="34"/>
  <c r="O229" i="34"/>
  <c r="N229" i="34"/>
  <c r="C229" i="34"/>
  <c r="B229" i="34" s="1"/>
  <c r="AA229" i="34" s="1"/>
  <c r="Z228" i="34"/>
  <c r="Y228" i="34"/>
  <c r="U228" i="34"/>
  <c r="T228" i="34"/>
  <c r="S228" i="34"/>
  <c r="O228" i="34"/>
  <c r="N228" i="34"/>
  <c r="K228" i="34"/>
  <c r="C228" i="34"/>
  <c r="B228" i="34" s="1"/>
  <c r="Q228" i="34" l="1"/>
  <c r="R228" i="34"/>
  <c r="V228" i="34"/>
  <c r="A228" i="34"/>
  <c r="P229" i="34"/>
  <c r="Q229" i="34"/>
  <c r="AA228" i="34"/>
  <c r="R229" i="34"/>
  <c r="V229" i="34"/>
  <c r="P228" i="34"/>
  <c r="A229" i="34"/>
  <c r="Z280" i="34"/>
  <c r="Y280" i="34"/>
  <c r="U280" i="34"/>
  <c r="T280" i="34"/>
  <c r="S280" i="34"/>
  <c r="O280" i="34"/>
  <c r="N280" i="34"/>
  <c r="C280" i="34"/>
  <c r="B280" i="34" s="1"/>
  <c r="AA280" i="34" s="1"/>
  <c r="Z279" i="34"/>
  <c r="Y279" i="34"/>
  <c r="U279" i="34"/>
  <c r="T279" i="34"/>
  <c r="S279" i="34"/>
  <c r="O279" i="34"/>
  <c r="N279" i="34"/>
  <c r="C279" i="34"/>
  <c r="B279" i="34" s="1"/>
  <c r="Z278" i="34"/>
  <c r="Y278" i="34"/>
  <c r="U278" i="34"/>
  <c r="T278" i="34"/>
  <c r="S278" i="34"/>
  <c r="O278" i="34"/>
  <c r="N278" i="34"/>
  <c r="K278" i="34"/>
  <c r="C278" i="34"/>
  <c r="B278" i="34" s="1"/>
  <c r="Z277" i="34"/>
  <c r="Y277" i="34"/>
  <c r="U277" i="34"/>
  <c r="T277" i="34"/>
  <c r="S277" i="34"/>
  <c r="O277" i="34"/>
  <c r="N277" i="34"/>
  <c r="C277" i="34"/>
  <c r="B277" i="34" s="1"/>
  <c r="Z276" i="34"/>
  <c r="Y276" i="34"/>
  <c r="U276" i="34"/>
  <c r="T276" i="34"/>
  <c r="S276" i="34"/>
  <c r="O276" i="34"/>
  <c r="N276" i="34"/>
  <c r="C276" i="34"/>
  <c r="B276" i="34" s="1"/>
  <c r="Z274" i="34"/>
  <c r="Y274" i="34"/>
  <c r="U274" i="34"/>
  <c r="T274" i="34"/>
  <c r="S274" i="34"/>
  <c r="O274" i="34"/>
  <c r="N274" i="34"/>
  <c r="C274" i="34"/>
  <c r="B274" i="34" s="1"/>
  <c r="AA274" i="34" s="1"/>
  <c r="Z273" i="34"/>
  <c r="Y273" i="34"/>
  <c r="U273" i="34"/>
  <c r="T273" i="34"/>
  <c r="S273" i="34"/>
  <c r="O273" i="34"/>
  <c r="N273" i="34"/>
  <c r="C273" i="34"/>
  <c r="B273" i="34" s="1"/>
  <c r="Z265" i="34"/>
  <c r="Y265" i="34"/>
  <c r="U265" i="34"/>
  <c r="T265" i="34"/>
  <c r="S265" i="34"/>
  <c r="O265" i="34"/>
  <c r="N265" i="34"/>
  <c r="C265" i="34"/>
  <c r="B265" i="34" s="1"/>
  <c r="AA265" i="34" s="1"/>
  <c r="Z264" i="34"/>
  <c r="Y264" i="34"/>
  <c r="U264" i="34"/>
  <c r="T264" i="34"/>
  <c r="S264" i="34"/>
  <c r="O264" i="34"/>
  <c r="N264" i="34"/>
  <c r="C264" i="34"/>
  <c r="B264" i="34" s="1"/>
  <c r="Z257" i="34"/>
  <c r="Y257" i="34"/>
  <c r="U257" i="34"/>
  <c r="T257" i="34"/>
  <c r="S257" i="34"/>
  <c r="O257" i="34"/>
  <c r="N257" i="34"/>
  <c r="C257" i="34"/>
  <c r="B257" i="34" s="1"/>
  <c r="AA257" i="34" s="1"/>
  <c r="Z256" i="34"/>
  <c r="Y256" i="34"/>
  <c r="U256" i="34"/>
  <c r="T256" i="34"/>
  <c r="S256" i="34"/>
  <c r="O256" i="34"/>
  <c r="N256" i="34"/>
  <c r="C256" i="34"/>
  <c r="B256" i="34" s="1"/>
  <c r="Z255" i="34"/>
  <c r="Y255" i="34"/>
  <c r="U255" i="34"/>
  <c r="T255" i="34"/>
  <c r="S255" i="34"/>
  <c r="O255" i="34"/>
  <c r="N255" i="34"/>
  <c r="K255" i="34"/>
  <c r="C255" i="34"/>
  <c r="B255" i="34" s="1"/>
  <c r="Z247" i="34"/>
  <c r="Y247" i="34"/>
  <c r="U247" i="34"/>
  <c r="T247" i="34"/>
  <c r="S247" i="34"/>
  <c r="O247" i="34"/>
  <c r="N247" i="34"/>
  <c r="C247" i="34"/>
  <c r="B247" i="34" s="1"/>
  <c r="AA247" i="34" s="1"/>
  <c r="Z246" i="34"/>
  <c r="Y246" i="34"/>
  <c r="U246" i="34"/>
  <c r="T246" i="34"/>
  <c r="S246" i="34"/>
  <c r="O246" i="34"/>
  <c r="N246" i="34"/>
  <c r="C246" i="34"/>
  <c r="B246" i="34" s="1"/>
  <c r="Q246" i="34" s="1"/>
  <c r="Z245" i="34"/>
  <c r="Y245" i="34"/>
  <c r="U245" i="34"/>
  <c r="T245" i="34"/>
  <c r="S245" i="34"/>
  <c r="O245" i="34"/>
  <c r="N245" i="34"/>
  <c r="K245" i="34"/>
  <c r="C245" i="34"/>
  <c r="B245" i="34" s="1"/>
  <c r="V245" i="34" s="1"/>
  <c r="Z244" i="34"/>
  <c r="Y244" i="34"/>
  <c r="U244" i="34"/>
  <c r="T244" i="34"/>
  <c r="S244" i="34"/>
  <c r="O244" i="34"/>
  <c r="N244" i="34"/>
  <c r="C244" i="34"/>
  <c r="B244" i="34" s="1"/>
  <c r="AA244" i="34" s="1"/>
  <c r="Z243" i="34"/>
  <c r="Y243" i="34"/>
  <c r="U243" i="34"/>
  <c r="T243" i="34"/>
  <c r="S243" i="34"/>
  <c r="O243" i="34"/>
  <c r="N243" i="34"/>
  <c r="C243" i="34"/>
  <c r="B243" i="34" s="1"/>
  <c r="Z242" i="34"/>
  <c r="Y242" i="34"/>
  <c r="U242" i="34"/>
  <c r="T242" i="34"/>
  <c r="S242" i="34"/>
  <c r="O242" i="34"/>
  <c r="N242" i="34"/>
  <c r="C242" i="34"/>
  <c r="B242" i="34" s="1"/>
  <c r="AA242" i="34" s="1"/>
  <c r="Z241" i="34"/>
  <c r="Y241" i="34"/>
  <c r="U241" i="34"/>
  <c r="T241" i="34"/>
  <c r="S241" i="34"/>
  <c r="O241" i="34"/>
  <c r="N241" i="34"/>
  <c r="C241" i="34"/>
  <c r="B241" i="34" s="1"/>
  <c r="Z231" i="34"/>
  <c r="Y231" i="34"/>
  <c r="U231" i="34"/>
  <c r="T231" i="34"/>
  <c r="S231" i="34"/>
  <c r="O231" i="34"/>
  <c r="N231" i="34"/>
  <c r="C231" i="34"/>
  <c r="B231" i="34" s="1"/>
  <c r="AA231" i="34" s="1"/>
  <c r="Z230" i="34"/>
  <c r="Y230" i="34"/>
  <c r="U230" i="34"/>
  <c r="T230" i="34"/>
  <c r="S230" i="34"/>
  <c r="O230" i="34"/>
  <c r="N230" i="34"/>
  <c r="C230" i="34"/>
  <c r="B230" i="34" s="1"/>
  <c r="Z234" i="34"/>
  <c r="Y234" i="34"/>
  <c r="U234" i="34"/>
  <c r="T234" i="34"/>
  <c r="S234" i="34"/>
  <c r="O234" i="34"/>
  <c r="N234" i="34"/>
  <c r="K234" i="34"/>
  <c r="C234" i="34"/>
  <c r="B234" i="34" s="1"/>
  <c r="Z254" i="34"/>
  <c r="Y254" i="34"/>
  <c r="U254" i="34"/>
  <c r="T254" i="34"/>
  <c r="S254" i="34"/>
  <c r="O254" i="34"/>
  <c r="N254" i="34"/>
  <c r="C254" i="34"/>
  <c r="B254" i="34" s="1"/>
  <c r="Z253" i="34"/>
  <c r="Y253" i="34"/>
  <c r="U253" i="34"/>
  <c r="T253" i="34"/>
  <c r="S253" i="34"/>
  <c r="O253" i="34"/>
  <c r="N253" i="34"/>
  <c r="C253" i="34"/>
  <c r="B253" i="34" s="1"/>
  <c r="Z236" i="34"/>
  <c r="Y236" i="34"/>
  <c r="U236" i="34"/>
  <c r="T236" i="34"/>
  <c r="S236" i="34"/>
  <c r="O236" i="34"/>
  <c r="N236" i="34"/>
  <c r="C236" i="34"/>
  <c r="B236" i="34" s="1"/>
  <c r="AA236" i="34" s="1"/>
  <c r="Z235" i="34"/>
  <c r="Y235" i="34"/>
  <c r="U235" i="34"/>
  <c r="T235" i="34"/>
  <c r="S235" i="34"/>
  <c r="O235" i="34"/>
  <c r="N235" i="34"/>
  <c r="C235" i="34"/>
  <c r="B235" i="34" s="1"/>
  <c r="Z233" i="34"/>
  <c r="Y233" i="34"/>
  <c r="U233" i="34"/>
  <c r="T233" i="34"/>
  <c r="S233" i="34"/>
  <c r="O233" i="34"/>
  <c r="N233" i="34"/>
  <c r="K233" i="34"/>
  <c r="C233" i="34"/>
  <c r="B233" i="34" s="1"/>
  <c r="I682" i="34"/>
  <c r="K682" i="34" s="1"/>
  <c r="K658" i="34"/>
  <c r="K655" i="34"/>
  <c r="K652" i="34"/>
  <c r="K649" i="34"/>
  <c r="Z668" i="34"/>
  <c r="Y668" i="34"/>
  <c r="U668" i="34"/>
  <c r="T668" i="34"/>
  <c r="S668" i="34"/>
  <c r="O668" i="34"/>
  <c r="N668" i="34"/>
  <c r="K668" i="34"/>
  <c r="C668" i="34"/>
  <c r="B668" i="34" s="1"/>
  <c r="Z667" i="34"/>
  <c r="Y667" i="34"/>
  <c r="U667" i="34"/>
  <c r="T667" i="34"/>
  <c r="S667" i="34"/>
  <c r="O667" i="34"/>
  <c r="N667" i="34"/>
  <c r="K667" i="34"/>
  <c r="C667" i="34"/>
  <c r="B667" i="34" s="1"/>
  <c r="Z660" i="34"/>
  <c r="Y660" i="34"/>
  <c r="U660" i="34"/>
  <c r="T660" i="34"/>
  <c r="S660" i="34"/>
  <c r="O660" i="34"/>
  <c r="N660" i="34"/>
  <c r="C660" i="34"/>
  <c r="B660" i="34" s="1"/>
  <c r="Z659" i="34"/>
  <c r="Y659" i="34"/>
  <c r="U659" i="34"/>
  <c r="T659" i="34"/>
  <c r="S659" i="34"/>
  <c r="O659" i="34"/>
  <c r="N659" i="34"/>
  <c r="C659" i="34"/>
  <c r="B659" i="34" s="1"/>
  <c r="Q659" i="34" s="1"/>
  <c r="Z658" i="34"/>
  <c r="Y658" i="34"/>
  <c r="U658" i="34"/>
  <c r="T658" i="34"/>
  <c r="S658" i="34"/>
  <c r="O658" i="34"/>
  <c r="N658" i="34"/>
  <c r="C658" i="34"/>
  <c r="B658" i="34" s="1"/>
  <c r="Z657" i="34"/>
  <c r="Y657" i="34"/>
  <c r="U657" i="34"/>
  <c r="T657" i="34"/>
  <c r="S657" i="34"/>
  <c r="O657" i="34"/>
  <c r="N657" i="34"/>
  <c r="C657" i="34"/>
  <c r="B657" i="34" s="1"/>
  <c r="Z656" i="34"/>
  <c r="Y656" i="34"/>
  <c r="U656" i="34"/>
  <c r="T656" i="34"/>
  <c r="S656" i="34"/>
  <c r="O656" i="34"/>
  <c r="N656" i="34"/>
  <c r="C656" i="34"/>
  <c r="B656" i="34" s="1"/>
  <c r="Z655" i="34"/>
  <c r="Y655" i="34"/>
  <c r="U655" i="34"/>
  <c r="T655" i="34"/>
  <c r="S655" i="34"/>
  <c r="O655" i="34"/>
  <c r="N655" i="34"/>
  <c r="C655" i="34"/>
  <c r="B655" i="34" s="1"/>
  <c r="Z654" i="34"/>
  <c r="Y654" i="34"/>
  <c r="U654" i="34"/>
  <c r="T654" i="34"/>
  <c r="S654" i="34"/>
  <c r="O654" i="34"/>
  <c r="N654" i="34"/>
  <c r="C654" i="34"/>
  <c r="B654" i="34" s="1"/>
  <c r="Z653" i="34"/>
  <c r="Y653" i="34"/>
  <c r="U653" i="34"/>
  <c r="T653" i="34"/>
  <c r="S653" i="34"/>
  <c r="O653" i="34"/>
  <c r="N653" i="34"/>
  <c r="C653" i="34"/>
  <c r="B653" i="34" s="1"/>
  <c r="Q653" i="34" s="1"/>
  <c r="Z652" i="34"/>
  <c r="Y652" i="34"/>
  <c r="U652" i="34"/>
  <c r="T652" i="34"/>
  <c r="S652" i="34"/>
  <c r="O652" i="34"/>
  <c r="N652" i="34"/>
  <c r="C652" i="34"/>
  <c r="B652" i="34" s="1"/>
  <c r="Z651" i="34"/>
  <c r="Y651" i="34"/>
  <c r="U651" i="34"/>
  <c r="T651" i="34"/>
  <c r="S651" i="34"/>
  <c r="O651" i="34"/>
  <c r="N651" i="34"/>
  <c r="C651" i="34"/>
  <c r="B651" i="34" s="1"/>
  <c r="Z650" i="34"/>
  <c r="Y650" i="34"/>
  <c r="U650" i="34"/>
  <c r="T650" i="34"/>
  <c r="S650" i="34"/>
  <c r="O650" i="34"/>
  <c r="N650" i="34"/>
  <c r="C650" i="34"/>
  <c r="B650" i="34" s="1"/>
  <c r="Z649" i="34"/>
  <c r="Y649" i="34"/>
  <c r="U649" i="34"/>
  <c r="T649" i="34"/>
  <c r="S649" i="34"/>
  <c r="O649" i="34"/>
  <c r="N649" i="34"/>
  <c r="C649" i="34"/>
  <c r="B649" i="34" s="1"/>
  <c r="A649" i="34" s="1"/>
  <c r="Z688" i="34"/>
  <c r="Y688" i="34"/>
  <c r="U688" i="34"/>
  <c r="T688" i="34"/>
  <c r="S688" i="34"/>
  <c r="O688" i="34"/>
  <c r="N688" i="34"/>
  <c r="C688" i="34"/>
  <c r="B688" i="34" s="1"/>
  <c r="Q688" i="34" s="1"/>
  <c r="Z687" i="34"/>
  <c r="Y687" i="34"/>
  <c r="U687" i="34"/>
  <c r="T687" i="34"/>
  <c r="S687" i="34"/>
  <c r="O687" i="34"/>
  <c r="N687" i="34"/>
  <c r="K687" i="34"/>
  <c r="C687" i="34"/>
  <c r="B687" i="34" s="1"/>
  <c r="Z686" i="34"/>
  <c r="Y686" i="34"/>
  <c r="U686" i="34"/>
  <c r="T686" i="34"/>
  <c r="S686" i="34"/>
  <c r="O686" i="34"/>
  <c r="N686" i="34"/>
  <c r="K686" i="34"/>
  <c r="C686" i="34"/>
  <c r="B686" i="34" s="1"/>
  <c r="Z685" i="34"/>
  <c r="Y685" i="34"/>
  <c r="U685" i="34"/>
  <c r="T685" i="34"/>
  <c r="S685" i="34"/>
  <c r="O685" i="34"/>
  <c r="N685" i="34"/>
  <c r="K685" i="34"/>
  <c r="C685" i="34"/>
  <c r="B685" i="34" s="1"/>
  <c r="Z684" i="34"/>
  <c r="Y684" i="34"/>
  <c r="U684" i="34"/>
  <c r="T684" i="34"/>
  <c r="S684" i="34"/>
  <c r="O684" i="34"/>
  <c r="N684" i="34"/>
  <c r="K684" i="34"/>
  <c r="C684" i="34"/>
  <c r="B684" i="34" s="1"/>
  <c r="Q684" i="34" s="1"/>
  <c r="Z683" i="34"/>
  <c r="Y683" i="34"/>
  <c r="U683" i="34"/>
  <c r="T683" i="34"/>
  <c r="S683" i="34"/>
  <c r="O683" i="34"/>
  <c r="N683" i="34"/>
  <c r="C683" i="34"/>
  <c r="B683" i="34" s="1"/>
  <c r="Z682" i="34"/>
  <c r="Y682" i="34"/>
  <c r="U682" i="34"/>
  <c r="T682" i="34"/>
  <c r="S682" i="34"/>
  <c r="O682" i="34"/>
  <c r="N682" i="34"/>
  <c r="C682" i="34"/>
  <c r="B682" i="34" s="1"/>
  <c r="Q682" i="34" s="1"/>
  <c r="Z681" i="34"/>
  <c r="Y681" i="34"/>
  <c r="U681" i="34"/>
  <c r="T681" i="34"/>
  <c r="S681" i="34"/>
  <c r="O681" i="34"/>
  <c r="N681" i="34"/>
  <c r="K681" i="34"/>
  <c r="C681" i="34"/>
  <c r="B681" i="34" s="1"/>
  <c r="Z680" i="34"/>
  <c r="Y680" i="34"/>
  <c r="U680" i="34"/>
  <c r="T680" i="34"/>
  <c r="S680" i="34"/>
  <c r="O680" i="34"/>
  <c r="N680" i="34"/>
  <c r="K680" i="34"/>
  <c r="C680" i="34"/>
  <c r="B680" i="34" s="1"/>
  <c r="Z679" i="34"/>
  <c r="Y679" i="34"/>
  <c r="U679" i="34"/>
  <c r="T679" i="34"/>
  <c r="S679" i="34"/>
  <c r="O679" i="34"/>
  <c r="N679" i="34"/>
  <c r="K679" i="34"/>
  <c r="C679" i="34"/>
  <c r="B679" i="34" s="1"/>
  <c r="Z678" i="34"/>
  <c r="Y678" i="34"/>
  <c r="U678" i="34"/>
  <c r="T678" i="34"/>
  <c r="S678" i="34"/>
  <c r="O678" i="34"/>
  <c r="N678" i="34"/>
  <c r="C678" i="34"/>
  <c r="B678" i="34" s="1"/>
  <c r="Q678" i="34" s="1"/>
  <c r="Z677" i="34"/>
  <c r="Y677" i="34"/>
  <c r="U677" i="34"/>
  <c r="T677" i="34"/>
  <c r="S677" i="34"/>
  <c r="O677" i="34"/>
  <c r="N677" i="34"/>
  <c r="K677" i="34"/>
  <c r="C677" i="34"/>
  <c r="B677" i="34" s="1"/>
  <c r="Z676" i="34"/>
  <c r="Y676" i="34"/>
  <c r="U676" i="34"/>
  <c r="T676" i="34"/>
  <c r="S676" i="34"/>
  <c r="O676" i="34"/>
  <c r="N676" i="34"/>
  <c r="K676" i="34"/>
  <c r="C676" i="34"/>
  <c r="B676" i="34" s="1"/>
  <c r="V676" i="34" s="1"/>
  <c r="Z669" i="34"/>
  <c r="Y669" i="34"/>
  <c r="U669" i="34"/>
  <c r="T669" i="34"/>
  <c r="S669" i="34"/>
  <c r="O669" i="34"/>
  <c r="N669" i="34"/>
  <c r="C669" i="34"/>
  <c r="B669" i="34" s="1"/>
  <c r="Z670" i="34"/>
  <c r="Y670" i="34"/>
  <c r="U670" i="34"/>
  <c r="T670" i="34"/>
  <c r="S670" i="34"/>
  <c r="O670" i="34"/>
  <c r="N670" i="34"/>
  <c r="C670" i="34"/>
  <c r="B670" i="34" s="1"/>
  <c r="Z666" i="34"/>
  <c r="Y666" i="34"/>
  <c r="U666" i="34"/>
  <c r="T666" i="34"/>
  <c r="S666" i="34"/>
  <c r="O666" i="34"/>
  <c r="N666" i="34"/>
  <c r="C666" i="34"/>
  <c r="B666" i="34" s="1"/>
  <c r="Z665" i="34"/>
  <c r="Y665" i="34"/>
  <c r="U665" i="34"/>
  <c r="T665" i="34"/>
  <c r="S665" i="34"/>
  <c r="O665" i="34"/>
  <c r="N665" i="34"/>
  <c r="K665" i="34"/>
  <c r="C665" i="34"/>
  <c r="B665" i="34" s="1"/>
  <c r="Z664" i="34"/>
  <c r="Y664" i="34"/>
  <c r="U664" i="34"/>
  <c r="T664" i="34"/>
  <c r="S664" i="34"/>
  <c r="O664" i="34"/>
  <c r="N664" i="34"/>
  <c r="K664" i="34"/>
  <c r="C664" i="34"/>
  <c r="B664" i="34" s="1"/>
  <c r="Z663" i="34"/>
  <c r="Y663" i="34"/>
  <c r="U663" i="34"/>
  <c r="T663" i="34"/>
  <c r="S663" i="34"/>
  <c r="O663" i="34"/>
  <c r="N663" i="34"/>
  <c r="C663" i="34"/>
  <c r="B663" i="34" s="1"/>
  <c r="Z662" i="34"/>
  <c r="Y662" i="34"/>
  <c r="U662" i="34"/>
  <c r="T662" i="34"/>
  <c r="S662" i="34"/>
  <c r="O662" i="34"/>
  <c r="N662" i="34"/>
  <c r="K662" i="34"/>
  <c r="C662" i="34"/>
  <c r="B662" i="34" s="1"/>
  <c r="Z661" i="34"/>
  <c r="Y661" i="34"/>
  <c r="U661" i="34"/>
  <c r="T661" i="34"/>
  <c r="S661" i="34"/>
  <c r="O661" i="34"/>
  <c r="N661" i="34"/>
  <c r="K661" i="34"/>
  <c r="C661" i="34"/>
  <c r="B661" i="34" s="1"/>
  <c r="K638" i="34"/>
  <c r="I632" i="34"/>
  <c r="K632" i="34" s="1"/>
  <c r="C624" i="34"/>
  <c r="B624" i="34" s="1"/>
  <c r="Q624" i="34" s="1"/>
  <c r="C625" i="34"/>
  <c r="B625" i="34" s="1"/>
  <c r="C626" i="34"/>
  <c r="B626" i="34" s="1"/>
  <c r="C627" i="34"/>
  <c r="B627" i="34" s="1"/>
  <c r="C628" i="34"/>
  <c r="B628" i="34" s="1"/>
  <c r="Q628" i="34" s="1"/>
  <c r="C629" i="34"/>
  <c r="B629" i="34" s="1"/>
  <c r="C630" i="34"/>
  <c r="B630" i="34" s="1"/>
  <c r="Q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36" i="34"/>
  <c r="B636" i="34" s="1"/>
  <c r="AA636" i="34" s="1"/>
  <c r="C637" i="34"/>
  <c r="B637" i="34" s="1"/>
  <c r="AA637" i="34" s="1"/>
  <c r="C638" i="34"/>
  <c r="B638" i="34" s="1"/>
  <c r="C639" i="34"/>
  <c r="B639" i="34" s="1"/>
  <c r="C640" i="34"/>
  <c r="B640" i="34" s="1"/>
  <c r="A640" i="34" s="1"/>
  <c r="C641" i="34"/>
  <c r="B641" i="34" s="1"/>
  <c r="AA641" i="34" s="1"/>
  <c r="C642" i="34"/>
  <c r="B642" i="34" s="1"/>
  <c r="C643" i="34"/>
  <c r="B643" i="34" s="1"/>
  <c r="C644" i="34"/>
  <c r="B644" i="34" s="1"/>
  <c r="C645" i="34"/>
  <c r="B645" i="34" s="1"/>
  <c r="AA645" i="34" s="1"/>
  <c r="C646" i="34"/>
  <c r="B646" i="34" s="1"/>
  <c r="C647" i="34"/>
  <c r="B647" i="34" s="1"/>
  <c r="AA647" i="34" s="1"/>
  <c r="C648" i="34"/>
  <c r="B648" i="34" s="1"/>
  <c r="C671" i="34"/>
  <c r="B671" i="34" s="1"/>
  <c r="AA671" i="34" s="1"/>
  <c r="C672" i="34"/>
  <c r="C767" i="34"/>
  <c r="C623" i="34"/>
  <c r="B623" i="34" s="1"/>
  <c r="K626" i="34"/>
  <c r="K629" i="34"/>
  <c r="K633" i="34"/>
  <c r="K635" i="34"/>
  <c r="K641" i="34"/>
  <c r="K642" i="34"/>
  <c r="K644" i="34"/>
  <c r="K646" i="34"/>
  <c r="K647" i="34"/>
  <c r="K623" i="34"/>
  <c r="Z633" i="34"/>
  <c r="Y633" i="34"/>
  <c r="U633" i="34"/>
  <c r="T633" i="34"/>
  <c r="S633" i="34"/>
  <c r="O633" i="34"/>
  <c r="N633" i="34"/>
  <c r="Z632" i="34"/>
  <c r="Y632" i="34"/>
  <c r="U632" i="34"/>
  <c r="T632" i="34"/>
  <c r="S632" i="34"/>
  <c r="O632" i="34"/>
  <c r="N632" i="34"/>
  <c r="Z631" i="34"/>
  <c r="Y631" i="34"/>
  <c r="U631" i="34"/>
  <c r="T631" i="34"/>
  <c r="S631" i="34"/>
  <c r="O631" i="34"/>
  <c r="N631" i="34"/>
  <c r="Z630" i="34"/>
  <c r="Y630" i="34"/>
  <c r="U630" i="34"/>
  <c r="T630" i="34"/>
  <c r="S630" i="34"/>
  <c r="O630" i="34"/>
  <c r="N630" i="34"/>
  <c r="Z629" i="34"/>
  <c r="Y629" i="34"/>
  <c r="U629" i="34"/>
  <c r="T629" i="34"/>
  <c r="S629" i="34"/>
  <c r="O629" i="34"/>
  <c r="N629" i="34"/>
  <c r="Z628" i="34"/>
  <c r="Y628" i="34"/>
  <c r="U628" i="34"/>
  <c r="T628" i="34"/>
  <c r="S628" i="34"/>
  <c r="O628" i="34"/>
  <c r="N628" i="34"/>
  <c r="Z627" i="34"/>
  <c r="Y627" i="34"/>
  <c r="U627" i="34"/>
  <c r="T627" i="34"/>
  <c r="S627" i="34"/>
  <c r="O627" i="34"/>
  <c r="N627" i="34"/>
  <c r="Z626" i="34"/>
  <c r="Y626" i="34"/>
  <c r="U626" i="34"/>
  <c r="T626" i="34"/>
  <c r="S626" i="34"/>
  <c r="O626" i="34"/>
  <c r="N626" i="34"/>
  <c r="Z625" i="34"/>
  <c r="Y625" i="34"/>
  <c r="U625" i="34"/>
  <c r="T625" i="34"/>
  <c r="S625" i="34"/>
  <c r="O625" i="34"/>
  <c r="N625" i="34"/>
  <c r="Z624" i="34"/>
  <c r="Y624" i="34"/>
  <c r="U624" i="34"/>
  <c r="T624" i="34"/>
  <c r="S624" i="34"/>
  <c r="O624" i="34"/>
  <c r="N624" i="34"/>
  <c r="Z623" i="34"/>
  <c r="Y623" i="34"/>
  <c r="U623" i="34"/>
  <c r="T623" i="34"/>
  <c r="S623" i="34"/>
  <c r="O623" i="34"/>
  <c r="N623" i="34"/>
  <c r="Z643" i="34"/>
  <c r="Y643" i="34"/>
  <c r="U643" i="34"/>
  <c r="T643" i="34"/>
  <c r="S643" i="34"/>
  <c r="O643" i="34"/>
  <c r="N643" i="34"/>
  <c r="Z642" i="34"/>
  <c r="Y642" i="34"/>
  <c r="U642" i="34"/>
  <c r="T642" i="34"/>
  <c r="S642" i="34"/>
  <c r="O642" i="34"/>
  <c r="N642" i="34"/>
  <c r="Z641" i="34"/>
  <c r="Y641" i="34"/>
  <c r="U641" i="34"/>
  <c r="T641" i="34"/>
  <c r="S641" i="34"/>
  <c r="O641" i="34"/>
  <c r="N641" i="34"/>
  <c r="Z640" i="34"/>
  <c r="Y640" i="34"/>
  <c r="U640" i="34"/>
  <c r="T640" i="34"/>
  <c r="S640" i="34"/>
  <c r="O640" i="34"/>
  <c r="N640" i="34"/>
  <c r="Z639" i="34"/>
  <c r="Y639" i="34"/>
  <c r="U639" i="34"/>
  <c r="T639" i="34"/>
  <c r="S639" i="34"/>
  <c r="O639" i="34"/>
  <c r="N639" i="34"/>
  <c r="Z638" i="34"/>
  <c r="Y638" i="34"/>
  <c r="U638" i="34"/>
  <c r="T638" i="34"/>
  <c r="S638" i="34"/>
  <c r="O638" i="34"/>
  <c r="N638" i="34"/>
  <c r="Z637" i="34"/>
  <c r="Y637" i="34"/>
  <c r="U637" i="34"/>
  <c r="T637" i="34"/>
  <c r="S637" i="34"/>
  <c r="O637" i="34"/>
  <c r="N637" i="34"/>
  <c r="Z636" i="34"/>
  <c r="Y636" i="34"/>
  <c r="U636" i="34"/>
  <c r="T636" i="34"/>
  <c r="S636" i="34"/>
  <c r="O636" i="34"/>
  <c r="N636" i="34"/>
  <c r="Z635" i="34"/>
  <c r="Y635" i="34"/>
  <c r="U635" i="34"/>
  <c r="T635" i="34"/>
  <c r="S635" i="34"/>
  <c r="O635" i="34"/>
  <c r="N635" i="34"/>
  <c r="Z634" i="34"/>
  <c r="Y634" i="34"/>
  <c r="U634" i="34"/>
  <c r="T634" i="34"/>
  <c r="S634" i="34"/>
  <c r="O634" i="34"/>
  <c r="N634" i="34"/>
  <c r="Z671" i="34"/>
  <c r="Y671" i="34"/>
  <c r="U671" i="34"/>
  <c r="T671" i="34"/>
  <c r="S671" i="34"/>
  <c r="O671" i="34"/>
  <c r="N671" i="34"/>
  <c r="Z648" i="34"/>
  <c r="Y648" i="34"/>
  <c r="U648" i="34"/>
  <c r="T648" i="34"/>
  <c r="S648" i="34"/>
  <c r="O648" i="34"/>
  <c r="N648" i="34"/>
  <c r="Z647" i="34"/>
  <c r="Y647" i="34"/>
  <c r="U647" i="34"/>
  <c r="T647" i="34"/>
  <c r="S647" i="34"/>
  <c r="O647" i="34"/>
  <c r="N647" i="34"/>
  <c r="Z646" i="34"/>
  <c r="Y646" i="34"/>
  <c r="U646" i="34"/>
  <c r="T646" i="34"/>
  <c r="S646" i="34"/>
  <c r="O646" i="34"/>
  <c r="N646" i="34"/>
  <c r="Z645" i="34"/>
  <c r="Y645" i="34"/>
  <c r="U645" i="34"/>
  <c r="T645" i="34"/>
  <c r="S645" i="34"/>
  <c r="O645" i="34"/>
  <c r="N645" i="34"/>
  <c r="Z644" i="34"/>
  <c r="Y644" i="34"/>
  <c r="U644" i="34"/>
  <c r="T644" i="34"/>
  <c r="S644" i="34"/>
  <c r="O644" i="34"/>
  <c r="N644" i="34"/>
  <c r="A684" i="34" l="1"/>
  <c r="A653" i="34"/>
  <c r="Q278" i="34"/>
  <c r="A278" i="34"/>
  <c r="V278" i="34"/>
  <c r="R278" i="34"/>
  <c r="P279" i="34"/>
  <c r="AA279" i="34"/>
  <c r="A279" i="34"/>
  <c r="V279" i="34"/>
  <c r="R279" i="34"/>
  <c r="Q279" i="34"/>
  <c r="P280" i="34"/>
  <c r="AA278" i="34"/>
  <c r="Q280" i="34"/>
  <c r="P278" i="34"/>
  <c r="R280" i="34"/>
  <c r="V280" i="34"/>
  <c r="A280" i="34"/>
  <c r="AA277" i="34"/>
  <c r="V277" i="34"/>
  <c r="R277" i="34"/>
  <c r="P276" i="34"/>
  <c r="V276" i="34"/>
  <c r="R276" i="34"/>
  <c r="Q276" i="34"/>
  <c r="AA276" i="34"/>
  <c r="A276" i="34"/>
  <c r="P277" i="34"/>
  <c r="Q277" i="34"/>
  <c r="A277" i="34"/>
  <c r="P273" i="34"/>
  <c r="AA273" i="34"/>
  <c r="A273" i="34"/>
  <c r="V273" i="34"/>
  <c r="R273" i="34"/>
  <c r="Q273" i="34"/>
  <c r="P274" i="34"/>
  <c r="Q274" i="34"/>
  <c r="R274" i="34"/>
  <c r="V274" i="34"/>
  <c r="A274" i="34"/>
  <c r="V651" i="34"/>
  <c r="A651" i="34"/>
  <c r="Q657" i="34"/>
  <c r="A657" i="34"/>
  <c r="A688" i="34"/>
  <c r="P264" i="34"/>
  <c r="AA264" i="34"/>
  <c r="A264" i="34"/>
  <c r="V264" i="34"/>
  <c r="R264" i="34"/>
  <c r="Q264" i="34"/>
  <c r="P265" i="34"/>
  <c r="Q265" i="34"/>
  <c r="R265" i="34"/>
  <c r="V265" i="34"/>
  <c r="A265" i="34"/>
  <c r="Q255" i="34"/>
  <c r="A255" i="34"/>
  <c r="V255" i="34"/>
  <c r="R255" i="34"/>
  <c r="P256" i="34"/>
  <c r="AA256" i="34"/>
  <c r="A256" i="34"/>
  <c r="V256" i="34"/>
  <c r="R256" i="34"/>
  <c r="Q256" i="34"/>
  <c r="P257" i="34"/>
  <c r="AA255" i="34"/>
  <c r="Q257" i="34"/>
  <c r="P255" i="34"/>
  <c r="R257" i="34"/>
  <c r="V257" i="34"/>
  <c r="A257" i="34"/>
  <c r="P247" i="34"/>
  <c r="Q247" i="34"/>
  <c r="R247" i="34"/>
  <c r="V247" i="34"/>
  <c r="A247" i="34"/>
  <c r="R246" i="34"/>
  <c r="V246" i="34"/>
  <c r="A246" i="34"/>
  <c r="AA246" i="34"/>
  <c r="AA245" i="34"/>
  <c r="P245" i="34"/>
  <c r="Q245" i="34"/>
  <c r="P246" i="34"/>
  <c r="A245" i="34"/>
  <c r="R245" i="34"/>
  <c r="P243" i="34"/>
  <c r="AA243" i="34"/>
  <c r="A243" i="34"/>
  <c r="V243" i="34"/>
  <c r="R243" i="34"/>
  <c r="Q243" i="34"/>
  <c r="P244" i="34"/>
  <c r="Q244" i="34"/>
  <c r="R244" i="34"/>
  <c r="V244" i="34"/>
  <c r="A244" i="34"/>
  <c r="P241" i="34"/>
  <c r="AA241" i="34"/>
  <c r="A241" i="34"/>
  <c r="V241" i="34"/>
  <c r="R241" i="34"/>
  <c r="Q241" i="34"/>
  <c r="P242" i="34"/>
  <c r="Q242" i="34"/>
  <c r="R242" i="34"/>
  <c r="V242" i="34"/>
  <c r="A242" i="34"/>
  <c r="R231" i="34"/>
  <c r="V231" i="34"/>
  <c r="P230" i="34"/>
  <c r="AA230" i="34"/>
  <c r="A230" i="34"/>
  <c r="V230" i="34"/>
  <c r="R230" i="34"/>
  <c r="Q230" i="34"/>
  <c r="P231" i="34"/>
  <c r="Q231" i="34"/>
  <c r="A231" i="34"/>
  <c r="AA234" i="34"/>
  <c r="V234" i="34"/>
  <c r="R234" i="34"/>
  <c r="A234" i="34"/>
  <c r="Q234" i="34"/>
  <c r="P234" i="34"/>
  <c r="Q253" i="34"/>
  <c r="P253" i="34"/>
  <c r="AA253" i="34"/>
  <c r="V253" i="34"/>
  <c r="R253" i="34"/>
  <c r="A253" i="34"/>
  <c r="P254" i="34"/>
  <c r="AA254" i="34"/>
  <c r="A254" i="34"/>
  <c r="V254" i="34"/>
  <c r="R254" i="34"/>
  <c r="Q254" i="34"/>
  <c r="Q233" i="34"/>
  <c r="A233" i="34"/>
  <c r="V233" i="34"/>
  <c r="R233" i="34"/>
  <c r="P235" i="34"/>
  <c r="AA235" i="34"/>
  <c r="A235" i="34"/>
  <c r="V235" i="34"/>
  <c r="R235" i="34"/>
  <c r="Q235" i="34"/>
  <c r="P236" i="34"/>
  <c r="AA233" i="34"/>
  <c r="Q236" i="34"/>
  <c r="P233" i="34"/>
  <c r="R236" i="34"/>
  <c r="V236" i="34"/>
  <c r="A236" i="34"/>
  <c r="R688" i="34"/>
  <c r="V688" i="34"/>
  <c r="Q686" i="34"/>
  <c r="A686" i="34"/>
  <c r="V686" i="34"/>
  <c r="R686" i="34"/>
  <c r="R684" i="34"/>
  <c r="V684" i="34"/>
  <c r="R682" i="34"/>
  <c r="V682" i="34"/>
  <c r="A682" i="34"/>
  <c r="A678" i="34"/>
  <c r="Q667" i="34"/>
  <c r="A667" i="34"/>
  <c r="V667" i="34"/>
  <c r="R667" i="34"/>
  <c r="R659" i="34"/>
  <c r="V659" i="34"/>
  <c r="A659" i="34"/>
  <c r="R657" i="34"/>
  <c r="V657" i="34"/>
  <c r="Q655" i="34"/>
  <c r="A655" i="34"/>
  <c r="V655" i="34"/>
  <c r="R655" i="34"/>
  <c r="R653" i="34"/>
  <c r="V653" i="34"/>
  <c r="R651" i="34"/>
  <c r="Q680" i="34"/>
  <c r="A680" i="34"/>
  <c r="V680" i="34"/>
  <c r="R680" i="34"/>
  <c r="AA650" i="34"/>
  <c r="V650" i="34"/>
  <c r="R650" i="34"/>
  <c r="A650" i="34"/>
  <c r="P650" i="34"/>
  <c r="R676" i="34"/>
  <c r="Q650" i="34"/>
  <c r="Q651" i="34"/>
  <c r="P651" i="34"/>
  <c r="AA651" i="34"/>
  <c r="AA652" i="34"/>
  <c r="V652" i="34"/>
  <c r="R652" i="34"/>
  <c r="A652" i="34"/>
  <c r="Q652" i="34"/>
  <c r="P652" i="34"/>
  <c r="AA654" i="34"/>
  <c r="V654" i="34"/>
  <c r="R654" i="34"/>
  <c r="A654" i="34"/>
  <c r="Q654" i="34"/>
  <c r="P654" i="34"/>
  <c r="AA656" i="34"/>
  <c r="V656" i="34"/>
  <c r="R656" i="34"/>
  <c r="A656" i="34"/>
  <c r="Q656" i="34"/>
  <c r="P656" i="34"/>
  <c r="AA658" i="34"/>
  <c r="V658" i="34"/>
  <c r="R658" i="34"/>
  <c r="A658" i="34"/>
  <c r="Q658" i="34"/>
  <c r="P658" i="34"/>
  <c r="AA660" i="34"/>
  <c r="V660" i="34"/>
  <c r="R660" i="34"/>
  <c r="A660" i="34"/>
  <c r="Q660" i="34"/>
  <c r="P660" i="34"/>
  <c r="AA668" i="34"/>
  <c r="V668" i="34"/>
  <c r="R668" i="34"/>
  <c r="A668" i="34"/>
  <c r="Q668" i="34"/>
  <c r="P668" i="34"/>
  <c r="Q676" i="34"/>
  <c r="A676" i="34"/>
  <c r="Q649" i="34"/>
  <c r="P649" i="34"/>
  <c r="R649" i="34"/>
  <c r="V649" i="34"/>
  <c r="AA649" i="34"/>
  <c r="AA653" i="34"/>
  <c r="AA655" i="34"/>
  <c r="AA657" i="34"/>
  <c r="AA659" i="34"/>
  <c r="AA667" i="34"/>
  <c r="P653" i="34"/>
  <c r="P655" i="34"/>
  <c r="P657" i="34"/>
  <c r="P659" i="34"/>
  <c r="P667" i="34"/>
  <c r="R678" i="34"/>
  <c r="V678" i="34"/>
  <c r="AA669" i="34"/>
  <c r="V669" i="34"/>
  <c r="R669" i="34"/>
  <c r="A669" i="34"/>
  <c r="Q669" i="34"/>
  <c r="P669" i="34"/>
  <c r="AA677" i="34"/>
  <c r="V677" i="34"/>
  <c r="R677" i="34"/>
  <c r="A677" i="34"/>
  <c r="Q677" i="34"/>
  <c r="P677" i="34"/>
  <c r="AA679" i="34"/>
  <c r="V679" i="34"/>
  <c r="R679" i="34"/>
  <c r="A679" i="34"/>
  <c r="Q679" i="34"/>
  <c r="P679" i="34"/>
  <c r="AA681" i="34"/>
  <c r="V681" i="34"/>
  <c r="R681" i="34"/>
  <c r="A681" i="34"/>
  <c r="Q681" i="34"/>
  <c r="P681" i="34"/>
  <c r="AA683" i="34"/>
  <c r="V683" i="34"/>
  <c r="R683" i="34"/>
  <c r="A683" i="34"/>
  <c r="Q683" i="34"/>
  <c r="P683" i="34"/>
  <c r="AA685" i="34"/>
  <c r="V685" i="34"/>
  <c r="R685" i="34"/>
  <c r="A685" i="34"/>
  <c r="Q685" i="34"/>
  <c r="P685" i="34"/>
  <c r="AA687" i="34"/>
  <c r="V687" i="34"/>
  <c r="R687" i="34"/>
  <c r="A687" i="34"/>
  <c r="Q687" i="34"/>
  <c r="P687" i="34"/>
  <c r="AA676" i="34"/>
  <c r="AA678" i="34"/>
  <c r="AA680" i="34"/>
  <c r="AA682" i="34"/>
  <c r="AA684" i="34"/>
  <c r="AA686" i="34"/>
  <c r="AA688" i="34"/>
  <c r="P676" i="34"/>
  <c r="P678" i="34"/>
  <c r="P680" i="34"/>
  <c r="P682" i="34"/>
  <c r="P684" i="34"/>
  <c r="P686" i="34"/>
  <c r="P688" i="34"/>
  <c r="Q664" i="34"/>
  <c r="P664" i="34"/>
  <c r="AA664" i="34"/>
  <c r="V664" i="34"/>
  <c r="R664" i="34"/>
  <c r="A664" i="34"/>
  <c r="AA661" i="34"/>
  <c r="V661" i="34"/>
  <c r="R661" i="34"/>
  <c r="A661" i="34"/>
  <c r="Q661" i="34"/>
  <c r="P661" i="34"/>
  <c r="AA665" i="34"/>
  <c r="V665" i="34"/>
  <c r="R665" i="34"/>
  <c r="A665" i="34"/>
  <c r="Q665" i="34"/>
  <c r="P665" i="34"/>
  <c r="Q662" i="34"/>
  <c r="P662" i="34"/>
  <c r="AA662" i="34"/>
  <c r="V662" i="34"/>
  <c r="R662" i="34"/>
  <c r="A662" i="34"/>
  <c r="Q666" i="34"/>
  <c r="P666" i="34"/>
  <c r="AA666" i="34"/>
  <c r="V666" i="34"/>
  <c r="R666" i="34"/>
  <c r="A666" i="34"/>
  <c r="AA663" i="34"/>
  <c r="V663" i="34"/>
  <c r="R663" i="34"/>
  <c r="A663" i="34"/>
  <c r="Q663" i="34"/>
  <c r="P663" i="34"/>
  <c r="AA670" i="34"/>
  <c r="V670" i="34"/>
  <c r="R670" i="34"/>
  <c r="A670" i="34"/>
  <c r="Q670" i="34"/>
  <c r="P670" i="34"/>
  <c r="A647" i="34"/>
  <c r="P647" i="34"/>
  <c r="Q632" i="34"/>
  <c r="P632" i="34"/>
  <c r="A632" i="34"/>
  <c r="AA646" i="34"/>
  <c r="P646" i="34"/>
  <c r="A646" i="34"/>
  <c r="P636" i="34"/>
  <c r="P640" i="34"/>
  <c r="A636" i="34"/>
  <c r="A645" i="34"/>
  <c r="P645" i="34"/>
  <c r="A671" i="34"/>
  <c r="P671" i="34"/>
  <c r="A641" i="34"/>
  <c r="P641" i="34"/>
  <c r="A628" i="34"/>
  <c r="P628" i="34"/>
  <c r="A637" i="34"/>
  <c r="P637" i="34"/>
  <c r="A624" i="34"/>
  <c r="P624" i="34"/>
  <c r="A630" i="34"/>
  <c r="P630" i="34"/>
  <c r="Q626" i="34"/>
  <c r="P626" i="34"/>
  <c r="A626" i="34"/>
  <c r="AA648" i="34"/>
  <c r="P648" i="34"/>
  <c r="A648" i="34"/>
  <c r="Q633" i="34"/>
  <c r="AA633" i="34"/>
  <c r="V633" i="34"/>
  <c r="R633" i="34"/>
  <c r="P633" i="34"/>
  <c r="A633" i="34"/>
  <c r="Q629" i="34"/>
  <c r="AA629" i="34"/>
  <c r="V629" i="34"/>
  <c r="R629" i="34"/>
  <c r="P629" i="34"/>
  <c r="A629" i="34"/>
  <c r="Q625" i="34"/>
  <c r="AA625" i="34"/>
  <c r="V625" i="34"/>
  <c r="R625" i="34"/>
  <c r="P625" i="34"/>
  <c r="A625" i="34"/>
  <c r="AA644" i="34"/>
  <c r="P644" i="34"/>
  <c r="A644" i="34"/>
  <c r="AA642" i="34"/>
  <c r="P642" i="34"/>
  <c r="A642" i="34"/>
  <c r="AA640" i="34"/>
  <c r="Q631" i="34"/>
  <c r="AA631" i="34"/>
  <c r="V631" i="34"/>
  <c r="R631" i="34"/>
  <c r="P631" i="34"/>
  <c r="A631" i="34"/>
  <c r="Q627" i="34"/>
  <c r="AA627" i="34"/>
  <c r="V627" i="34"/>
  <c r="R627" i="34"/>
  <c r="P627" i="34"/>
  <c r="A627" i="34"/>
  <c r="AA634" i="34"/>
  <c r="P634" i="34"/>
  <c r="A634" i="34"/>
  <c r="AA638" i="34"/>
  <c r="P638" i="34"/>
  <c r="A638" i="34"/>
  <c r="AA643" i="34"/>
  <c r="P643" i="34"/>
  <c r="A643" i="34"/>
  <c r="AA639" i="34"/>
  <c r="P639" i="34"/>
  <c r="A639" i="34"/>
  <c r="AA635" i="34"/>
  <c r="P635" i="34"/>
  <c r="A635" i="34"/>
  <c r="R624" i="34"/>
  <c r="V624" i="34"/>
  <c r="AA624" i="34"/>
  <c r="R626" i="34"/>
  <c r="V626" i="34"/>
  <c r="AA626" i="34"/>
  <c r="R628" i="34"/>
  <c r="V628" i="34"/>
  <c r="AA628" i="34"/>
  <c r="R630" i="34"/>
  <c r="V630" i="34"/>
  <c r="AA630" i="34"/>
  <c r="R632" i="34"/>
  <c r="V632" i="34"/>
  <c r="AA632" i="34"/>
  <c r="Q623" i="34"/>
  <c r="P623" i="34"/>
  <c r="A623" i="34"/>
  <c r="AA623" i="34"/>
  <c r="V623" i="34"/>
  <c r="R623" i="34"/>
  <c r="Q634" i="34"/>
  <c r="Q635" i="34"/>
  <c r="Q636" i="34"/>
  <c r="Q637" i="34"/>
  <c r="Q638" i="34"/>
  <c r="Q639" i="34"/>
  <c r="Q640" i="34"/>
  <c r="Q641" i="34"/>
  <c r="Q642" i="34"/>
  <c r="Q643" i="34"/>
  <c r="R634" i="34"/>
  <c r="V634" i="34"/>
  <c r="R635" i="34"/>
  <c r="V635" i="34"/>
  <c r="R636" i="34"/>
  <c r="V636" i="34"/>
  <c r="R637" i="34"/>
  <c r="V637" i="34"/>
  <c r="R638" i="34"/>
  <c r="V638" i="34"/>
  <c r="R639" i="34"/>
  <c r="V639" i="34"/>
  <c r="R640" i="34"/>
  <c r="V640" i="34"/>
  <c r="R641" i="34"/>
  <c r="V641" i="34"/>
  <c r="R642" i="34"/>
  <c r="V642" i="34"/>
  <c r="R643" i="34"/>
  <c r="V643" i="34"/>
  <c r="Q644" i="34"/>
  <c r="Q645" i="34"/>
  <c r="Q646" i="34"/>
  <c r="Q647" i="34"/>
  <c r="Q648" i="34"/>
  <c r="Q671" i="34"/>
  <c r="R644" i="34"/>
  <c r="V644" i="34"/>
  <c r="R645" i="34"/>
  <c r="V645" i="34"/>
  <c r="R646" i="34"/>
  <c r="V646" i="34"/>
  <c r="R647" i="34"/>
  <c r="V647" i="34"/>
  <c r="R648" i="34"/>
  <c r="V648" i="34"/>
  <c r="R671" i="34"/>
  <c r="V671" i="34"/>
  <c r="U41" i="34"/>
  <c r="T41" i="34"/>
  <c r="S41" i="34"/>
  <c r="O41" i="34"/>
  <c r="N41" i="34"/>
  <c r="K41" i="34"/>
  <c r="F41" i="34"/>
  <c r="Z41" i="34" s="1"/>
  <c r="C41" i="34"/>
  <c r="B41" i="34" s="1"/>
  <c r="Z40" i="34"/>
  <c r="Y40" i="34"/>
  <c r="U40" i="34"/>
  <c r="T40" i="34"/>
  <c r="S40" i="34"/>
  <c r="O40" i="34"/>
  <c r="N40" i="34"/>
  <c r="C40" i="34"/>
  <c r="B40" i="34" s="1"/>
  <c r="Z39" i="34"/>
  <c r="Y39" i="34"/>
  <c r="U39" i="34"/>
  <c r="T39" i="34"/>
  <c r="S39" i="34"/>
  <c r="O39" i="34"/>
  <c r="N39" i="34"/>
  <c r="C39" i="34"/>
  <c r="B39" i="34" s="1"/>
  <c r="U38" i="34"/>
  <c r="T38" i="34"/>
  <c r="S38" i="34"/>
  <c r="O38" i="34"/>
  <c r="N38" i="34"/>
  <c r="K38" i="34"/>
  <c r="F38" i="34"/>
  <c r="Z38" i="34" s="1"/>
  <c r="C38" i="34"/>
  <c r="B38" i="34" s="1"/>
  <c r="Z37" i="34"/>
  <c r="Y37" i="34"/>
  <c r="U37" i="34"/>
  <c r="T37" i="34"/>
  <c r="S37" i="34"/>
  <c r="O37" i="34"/>
  <c r="N37" i="34"/>
  <c r="C37" i="34"/>
  <c r="B37" i="34" s="1"/>
  <c r="Z36" i="34"/>
  <c r="Y36" i="34"/>
  <c r="U36" i="34"/>
  <c r="T36" i="34"/>
  <c r="S36" i="34"/>
  <c r="O36" i="34"/>
  <c r="N36" i="34"/>
  <c r="C36" i="34"/>
  <c r="B36" i="34" s="1"/>
  <c r="U35" i="34"/>
  <c r="T35" i="34"/>
  <c r="S35" i="34"/>
  <c r="O35" i="34"/>
  <c r="N35" i="34"/>
  <c r="K35" i="34"/>
  <c r="F35" i="34"/>
  <c r="Z35" i="34" s="1"/>
  <c r="C35" i="34"/>
  <c r="B35" i="34" s="1"/>
  <c r="Z34" i="34"/>
  <c r="Y34" i="34"/>
  <c r="U34" i="34"/>
  <c r="T34" i="34"/>
  <c r="S34" i="34"/>
  <c r="O34" i="34"/>
  <c r="N34" i="34"/>
  <c r="C34" i="34"/>
  <c r="B34" i="34" s="1"/>
  <c r="Z33" i="34"/>
  <c r="Y33" i="34"/>
  <c r="U33" i="34"/>
  <c r="T33" i="34"/>
  <c r="S33" i="34"/>
  <c r="O33" i="34"/>
  <c r="N33" i="34"/>
  <c r="C33" i="34"/>
  <c r="B33" i="34" s="1"/>
  <c r="U32" i="34"/>
  <c r="T32" i="34"/>
  <c r="S32" i="34"/>
  <c r="O32" i="34"/>
  <c r="N32" i="34"/>
  <c r="K32" i="34"/>
  <c r="F32" i="34"/>
  <c r="Z32" i="34" s="1"/>
  <c r="C32" i="34"/>
  <c r="B32" i="34" s="1"/>
  <c r="Z31" i="34"/>
  <c r="Y31" i="34"/>
  <c r="U31" i="34"/>
  <c r="T31" i="34"/>
  <c r="S31" i="34"/>
  <c r="O31" i="34"/>
  <c r="N31" i="34"/>
  <c r="C31" i="34"/>
  <c r="B31" i="34" s="1"/>
  <c r="Z30" i="34"/>
  <c r="Y30" i="34"/>
  <c r="U30" i="34"/>
  <c r="T30" i="34"/>
  <c r="S30" i="34"/>
  <c r="O30" i="34"/>
  <c r="N30" i="34"/>
  <c r="C30" i="34"/>
  <c r="B30" i="34" s="1"/>
  <c r="U29" i="34"/>
  <c r="T29" i="34"/>
  <c r="S29" i="34"/>
  <c r="O29" i="34"/>
  <c r="N29" i="34"/>
  <c r="K29" i="34"/>
  <c r="F29" i="34"/>
  <c r="Z29" i="34" s="1"/>
  <c r="C29" i="34"/>
  <c r="B29" i="34" s="1"/>
  <c r="Z28" i="34"/>
  <c r="Y28" i="34"/>
  <c r="U28" i="34"/>
  <c r="T28" i="34"/>
  <c r="S28" i="34"/>
  <c r="O28" i="34"/>
  <c r="N28" i="34"/>
  <c r="C28" i="34"/>
  <c r="B28" i="34" s="1"/>
  <c r="Z27" i="34"/>
  <c r="Y27" i="34"/>
  <c r="U27" i="34"/>
  <c r="T27" i="34"/>
  <c r="S27" i="34"/>
  <c r="O27" i="34"/>
  <c r="N27" i="34"/>
  <c r="C27" i="34"/>
  <c r="B27" i="34" s="1"/>
  <c r="C42" i="34"/>
  <c r="B42" i="34" s="1"/>
  <c r="N42" i="34"/>
  <c r="O42" i="34"/>
  <c r="S42" i="34"/>
  <c r="T42" i="34"/>
  <c r="U42" i="34"/>
  <c r="Y42" i="34"/>
  <c r="Z42" i="34"/>
  <c r="C43" i="34"/>
  <c r="B43" i="34" s="1"/>
  <c r="N43" i="34"/>
  <c r="O43" i="34"/>
  <c r="Y43" i="34"/>
  <c r="Z43" i="34"/>
  <c r="C46" i="34"/>
  <c r="B46" i="34" s="1"/>
  <c r="N46" i="34"/>
  <c r="O46" i="34"/>
  <c r="Y46" i="34"/>
  <c r="Z46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N47" i="34"/>
  <c r="O47" i="34"/>
  <c r="Y47" i="34"/>
  <c r="Z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Y53" i="34"/>
  <c r="Z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Y56" i="34"/>
  <c r="Z56" i="34"/>
  <c r="N57" i="34"/>
  <c r="O57" i="34"/>
  <c r="Y57" i="34"/>
  <c r="Z57" i="34"/>
  <c r="N58" i="34"/>
  <c r="O58" i="34"/>
  <c r="Y58" i="34"/>
  <c r="Z58" i="34"/>
  <c r="N59" i="34"/>
  <c r="O59" i="34"/>
  <c r="S59" i="34"/>
  <c r="T59" i="34"/>
  <c r="U59" i="34"/>
  <c r="Y59" i="34"/>
  <c r="Z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Y62" i="34"/>
  <c r="Z62" i="34"/>
  <c r="N44" i="34"/>
  <c r="O44" i="34"/>
  <c r="S44" i="34"/>
  <c r="T44" i="34"/>
  <c r="U44" i="34"/>
  <c r="Y44" i="34"/>
  <c r="Z44" i="34"/>
  <c r="N45" i="34"/>
  <c r="O45" i="34"/>
  <c r="S45" i="34"/>
  <c r="T45" i="34"/>
  <c r="U45" i="34"/>
  <c r="Y45" i="34"/>
  <c r="Z45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63" i="34"/>
  <c r="O63" i="34"/>
  <c r="Y63" i="34"/>
  <c r="Z63" i="34"/>
  <c r="N64" i="34"/>
  <c r="O64" i="34"/>
  <c r="Y64" i="34"/>
  <c r="Z64" i="34"/>
  <c r="N65" i="34"/>
  <c r="O65" i="34"/>
  <c r="Y65" i="34"/>
  <c r="Z65" i="34"/>
  <c r="N66" i="34"/>
  <c r="O66" i="34"/>
  <c r="Y66" i="34"/>
  <c r="Z66" i="34"/>
  <c r="N67" i="34"/>
  <c r="O67" i="34"/>
  <c r="Y67" i="34"/>
  <c r="Z67" i="34"/>
  <c r="N68" i="34"/>
  <c r="O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Y80" i="34"/>
  <c r="Z80" i="34"/>
  <c r="N81" i="34"/>
  <c r="O81" i="34"/>
  <c r="Y81" i="34"/>
  <c r="Z81" i="34"/>
  <c r="N82" i="34"/>
  <c r="O82" i="34"/>
  <c r="Y82" i="34"/>
  <c r="Z82" i="34"/>
  <c r="N83" i="34"/>
  <c r="O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Y110" i="34"/>
  <c r="Z110" i="34"/>
  <c r="N111" i="34"/>
  <c r="O111" i="34"/>
  <c r="Y111" i="34"/>
  <c r="Z111" i="34"/>
  <c r="N112" i="34"/>
  <c r="O112" i="34"/>
  <c r="Y112" i="34"/>
  <c r="Z112" i="34"/>
  <c r="N113" i="34"/>
  <c r="O113" i="34"/>
  <c r="Y113" i="34"/>
  <c r="Z113" i="34"/>
  <c r="N114" i="34"/>
  <c r="O114" i="34"/>
  <c r="Y114" i="34"/>
  <c r="Z114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Y121" i="34"/>
  <c r="Z121" i="34"/>
  <c r="N122" i="34"/>
  <c r="O122" i="34"/>
  <c r="Y122" i="34"/>
  <c r="Z122" i="34"/>
  <c r="N123" i="34"/>
  <c r="O123" i="34"/>
  <c r="Y123" i="34"/>
  <c r="Z123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57" i="34"/>
  <c r="O157" i="34"/>
  <c r="Y157" i="34"/>
  <c r="Z157" i="34"/>
  <c r="N158" i="34"/>
  <c r="O158" i="34"/>
  <c r="Y158" i="34"/>
  <c r="Z158" i="34"/>
  <c r="N159" i="34"/>
  <c r="O159" i="34"/>
  <c r="Y159" i="34"/>
  <c r="Z159" i="34"/>
  <c r="N160" i="34"/>
  <c r="O160" i="34"/>
  <c r="Y160" i="34"/>
  <c r="Z160" i="34"/>
  <c r="N161" i="34"/>
  <c r="O161" i="34"/>
  <c r="Y161" i="34"/>
  <c r="Z161" i="34"/>
  <c r="N162" i="34"/>
  <c r="O162" i="34"/>
  <c r="Y162" i="34"/>
  <c r="Z162" i="34"/>
  <c r="N163" i="34"/>
  <c r="O163" i="34"/>
  <c r="Y163" i="34"/>
  <c r="Z163" i="34"/>
  <c r="N164" i="34"/>
  <c r="O164" i="34"/>
  <c r="Y164" i="34"/>
  <c r="Z164" i="34"/>
  <c r="N165" i="34"/>
  <c r="O165" i="34"/>
  <c r="Y165" i="34"/>
  <c r="Z165" i="34"/>
  <c r="N166" i="34"/>
  <c r="O166" i="34"/>
  <c r="Y166" i="34"/>
  <c r="Z166" i="34"/>
  <c r="N167" i="34"/>
  <c r="O167" i="34"/>
  <c r="Y167" i="34"/>
  <c r="Z167" i="34"/>
  <c r="N168" i="34"/>
  <c r="O168" i="34"/>
  <c r="Y168" i="34"/>
  <c r="Z168" i="34"/>
  <c r="N169" i="34"/>
  <c r="O169" i="34"/>
  <c r="Y169" i="34"/>
  <c r="Z169" i="34"/>
  <c r="N170" i="34"/>
  <c r="O170" i="34"/>
  <c r="Y170" i="34"/>
  <c r="Z170" i="34"/>
  <c r="N171" i="34"/>
  <c r="O171" i="34"/>
  <c r="Y171" i="34"/>
  <c r="Z171" i="34"/>
  <c r="N172" i="34"/>
  <c r="O172" i="34"/>
  <c r="Y172" i="34"/>
  <c r="Z172" i="34"/>
  <c r="N173" i="34"/>
  <c r="O173" i="34"/>
  <c r="Y173" i="34"/>
  <c r="Z173" i="34"/>
  <c r="N174" i="34"/>
  <c r="O174" i="34"/>
  <c r="Y174" i="34"/>
  <c r="Z174" i="34"/>
  <c r="N175" i="34"/>
  <c r="O175" i="34"/>
  <c r="Y175" i="34"/>
  <c r="Z175" i="34"/>
  <c r="N176" i="34"/>
  <c r="O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Y191" i="34"/>
  <c r="Z191" i="34"/>
  <c r="N192" i="34"/>
  <c r="O192" i="34"/>
  <c r="Y192" i="34"/>
  <c r="Z192" i="34"/>
  <c r="N193" i="34"/>
  <c r="O193" i="34"/>
  <c r="Y193" i="34"/>
  <c r="Z193" i="34"/>
  <c r="N194" i="34"/>
  <c r="O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Y211" i="34"/>
  <c r="Z211" i="34"/>
  <c r="N212" i="34"/>
  <c r="O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32" i="34"/>
  <c r="O232" i="34"/>
  <c r="Y232" i="34"/>
  <c r="Z232" i="34"/>
  <c r="N237" i="34"/>
  <c r="O237" i="34"/>
  <c r="Y237" i="34"/>
  <c r="Z237" i="34"/>
  <c r="N238" i="34"/>
  <c r="O238" i="34"/>
  <c r="Y238" i="34"/>
  <c r="Z238" i="34"/>
  <c r="N239" i="34"/>
  <c r="O239" i="34"/>
  <c r="Y239" i="34"/>
  <c r="Z239" i="34"/>
  <c r="N240" i="34"/>
  <c r="O240" i="34"/>
  <c r="Y240" i="34"/>
  <c r="Z240" i="34"/>
  <c r="N248" i="34"/>
  <c r="O248" i="34"/>
  <c r="Y248" i="34"/>
  <c r="Z248" i="34"/>
  <c r="N249" i="34"/>
  <c r="O249" i="34"/>
  <c r="Y249" i="34"/>
  <c r="Z249" i="34"/>
  <c r="N250" i="34"/>
  <c r="O250" i="34"/>
  <c r="Y250" i="34"/>
  <c r="Z250" i="34"/>
  <c r="N251" i="34"/>
  <c r="O251" i="34"/>
  <c r="Y251" i="34"/>
  <c r="Z251" i="34"/>
  <c r="N252" i="34"/>
  <c r="O252" i="34"/>
  <c r="Y252" i="34"/>
  <c r="Z252" i="34"/>
  <c r="N258" i="34"/>
  <c r="O258" i="34"/>
  <c r="Y258" i="34"/>
  <c r="Z258" i="34"/>
  <c r="N259" i="34"/>
  <c r="O259" i="34"/>
  <c r="Y259" i="34"/>
  <c r="Z259" i="34"/>
  <c r="N260" i="34"/>
  <c r="O260" i="34"/>
  <c r="Y260" i="34"/>
  <c r="Z260" i="34"/>
  <c r="N261" i="34"/>
  <c r="O261" i="34"/>
  <c r="Y261" i="34"/>
  <c r="Z261" i="34"/>
  <c r="N262" i="34"/>
  <c r="O262" i="34"/>
  <c r="Y262" i="34"/>
  <c r="Z262" i="34"/>
  <c r="N263" i="34"/>
  <c r="O263" i="34"/>
  <c r="Y263" i="34"/>
  <c r="Z263" i="34"/>
  <c r="N266" i="34"/>
  <c r="O266" i="34"/>
  <c r="Y266" i="34"/>
  <c r="Z266" i="34"/>
  <c r="N267" i="34"/>
  <c r="O267" i="34"/>
  <c r="Y267" i="34"/>
  <c r="Z267" i="34"/>
  <c r="N268" i="34"/>
  <c r="O268" i="34"/>
  <c r="Y268" i="34"/>
  <c r="Z268" i="34"/>
  <c r="N269" i="34"/>
  <c r="O269" i="34"/>
  <c r="Y269" i="34"/>
  <c r="Z269" i="34"/>
  <c r="N270" i="34"/>
  <c r="O270" i="34"/>
  <c r="Y270" i="34"/>
  <c r="Z270" i="34"/>
  <c r="N271" i="34"/>
  <c r="O271" i="34"/>
  <c r="Y271" i="34"/>
  <c r="Z271" i="34"/>
  <c r="N272" i="34"/>
  <c r="O272" i="34"/>
  <c r="Y272" i="34"/>
  <c r="Z272" i="34"/>
  <c r="N275" i="34"/>
  <c r="O275" i="34"/>
  <c r="Y275" i="34"/>
  <c r="Z275" i="34"/>
  <c r="N281" i="34"/>
  <c r="O281" i="34"/>
  <c r="Y281" i="34"/>
  <c r="Z281" i="34"/>
  <c r="N282" i="34"/>
  <c r="O282" i="34"/>
  <c r="Y282" i="34"/>
  <c r="Z282" i="34"/>
  <c r="N283" i="34"/>
  <c r="O283" i="34"/>
  <c r="Y283" i="34"/>
  <c r="Z283" i="34"/>
  <c r="N284" i="34"/>
  <c r="O284" i="34"/>
  <c r="Y284" i="34"/>
  <c r="Z284" i="34"/>
  <c r="N285" i="34"/>
  <c r="O285" i="34"/>
  <c r="Y285" i="34"/>
  <c r="Z285" i="34"/>
  <c r="N286" i="34"/>
  <c r="O286" i="34"/>
  <c r="Y286" i="34"/>
  <c r="Z286" i="34"/>
  <c r="N287" i="34"/>
  <c r="O287" i="34"/>
  <c r="Y287" i="34"/>
  <c r="Z287" i="34"/>
  <c r="N288" i="34"/>
  <c r="O288" i="34"/>
  <c r="Y288" i="34"/>
  <c r="Z288" i="34"/>
  <c r="N289" i="34"/>
  <c r="O289" i="34"/>
  <c r="Y289" i="34"/>
  <c r="Z289" i="34"/>
  <c r="N290" i="34"/>
  <c r="O290" i="34"/>
  <c r="Y290" i="34"/>
  <c r="Z290" i="34"/>
  <c r="N291" i="34"/>
  <c r="O291" i="34"/>
  <c r="Y291" i="34"/>
  <c r="Z291" i="34"/>
  <c r="N292" i="34"/>
  <c r="O292" i="34"/>
  <c r="Y292" i="34"/>
  <c r="Z29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72" i="34"/>
  <c r="O672" i="34"/>
  <c r="S672" i="34"/>
  <c r="T672" i="34"/>
  <c r="U672" i="34"/>
  <c r="Y672" i="34"/>
  <c r="Z672" i="34"/>
  <c r="N767" i="34"/>
  <c r="O767" i="34"/>
  <c r="S767" i="34"/>
  <c r="T767" i="34"/>
  <c r="U767" i="34"/>
  <c r="Y767" i="34"/>
  <c r="Z767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K26" i="34"/>
  <c r="F26" i="34"/>
  <c r="C26" i="34"/>
  <c r="B26" i="34" s="1"/>
  <c r="C25" i="34"/>
  <c r="B25" i="34" s="1"/>
  <c r="C24" i="34"/>
  <c r="B24" i="34" s="1"/>
  <c r="C23" i="34"/>
  <c r="B23" i="34" s="1"/>
  <c r="C22" i="34"/>
  <c r="B22" i="34" s="1"/>
  <c r="A46" i="34" l="1"/>
  <c r="Y38" i="34"/>
  <c r="A42" i="34"/>
  <c r="Y32" i="34"/>
  <c r="A36" i="34"/>
  <c r="A40" i="34"/>
  <c r="A38" i="34"/>
  <c r="A41" i="34"/>
  <c r="Y41" i="34"/>
  <c r="A37" i="34"/>
  <c r="A39" i="34"/>
  <c r="A30" i="34"/>
  <c r="A32" i="34"/>
  <c r="A34" i="34"/>
  <c r="A24" i="34"/>
  <c r="A35" i="34"/>
  <c r="Y35" i="34"/>
  <c r="A31" i="34"/>
  <c r="A33" i="34"/>
  <c r="A28" i="34"/>
  <c r="A43" i="34"/>
  <c r="A29" i="34"/>
  <c r="Y29" i="34"/>
  <c r="A27" i="34"/>
  <c r="A23" i="34"/>
  <c r="Z26" i="34"/>
  <c r="Y26" i="34"/>
  <c r="A25" i="34"/>
  <c r="A22" i="34"/>
  <c r="A26" i="34"/>
  <c r="H7" i="60" l="1"/>
  <c r="J7" i="60" s="1"/>
  <c r="H8" i="60"/>
  <c r="J8" i="60" s="1"/>
  <c r="H9" i="60"/>
  <c r="J9" i="60" s="1"/>
  <c r="H10" i="60"/>
  <c r="H11" i="60"/>
  <c r="H12" i="60"/>
  <c r="J12" i="60" s="1"/>
  <c r="H13" i="60"/>
  <c r="J13" i="60" s="1"/>
  <c r="H14" i="60"/>
  <c r="H15" i="60"/>
  <c r="J15" i="60" s="1"/>
  <c r="H16" i="60"/>
  <c r="J16" i="60" s="1"/>
  <c r="H17" i="60"/>
  <c r="J17" i="60" s="1"/>
  <c r="H18" i="60"/>
  <c r="H19" i="60"/>
  <c r="J19" i="60" s="1"/>
  <c r="H20" i="60"/>
  <c r="J20" i="60" s="1"/>
  <c r="H21" i="60"/>
  <c r="J21" i="60" s="1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 s="1"/>
  <c r="H30" i="60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J40" i="60" s="1"/>
  <c r="H41" i="60"/>
  <c r="J41" i="60" s="1"/>
  <c r="H42" i="60"/>
  <c r="H43" i="60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J71" i="60" s="1"/>
  <c r="H72" i="60"/>
  <c r="J72" i="60" s="1"/>
  <c r="H73" i="60"/>
  <c r="J73" i="60" s="1"/>
  <c r="H74" i="60"/>
  <c r="H75" i="60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H99" i="60"/>
  <c r="J99" i="60" s="1"/>
  <c r="H100" i="60"/>
  <c r="J100" i="60" s="1"/>
  <c r="H101" i="60"/>
  <c r="J101" i="60" s="1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H6" i="60"/>
  <c r="J6" i="60" s="1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8" i="60"/>
  <c r="J11" i="60"/>
  <c r="C776" i="34" l="1"/>
  <c r="C777" i="34"/>
  <c r="C778" i="34"/>
  <c r="C779" i="34"/>
  <c r="C775" i="34"/>
  <c r="K776" i="34"/>
  <c r="K777" i="34"/>
  <c r="K778" i="34"/>
  <c r="K779" i="34"/>
  <c r="K775" i="34"/>
  <c r="C615" i="34" l="1"/>
  <c r="B615" i="34" s="1"/>
  <c r="C614" i="34"/>
  <c r="B614" i="34" s="1"/>
  <c r="K613" i="34"/>
  <c r="C613" i="34"/>
  <c r="B613" i="34" s="1"/>
  <c r="C610" i="34"/>
  <c r="B610" i="34" s="1"/>
  <c r="C609" i="34"/>
  <c r="B609" i="34" s="1"/>
  <c r="K608" i="34"/>
  <c r="C608" i="34"/>
  <c r="B608" i="34" s="1"/>
  <c r="C597" i="34"/>
  <c r="B597" i="34" s="1"/>
  <c r="C596" i="34"/>
  <c r="B596" i="34" s="1"/>
  <c r="K595" i="34"/>
  <c r="C595" i="34"/>
  <c r="B595" i="34" s="1"/>
  <c r="C594" i="34"/>
  <c r="B594" i="34" s="1"/>
  <c r="C593" i="34"/>
  <c r="B593" i="34" s="1"/>
  <c r="K592" i="34"/>
  <c r="C592" i="34"/>
  <c r="B592" i="34" s="1"/>
  <c r="C554" i="34"/>
  <c r="B554" i="34" s="1"/>
  <c r="K553" i="34"/>
  <c r="C553" i="34"/>
  <c r="B553" i="34" s="1"/>
  <c r="K552" i="34"/>
  <c r="C552" i="34"/>
  <c r="B552" i="34" s="1"/>
  <c r="K548" i="34"/>
  <c r="C548" i="34"/>
  <c r="B548" i="34" s="1"/>
  <c r="C551" i="34"/>
  <c r="B551" i="34" s="1"/>
  <c r="K550" i="34"/>
  <c r="C550" i="34"/>
  <c r="B550" i="34" s="1"/>
  <c r="K549" i="34"/>
  <c r="C549" i="34"/>
  <c r="B549" i="34" s="1"/>
  <c r="K546" i="34"/>
  <c r="C546" i="34"/>
  <c r="B546" i="34" s="1"/>
  <c r="C547" i="34"/>
  <c r="B547" i="34" s="1"/>
  <c r="K545" i="34"/>
  <c r="C545" i="34"/>
  <c r="B545" i="34" s="1"/>
  <c r="C544" i="34"/>
  <c r="B544" i="34" s="1"/>
  <c r="K543" i="34"/>
  <c r="C543" i="34"/>
  <c r="B543" i="34" s="1"/>
  <c r="A613" i="34" l="1"/>
  <c r="A614" i="34"/>
  <c r="A615" i="34"/>
  <c r="A608" i="34"/>
  <c r="A609" i="34"/>
  <c r="A610" i="34"/>
  <c r="A595" i="34"/>
  <c r="A596" i="34"/>
  <c r="A597" i="34"/>
  <c r="A594" i="34"/>
  <c r="A592" i="34"/>
  <c r="A593" i="34"/>
  <c r="A554" i="34"/>
  <c r="A545" i="34"/>
  <c r="A547" i="34"/>
  <c r="A552" i="34"/>
  <c r="A546" i="34"/>
  <c r="A548" i="34"/>
  <c r="A553" i="34"/>
  <c r="A551" i="34"/>
  <c r="A549" i="34"/>
  <c r="A550" i="34"/>
  <c r="A543" i="34"/>
  <c r="A544" i="34"/>
  <c r="C20" i="54"/>
  <c r="A14" i="54"/>
  <c r="C495" i="34"/>
  <c r="B495" i="34" s="1"/>
  <c r="C441" i="34"/>
  <c r="B441" i="34" s="1"/>
  <c r="C361" i="34"/>
  <c r="B361" i="34" s="1"/>
  <c r="C364" i="34"/>
  <c r="B364" i="34" s="1"/>
  <c r="A495" i="34" l="1"/>
  <c r="A441" i="34"/>
  <c r="A361" i="34"/>
  <c r="A364" i="34"/>
  <c r="C540" i="34" l="1"/>
  <c r="B540" i="34" s="1"/>
  <c r="C500" i="34"/>
  <c r="B500" i="34" s="1"/>
  <c r="C444" i="34"/>
  <c r="B444" i="34" s="1"/>
  <c r="C457" i="34"/>
  <c r="B457" i="34" s="1"/>
  <c r="C413" i="34"/>
  <c r="B413" i="34" s="1"/>
  <c r="C368" i="34"/>
  <c r="B368" i="34" s="1"/>
  <c r="C291" i="34"/>
  <c r="B291" i="34" s="1"/>
  <c r="C282" i="34"/>
  <c r="B282" i="34" s="1"/>
  <c r="A540" i="34" l="1"/>
  <c r="A500" i="34"/>
  <c r="A444" i="34"/>
  <c r="A457" i="34"/>
  <c r="A413" i="34"/>
  <c r="A368" i="34"/>
  <c r="A291" i="34"/>
  <c r="A282" i="34"/>
  <c r="C292" i="34"/>
  <c r="B292" i="34" s="1"/>
  <c r="A292" i="34" l="1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C224" i="34"/>
  <c r="C225" i="34"/>
  <c r="C215" i="34"/>
  <c r="C211" i="34"/>
  <c r="C204" i="34"/>
  <c r="C192" i="34"/>
  <c r="C193" i="34"/>
  <c r="C194" i="34"/>
  <c r="C188" i="34"/>
  <c r="C251" i="34"/>
  <c r="C252" i="34"/>
  <c r="C237" i="34"/>
  <c r="C238" i="34"/>
  <c r="C239" i="34"/>
  <c r="C240" i="34"/>
  <c r="C223" i="34"/>
  <c r="N925" i="34" l="1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N1106" i="34"/>
  <c r="O1106" i="34"/>
  <c r="S1106" i="34"/>
  <c r="T1106" i="34"/>
  <c r="U1106" i="34"/>
  <c r="Y1106" i="34"/>
  <c r="Z1106" i="34"/>
  <c r="N1107" i="34"/>
  <c r="O1107" i="34"/>
  <c r="S1107" i="34"/>
  <c r="T1107" i="34"/>
  <c r="U1107" i="34"/>
  <c r="Y1107" i="34"/>
  <c r="Z1107" i="34"/>
  <c r="N1108" i="34"/>
  <c r="O1108" i="34"/>
  <c r="S1108" i="34"/>
  <c r="T1108" i="34"/>
  <c r="U1108" i="34"/>
  <c r="Y1108" i="34"/>
  <c r="Z1108" i="34"/>
  <c r="N1109" i="34"/>
  <c r="O1109" i="34"/>
  <c r="S1109" i="34"/>
  <c r="T1109" i="34"/>
  <c r="U1109" i="34"/>
  <c r="Y1109" i="34"/>
  <c r="Z1109" i="34"/>
  <c r="N1110" i="34"/>
  <c r="O1110" i="34"/>
  <c r="S1110" i="34"/>
  <c r="T1110" i="34"/>
  <c r="U1110" i="34"/>
  <c r="Y1110" i="34"/>
  <c r="Z1110" i="34"/>
  <c r="N1111" i="34"/>
  <c r="O1111" i="34"/>
  <c r="S1111" i="34"/>
  <c r="T1111" i="34"/>
  <c r="U1111" i="34"/>
  <c r="Y1111" i="34"/>
  <c r="Z1111" i="34"/>
  <c r="N1112" i="34"/>
  <c r="O1112" i="34"/>
  <c r="S1112" i="34"/>
  <c r="T1112" i="34"/>
  <c r="U1112" i="34"/>
  <c r="Y1112" i="34"/>
  <c r="Z1112" i="34"/>
  <c r="N1113" i="34"/>
  <c r="O1113" i="34"/>
  <c r="S1113" i="34"/>
  <c r="T1113" i="34"/>
  <c r="U1113" i="34"/>
  <c r="Y1113" i="34"/>
  <c r="Z1113" i="34"/>
  <c r="N1114" i="34"/>
  <c r="O1114" i="34"/>
  <c r="S1114" i="34"/>
  <c r="T1114" i="34"/>
  <c r="U1114" i="34"/>
  <c r="Y1114" i="34"/>
  <c r="Z1114" i="34"/>
  <c r="N1115" i="34"/>
  <c r="O1115" i="34"/>
  <c r="S1115" i="34"/>
  <c r="T1115" i="34"/>
  <c r="U1115" i="34"/>
  <c r="Y1115" i="34"/>
  <c r="Z1115" i="34"/>
  <c r="N1116" i="34"/>
  <c r="O1116" i="34"/>
  <c r="S1116" i="34"/>
  <c r="T1116" i="34"/>
  <c r="U1116" i="34"/>
  <c r="Y1116" i="34"/>
  <c r="Z1116" i="34"/>
  <c r="N1117" i="34"/>
  <c r="O1117" i="34"/>
  <c r="S1117" i="34"/>
  <c r="T1117" i="34"/>
  <c r="U1117" i="34"/>
  <c r="Y1117" i="34"/>
  <c r="Z1117" i="34"/>
  <c r="N1118" i="34"/>
  <c r="O1118" i="34"/>
  <c r="S1118" i="34"/>
  <c r="T1118" i="34"/>
  <c r="U1118" i="34"/>
  <c r="Y1118" i="34"/>
  <c r="Z1118" i="34"/>
  <c r="N1119" i="34"/>
  <c r="O1119" i="34"/>
  <c r="S1119" i="34"/>
  <c r="T1119" i="34"/>
  <c r="U1119" i="34"/>
  <c r="Y1119" i="34"/>
  <c r="Z1119" i="34"/>
  <c r="N1120" i="34"/>
  <c r="O1120" i="34"/>
  <c r="S1120" i="34"/>
  <c r="T1120" i="34"/>
  <c r="U1120" i="34"/>
  <c r="Y1120" i="34"/>
  <c r="Z1120" i="34"/>
  <c r="N1121" i="34"/>
  <c r="O1121" i="34"/>
  <c r="S1121" i="34"/>
  <c r="T1121" i="34"/>
  <c r="U1121" i="34"/>
  <c r="Y1121" i="34"/>
  <c r="Z1121" i="34"/>
  <c r="N1122" i="34"/>
  <c r="O1122" i="34"/>
  <c r="S1122" i="34"/>
  <c r="T1122" i="34"/>
  <c r="U1122" i="34"/>
  <c r="Y1122" i="34"/>
  <c r="Z1122" i="34"/>
  <c r="N1123" i="34"/>
  <c r="O1123" i="34"/>
  <c r="S1123" i="34"/>
  <c r="T1123" i="34"/>
  <c r="U1123" i="34"/>
  <c r="Y1123" i="34"/>
  <c r="Z1123" i="34"/>
  <c r="N1124" i="34"/>
  <c r="O1124" i="34"/>
  <c r="S1124" i="34"/>
  <c r="T1124" i="34"/>
  <c r="U1124" i="34"/>
  <c r="Y1124" i="34"/>
  <c r="Z1124" i="34"/>
  <c r="N1125" i="34"/>
  <c r="O1125" i="34"/>
  <c r="S1125" i="34"/>
  <c r="T1125" i="34"/>
  <c r="U1125" i="34"/>
  <c r="Y1125" i="34"/>
  <c r="Z1125" i="34"/>
  <c r="N1126" i="34"/>
  <c r="O1126" i="34"/>
  <c r="S1126" i="34"/>
  <c r="T1126" i="34"/>
  <c r="U1126" i="34"/>
  <c r="Y1126" i="34"/>
  <c r="Z1126" i="34"/>
  <c r="N1127" i="34"/>
  <c r="O1127" i="34"/>
  <c r="S1127" i="34"/>
  <c r="T1127" i="34"/>
  <c r="U1127" i="34"/>
  <c r="Y1127" i="34"/>
  <c r="Z1127" i="34"/>
  <c r="N1128" i="34"/>
  <c r="O1128" i="34"/>
  <c r="S1128" i="34"/>
  <c r="T1128" i="34"/>
  <c r="U1128" i="34"/>
  <c r="Y1128" i="34"/>
  <c r="Z1128" i="34"/>
  <c r="N1129" i="34"/>
  <c r="O1129" i="34"/>
  <c r="S1129" i="34"/>
  <c r="T1129" i="34"/>
  <c r="U1129" i="34"/>
  <c r="Y1129" i="34"/>
  <c r="Z1129" i="34"/>
  <c r="N1130" i="34"/>
  <c r="O1130" i="34"/>
  <c r="S1130" i="34"/>
  <c r="T1130" i="34"/>
  <c r="U1130" i="34"/>
  <c r="Y1130" i="34"/>
  <c r="Z1130" i="34"/>
  <c r="N1131" i="34"/>
  <c r="O1131" i="34"/>
  <c r="S1131" i="34"/>
  <c r="T1131" i="34"/>
  <c r="U1131" i="34"/>
  <c r="Y1131" i="34"/>
  <c r="Z1131" i="34"/>
  <c r="N1132" i="34"/>
  <c r="O1132" i="34"/>
  <c r="S1132" i="34"/>
  <c r="T1132" i="34"/>
  <c r="U1132" i="34"/>
  <c r="Y1132" i="34"/>
  <c r="Z1132" i="34"/>
  <c r="N1133" i="34"/>
  <c r="O1133" i="34"/>
  <c r="S1133" i="34"/>
  <c r="T1133" i="34"/>
  <c r="U1133" i="34"/>
  <c r="Y1133" i="34"/>
  <c r="Z1133" i="34"/>
  <c r="N1134" i="34"/>
  <c r="O1134" i="34"/>
  <c r="S1134" i="34"/>
  <c r="T1134" i="34"/>
  <c r="U1134" i="34"/>
  <c r="Y1134" i="34"/>
  <c r="Z1134" i="34"/>
  <c r="N1135" i="34"/>
  <c r="O1135" i="34"/>
  <c r="S1135" i="34"/>
  <c r="T1135" i="34"/>
  <c r="U1135" i="34"/>
  <c r="Y1135" i="34"/>
  <c r="Z1135" i="34"/>
  <c r="N1136" i="34"/>
  <c r="O1136" i="34"/>
  <c r="S1136" i="34"/>
  <c r="T1136" i="34"/>
  <c r="U1136" i="34"/>
  <c r="Y1136" i="34"/>
  <c r="Z1136" i="34"/>
  <c r="N1137" i="34"/>
  <c r="O1137" i="34"/>
  <c r="S1137" i="34"/>
  <c r="T1137" i="34"/>
  <c r="U1137" i="34"/>
  <c r="Y1137" i="34"/>
  <c r="Z1137" i="34"/>
  <c r="N1138" i="34"/>
  <c r="O1138" i="34"/>
  <c r="S1138" i="34"/>
  <c r="T1138" i="34"/>
  <c r="U1138" i="34"/>
  <c r="Y1138" i="34"/>
  <c r="Z1138" i="34"/>
  <c r="N1139" i="34"/>
  <c r="O1139" i="34"/>
  <c r="S1139" i="34"/>
  <c r="T1139" i="34"/>
  <c r="U1139" i="34"/>
  <c r="Y1139" i="34"/>
  <c r="Z1139" i="34"/>
  <c r="N1140" i="34"/>
  <c r="O1140" i="34"/>
  <c r="S1140" i="34"/>
  <c r="T1140" i="34"/>
  <c r="U1140" i="34"/>
  <c r="Y1140" i="34"/>
  <c r="Z1140" i="34"/>
  <c r="N1141" i="34"/>
  <c r="O1141" i="34"/>
  <c r="S1141" i="34"/>
  <c r="T1141" i="34"/>
  <c r="U1141" i="34"/>
  <c r="Y1141" i="34"/>
  <c r="Z1141" i="34"/>
  <c r="N1142" i="34"/>
  <c r="O1142" i="34"/>
  <c r="S1142" i="34"/>
  <c r="T1142" i="34"/>
  <c r="U1142" i="34"/>
  <c r="Y1142" i="34"/>
  <c r="Z1142" i="34"/>
  <c r="N1143" i="34"/>
  <c r="O1143" i="34"/>
  <c r="S1143" i="34"/>
  <c r="T1143" i="34"/>
  <c r="U1143" i="34"/>
  <c r="Y1143" i="34"/>
  <c r="Z1143" i="34"/>
  <c r="N1144" i="34"/>
  <c r="O1144" i="34"/>
  <c r="S1144" i="34"/>
  <c r="T1144" i="34"/>
  <c r="U1144" i="34"/>
  <c r="Y1144" i="34"/>
  <c r="Z1144" i="34"/>
  <c r="N1145" i="34"/>
  <c r="O1145" i="34"/>
  <c r="S1145" i="34"/>
  <c r="T1145" i="34"/>
  <c r="U1145" i="34"/>
  <c r="Y1145" i="34"/>
  <c r="Z1145" i="34"/>
  <c r="N1146" i="34"/>
  <c r="O1146" i="34"/>
  <c r="S1146" i="34"/>
  <c r="T1146" i="34"/>
  <c r="U1146" i="34"/>
  <c r="Y1146" i="34"/>
  <c r="Z1146" i="34"/>
  <c r="N1147" i="34"/>
  <c r="O1147" i="34"/>
  <c r="S1147" i="34"/>
  <c r="T1147" i="34"/>
  <c r="U1147" i="34"/>
  <c r="Y1147" i="34"/>
  <c r="Z1147" i="34"/>
  <c r="N1148" i="34"/>
  <c r="O1148" i="34"/>
  <c r="S1148" i="34"/>
  <c r="T1148" i="34"/>
  <c r="U1148" i="34"/>
  <c r="Y1148" i="34"/>
  <c r="Z1148" i="34"/>
  <c r="N1149" i="34"/>
  <c r="O1149" i="34"/>
  <c r="S1149" i="34"/>
  <c r="T1149" i="34"/>
  <c r="U1149" i="34"/>
  <c r="Y1149" i="34"/>
  <c r="Z1149" i="34"/>
  <c r="N1150" i="34"/>
  <c r="O1150" i="34"/>
  <c r="S1150" i="34"/>
  <c r="T1150" i="34"/>
  <c r="U1150" i="34"/>
  <c r="Y1150" i="34"/>
  <c r="Z1150" i="34"/>
  <c r="N1151" i="34"/>
  <c r="O1151" i="34"/>
  <c r="S1151" i="34"/>
  <c r="T1151" i="34"/>
  <c r="U1151" i="34"/>
  <c r="Y1151" i="34"/>
  <c r="Z1151" i="34"/>
  <c r="N1152" i="34"/>
  <c r="O1152" i="34"/>
  <c r="S1152" i="34"/>
  <c r="T1152" i="34"/>
  <c r="U1152" i="34"/>
  <c r="Y1152" i="34"/>
  <c r="Z1152" i="34"/>
  <c r="N1153" i="34"/>
  <c r="O1153" i="34"/>
  <c r="S1153" i="34"/>
  <c r="T1153" i="34"/>
  <c r="U1153" i="34"/>
  <c r="Y1153" i="34"/>
  <c r="Z1153" i="34"/>
  <c r="N1154" i="34"/>
  <c r="O1154" i="34"/>
  <c r="S1154" i="34"/>
  <c r="T1154" i="34"/>
  <c r="U1154" i="34"/>
  <c r="Y1154" i="34"/>
  <c r="Z1154" i="34"/>
  <c r="N1155" i="34"/>
  <c r="O1155" i="34"/>
  <c r="S1155" i="34"/>
  <c r="T1155" i="34"/>
  <c r="U1155" i="34"/>
  <c r="Y1155" i="34"/>
  <c r="Z1155" i="34"/>
  <c r="N1156" i="34"/>
  <c r="O1156" i="34"/>
  <c r="S1156" i="34"/>
  <c r="T1156" i="34"/>
  <c r="U1156" i="34"/>
  <c r="Y1156" i="34"/>
  <c r="Z1156" i="34"/>
  <c r="N1157" i="34"/>
  <c r="O1157" i="34"/>
  <c r="S1157" i="34"/>
  <c r="T1157" i="34"/>
  <c r="U1157" i="34"/>
  <c r="Y1157" i="34"/>
  <c r="Z1157" i="34"/>
  <c r="N1158" i="34"/>
  <c r="O1158" i="34"/>
  <c r="S1158" i="34"/>
  <c r="T1158" i="34"/>
  <c r="U1158" i="34"/>
  <c r="Y1158" i="34"/>
  <c r="Z1158" i="34"/>
  <c r="N1159" i="34"/>
  <c r="O1159" i="34"/>
  <c r="S1159" i="34"/>
  <c r="T1159" i="34"/>
  <c r="U1159" i="34"/>
  <c r="Y1159" i="34"/>
  <c r="Z1159" i="34"/>
  <c r="N1160" i="34"/>
  <c r="O1160" i="34"/>
  <c r="S1160" i="34"/>
  <c r="T1160" i="34"/>
  <c r="U1160" i="34"/>
  <c r="Y1160" i="34"/>
  <c r="Z1160" i="34"/>
  <c r="N1161" i="34"/>
  <c r="O1161" i="34"/>
  <c r="S1161" i="34"/>
  <c r="T1161" i="34"/>
  <c r="U1161" i="34"/>
  <c r="Y1161" i="34"/>
  <c r="Z1161" i="34"/>
  <c r="N1162" i="34"/>
  <c r="O1162" i="34"/>
  <c r="S1162" i="34"/>
  <c r="T1162" i="34"/>
  <c r="U1162" i="34"/>
  <c r="Y1162" i="34"/>
  <c r="Z1162" i="34"/>
  <c r="N1163" i="34"/>
  <c r="O1163" i="34"/>
  <c r="S1163" i="34"/>
  <c r="T1163" i="34"/>
  <c r="U1163" i="34"/>
  <c r="Y1163" i="34"/>
  <c r="Z1163" i="34"/>
  <c r="N1164" i="34"/>
  <c r="O1164" i="34"/>
  <c r="S1164" i="34"/>
  <c r="T1164" i="34"/>
  <c r="U1164" i="34"/>
  <c r="Y1164" i="34"/>
  <c r="Z1164" i="34"/>
  <c r="N1165" i="34"/>
  <c r="O1165" i="34"/>
  <c r="S1165" i="34"/>
  <c r="T1165" i="34"/>
  <c r="U1165" i="34"/>
  <c r="Y1165" i="34"/>
  <c r="Z1165" i="34"/>
  <c r="N1166" i="34"/>
  <c r="O1166" i="34"/>
  <c r="S1166" i="34"/>
  <c r="T1166" i="34"/>
  <c r="U1166" i="34"/>
  <c r="Y1166" i="34"/>
  <c r="Z1166" i="34"/>
  <c r="N1167" i="34"/>
  <c r="O1167" i="34"/>
  <c r="S1167" i="34"/>
  <c r="T1167" i="34"/>
  <c r="U1167" i="34"/>
  <c r="Y1167" i="34"/>
  <c r="Z1167" i="34"/>
  <c r="N1168" i="34"/>
  <c r="O1168" i="34"/>
  <c r="S1168" i="34"/>
  <c r="T1168" i="34"/>
  <c r="U1168" i="34"/>
  <c r="Y1168" i="34"/>
  <c r="Z1168" i="34"/>
  <c r="N1169" i="34"/>
  <c r="O1169" i="34"/>
  <c r="S1169" i="34"/>
  <c r="T1169" i="34"/>
  <c r="U1169" i="34"/>
  <c r="Y1169" i="34"/>
  <c r="Z1169" i="34"/>
  <c r="N1170" i="34"/>
  <c r="O1170" i="34"/>
  <c r="S1170" i="34"/>
  <c r="T1170" i="34"/>
  <c r="U1170" i="34"/>
  <c r="Y1170" i="34"/>
  <c r="Z1170" i="34"/>
  <c r="N1171" i="34"/>
  <c r="O1171" i="34"/>
  <c r="S1171" i="34"/>
  <c r="T1171" i="34"/>
  <c r="U1171" i="34"/>
  <c r="Y1171" i="34"/>
  <c r="Z1171" i="34"/>
  <c r="N1172" i="34"/>
  <c r="O1172" i="34"/>
  <c r="S1172" i="34"/>
  <c r="T1172" i="34"/>
  <c r="U1172" i="34"/>
  <c r="Y1172" i="34"/>
  <c r="Z1172" i="34"/>
  <c r="N1173" i="34"/>
  <c r="O1173" i="34"/>
  <c r="S1173" i="34"/>
  <c r="T1173" i="34"/>
  <c r="U1173" i="34"/>
  <c r="Y1173" i="34"/>
  <c r="Z1173" i="34"/>
  <c r="N1174" i="34"/>
  <c r="O1174" i="34"/>
  <c r="S1174" i="34"/>
  <c r="T1174" i="34"/>
  <c r="U1174" i="34"/>
  <c r="Y1174" i="34"/>
  <c r="Z1174" i="34"/>
  <c r="N1175" i="34"/>
  <c r="O1175" i="34"/>
  <c r="S1175" i="34"/>
  <c r="T1175" i="34"/>
  <c r="U1175" i="34"/>
  <c r="Y1175" i="34"/>
  <c r="Z1175" i="34"/>
  <c r="N1176" i="34"/>
  <c r="O1176" i="34"/>
  <c r="S1176" i="34"/>
  <c r="T1176" i="34"/>
  <c r="U1176" i="34"/>
  <c r="Y1176" i="34"/>
  <c r="Z1176" i="34"/>
  <c r="N1177" i="34"/>
  <c r="O1177" i="34"/>
  <c r="S1177" i="34"/>
  <c r="T1177" i="34"/>
  <c r="U1177" i="34"/>
  <c r="Y1177" i="34"/>
  <c r="Z1177" i="34"/>
  <c r="N1178" i="34"/>
  <c r="O1178" i="34"/>
  <c r="S1178" i="34"/>
  <c r="T1178" i="34"/>
  <c r="U1178" i="34"/>
  <c r="Y1178" i="34"/>
  <c r="Z1178" i="34"/>
  <c r="N1179" i="34"/>
  <c r="O1179" i="34"/>
  <c r="S1179" i="34"/>
  <c r="T1179" i="34"/>
  <c r="U1179" i="34"/>
  <c r="Y1179" i="34"/>
  <c r="Z1179" i="34"/>
  <c r="N1180" i="34"/>
  <c r="O1180" i="34"/>
  <c r="S1180" i="34"/>
  <c r="T1180" i="34"/>
  <c r="U1180" i="34"/>
  <c r="Y1180" i="34"/>
  <c r="Z1180" i="34"/>
  <c r="N1181" i="34"/>
  <c r="O1181" i="34"/>
  <c r="S1181" i="34"/>
  <c r="T1181" i="34"/>
  <c r="U1181" i="34"/>
  <c r="Y1181" i="34"/>
  <c r="Z1181" i="34"/>
  <c r="N1182" i="34"/>
  <c r="O1182" i="34"/>
  <c r="S1182" i="34"/>
  <c r="T1182" i="34"/>
  <c r="U1182" i="34"/>
  <c r="Y1182" i="34"/>
  <c r="Z1182" i="34"/>
  <c r="N1183" i="34"/>
  <c r="O1183" i="34"/>
  <c r="S1183" i="34"/>
  <c r="T1183" i="34"/>
  <c r="U1183" i="34"/>
  <c r="Y1183" i="34"/>
  <c r="Z1183" i="34"/>
  <c r="N1184" i="34"/>
  <c r="O1184" i="34"/>
  <c r="S1184" i="34"/>
  <c r="T1184" i="34"/>
  <c r="U1184" i="34"/>
  <c r="Y1184" i="34"/>
  <c r="Z1184" i="34"/>
  <c r="N1185" i="34"/>
  <c r="O1185" i="34"/>
  <c r="S1185" i="34"/>
  <c r="T1185" i="34"/>
  <c r="U1185" i="34"/>
  <c r="Y1185" i="34"/>
  <c r="Z1185" i="34"/>
  <c r="N1186" i="34"/>
  <c r="O1186" i="34"/>
  <c r="S1186" i="34"/>
  <c r="T1186" i="34"/>
  <c r="U1186" i="34"/>
  <c r="Y1186" i="34"/>
  <c r="Z1186" i="34"/>
  <c r="N1187" i="34"/>
  <c r="O1187" i="34"/>
  <c r="S1187" i="34"/>
  <c r="T1187" i="34"/>
  <c r="U1187" i="34"/>
  <c r="Y1187" i="34"/>
  <c r="Z1187" i="34"/>
  <c r="N1188" i="34"/>
  <c r="O1188" i="34"/>
  <c r="S1188" i="34"/>
  <c r="T1188" i="34"/>
  <c r="U1188" i="34"/>
  <c r="Y1188" i="34"/>
  <c r="Z1188" i="34"/>
  <c r="N1189" i="34"/>
  <c r="O1189" i="34"/>
  <c r="S1189" i="34"/>
  <c r="T1189" i="34"/>
  <c r="U1189" i="34"/>
  <c r="Y1189" i="34"/>
  <c r="Z1189" i="34"/>
  <c r="N1190" i="34"/>
  <c r="O1190" i="34"/>
  <c r="S1190" i="34"/>
  <c r="T1190" i="34"/>
  <c r="U1190" i="34"/>
  <c r="Y1190" i="34"/>
  <c r="Z1190" i="34"/>
  <c r="N1191" i="34"/>
  <c r="O1191" i="34"/>
  <c r="S1191" i="34"/>
  <c r="T1191" i="34"/>
  <c r="U1191" i="34"/>
  <c r="Y1191" i="34"/>
  <c r="Z1191" i="34"/>
  <c r="N1192" i="34"/>
  <c r="O1192" i="34"/>
  <c r="S1192" i="34"/>
  <c r="T1192" i="34"/>
  <c r="U1192" i="34"/>
  <c r="Y1192" i="34"/>
  <c r="Z1192" i="34"/>
  <c r="N1193" i="34"/>
  <c r="O1193" i="34"/>
  <c r="S1193" i="34"/>
  <c r="T1193" i="34"/>
  <c r="U1193" i="34"/>
  <c r="Y1193" i="34"/>
  <c r="Z1193" i="34"/>
  <c r="N1194" i="34"/>
  <c r="O1194" i="34"/>
  <c r="S1194" i="34"/>
  <c r="T1194" i="34"/>
  <c r="U1194" i="34"/>
  <c r="Y1194" i="34"/>
  <c r="Z1194" i="34"/>
  <c r="N1195" i="34"/>
  <c r="O1195" i="34"/>
  <c r="S1195" i="34"/>
  <c r="T1195" i="34"/>
  <c r="U1195" i="34"/>
  <c r="Y1195" i="34"/>
  <c r="Z1195" i="34"/>
  <c r="N1196" i="34"/>
  <c r="O1196" i="34"/>
  <c r="S1196" i="34"/>
  <c r="T1196" i="34"/>
  <c r="U1196" i="34"/>
  <c r="Y1196" i="34"/>
  <c r="Z1196" i="34"/>
  <c r="N1197" i="34"/>
  <c r="O1197" i="34"/>
  <c r="S1197" i="34"/>
  <c r="T1197" i="34"/>
  <c r="U1197" i="34"/>
  <c r="Y1197" i="34"/>
  <c r="Z1197" i="34"/>
  <c r="N1198" i="34"/>
  <c r="O1198" i="34"/>
  <c r="S1198" i="34"/>
  <c r="T1198" i="34"/>
  <c r="U1198" i="34"/>
  <c r="Y1198" i="34"/>
  <c r="Z1198" i="34"/>
  <c r="N1199" i="34"/>
  <c r="O1199" i="34"/>
  <c r="S1199" i="34"/>
  <c r="T1199" i="34"/>
  <c r="U1199" i="34"/>
  <c r="Y1199" i="34"/>
  <c r="Z1199" i="34"/>
  <c r="N1200" i="34"/>
  <c r="O1200" i="34"/>
  <c r="S1200" i="34"/>
  <c r="T1200" i="34"/>
  <c r="U1200" i="34"/>
  <c r="Y1200" i="34"/>
  <c r="Z1200" i="34"/>
  <c r="N1201" i="34"/>
  <c r="O1201" i="34"/>
  <c r="S1201" i="34"/>
  <c r="T1201" i="34"/>
  <c r="U1201" i="34"/>
  <c r="Y1201" i="34"/>
  <c r="Z1201" i="34"/>
  <c r="N1202" i="34"/>
  <c r="O1202" i="34"/>
  <c r="S1202" i="34"/>
  <c r="T1202" i="34"/>
  <c r="U1202" i="34"/>
  <c r="Y1202" i="34"/>
  <c r="Z1202" i="34"/>
  <c r="N1203" i="34"/>
  <c r="O1203" i="34"/>
  <c r="S1203" i="34"/>
  <c r="T1203" i="34"/>
  <c r="U1203" i="34"/>
  <c r="Y1203" i="34"/>
  <c r="Z1203" i="34"/>
  <c r="N1204" i="34"/>
  <c r="O1204" i="34"/>
  <c r="S1204" i="34"/>
  <c r="T1204" i="34"/>
  <c r="U1204" i="34"/>
  <c r="Y1204" i="34"/>
  <c r="Z1204" i="34"/>
  <c r="N1205" i="34"/>
  <c r="O1205" i="34"/>
  <c r="S1205" i="34"/>
  <c r="T1205" i="34"/>
  <c r="U1205" i="34"/>
  <c r="Y1205" i="34"/>
  <c r="Z1205" i="34"/>
  <c r="N1206" i="34"/>
  <c r="O1206" i="34"/>
  <c r="S1206" i="34"/>
  <c r="T1206" i="34"/>
  <c r="U1206" i="34"/>
  <c r="Y1206" i="34"/>
  <c r="Z1206" i="34"/>
  <c r="N1207" i="34"/>
  <c r="O1207" i="34"/>
  <c r="S1207" i="34"/>
  <c r="T1207" i="34"/>
  <c r="U1207" i="34"/>
  <c r="Y1207" i="34"/>
  <c r="Z1207" i="34"/>
  <c r="N1208" i="34"/>
  <c r="O1208" i="34"/>
  <c r="S1208" i="34"/>
  <c r="T1208" i="34"/>
  <c r="U1208" i="34"/>
  <c r="Y1208" i="34"/>
  <c r="Z1208" i="34"/>
  <c r="N1209" i="34"/>
  <c r="O1209" i="34"/>
  <c r="S1209" i="34"/>
  <c r="T1209" i="34"/>
  <c r="U1209" i="34"/>
  <c r="Y1209" i="34"/>
  <c r="Z1209" i="34"/>
  <c r="N1210" i="34"/>
  <c r="O1210" i="34"/>
  <c r="S1210" i="34"/>
  <c r="T1210" i="34"/>
  <c r="U1210" i="34"/>
  <c r="Y1210" i="34"/>
  <c r="Z1210" i="34"/>
  <c r="N1211" i="34"/>
  <c r="O1211" i="34"/>
  <c r="S1211" i="34"/>
  <c r="T1211" i="34"/>
  <c r="U1211" i="34"/>
  <c r="Y1211" i="34"/>
  <c r="Z1211" i="34"/>
  <c r="N1212" i="34"/>
  <c r="O1212" i="34"/>
  <c r="S1212" i="34"/>
  <c r="T1212" i="34"/>
  <c r="U1212" i="34"/>
  <c r="Y1212" i="34"/>
  <c r="Z1212" i="34"/>
  <c r="N1213" i="34"/>
  <c r="O1213" i="34"/>
  <c r="S1213" i="34"/>
  <c r="T1213" i="34"/>
  <c r="U1213" i="34"/>
  <c r="Y1213" i="34"/>
  <c r="Z1213" i="34"/>
  <c r="N1214" i="34"/>
  <c r="O1214" i="34"/>
  <c r="S1214" i="34"/>
  <c r="T1214" i="34"/>
  <c r="U1214" i="34"/>
  <c r="Y1214" i="34"/>
  <c r="Z1214" i="34"/>
  <c r="N1215" i="34"/>
  <c r="O1215" i="34"/>
  <c r="S1215" i="34"/>
  <c r="T1215" i="34"/>
  <c r="U1215" i="34"/>
  <c r="Y1215" i="34"/>
  <c r="Z1215" i="34"/>
  <c r="N1216" i="34"/>
  <c r="O1216" i="34"/>
  <c r="S1216" i="34"/>
  <c r="T1216" i="34"/>
  <c r="U1216" i="34"/>
  <c r="Y1216" i="34"/>
  <c r="Z1216" i="34"/>
  <c r="N1217" i="34"/>
  <c r="O1217" i="34"/>
  <c r="S1217" i="34"/>
  <c r="T1217" i="34"/>
  <c r="U1217" i="34"/>
  <c r="Y1217" i="34"/>
  <c r="Z1217" i="34"/>
  <c r="N1218" i="34"/>
  <c r="O1218" i="34"/>
  <c r="S1218" i="34"/>
  <c r="T1218" i="34"/>
  <c r="U1218" i="34"/>
  <c r="Y1218" i="34"/>
  <c r="Z1218" i="34"/>
  <c r="N1219" i="34"/>
  <c r="O1219" i="34"/>
  <c r="S1219" i="34"/>
  <c r="T1219" i="34"/>
  <c r="U1219" i="34"/>
  <c r="Y1219" i="34"/>
  <c r="Z1219" i="34"/>
  <c r="N1220" i="34"/>
  <c r="O1220" i="34"/>
  <c r="S1220" i="34"/>
  <c r="T1220" i="34"/>
  <c r="U1220" i="34"/>
  <c r="Y1220" i="34"/>
  <c r="Z1220" i="34"/>
  <c r="N1221" i="34"/>
  <c r="O1221" i="34"/>
  <c r="S1221" i="34"/>
  <c r="T1221" i="34"/>
  <c r="U1221" i="34"/>
  <c r="Y1221" i="34"/>
  <c r="Z1221" i="34"/>
  <c r="N1222" i="34"/>
  <c r="O1222" i="34"/>
  <c r="S1222" i="34"/>
  <c r="T1222" i="34"/>
  <c r="U1222" i="34"/>
  <c r="Y1222" i="34"/>
  <c r="Z1222" i="34"/>
  <c r="N1223" i="34"/>
  <c r="O1223" i="34"/>
  <c r="S1223" i="34"/>
  <c r="T1223" i="34"/>
  <c r="U1223" i="34"/>
  <c r="Y1223" i="34"/>
  <c r="Z1223" i="34"/>
  <c r="N1224" i="34"/>
  <c r="O1224" i="34"/>
  <c r="S1224" i="34"/>
  <c r="T1224" i="34"/>
  <c r="U1224" i="34"/>
  <c r="Y1224" i="34"/>
  <c r="Z1224" i="34"/>
  <c r="N1225" i="34"/>
  <c r="O1225" i="34"/>
  <c r="S1225" i="34"/>
  <c r="T1225" i="34"/>
  <c r="U1225" i="34"/>
  <c r="Y1225" i="34"/>
  <c r="Z1225" i="34"/>
  <c r="N1226" i="34"/>
  <c r="O1226" i="34"/>
  <c r="S1226" i="34"/>
  <c r="T1226" i="34"/>
  <c r="U1226" i="34"/>
  <c r="Y1226" i="34"/>
  <c r="Z1226" i="34"/>
  <c r="N1227" i="34"/>
  <c r="O1227" i="34"/>
  <c r="S1227" i="34"/>
  <c r="T1227" i="34"/>
  <c r="U1227" i="34"/>
  <c r="Y1227" i="34"/>
  <c r="Z1227" i="34"/>
  <c r="N1228" i="34"/>
  <c r="O1228" i="34"/>
  <c r="S1228" i="34"/>
  <c r="T1228" i="34"/>
  <c r="U1228" i="34"/>
  <c r="Y1228" i="34"/>
  <c r="Z1228" i="34"/>
  <c r="N1229" i="34"/>
  <c r="O1229" i="34"/>
  <c r="S1229" i="34"/>
  <c r="T1229" i="34"/>
  <c r="U1229" i="34"/>
  <c r="Y1229" i="34"/>
  <c r="Z1229" i="34"/>
  <c r="N1230" i="34"/>
  <c r="O1230" i="34"/>
  <c r="S1230" i="34"/>
  <c r="T1230" i="34"/>
  <c r="U1230" i="34"/>
  <c r="Y1230" i="34"/>
  <c r="Z1230" i="34"/>
  <c r="N1231" i="34"/>
  <c r="O1231" i="34"/>
  <c r="S1231" i="34"/>
  <c r="T1231" i="34"/>
  <c r="U1231" i="34"/>
  <c r="Y1231" i="34"/>
  <c r="Z1231" i="34"/>
  <c r="N1232" i="34"/>
  <c r="O1232" i="34"/>
  <c r="S1232" i="34"/>
  <c r="T1232" i="34"/>
  <c r="U1232" i="34"/>
  <c r="Y1232" i="34"/>
  <c r="Z1232" i="34"/>
  <c r="N1233" i="34"/>
  <c r="O1233" i="34"/>
  <c r="S1233" i="34"/>
  <c r="T1233" i="34"/>
  <c r="U1233" i="34"/>
  <c r="Y1233" i="34"/>
  <c r="Z1233" i="34"/>
  <c r="N1234" i="34"/>
  <c r="O1234" i="34"/>
  <c r="S1234" i="34"/>
  <c r="T1234" i="34"/>
  <c r="U1234" i="34"/>
  <c r="Y1234" i="34"/>
  <c r="Z1234" i="34"/>
  <c r="N1235" i="34"/>
  <c r="O1235" i="34"/>
  <c r="S1235" i="34"/>
  <c r="T1235" i="34"/>
  <c r="U1235" i="34"/>
  <c r="Y1235" i="34"/>
  <c r="Z1235" i="34"/>
  <c r="N1236" i="34"/>
  <c r="O1236" i="34"/>
  <c r="S1236" i="34"/>
  <c r="T1236" i="34"/>
  <c r="U1236" i="34"/>
  <c r="Y1236" i="34"/>
  <c r="Z1236" i="34"/>
  <c r="N1237" i="34"/>
  <c r="O1237" i="34"/>
  <c r="S1237" i="34"/>
  <c r="T1237" i="34"/>
  <c r="U1237" i="34"/>
  <c r="Y1237" i="34"/>
  <c r="Z1237" i="34"/>
  <c r="N1238" i="34"/>
  <c r="O1238" i="34"/>
  <c r="S1238" i="34"/>
  <c r="T1238" i="34"/>
  <c r="U1238" i="34"/>
  <c r="Y1238" i="34"/>
  <c r="Z1238" i="34"/>
  <c r="N1239" i="34"/>
  <c r="O1239" i="34"/>
  <c r="S1239" i="34"/>
  <c r="T1239" i="34"/>
  <c r="U1239" i="34"/>
  <c r="Y1239" i="34"/>
  <c r="Z1239" i="34"/>
  <c r="N1240" i="34"/>
  <c r="O1240" i="34"/>
  <c r="S1240" i="34"/>
  <c r="T1240" i="34"/>
  <c r="U1240" i="34"/>
  <c r="Y1240" i="34"/>
  <c r="Z1240" i="34"/>
  <c r="N1241" i="34"/>
  <c r="O1241" i="34"/>
  <c r="S1241" i="34"/>
  <c r="T1241" i="34"/>
  <c r="U1241" i="34"/>
  <c r="Y1241" i="34"/>
  <c r="Z1241" i="34"/>
  <c r="N1242" i="34"/>
  <c r="O1242" i="34"/>
  <c r="S1242" i="34"/>
  <c r="T1242" i="34"/>
  <c r="U1242" i="34"/>
  <c r="Y1242" i="34"/>
  <c r="Z1242" i="34"/>
  <c r="N1243" i="34"/>
  <c r="O1243" i="34"/>
  <c r="S1243" i="34"/>
  <c r="T1243" i="34"/>
  <c r="U1243" i="34"/>
  <c r="Y1243" i="34"/>
  <c r="Z1243" i="34"/>
  <c r="N1244" i="34"/>
  <c r="O1244" i="34"/>
  <c r="S1244" i="34"/>
  <c r="T1244" i="34"/>
  <c r="U1244" i="34"/>
  <c r="Y1244" i="34"/>
  <c r="Z1244" i="34"/>
  <c r="N1245" i="34"/>
  <c r="O1245" i="34"/>
  <c r="S1245" i="34"/>
  <c r="T1245" i="34"/>
  <c r="U1245" i="34"/>
  <c r="Y1245" i="34"/>
  <c r="Z1245" i="34"/>
  <c r="N1246" i="34"/>
  <c r="O1246" i="34"/>
  <c r="S1246" i="34"/>
  <c r="T1246" i="34"/>
  <c r="U1246" i="34"/>
  <c r="Y1246" i="34"/>
  <c r="Z1246" i="34"/>
  <c r="N1247" i="34"/>
  <c r="O1247" i="34"/>
  <c r="S1247" i="34"/>
  <c r="T1247" i="34"/>
  <c r="U1247" i="34"/>
  <c r="Y1247" i="34"/>
  <c r="Z1247" i="34"/>
  <c r="N1248" i="34"/>
  <c r="O1248" i="34"/>
  <c r="S1248" i="34"/>
  <c r="T1248" i="34"/>
  <c r="U1248" i="34"/>
  <c r="Y1248" i="34"/>
  <c r="Z1248" i="34"/>
  <c r="N1249" i="34"/>
  <c r="O1249" i="34"/>
  <c r="S1249" i="34"/>
  <c r="T1249" i="34"/>
  <c r="U1249" i="34"/>
  <c r="Y1249" i="34"/>
  <c r="Z1249" i="34"/>
  <c r="N1250" i="34"/>
  <c r="O1250" i="34"/>
  <c r="S1250" i="34"/>
  <c r="T1250" i="34"/>
  <c r="U1250" i="34"/>
  <c r="Y1250" i="34"/>
  <c r="Z1250" i="34"/>
  <c r="N1251" i="34"/>
  <c r="O1251" i="34"/>
  <c r="S1251" i="34"/>
  <c r="T1251" i="34"/>
  <c r="U1251" i="34"/>
  <c r="Y1251" i="34"/>
  <c r="Z1251" i="34"/>
  <c r="N1252" i="34"/>
  <c r="O1252" i="34"/>
  <c r="S1252" i="34"/>
  <c r="T1252" i="34"/>
  <c r="U1252" i="34"/>
  <c r="Y1252" i="34"/>
  <c r="Z1252" i="34"/>
  <c r="N1253" i="34"/>
  <c r="O1253" i="34"/>
  <c r="S1253" i="34"/>
  <c r="T1253" i="34"/>
  <c r="U1253" i="34"/>
  <c r="Y1253" i="34"/>
  <c r="Z1253" i="34"/>
  <c r="N1254" i="34"/>
  <c r="O1254" i="34"/>
  <c r="S1254" i="34"/>
  <c r="T1254" i="34"/>
  <c r="U1254" i="34"/>
  <c r="Y1254" i="34"/>
  <c r="Z1254" i="34"/>
  <c r="N1255" i="34"/>
  <c r="O1255" i="34"/>
  <c r="S1255" i="34"/>
  <c r="T1255" i="34"/>
  <c r="U1255" i="34"/>
  <c r="Y1255" i="34"/>
  <c r="Z1255" i="34"/>
  <c r="N1256" i="34"/>
  <c r="O1256" i="34"/>
  <c r="S1256" i="34"/>
  <c r="T1256" i="34"/>
  <c r="U1256" i="34"/>
  <c r="Y1256" i="34"/>
  <c r="Z1256" i="34"/>
  <c r="N1257" i="34"/>
  <c r="O1257" i="34"/>
  <c r="S1257" i="34"/>
  <c r="T1257" i="34"/>
  <c r="U1257" i="34"/>
  <c r="Y1257" i="34"/>
  <c r="Z1257" i="34"/>
  <c r="N1258" i="34"/>
  <c r="O1258" i="34"/>
  <c r="S1258" i="34"/>
  <c r="T1258" i="34"/>
  <c r="U1258" i="34"/>
  <c r="Y1258" i="34"/>
  <c r="Z1258" i="34"/>
  <c r="N1259" i="34"/>
  <c r="O1259" i="34"/>
  <c r="S1259" i="34"/>
  <c r="T1259" i="34"/>
  <c r="U1259" i="34"/>
  <c r="Y1259" i="34"/>
  <c r="Z1259" i="34"/>
  <c r="N1260" i="34"/>
  <c r="O1260" i="34"/>
  <c r="S1260" i="34"/>
  <c r="T1260" i="34"/>
  <c r="U1260" i="34"/>
  <c r="Y1260" i="34"/>
  <c r="Z1260" i="34"/>
  <c r="N1261" i="34"/>
  <c r="O1261" i="34"/>
  <c r="S1261" i="34"/>
  <c r="T1261" i="34"/>
  <c r="U1261" i="34"/>
  <c r="Y1261" i="34"/>
  <c r="Z1261" i="34"/>
  <c r="N1262" i="34"/>
  <c r="O1262" i="34"/>
  <c r="S1262" i="34"/>
  <c r="T1262" i="34"/>
  <c r="U1262" i="34"/>
  <c r="Y1262" i="34"/>
  <c r="Z1262" i="34"/>
  <c r="N1263" i="34"/>
  <c r="O1263" i="34"/>
  <c r="S1263" i="34"/>
  <c r="T1263" i="34"/>
  <c r="U1263" i="34"/>
  <c r="Y1263" i="34"/>
  <c r="Z1263" i="34"/>
  <c r="N1264" i="34"/>
  <c r="O1264" i="34"/>
  <c r="S1264" i="34"/>
  <c r="T1264" i="34"/>
  <c r="U1264" i="34"/>
  <c r="Y1264" i="34"/>
  <c r="Z1264" i="34"/>
  <c r="N1265" i="34"/>
  <c r="O1265" i="34"/>
  <c r="S1265" i="34"/>
  <c r="T1265" i="34"/>
  <c r="U1265" i="34"/>
  <c r="Y1265" i="34"/>
  <c r="Z1265" i="34"/>
  <c r="N1266" i="34"/>
  <c r="O1266" i="34"/>
  <c r="S1266" i="34"/>
  <c r="T1266" i="34"/>
  <c r="U1266" i="34"/>
  <c r="Y1266" i="34"/>
  <c r="Z1266" i="34"/>
  <c r="K226" i="34" l="1"/>
  <c r="K218" i="34"/>
  <c r="K209" i="34"/>
  <c r="K207" i="34"/>
  <c r="K205" i="34"/>
  <c r="K213" i="34"/>
  <c r="K199" i="34"/>
  <c r="K195" i="34"/>
  <c r="A10" i="12" l="1"/>
  <c r="A11" i="12"/>
  <c r="A12" i="12"/>
  <c r="A13" i="12"/>
  <c r="I569" i="34"/>
  <c r="K569" i="34" s="1"/>
  <c r="I563" i="34"/>
  <c r="K563" i="34" s="1"/>
  <c r="K557" i="34"/>
  <c r="K558" i="34"/>
  <c r="K560" i="34"/>
  <c r="K561" i="34"/>
  <c r="K564" i="34"/>
  <c r="K565" i="34"/>
  <c r="K566" i="34"/>
  <c r="K567" i="34"/>
  <c r="K570" i="34"/>
  <c r="K571" i="34"/>
  <c r="K572" i="34"/>
  <c r="K574" i="34"/>
  <c r="K575" i="34"/>
  <c r="K576" i="34"/>
  <c r="K577" i="34"/>
  <c r="K578" i="34"/>
  <c r="K579" i="34"/>
  <c r="K580" i="34"/>
  <c r="K581" i="34"/>
  <c r="K583" i="34"/>
  <c r="K584" i="34"/>
  <c r="K585" i="34"/>
  <c r="K587" i="34"/>
  <c r="K611" i="34"/>
  <c r="K598" i="34"/>
  <c r="K599" i="34"/>
  <c r="K600" i="34"/>
  <c r="K601" i="34"/>
  <c r="K602" i="34"/>
  <c r="K603" i="34"/>
  <c r="K616" i="34"/>
  <c r="K589" i="34"/>
  <c r="K590" i="34"/>
  <c r="K618" i="34"/>
  <c r="K619" i="34"/>
  <c r="K620" i="34"/>
  <c r="K621" i="34"/>
  <c r="K555" i="34"/>
  <c r="A29" i="70"/>
  <c r="A30" i="70"/>
  <c r="A31" i="70"/>
  <c r="A32" i="70"/>
  <c r="A33" i="70"/>
  <c r="A45" i="70"/>
  <c r="C50" i="34" l="1"/>
  <c r="C51" i="34"/>
  <c r="C63" i="34"/>
  <c r="C64" i="34"/>
  <c r="C65" i="34"/>
  <c r="C66" i="34"/>
  <c r="K19" i="64"/>
  <c r="J19" i="64"/>
  <c r="H19" i="64"/>
  <c r="L17" i="64"/>
  <c r="C74" i="34" l="1"/>
  <c r="B74" i="34" s="1"/>
  <c r="C77" i="34"/>
  <c r="B77" i="34" s="1"/>
  <c r="C76" i="34"/>
  <c r="B76" i="34" s="1"/>
  <c r="C75" i="34"/>
  <c r="B75" i="34" s="1"/>
  <c r="C73" i="34"/>
  <c r="B73" i="34" s="1"/>
  <c r="A76" i="34" l="1"/>
  <c r="A77" i="34"/>
  <c r="A73" i="34"/>
  <c r="A74" i="34"/>
  <c r="A75" i="34"/>
  <c r="K94" i="34" l="1"/>
  <c r="K177" i="34"/>
  <c r="C178" i="34"/>
  <c r="B178" i="34" s="1"/>
  <c r="C177" i="34"/>
  <c r="B177" i="34" s="1"/>
  <c r="K133" i="34"/>
  <c r="C134" i="34"/>
  <c r="B134" i="34" s="1"/>
  <c r="C133" i="34"/>
  <c r="B133" i="34" s="1"/>
  <c r="C95" i="34"/>
  <c r="B95" i="34" s="1"/>
  <c r="C94" i="34"/>
  <c r="B94" i="34" s="1"/>
  <c r="A134" i="34" l="1"/>
  <c r="A94" i="34"/>
  <c r="A95" i="34"/>
  <c r="A177" i="34"/>
  <c r="A133" i="34"/>
  <c r="A178" i="34"/>
  <c r="K167" i="34"/>
  <c r="C169" i="34"/>
  <c r="B169" i="34" s="1"/>
  <c r="C168" i="34"/>
  <c r="B168" i="34" s="1"/>
  <c r="A168" i="34" l="1"/>
  <c r="A169" i="34"/>
  <c r="I538" i="34"/>
  <c r="I535" i="34"/>
  <c r="I534" i="34"/>
  <c r="I532" i="34"/>
  <c r="I498" i="34"/>
  <c r="I491" i="34"/>
  <c r="I488" i="34"/>
  <c r="I487" i="34"/>
  <c r="I483" i="34"/>
  <c r="I482" i="34"/>
  <c r="I480" i="34"/>
  <c r="K452" i="34" l="1"/>
  <c r="I450" i="34"/>
  <c r="I445" i="34"/>
  <c r="G250" i="55" l="1" a="1"/>
  <c r="G250" i="55" s="1"/>
  <c r="G118" i="55" a="1"/>
  <c r="G118" i="55" s="1"/>
  <c r="I143" i="55" a="1"/>
  <c r="I143" i="55" s="1"/>
  <c r="G103" i="55" a="1"/>
  <c r="G103" i="55" s="1"/>
  <c r="I62" i="55" a="1"/>
  <c r="I62" i="55" s="1"/>
  <c r="I93" i="55" a="1"/>
  <c r="I93" i="55" s="1"/>
  <c r="I78" i="55" a="1"/>
  <c r="I78" i="55" s="1"/>
  <c r="I236" i="55" a="1"/>
  <c r="I236" i="55" s="1"/>
  <c r="I67" i="55" a="1"/>
  <c r="I67" i="55" s="1"/>
  <c r="I218" i="55" a="1"/>
  <c r="I218" i="55" s="1"/>
  <c r="I130" i="55" a="1"/>
  <c r="I130" i="55" s="1"/>
  <c r="I162" i="55" a="1"/>
  <c r="I162" i="55" s="1"/>
  <c r="I221" i="55" a="1"/>
  <c r="I221" i="55" s="1"/>
  <c r="I110" i="55" a="1"/>
  <c r="I110" i="55" s="1"/>
  <c r="I117" i="55" a="1"/>
  <c r="I117" i="55" s="1"/>
  <c r="G211" i="55" a="1"/>
  <c r="G211" i="55" s="1"/>
  <c r="G167" i="55" a="1"/>
  <c r="G167" i="55" s="1"/>
  <c r="I133" i="55" a="1"/>
  <c r="I133" i="55" s="1"/>
  <c r="I219" i="55" a="1"/>
  <c r="I219" i="55" s="1"/>
  <c r="I279" i="55" a="1"/>
  <c r="I279" i="55" s="1"/>
  <c r="I250" i="55" a="1"/>
  <c r="I250" i="55" s="1"/>
  <c r="I118" i="55" a="1"/>
  <c r="I118" i="55" s="1"/>
  <c r="G136" i="55" a="1"/>
  <c r="G136" i="55" s="1"/>
  <c r="G253" i="55" a="1"/>
  <c r="G253" i="55" s="1"/>
  <c r="G150" i="55" a="1"/>
  <c r="G150" i="55" s="1"/>
  <c r="G213" i="55" a="1"/>
  <c r="G213" i="55" s="1"/>
  <c r="G129" i="55" a="1"/>
  <c r="G129" i="55" s="1"/>
  <c r="G132" i="55" a="1"/>
  <c r="G132" i="55" s="1"/>
  <c r="G154" i="55" a="1"/>
  <c r="G154" i="55" s="1"/>
  <c r="G145" i="55" a="1"/>
  <c r="G145" i="55" s="1"/>
  <c r="I246" i="55" a="1"/>
  <c r="I246" i="55" s="1"/>
  <c r="I81" i="55" a="1"/>
  <c r="I81" i="55" s="1"/>
  <c r="I109" i="55" a="1"/>
  <c r="I109" i="55" s="1"/>
  <c r="G111" i="55" a="1"/>
  <c r="G111" i="55" s="1"/>
  <c r="G215" i="55" a="1"/>
  <c r="G215" i="55" s="1"/>
  <c r="G123" i="55" a="1"/>
  <c r="G123" i="55" s="1"/>
  <c r="G102" i="55" a="1"/>
  <c r="G102" i="55" s="1"/>
  <c r="G224" i="55" a="1"/>
  <c r="G224" i="55" s="1"/>
  <c r="I28" i="55" a="1"/>
  <c r="I28" i="55" s="1"/>
  <c r="I212" i="55" a="1"/>
  <c r="I212" i="55" s="1"/>
  <c r="I54" i="55" a="1"/>
  <c r="I54" i="55" s="1"/>
  <c r="I277" i="55" a="1"/>
  <c r="I277" i="55" s="1"/>
  <c r="I264" i="55" a="1"/>
  <c r="I264" i="55" s="1"/>
  <c r="I115" i="55" a="1"/>
  <c r="I115" i="55" s="1"/>
  <c r="I208" i="55" a="1"/>
  <c r="I208" i="55" s="1"/>
  <c r="I91" i="55" a="1"/>
  <c r="I91" i="55" s="1"/>
  <c r="I168" i="55" a="1"/>
  <c r="I168" i="55" s="1"/>
  <c r="I59" i="55" a="1"/>
  <c r="I59" i="55" s="1"/>
  <c r="I271" i="55" a="1"/>
  <c r="I271" i="55" s="1"/>
  <c r="I163" i="55" a="1"/>
  <c r="I163" i="55" s="1"/>
  <c r="I51" i="55" a="1"/>
  <c r="I51" i="55" s="1"/>
  <c r="G37" i="55" a="1"/>
  <c r="G37" i="55" s="1"/>
  <c r="I265" i="55" a="1"/>
  <c r="I265" i="55" s="1"/>
  <c r="G140" i="55" a="1"/>
  <c r="G140" i="55" s="1"/>
  <c r="G217" i="55" a="1"/>
  <c r="G217" i="55" s="1"/>
  <c r="G209" i="55" a="1"/>
  <c r="G209" i="55" s="1"/>
  <c r="G35" i="55" a="1"/>
  <c r="G35" i="55" s="1"/>
  <c r="I204" i="55" a="1"/>
  <c r="I204" i="55" s="1"/>
  <c r="G108" i="55" a="1"/>
  <c r="G108" i="55" s="1"/>
  <c r="G62" i="55" a="1"/>
  <c r="G62" i="55" s="1"/>
  <c r="K62" i="55" s="1"/>
  <c r="G169" i="55" a="1"/>
  <c r="G169" i="55" s="1"/>
  <c r="I66" i="55" a="1"/>
  <c r="I66" i="55" s="1"/>
  <c r="I108" i="55" a="1"/>
  <c r="I108" i="55" s="1"/>
  <c r="G58" i="55" a="1"/>
  <c r="G58" i="55" s="1"/>
  <c r="G57" i="55" a="1"/>
  <c r="G57" i="55" s="1"/>
  <c r="G273" i="55" a="1"/>
  <c r="G273" i="55" s="1"/>
  <c r="G244" i="55" a="1"/>
  <c r="G244" i="55" s="1"/>
  <c r="G171" i="55" a="1"/>
  <c r="G171" i="55" s="1"/>
  <c r="G122" i="55" a="1"/>
  <c r="G122" i="55" s="1"/>
  <c r="G276" i="55" a="1"/>
  <c r="G276" i="55" s="1"/>
  <c r="G99" i="55" a="1"/>
  <c r="G99" i="55" s="1"/>
  <c r="G69" i="55" a="1"/>
  <c r="G69" i="55" s="1"/>
  <c r="I86" i="55" a="1"/>
  <c r="I86" i="55" s="1"/>
  <c r="I231" i="55" a="1"/>
  <c r="I231" i="55" s="1"/>
  <c r="I128" i="55" a="1"/>
  <c r="I128" i="55" s="1"/>
  <c r="I116" i="55" a="1"/>
  <c r="I116" i="55" s="1"/>
  <c r="I29" i="55" a="1"/>
  <c r="I29" i="55" s="1"/>
  <c r="G261" i="55" a="1"/>
  <c r="G261" i="55" s="1"/>
  <c r="I125" i="55" a="1"/>
  <c r="I125" i="55" s="1"/>
  <c r="G252" i="55" a="1"/>
  <c r="G252" i="55" s="1"/>
  <c r="G227" i="55" a="1"/>
  <c r="G227" i="55" s="1"/>
  <c r="G229" i="55" a="1"/>
  <c r="G229" i="55" s="1"/>
  <c r="I281" i="55" a="1"/>
  <c r="I281" i="55" s="1"/>
  <c r="G242" i="55" a="1"/>
  <c r="G242" i="55" s="1"/>
  <c r="G199" i="55" a="1"/>
  <c r="G199" i="55" s="1"/>
  <c r="G220" i="55" a="1"/>
  <c r="G220" i="55" s="1"/>
  <c r="I32" i="55" a="1"/>
  <c r="I32" i="55" s="1"/>
  <c r="I142" i="55" a="1"/>
  <c r="I142" i="55" s="1"/>
  <c r="G121" i="55" a="1"/>
  <c r="G121" i="55" s="1"/>
  <c r="I31" i="55" a="1"/>
  <c r="I31" i="55" s="1"/>
  <c r="I141" i="55" a="1"/>
  <c r="I141" i="55" s="1"/>
  <c r="I140" i="55" a="1"/>
  <c r="I140" i="55" s="1"/>
  <c r="I253" i="55" a="1"/>
  <c r="I253" i="55" s="1"/>
  <c r="I150" i="55" a="1"/>
  <c r="I150" i="55" s="1"/>
  <c r="I213" i="55" a="1"/>
  <c r="I213" i="55" s="1"/>
  <c r="I129" i="55" a="1"/>
  <c r="I129" i="55" s="1"/>
  <c r="I132" i="55" a="1"/>
  <c r="I132" i="55" s="1"/>
  <c r="I154" i="55" a="1"/>
  <c r="I154" i="55" s="1"/>
  <c r="I145" i="55" a="1"/>
  <c r="I145" i="55" s="1"/>
  <c r="G153" i="55" a="1"/>
  <c r="G153" i="55" s="1"/>
  <c r="G79" i="55" a="1"/>
  <c r="G79" i="55" s="1"/>
  <c r="G152" i="55" a="1"/>
  <c r="G152" i="55" s="1"/>
  <c r="I111" i="55" a="1"/>
  <c r="I111" i="55" s="1"/>
  <c r="I215" i="55" a="1"/>
  <c r="I215" i="55" s="1"/>
  <c r="I123" i="55" a="1"/>
  <c r="I123" i="55" s="1"/>
  <c r="I220" i="55" a="1"/>
  <c r="I220" i="55" s="1"/>
  <c r="I153" i="55" a="1"/>
  <c r="I153" i="55" s="1"/>
  <c r="G176" i="55" a="1"/>
  <c r="G176" i="55" s="1"/>
  <c r="G237" i="55" a="1"/>
  <c r="G237" i="55" s="1"/>
  <c r="G175" i="55" a="1"/>
  <c r="G175" i="55" s="1"/>
  <c r="G239" i="55" a="1"/>
  <c r="G239" i="55" s="1"/>
  <c r="G105" i="55" a="1"/>
  <c r="G105" i="55" s="1"/>
  <c r="G134" i="55" a="1"/>
  <c r="G134" i="55" s="1"/>
  <c r="G119" i="55" a="1"/>
  <c r="G119" i="55" s="1"/>
  <c r="G144" i="55" a="1"/>
  <c r="G144" i="55" s="1"/>
  <c r="I232" i="55" a="1"/>
  <c r="I232" i="55" s="1"/>
  <c r="I100" i="55" a="1"/>
  <c r="I100" i="55" s="1"/>
  <c r="I164" i="55" a="1"/>
  <c r="I164" i="55" s="1"/>
  <c r="G170" i="55" a="1"/>
  <c r="G170" i="55" s="1"/>
  <c r="G210" i="55" a="1"/>
  <c r="G210" i="55" s="1"/>
  <c r="G143" i="55" a="1"/>
  <c r="G143" i="55" s="1"/>
  <c r="K143" i="55" s="1"/>
  <c r="G135" i="55" a="1"/>
  <c r="G135" i="55" s="1"/>
  <c r="G223" i="55" a="1"/>
  <c r="G223" i="55" s="1"/>
  <c r="G106" i="55" a="1"/>
  <c r="G106" i="55" s="1"/>
  <c r="I58" i="55" a="1"/>
  <c r="I58" i="55" s="1"/>
  <c r="I57" i="55" a="1"/>
  <c r="I57" i="55" s="1"/>
  <c r="I273" i="55" a="1"/>
  <c r="I273" i="55" s="1"/>
  <c r="I244" i="55" a="1"/>
  <c r="I244" i="55" s="1"/>
  <c r="I171" i="55" a="1"/>
  <c r="I171" i="55" s="1"/>
  <c r="I122" i="55" a="1"/>
  <c r="I122" i="55" s="1"/>
  <c r="I276" i="55" a="1"/>
  <c r="I276" i="55" s="1"/>
  <c r="I99" i="55" a="1"/>
  <c r="I99" i="55" s="1"/>
  <c r="I138" i="55" a="1"/>
  <c r="I138" i="55" s="1"/>
  <c r="I268" i="55" a="1"/>
  <c r="I268" i="55" s="1"/>
  <c r="I254" i="55" a="1"/>
  <c r="I254" i="55" s="1"/>
  <c r="I107" i="55" a="1"/>
  <c r="I107" i="55" s="1"/>
  <c r="G142" i="55" a="1"/>
  <c r="G142" i="55" s="1"/>
  <c r="K142" i="55" s="1"/>
  <c r="I69" i="55" a="1"/>
  <c r="I69" i="55" s="1"/>
  <c r="G139" i="55" a="1"/>
  <c r="G139" i="55" s="1"/>
  <c r="G243" i="55" a="1"/>
  <c r="G243" i="55" s="1"/>
  <c r="G45" i="55" a="1"/>
  <c r="G45" i="55" s="1"/>
  <c r="G61" i="55" a="1"/>
  <c r="G61" i="55" s="1"/>
  <c r="G92" i="55" a="1"/>
  <c r="G92" i="55" s="1"/>
  <c r="I103" i="55" a="1"/>
  <c r="I103" i="55" s="1"/>
  <c r="G93" i="55" a="1"/>
  <c r="G93" i="55" s="1"/>
  <c r="K93" i="55" s="1"/>
  <c r="G48" i="55" a="1"/>
  <c r="G48" i="55" s="1"/>
  <c r="I149" i="55" a="1"/>
  <c r="I149" i="55" s="1"/>
  <c r="G60" i="55" a="1"/>
  <c r="G60" i="55" s="1"/>
  <c r="G52" i="55" a="1"/>
  <c r="G52" i="55" s="1"/>
  <c r="G56" i="55" a="1"/>
  <c r="G56" i="55" s="1"/>
  <c r="G269" i="55" a="1"/>
  <c r="G269" i="55" s="1"/>
  <c r="G83" i="55" a="1"/>
  <c r="G83" i="55" s="1"/>
  <c r="G230" i="55" a="1"/>
  <c r="G230" i="55" s="1"/>
  <c r="G247" i="55" a="1"/>
  <c r="G247" i="55" s="1"/>
  <c r="I249" i="55" a="1"/>
  <c r="I249" i="55" s="1"/>
  <c r="I124" i="55" a="1"/>
  <c r="I124" i="55" s="1"/>
  <c r="G274" i="55" a="1"/>
  <c r="G274" i="55" s="1"/>
  <c r="I102" i="55" a="1"/>
  <c r="I102" i="55" s="1"/>
  <c r="I135" i="55" a="1"/>
  <c r="I135" i="55" s="1"/>
  <c r="I176" i="55" a="1"/>
  <c r="I176" i="55" s="1"/>
  <c r="I237" i="55" a="1"/>
  <c r="I237" i="55" s="1"/>
  <c r="I175" i="55" a="1"/>
  <c r="I175" i="55" s="1"/>
  <c r="I239" i="55" a="1"/>
  <c r="I239" i="55" s="1"/>
  <c r="I105" i="55" a="1"/>
  <c r="I105" i="55" s="1"/>
  <c r="I134" i="55" a="1"/>
  <c r="I134" i="55" s="1"/>
  <c r="I119" i="55" a="1"/>
  <c r="I119" i="55" s="1"/>
  <c r="I144" i="55" a="1"/>
  <c r="I144" i="55" s="1"/>
  <c r="G246" i="55" a="1"/>
  <c r="G246" i="55" s="1"/>
  <c r="K246" i="55" s="1"/>
  <c r="G81" i="55" a="1"/>
  <c r="G81" i="55" s="1"/>
  <c r="K81" i="55" s="1"/>
  <c r="G109" i="55" a="1"/>
  <c r="G109" i="55" s="1"/>
  <c r="K109" i="55" s="1"/>
  <c r="I170" i="55" a="1"/>
  <c r="I170" i="55" s="1"/>
  <c r="I210" i="55" a="1"/>
  <c r="I210" i="55" s="1"/>
  <c r="G267" i="55" a="1"/>
  <c r="G267" i="55" s="1"/>
  <c r="I247" i="55" a="1"/>
  <c r="I247" i="55" s="1"/>
  <c r="G32" i="55" a="1"/>
  <c r="G32" i="55" s="1"/>
  <c r="K32" i="55" s="1"/>
  <c r="G257" i="55" a="1"/>
  <c r="G257" i="55" s="1"/>
  <c r="G238" i="55" a="1"/>
  <c r="G238" i="55" s="1"/>
  <c r="G174" i="55" a="1"/>
  <c r="G174" i="55" s="1"/>
  <c r="G38" i="55" a="1"/>
  <c r="G38" i="55" s="1"/>
  <c r="G97" i="55" a="1"/>
  <c r="G97" i="55" s="1"/>
  <c r="G146" i="55" a="1"/>
  <c r="G146" i="55" s="1"/>
  <c r="G120" i="55" a="1"/>
  <c r="G120" i="55" s="1"/>
  <c r="G251" i="55" a="1"/>
  <c r="G251" i="55" s="1"/>
  <c r="I211" i="55" a="1"/>
  <c r="I211" i="55" s="1"/>
  <c r="I167" i="55" a="1"/>
  <c r="I167" i="55" s="1"/>
  <c r="G124" i="55" a="1"/>
  <c r="G124" i="55" s="1"/>
  <c r="K124" i="55" s="1"/>
  <c r="G173" i="55" a="1"/>
  <c r="G173" i="55" s="1"/>
  <c r="G278" i="55" a="1"/>
  <c r="G278" i="55" s="1"/>
  <c r="I274" i="55" a="1"/>
  <c r="I274" i="55" s="1"/>
  <c r="I169" i="55" a="1"/>
  <c r="I169" i="55" s="1"/>
  <c r="G66" i="55" a="1"/>
  <c r="G66" i="55" s="1"/>
  <c r="K66" i="55" s="1"/>
  <c r="I60" i="55" a="1"/>
  <c r="I60" i="55" s="1"/>
  <c r="I52" i="55" a="1"/>
  <c r="I52" i="55" s="1"/>
  <c r="I56" i="55" a="1"/>
  <c r="I56" i="55" s="1"/>
  <c r="I269" i="55" a="1"/>
  <c r="I269" i="55" s="1"/>
  <c r="I83" i="55" a="1"/>
  <c r="I83" i="55" s="1"/>
  <c r="I230" i="55" a="1"/>
  <c r="I230" i="55" s="1"/>
  <c r="I201" i="55" a="1"/>
  <c r="I201" i="55" s="1"/>
  <c r="I272" i="55" a="1"/>
  <c r="I272" i="55" s="1"/>
  <c r="I156" i="55" a="1"/>
  <c r="I156" i="55" s="1"/>
  <c r="I248" i="55" a="1"/>
  <c r="I248" i="55" s="1"/>
  <c r="I263" i="55" a="1"/>
  <c r="I263" i="55" s="1"/>
  <c r="I90" i="55" a="1"/>
  <c r="I90" i="55" s="1"/>
  <c r="G131" i="55" a="1"/>
  <c r="G131" i="55" s="1"/>
  <c r="I82" i="55" a="1"/>
  <c r="I82" i="55" s="1"/>
  <c r="G31" i="55" a="1"/>
  <c r="G31" i="55" s="1"/>
  <c r="K31" i="55" s="1"/>
  <c r="G86" i="55" a="1"/>
  <c r="G86" i="55" s="1"/>
  <c r="K86" i="55" s="1"/>
  <c r="G231" i="55" a="1"/>
  <c r="G231" i="55" s="1"/>
  <c r="K231" i="55" s="1"/>
  <c r="G128" i="55" a="1"/>
  <c r="G128" i="55" s="1"/>
  <c r="K128" i="55" s="1"/>
  <c r="G34" i="55" a="1"/>
  <c r="G34" i="55" s="1"/>
  <c r="I136" i="55" a="1"/>
  <c r="I136" i="55" s="1"/>
  <c r="G82" i="55" a="1"/>
  <c r="G82" i="55" s="1"/>
  <c r="K82" i="55" s="1"/>
  <c r="G270" i="55" a="1"/>
  <c r="G270" i="55" s="1"/>
  <c r="I30" i="55" a="1"/>
  <c r="I30" i="55" s="1"/>
  <c r="I225" i="55" a="1"/>
  <c r="I225" i="55" s="1"/>
  <c r="I257" i="55" a="1"/>
  <c r="I257" i="55" s="1"/>
  <c r="I238" i="55" a="1"/>
  <c r="I238" i="55" s="1"/>
  <c r="I174" i="55" a="1"/>
  <c r="I174" i="55" s="1"/>
  <c r="I38" i="55" a="1"/>
  <c r="I38" i="55" s="1"/>
  <c r="I97" i="55" a="1"/>
  <c r="I97" i="55" s="1"/>
  <c r="I146" i="55" a="1"/>
  <c r="I146" i="55" s="1"/>
  <c r="I120" i="55" a="1"/>
  <c r="I120" i="55" s="1"/>
  <c r="I251" i="55" a="1"/>
  <c r="I251" i="55" s="1"/>
  <c r="G232" i="55" a="1"/>
  <c r="G232" i="55" s="1"/>
  <c r="K232" i="55" s="1"/>
  <c r="G100" i="55" a="1"/>
  <c r="G100" i="55" s="1"/>
  <c r="K100" i="55" s="1"/>
  <c r="G164" i="55" a="1"/>
  <c r="G164" i="55" s="1"/>
  <c r="K164" i="55" s="1"/>
  <c r="I173" i="55" a="1"/>
  <c r="I173" i="55" s="1"/>
  <c r="I278" i="55" a="1"/>
  <c r="I278" i="55" s="1"/>
  <c r="G265" i="55" a="1"/>
  <c r="G265" i="55" s="1"/>
  <c r="K265" i="55" s="1"/>
  <c r="I34" i="55" a="1"/>
  <c r="I34" i="55" s="1"/>
  <c r="G249" i="55" a="1"/>
  <c r="G249" i="55" s="1"/>
  <c r="K249" i="55" s="1"/>
  <c r="G236" i="55" a="1"/>
  <c r="G236" i="55" s="1"/>
  <c r="K236" i="55" s="1"/>
  <c r="G67" i="55" a="1"/>
  <c r="G67" i="55" s="1"/>
  <c r="K67" i="55" s="1"/>
  <c r="G218" i="55" a="1"/>
  <c r="G218" i="55" s="1"/>
  <c r="K218" i="55" s="1"/>
  <c r="G130" i="55" a="1"/>
  <c r="G130" i="55" s="1"/>
  <c r="K130" i="55" s="1"/>
  <c r="G162" i="55" a="1"/>
  <c r="G162" i="55" s="1"/>
  <c r="K162" i="55" s="1"/>
  <c r="G221" i="55" a="1"/>
  <c r="G221" i="55" s="1"/>
  <c r="K221" i="55" s="1"/>
  <c r="G110" i="55" a="1"/>
  <c r="G110" i="55" s="1"/>
  <c r="K110" i="55" s="1"/>
  <c r="G117" i="55" a="1"/>
  <c r="G117" i="55" s="1"/>
  <c r="K117" i="55" s="1"/>
  <c r="I79" i="55" a="1"/>
  <c r="I79" i="55" s="1"/>
  <c r="I152" i="55" a="1"/>
  <c r="I152" i="55" s="1"/>
  <c r="G133" i="55" a="1"/>
  <c r="G133" i="55" s="1"/>
  <c r="K133" i="55" s="1"/>
  <c r="G219" i="55" a="1"/>
  <c r="G219" i="55" s="1"/>
  <c r="K219" i="55" s="1"/>
  <c r="G279" i="55" a="1"/>
  <c r="G279" i="55" s="1"/>
  <c r="K279" i="55" s="1"/>
  <c r="G262" i="55" a="1"/>
  <c r="G262" i="55" s="1"/>
  <c r="I48" i="55" a="1"/>
  <c r="I48" i="55" s="1"/>
  <c r="G149" i="55" a="1"/>
  <c r="G149" i="55" s="1"/>
  <c r="K149" i="55" s="1"/>
  <c r="I216" i="55" a="1"/>
  <c r="I216" i="55" s="1"/>
  <c r="I55" i="55" a="1"/>
  <c r="I55" i="55" s="1"/>
  <c r="I245" i="55" a="1"/>
  <c r="I245" i="55" s="1"/>
  <c r="I266" i="55" a="1"/>
  <c r="I266" i="55" s="1"/>
  <c r="I101" i="55" a="1"/>
  <c r="I101" i="55" s="1"/>
  <c r="I76" i="55" a="1"/>
  <c r="I76" i="55" s="1"/>
  <c r="I112" i="55" a="1"/>
  <c r="I112" i="55" s="1"/>
  <c r="I172" i="55" a="1"/>
  <c r="I172" i="55" s="1"/>
  <c r="I53" i="55" a="1"/>
  <c r="I53" i="55" s="1"/>
  <c r="I275" i="55" a="1"/>
  <c r="I275" i="55" s="1"/>
  <c r="I261" i="55" a="1"/>
  <c r="I261" i="55" s="1"/>
  <c r="I49" i="55" a="1"/>
  <c r="I49" i="55" s="1"/>
  <c r="G84" i="55" a="1"/>
  <c r="G84" i="55" s="1"/>
  <c r="I270" i="55" a="1"/>
  <c r="I270" i="55" s="1"/>
  <c r="G141" i="55" a="1"/>
  <c r="G141" i="55" s="1"/>
  <c r="K141" i="55" s="1"/>
  <c r="G80" i="55" a="1"/>
  <c r="G80" i="55" s="1"/>
  <c r="G214" i="55" a="1"/>
  <c r="G214" i="55" s="1"/>
  <c r="G127" i="55" a="1"/>
  <c r="G127" i="55" s="1"/>
  <c r="G222" i="55" a="1"/>
  <c r="G222" i="55" s="1"/>
  <c r="I106" i="55" a="1"/>
  <c r="I106" i="55" s="1"/>
  <c r="I77" i="55" a="1"/>
  <c r="I77" i="55" s="1"/>
  <c r="G206" i="55" a="1"/>
  <c r="G206" i="55" s="1"/>
  <c r="I223" i="55" a="1"/>
  <c r="I223" i="55" s="1"/>
  <c r="G28" i="55" a="1"/>
  <c r="G28" i="55" s="1"/>
  <c r="K28" i="55" s="1"/>
  <c r="G212" i="55" a="1"/>
  <c r="G212" i="55" s="1"/>
  <c r="K212" i="55" s="1"/>
  <c r="G54" i="55" a="1"/>
  <c r="G54" i="55" s="1"/>
  <c r="K54" i="55" s="1"/>
  <c r="G277" i="55" a="1"/>
  <c r="G277" i="55" s="1"/>
  <c r="K277" i="55" s="1"/>
  <c r="G264" i="55" a="1"/>
  <c r="G264" i="55" s="1"/>
  <c r="K264" i="55" s="1"/>
  <c r="G115" i="55" a="1"/>
  <c r="G115" i="55" s="1"/>
  <c r="K115" i="55" s="1"/>
  <c r="G116" i="55" a="1"/>
  <c r="G116" i="55" s="1"/>
  <c r="K116" i="55" s="1"/>
  <c r="I224" i="55" a="1"/>
  <c r="I224" i="55" s="1"/>
  <c r="G245" i="55" a="1"/>
  <c r="G245" i="55" s="1"/>
  <c r="K245" i="55" s="1"/>
  <c r="G208" i="55" a="1"/>
  <c r="G208" i="55" s="1"/>
  <c r="K208" i="55" s="1"/>
  <c r="G272" i="55" a="1"/>
  <c r="G272" i="55" s="1"/>
  <c r="I262" i="55" a="1"/>
  <c r="I262" i="55" s="1"/>
  <c r="I139" i="55" a="1"/>
  <c r="I139" i="55" s="1"/>
  <c r="I214" i="55" a="1"/>
  <c r="I214" i="55" s="1"/>
  <c r="I35" i="55" a="1"/>
  <c r="I35" i="55" s="1"/>
  <c r="G204" i="55" a="1"/>
  <c r="G204" i="55" s="1"/>
  <c r="K204" i="55" s="1"/>
  <c r="G49" i="55" a="1"/>
  <c r="G49" i="55" s="1"/>
  <c r="K49" i="55" s="1"/>
  <c r="I46" i="55" a="1"/>
  <c r="I46" i="55" s="1"/>
  <c r="G181" i="55" a="1"/>
  <c r="G181" i="55" s="1"/>
  <c r="I126" i="55" a="1"/>
  <c r="I126" i="55" s="1"/>
  <c r="G283" i="55" a="1"/>
  <c r="G283" i="55" s="1"/>
  <c r="G200" i="55" a="1"/>
  <c r="G200" i="55" s="1"/>
  <c r="G196" i="55" a="1"/>
  <c r="G196" i="55" s="1"/>
  <c r="G194" i="55" a="1"/>
  <c r="G194" i="55" s="1"/>
  <c r="G147" i="55" a="1"/>
  <c r="G147" i="55" s="1"/>
  <c r="G160" i="55" a="1"/>
  <c r="G160" i="55" s="1"/>
  <c r="G155" i="55" a="1"/>
  <c r="G155" i="55" s="1"/>
  <c r="G39" i="55" a="1"/>
  <c r="G39" i="55" s="1"/>
  <c r="G89" i="55" a="1"/>
  <c r="G89" i="55" s="1"/>
  <c r="G43" i="55" a="1"/>
  <c r="G43" i="55" s="1"/>
  <c r="G98" i="55" a="1"/>
  <c r="G98" i="55" s="1"/>
  <c r="G113" i="55" a="1"/>
  <c r="G113" i="55" s="1"/>
  <c r="G260" i="55" a="1"/>
  <c r="G260" i="55" s="1"/>
  <c r="G165" i="55" a="1"/>
  <c r="G165" i="55" s="1"/>
  <c r="G184" i="55" a="1"/>
  <c r="G184" i="55" s="1"/>
  <c r="G182" i="55" a="1"/>
  <c r="G182" i="55" s="1"/>
  <c r="K182" i="55" s="1"/>
  <c r="G268" i="55" a="1"/>
  <c r="G268" i="55" s="1"/>
  <c r="K268" i="55" s="1"/>
  <c r="I44" i="55" a="1"/>
  <c r="I44" i="55" s="1"/>
  <c r="I37" i="55" a="1"/>
  <c r="I37" i="55" s="1"/>
  <c r="G163" i="55" a="1"/>
  <c r="G163" i="55" s="1"/>
  <c r="K163" i="55" s="1"/>
  <c r="I157" i="55" a="1"/>
  <c r="I157" i="55" s="1"/>
  <c r="G280" i="55" a="1"/>
  <c r="G280" i="55" s="1"/>
  <c r="I166" i="55" a="1"/>
  <c r="I166" i="55" s="1"/>
  <c r="I198" i="55" a="1"/>
  <c r="I198" i="55" s="1"/>
  <c r="I228" i="55" a="1"/>
  <c r="I228" i="55" s="1"/>
  <c r="I255" i="55" a="1"/>
  <c r="I255" i="55" s="1"/>
  <c r="I47" i="55" a="1"/>
  <c r="I47" i="55" s="1"/>
  <c r="I226" i="55" a="1"/>
  <c r="I226" i="55" s="1"/>
  <c r="I161" i="55" a="1"/>
  <c r="I161" i="55" s="1"/>
  <c r="I240" i="55" a="1"/>
  <c r="I240" i="55" s="1"/>
  <c r="I191" i="55" a="1"/>
  <c r="I191" i="55" s="1"/>
  <c r="I40" i="55" a="1"/>
  <c r="I40" i="55" s="1"/>
  <c r="I94" i="55" a="1"/>
  <c r="I94" i="55" s="1"/>
  <c r="I85" i="55" a="1"/>
  <c r="I85" i="55" s="1"/>
  <c r="I256" i="55" a="1"/>
  <c r="I256" i="55" s="1"/>
  <c r="I104" i="55" a="1"/>
  <c r="I104" i="55" s="1"/>
  <c r="I183" i="55" a="1"/>
  <c r="I183" i="55" s="1"/>
  <c r="I75" i="55" a="1"/>
  <c r="I75" i="55" s="1"/>
  <c r="G178" i="55" a="1"/>
  <c r="G178" i="55" s="1"/>
  <c r="I177" i="55" a="1"/>
  <c r="I177" i="55" s="1"/>
  <c r="G179" i="55" a="1"/>
  <c r="G179" i="55" s="1"/>
  <c r="G180" i="55" a="1"/>
  <c r="G180" i="55" s="1"/>
  <c r="I181" i="55" a="1"/>
  <c r="I181" i="55" s="1"/>
  <c r="I72" i="55" a="1"/>
  <c r="I72" i="55" s="1"/>
  <c r="I41" i="55" a="1"/>
  <c r="I41" i="55" s="1"/>
  <c r="I188" i="55" a="1"/>
  <c r="I188" i="55" s="1"/>
  <c r="I70" i="55" a="1"/>
  <c r="I70" i="55" s="1"/>
  <c r="I151" i="55" a="1"/>
  <c r="I151" i="55" s="1"/>
  <c r="I202" i="55" a="1"/>
  <c r="I202" i="55" s="1"/>
  <c r="G177" i="55" a="1"/>
  <c r="G177" i="55" s="1"/>
  <c r="I74" i="55" a="1"/>
  <c r="I74" i="55" s="1"/>
  <c r="G88" i="55" a="1"/>
  <c r="G88" i="55" s="1"/>
  <c r="I187" i="55" a="1"/>
  <c r="I187" i="55" s="1"/>
  <c r="I63" i="55" a="1"/>
  <c r="I63" i="55" s="1"/>
  <c r="I182" i="55" a="1"/>
  <c r="I182" i="55" s="1"/>
  <c r="G71" i="55" a="1"/>
  <c r="G71" i="55" s="1"/>
  <c r="I88" i="55" a="1"/>
  <c r="I88" i="55" s="1"/>
  <c r="G29" i="55" a="1"/>
  <c r="G29" i="55" s="1"/>
  <c r="K29" i="55" s="1"/>
  <c r="I92" i="55" a="1"/>
  <c r="I92" i="55" s="1"/>
  <c r="G266" i="55" a="1"/>
  <c r="G266" i="55" s="1"/>
  <c r="K266" i="55" s="1"/>
  <c r="G201" i="55" a="1"/>
  <c r="G201" i="55" s="1"/>
  <c r="K201" i="55" s="1"/>
  <c r="G172" i="55" a="1"/>
  <c r="G172" i="55" s="1"/>
  <c r="G77" i="55" a="1"/>
  <c r="G77" i="55" s="1"/>
  <c r="I80" i="55" a="1"/>
  <c r="I80" i="55" s="1"/>
  <c r="I209" i="55" a="1"/>
  <c r="I209" i="55" s="1"/>
  <c r="I61" i="55" a="1"/>
  <c r="I61" i="55" s="1"/>
  <c r="G156" i="55" a="1"/>
  <c r="G156" i="55" s="1"/>
  <c r="K156" i="55" s="1"/>
  <c r="I87" i="55" a="1"/>
  <c r="I87" i="55" s="1"/>
  <c r="I282" i="55" a="1"/>
  <c r="I282" i="55" s="1"/>
  <c r="G53" i="55" a="1"/>
  <c r="G53" i="55" s="1"/>
  <c r="K53" i="55" s="1"/>
  <c r="G157" i="55" a="1"/>
  <c r="G157" i="55" s="1"/>
  <c r="G241" i="55" a="1"/>
  <c r="G241" i="55" s="1"/>
  <c r="K241" i="55" s="1"/>
  <c r="G198" i="55" a="1"/>
  <c r="G198" i="55" s="1"/>
  <c r="K198" i="55" s="1"/>
  <c r="G228" i="55" a="1"/>
  <c r="G228" i="55" s="1"/>
  <c r="G255" i="55" a="1"/>
  <c r="G255" i="55" s="1"/>
  <c r="G47" i="55" a="1"/>
  <c r="G47" i="55" s="1"/>
  <c r="K47" i="55" s="1"/>
  <c r="G226" i="55" a="1"/>
  <c r="G226" i="55" s="1"/>
  <c r="K226" i="55" s="1"/>
  <c r="G161" i="55" a="1"/>
  <c r="G161" i="55" s="1"/>
  <c r="G240" i="55" a="1"/>
  <c r="G240" i="55" s="1"/>
  <c r="G191" i="55" a="1"/>
  <c r="G191" i="55" s="1"/>
  <c r="K191" i="55" s="1"/>
  <c r="G40" i="55" a="1"/>
  <c r="G40" i="55" s="1"/>
  <c r="K40" i="55" s="1"/>
  <c r="G94" i="55" a="1"/>
  <c r="G94" i="55" s="1"/>
  <c r="G85" i="55" a="1"/>
  <c r="G85" i="55" s="1"/>
  <c r="G256" i="55" a="1"/>
  <c r="G256" i="55" s="1"/>
  <c r="K256" i="55" s="1"/>
  <c r="G104" i="55" a="1"/>
  <c r="G104" i="55" s="1"/>
  <c r="K104" i="55" s="1"/>
  <c r="G183" i="55" a="1"/>
  <c r="G183" i="55" s="1"/>
  <c r="G233" i="55" a="1"/>
  <c r="G233" i="55" s="1"/>
  <c r="G254" i="55" a="1"/>
  <c r="G254" i="55" s="1"/>
  <c r="K254" i="55" s="1"/>
  <c r="G125" i="55" a="1"/>
  <c r="G125" i="55" s="1"/>
  <c r="K125" i="55" s="1"/>
  <c r="I280" i="55" a="1"/>
  <c r="I280" i="55" s="1"/>
  <c r="G51" i="55" a="1"/>
  <c r="G51" i="55" s="1"/>
  <c r="K51" i="55" s="1"/>
  <c r="G259" i="55" a="1"/>
  <c r="G259" i="55" s="1"/>
  <c r="I283" i="55" a="1"/>
  <c r="I283" i="55" s="1"/>
  <c r="I205" i="55" a="1"/>
  <c r="I205" i="55" s="1"/>
  <c r="I197" i="55" a="1"/>
  <c r="I197" i="55" s="1"/>
  <c r="I235" i="55" a="1"/>
  <c r="I235" i="55" s="1"/>
  <c r="I64" i="55" a="1"/>
  <c r="I64" i="55" s="1"/>
  <c r="I50" i="55" a="1"/>
  <c r="I50" i="55" s="1"/>
  <c r="I158" i="55" a="1"/>
  <c r="I158" i="55" s="1"/>
  <c r="I193" i="55" a="1"/>
  <c r="I193" i="55" s="1"/>
  <c r="I258" i="55" a="1"/>
  <c r="I258" i="55" s="1"/>
  <c r="I190" i="55" a="1"/>
  <c r="I190" i="55" s="1"/>
  <c r="I95" i="55" a="1"/>
  <c r="I95" i="55" s="1"/>
  <c r="I186" i="55" a="1"/>
  <c r="I186" i="55" s="1"/>
  <c r="I71" i="55" a="1"/>
  <c r="I71" i="55" s="1"/>
  <c r="I73" i="55" a="1"/>
  <c r="I73" i="55" s="1"/>
  <c r="I227" i="55" a="1"/>
  <c r="I227" i="55" s="1"/>
  <c r="I96" i="55" a="1"/>
  <c r="I96" i="55" s="1"/>
  <c r="I185" i="55" a="1"/>
  <c r="I185" i="55" s="1"/>
  <c r="G72" i="55" a="1"/>
  <c r="G72" i="55" s="1"/>
  <c r="K72" i="55" s="1"/>
  <c r="G73" i="55" a="1"/>
  <c r="G73" i="55" s="1"/>
  <c r="I267" i="55" a="1"/>
  <c r="I267" i="55" s="1"/>
  <c r="G216" i="55" a="1"/>
  <c r="G216" i="55" s="1"/>
  <c r="K216" i="55" s="1"/>
  <c r="G101" i="55" a="1"/>
  <c r="G101" i="55" s="1"/>
  <c r="K101" i="55" s="1"/>
  <c r="G112" i="55" a="1"/>
  <c r="G112" i="55" s="1"/>
  <c r="K112" i="55" s="1"/>
  <c r="G168" i="55" a="1"/>
  <c r="G168" i="55" s="1"/>
  <c r="K168" i="55" s="1"/>
  <c r="G30" i="55" a="1"/>
  <c r="G30" i="55" s="1"/>
  <c r="K30" i="55" s="1"/>
  <c r="I217" i="55" a="1"/>
  <c r="I217" i="55" s="1"/>
  <c r="I45" i="55" a="1"/>
  <c r="I45" i="55" s="1"/>
  <c r="I222" i="55" a="1"/>
  <c r="I222" i="55" s="1"/>
  <c r="G248" i="55" a="1"/>
  <c r="G248" i="55" s="1"/>
  <c r="K248" i="55" s="1"/>
  <c r="G44" i="55" a="1"/>
  <c r="G44" i="55" s="1"/>
  <c r="K44" i="55" s="1"/>
  <c r="G234" i="55" a="1"/>
  <c r="G234" i="55" s="1"/>
  <c r="G263" i="55" a="1"/>
  <c r="G263" i="55" s="1"/>
  <c r="K263" i="55" s="1"/>
  <c r="I259" i="55" a="1"/>
  <c r="I259" i="55" s="1"/>
  <c r="G166" i="55" a="1"/>
  <c r="G166" i="55" s="1"/>
  <c r="K166" i="55" s="1"/>
  <c r="G197" i="55" a="1"/>
  <c r="G197" i="55" s="1"/>
  <c r="K197" i="55" s="1"/>
  <c r="G235" i="55" a="1"/>
  <c r="G235" i="55" s="1"/>
  <c r="K235" i="55" s="1"/>
  <c r="G64" i="55" a="1"/>
  <c r="G64" i="55" s="1"/>
  <c r="K64" i="55" s="1"/>
  <c r="G50" i="55" a="1"/>
  <c r="G50" i="55" s="1"/>
  <c r="K50" i="55" s="1"/>
  <c r="G158" i="55" a="1"/>
  <c r="G158" i="55" s="1"/>
  <c r="K158" i="55" s="1"/>
  <c r="G193" i="55" a="1"/>
  <c r="G193" i="55" s="1"/>
  <c r="K193" i="55" s="1"/>
  <c r="G258" i="55" a="1"/>
  <c r="G258" i="55" s="1"/>
  <c r="G190" i="55" a="1"/>
  <c r="G190" i="55" s="1"/>
  <c r="G41" i="55" a="1"/>
  <c r="G41" i="55" s="1"/>
  <c r="G95" i="55" a="1"/>
  <c r="G95" i="55" s="1"/>
  <c r="K95" i="55" s="1"/>
  <c r="G188" i="55" a="1"/>
  <c r="G188" i="55" s="1"/>
  <c r="G70" i="55" a="1"/>
  <c r="G70" i="55" s="1"/>
  <c r="K70" i="55" s="1"/>
  <c r="G186" i="55" a="1"/>
  <c r="G186" i="55" s="1"/>
  <c r="G151" i="55" a="1"/>
  <c r="G151" i="55" s="1"/>
  <c r="K151" i="55" s="1"/>
  <c r="G59" i="55" a="1"/>
  <c r="G59" i="55" s="1"/>
  <c r="K59" i="55" s="1"/>
  <c r="G107" i="55" a="1"/>
  <c r="G107" i="55" s="1"/>
  <c r="K107" i="55" s="1"/>
  <c r="I137" i="55" a="1"/>
  <c r="I137" i="55" s="1"/>
  <c r="G281" i="55" a="1"/>
  <c r="G281" i="55" s="1"/>
  <c r="K281" i="55" s="1"/>
  <c r="I229" i="55" a="1"/>
  <c r="I229" i="55" s="1"/>
  <c r="I131" i="55" a="1"/>
  <c r="I131" i="55" s="1"/>
  <c r="I241" i="55" a="1"/>
  <c r="I241" i="55" s="1"/>
  <c r="I200" i="55" a="1"/>
  <c r="I200" i="55" s="1"/>
  <c r="I207" i="55" a="1"/>
  <c r="I207" i="55" s="1"/>
  <c r="I195" i="55" a="1"/>
  <c r="I195" i="55" s="1"/>
  <c r="I148" i="55" a="1"/>
  <c r="I148" i="55" s="1"/>
  <c r="I159" i="55" a="1"/>
  <c r="I159" i="55" s="1"/>
  <c r="I114" i="55" a="1"/>
  <c r="I114" i="55" s="1"/>
  <c r="I192" i="55" a="1"/>
  <c r="I192" i="55" s="1"/>
  <c r="I33" i="55" a="1"/>
  <c r="I33" i="55" s="1"/>
  <c r="I189" i="55" a="1"/>
  <c r="I189" i="55" s="1"/>
  <c r="I42" i="55" a="1"/>
  <c r="I42" i="55" s="1"/>
  <c r="I252" i="55" a="1"/>
  <c r="I252" i="55" s="1"/>
  <c r="I233" i="55" a="1"/>
  <c r="I233" i="55" s="1"/>
  <c r="I178" i="55" a="1"/>
  <c r="I178" i="55" s="1"/>
  <c r="G78" i="55" a="1"/>
  <c r="G78" i="55" s="1"/>
  <c r="K78" i="55" s="1"/>
  <c r="G55" i="55" a="1"/>
  <c r="G55" i="55" s="1"/>
  <c r="K55" i="55" s="1"/>
  <c r="G76" i="55" a="1"/>
  <c r="G76" i="55" s="1"/>
  <c r="K76" i="55" s="1"/>
  <c r="G91" i="55" a="1"/>
  <c r="G91" i="55" s="1"/>
  <c r="K91" i="55" s="1"/>
  <c r="I121" i="55" a="1"/>
  <c r="I121" i="55" s="1"/>
  <c r="G225" i="55" a="1"/>
  <c r="G225" i="55" s="1"/>
  <c r="K225" i="55" s="1"/>
  <c r="I243" i="55" a="1"/>
  <c r="I243" i="55" s="1"/>
  <c r="I127" i="55" a="1"/>
  <c r="I127" i="55" s="1"/>
  <c r="I206" i="55" a="1"/>
  <c r="I206" i="55" s="1"/>
  <c r="G271" i="55" a="1"/>
  <c r="G271" i="55" s="1"/>
  <c r="K271" i="55" s="1"/>
  <c r="G137" i="55" a="1"/>
  <c r="G137" i="55" s="1"/>
  <c r="K137" i="55" s="1"/>
  <c r="G202" i="55" a="1"/>
  <c r="G202" i="55" s="1"/>
  <c r="G90" i="55" a="1"/>
  <c r="G90" i="55" s="1"/>
  <c r="K90" i="55" s="1"/>
  <c r="G282" i="55" a="1"/>
  <c r="G282" i="55" s="1"/>
  <c r="G205" i="55" a="1"/>
  <c r="G205" i="55" s="1"/>
  <c r="G207" i="55" a="1"/>
  <c r="G207" i="55" s="1"/>
  <c r="G195" i="55" a="1"/>
  <c r="G195" i="55" s="1"/>
  <c r="G148" i="55" a="1"/>
  <c r="G148" i="55" s="1"/>
  <c r="K148" i="55" s="1"/>
  <c r="G159" i="55" a="1"/>
  <c r="G159" i="55" s="1"/>
  <c r="G114" i="55" a="1"/>
  <c r="G114" i="55" s="1"/>
  <c r="G192" i="55" a="1"/>
  <c r="G192" i="55" s="1"/>
  <c r="G33" i="55" a="1"/>
  <c r="G33" i="55" s="1"/>
  <c r="K33" i="55" s="1"/>
  <c r="G189" i="55" a="1"/>
  <c r="G189" i="55" s="1"/>
  <c r="G42" i="55" a="1"/>
  <c r="G42" i="55" s="1"/>
  <c r="G96" i="55" a="1"/>
  <c r="G96" i="55" s="1"/>
  <c r="K96" i="55" s="1"/>
  <c r="G187" i="55" a="1"/>
  <c r="G187" i="55" s="1"/>
  <c r="G63" i="55" a="1"/>
  <c r="G63" i="55" s="1"/>
  <c r="G185" i="55" a="1"/>
  <c r="G185" i="55" s="1"/>
  <c r="G75" i="55" a="1"/>
  <c r="G75" i="55" s="1"/>
  <c r="G275" i="55" a="1"/>
  <c r="G275" i="55" s="1"/>
  <c r="K275" i="55" s="1"/>
  <c r="G87" i="55" a="1"/>
  <c r="G87" i="55" s="1"/>
  <c r="G46" i="55" a="1"/>
  <c r="G46" i="55" s="1"/>
  <c r="G138" i="55" a="1"/>
  <c r="G138" i="55" s="1"/>
  <c r="K138" i="55" s="1"/>
  <c r="G126" i="55" a="1"/>
  <c r="G126" i="55" s="1"/>
  <c r="K126" i="55" s="1"/>
  <c r="I84" i="55" a="1"/>
  <c r="I84" i="55" s="1"/>
  <c r="I242" i="55" a="1"/>
  <c r="I242" i="55" s="1"/>
  <c r="I199" i="55" a="1"/>
  <c r="I199" i="55" s="1"/>
  <c r="I196" i="55" a="1"/>
  <c r="I196" i="55" s="1"/>
  <c r="I194" i="55" a="1"/>
  <c r="I194" i="55" s="1"/>
  <c r="I147" i="55" a="1"/>
  <c r="I147" i="55" s="1"/>
  <c r="I160" i="55" a="1"/>
  <c r="I160" i="55" s="1"/>
  <c r="I155" i="55" a="1"/>
  <c r="I155" i="55" s="1"/>
  <c r="I39" i="55" a="1"/>
  <c r="I39" i="55" s="1"/>
  <c r="I89" i="55" a="1"/>
  <c r="I89" i="55" s="1"/>
  <c r="I43" i="55" a="1"/>
  <c r="I43" i="55" s="1"/>
  <c r="I98" i="55" a="1"/>
  <c r="I98" i="55" s="1"/>
  <c r="I113" i="55" a="1"/>
  <c r="I113" i="55" s="1"/>
  <c r="I260" i="55" a="1"/>
  <c r="I260" i="55" s="1"/>
  <c r="I165" i="55" a="1"/>
  <c r="I165" i="55" s="1"/>
  <c r="I184" i="55" a="1"/>
  <c r="I184" i="55" s="1"/>
  <c r="I234" i="55" a="1"/>
  <c r="I234" i="55" s="1"/>
  <c r="I179" i="55" a="1"/>
  <c r="I179" i="55" s="1"/>
  <c r="I203" i="55" a="1"/>
  <c r="I203" i="55" s="1"/>
  <c r="I180" i="55" a="1"/>
  <c r="I180" i="55" s="1"/>
  <c r="G203" i="55" a="1"/>
  <c r="G203" i="55" s="1"/>
  <c r="G74" i="55" a="1"/>
  <c r="G74" i="55" s="1"/>
  <c r="K74" i="55" s="1"/>
  <c r="K398" i="34"/>
  <c r="K399" i="34"/>
  <c r="K400" i="34"/>
  <c r="K402" i="34"/>
  <c r="K403" i="34"/>
  <c r="K404" i="34"/>
  <c r="K406" i="34"/>
  <c r="K408" i="34"/>
  <c r="K409" i="34"/>
  <c r="K411" i="34"/>
  <c r="K414" i="34"/>
  <c r="K416" i="34"/>
  <c r="K417" i="34"/>
  <c r="K418" i="34"/>
  <c r="K419" i="34"/>
  <c r="K420" i="34"/>
  <c r="K422" i="34"/>
  <c r="K424" i="34"/>
  <c r="K425" i="34"/>
  <c r="K426" i="34"/>
  <c r="K427" i="34"/>
  <c r="K428" i="34"/>
  <c r="K429" i="34"/>
  <c r="K431" i="34"/>
  <c r="K432" i="34"/>
  <c r="K434" i="34"/>
  <c r="K436" i="34"/>
  <c r="K438" i="34"/>
  <c r="K439" i="34"/>
  <c r="K442" i="34"/>
  <c r="K445" i="34"/>
  <c r="K447" i="34"/>
  <c r="K448" i="34"/>
  <c r="K450" i="34"/>
  <c r="K454" i="34"/>
  <c r="K455" i="34"/>
  <c r="K458" i="34"/>
  <c r="K460" i="34"/>
  <c r="K461" i="34"/>
  <c r="K463" i="34"/>
  <c r="K465" i="34"/>
  <c r="K467" i="34"/>
  <c r="K469" i="34"/>
  <c r="K470" i="34"/>
  <c r="K471" i="34"/>
  <c r="K473" i="34"/>
  <c r="K474" i="34"/>
  <c r="K475" i="34"/>
  <c r="K476" i="34"/>
  <c r="K478" i="34"/>
  <c r="K480" i="34"/>
  <c r="K482" i="34"/>
  <c r="K483" i="34"/>
  <c r="K484" i="34"/>
  <c r="K485" i="34"/>
  <c r="K487" i="34"/>
  <c r="K488" i="34"/>
  <c r="K489" i="34"/>
  <c r="K491" i="34"/>
  <c r="K493" i="34"/>
  <c r="K496" i="34"/>
  <c r="K498" i="34"/>
  <c r="K501" i="34"/>
  <c r="K502" i="34"/>
  <c r="K504" i="34"/>
  <c r="K506" i="34"/>
  <c r="K507" i="34"/>
  <c r="K508" i="34"/>
  <c r="K509" i="34"/>
  <c r="K510" i="34"/>
  <c r="K512" i="34"/>
  <c r="K514" i="34"/>
  <c r="K515" i="34"/>
  <c r="K516" i="34"/>
  <c r="K518" i="34"/>
  <c r="K519" i="34"/>
  <c r="K521" i="34"/>
  <c r="K522" i="34"/>
  <c r="K523" i="34"/>
  <c r="K524" i="34"/>
  <c r="K526" i="34"/>
  <c r="K528" i="34"/>
  <c r="K529" i="34"/>
  <c r="K530" i="34"/>
  <c r="K532" i="34"/>
  <c r="K534" i="34"/>
  <c r="K535" i="34"/>
  <c r="K536" i="34"/>
  <c r="K538" i="34"/>
  <c r="K541" i="34"/>
  <c r="K188" i="55" l="1"/>
  <c r="K190" i="55"/>
  <c r="K75" i="55"/>
  <c r="K192" i="55"/>
  <c r="K195" i="55"/>
  <c r="K46" i="55"/>
  <c r="K258" i="55"/>
  <c r="K63" i="55"/>
  <c r="K77" i="55"/>
  <c r="K187" i="55"/>
  <c r="K282" i="55"/>
  <c r="K172" i="55"/>
  <c r="K177" i="55"/>
  <c r="K202" i="55"/>
  <c r="K87" i="55"/>
  <c r="K183" i="55"/>
  <c r="K94" i="55"/>
  <c r="K161" i="55"/>
  <c r="K228" i="55"/>
  <c r="K180" i="55"/>
  <c r="K280" i="55"/>
  <c r="K165" i="55"/>
  <c r="K43" i="55"/>
  <c r="K160" i="55"/>
  <c r="K200" i="55"/>
  <c r="K214" i="55"/>
  <c r="K84" i="55"/>
  <c r="K131" i="55"/>
  <c r="K278" i="55"/>
  <c r="K97" i="55"/>
  <c r="K257" i="55"/>
  <c r="K83" i="55"/>
  <c r="K60" i="55"/>
  <c r="K243" i="55"/>
  <c r="K106" i="55"/>
  <c r="K210" i="55"/>
  <c r="K105" i="55"/>
  <c r="K176" i="55"/>
  <c r="K153" i="55"/>
  <c r="K242" i="55"/>
  <c r="K252" i="55"/>
  <c r="K69" i="55"/>
  <c r="K171" i="55"/>
  <c r="K58" i="55"/>
  <c r="K209" i="55"/>
  <c r="K37" i="55"/>
  <c r="K123" i="55"/>
  <c r="K132" i="55"/>
  <c r="K253" i="55"/>
  <c r="K211" i="55"/>
  <c r="K103" i="55"/>
  <c r="K179" i="55"/>
  <c r="K260" i="55"/>
  <c r="K89" i="55"/>
  <c r="K147" i="55"/>
  <c r="K283" i="55"/>
  <c r="K80" i="55"/>
  <c r="K173" i="55"/>
  <c r="K251" i="55"/>
  <c r="K38" i="55"/>
  <c r="K269" i="55"/>
  <c r="K92" i="55"/>
  <c r="K139" i="55"/>
  <c r="K223" i="55"/>
  <c r="K170" i="55"/>
  <c r="K144" i="55"/>
  <c r="K239" i="55"/>
  <c r="K99" i="55"/>
  <c r="K244" i="55"/>
  <c r="K108" i="55"/>
  <c r="K217" i="55"/>
  <c r="K215" i="55"/>
  <c r="K129" i="55"/>
  <c r="K136" i="55"/>
  <c r="K185" i="55"/>
  <c r="K114" i="55"/>
  <c r="K259" i="55"/>
  <c r="K71" i="55"/>
  <c r="K88" i="55"/>
  <c r="K113" i="55"/>
  <c r="K39" i="55"/>
  <c r="K194" i="55"/>
  <c r="K222" i="55"/>
  <c r="K34" i="55"/>
  <c r="K120" i="55"/>
  <c r="K174" i="55"/>
  <c r="K247" i="55"/>
  <c r="K56" i="55"/>
  <c r="K48" i="55"/>
  <c r="K61" i="55"/>
  <c r="K135" i="55"/>
  <c r="K119" i="55"/>
  <c r="K175" i="55"/>
  <c r="K152" i="55"/>
  <c r="K220" i="55"/>
  <c r="K229" i="55"/>
  <c r="K261" i="55"/>
  <c r="K276" i="55"/>
  <c r="K273" i="55"/>
  <c r="K140" i="55"/>
  <c r="K224" i="55"/>
  <c r="K111" i="55"/>
  <c r="K145" i="55"/>
  <c r="K213" i="55"/>
  <c r="K118" i="55"/>
  <c r="K42" i="55"/>
  <c r="K207" i="55"/>
  <c r="K203" i="55"/>
  <c r="K189" i="55"/>
  <c r="K159" i="55"/>
  <c r="K205" i="55"/>
  <c r="K186" i="55"/>
  <c r="K41" i="55"/>
  <c r="K234" i="55"/>
  <c r="K73" i="55"/>
  <c r="K233" i="55"/>
  <c r="K85" i="55"/>
  <c r="K240" i="55"/>
  <c r="K255" i="55"/>
  <c r="K157" i="55"/>
  <c r="K178" i="55"/>
  <c r="K184" i="55"/>
  <c r="K98" i="55"/>
  <c r="K155" i="55"/>
  <c r="K196" i="55"/>
  <c r="K181" i="55"/>
  <c r="K272" i="55"/>
  <c r="K206" i="55"/>
  <c r="K127" i="55"/>
  <c r="K262" i="55"/>
  <c r="K270" i="55"/>
  <c r="K146" i="55"/>
  <c r="K238" i="55"/>
  <c r="K267" i="55"/>
  <c r="K274" i="55"/>
  <c r="K230" i="55"/>
  <c r="K52" i="55"/>
  <c r="K45" i="55"/>
  <c r="K134" i="55"/>
  <c r="K237" i="55"/>
  <c r="K79" i="55"/>
  <c r="K121" i="55"/>
  <c r="K199" i="55"/>
  <c r="K227" i="55"/>
  <c r="K122" i="55"/>
  <c r="K57" i="55"/>
  <c r="K169" i="55"/>
  <c r="K35" i="55"/>
  <c r="K102" i="55"/>
  <c r="K154" i="55"/>
  <c r="K150" i="55"/>
  <c r="K167" i="55"/>
  <c r="K250" i="55"/>
  <c r="K369" i="34"/>
  <c r="K371" i="34"/>
  <c r="K372" i="34"/>
  <c r="K374" i="34"/>
  <c r="K375" i="34"/>
  <c r="K376" i="34"/>
  <c r="K377" i="34"/>
  <c r="K378" i="34"/>
  <c r="K380" i="34"/>
  <c r="K381" i="34"/>
  <c r="K382" i="34"/>
  <c r="K383" i="34"/>
  <c r="K385" i="34"/>
  <c r="K388" i="34"/>
  <c r="K390" i="34"/>
  <c r="K391" i="34"/>
  <c r="K393" i="34"/>
  <c r="K394" i="34"/>
  <c r="K396" i="34"/>
  <c r="K355" i="34"/>
  <c r="K357" i="34"/>
  <c r="K359" i="34"/>
  <c r="K362" i="34"/>
  <c r="K365" i="34"/>
  <c r="K366" i="34"/>
  <c r="K346" i="34"/>
  <c r="K347" i="34"/>
  <c r="K349" i="34"/>
  <c r="K350" i="34"/>
  <c r="K351" i="34"/>
  <c r="K353" i="34"/>
  <c r="K354" i="34"/>
  <c r="K343" i="34"/>
  <c r="C80" i="34"/>
  <c r="B80" i="34" s="1"/>
  <c r="A80" i="34" l="1"/>
  <c r="C153" i="34"/>
  <c r="B153" i="34" s="1"/>
  <c r="C152" i="34"/>
  <c r="B152" i="34" s="1"/>
  <c r="C126" i="34"/>
  <c r="B126" i="34" s="1"/>
  <c r="C125" i="34"/>
  <c r="B125" i="34" s="1"/>
  <c r="E6" i="43"/>
  <c r="C132" i="34"/>
  <c r="B132" i="34" s="1"/>
  <c r="C101" i="34"/>
  <c r="B101" i="34" s="1"/>
  <c r="A101" i="34" l="1"/>
  <c r="A126" i="34"/>
  <c r="A132" i="34"/>
  <c r="A152" i="34"/>
  <c r="A153" i="34"/>
  <c r="A125" i="34"/>
  <c r="K71" i="34"/>
  <c r="K70" i="34"/>
  <c r="K69" i="34"/>
  <c r="K86" i="34"/>
  <c r="K85" i="34"/>
  <c r="K84" i="34"/>
  <c r="K130" i="34"/>
  <c r="K105" i="34" l="1"/>
  <c r="K99" i="34"/>
  <c r="C90" i="34"/>
  <c r="C91" i="34"/>
  <c r="C142" i="34"/>
  <c r="C143" i="34"/>
  <c r="C140" i="34"/>
  <c r="C141" i="34"/>
  <c r="C92" i="34"/>
  <c r="C93" i="34"/>
  <c r="C97" i="34"/>
  <c r="C98" i="34"/>
  <c r="C119" i="34"/>
  <c r="C120" i="34"/>
  <c r="C99" i="34"/>
  <c r="C100" i="34"/>
  <c r="C105" i="34"/>
  <c r="C106" i="34"/>
  <c r="C130" i="34"/>
  <c r="C131" i="34"/>
  <c r="C84" i="34"/>
  <c r="C85" i="34"/>
  <c r="C86" i="34"/>
  <c r="C87" i="34"/>
  <c r="C69" i="34"/>
  <c r="C70" i="34"/>
  <c r="C71" i="34"/>
  <c r="C72" i="34"/>
  <c r="C47" i="34"/>
  <c r="C56" i="34"/>
  <c r="C57" i="34"/>
  <c r="C58" i="34"/>
  <c r="C67" i="34"/>
  <c r="C68" i="34"/>
  <c r="C81" i="34"/>
  <c r="C82" i="34"/>
  <c r="C83" i="34"/>
  <c r="C88" i="34"/>
  <c r="C89" i="34"/>
  <c r="C96" i="34"/>
  <c r="C102" i="34"/>
  <c r="C103" i="34"/>
  <c r="C104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21" i="34"/>
  <c r="C122" i="34"/>
  <c r="C123" i="34"/>
  <c r="C124" i="34"/>
  <c r="C127" i="34"/>
  <c r="C128" i="34"/>
  <c r="C129" i="34"/>
  <c r="C135" i="34"/>
  <c r="C136" i="34"/>
  <c r="C137" i="34"/>
  <c r="C138" i="34"/>
  <c r="C139" i="34"/>
  <c r="C144" i="34"/>
  <c r="C145" i="34"/>
  <c r="C146" i="34"/>
  <c r="C147" i="34"/>
  <c r="C148" i="34"/>
  <c r="C149" i="34"/>
  <c r="C150" i="34"/>
  <c r="C151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70" i="34"/>
  <c r="C171" i="34"/>
  <c r="C172" i="34"/>
  <c r="C173" i="34"/>
  <c r="C174" i="34"/>
  <c r="C175" i="34"/>
  <c r="C176" i="34"/>
  <c r="C185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2" i="34"/>
  <c r="C363" i="34"/>
  <c r="C365" i="34"/>
  <c r="C366" i="34"/>
  <c r="C367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2" i="34"/>
  <c r="C443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8" i="34"/>
  <c r="C459" i="34"/>
  <c r="C460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6" i="34"/>
  <c r="C497" i="34"/>
  <c r="C498" i="34"/>
  <c r="C499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1" i="34"/>
  <c r="C542" i="34"/>
  <c r="C555" i="34"/>
  <c r="C556" i="34"/>
  <c r="C557" i="34"/>
  <c r="C558" i="34"/>
  <c r="C559" i="34"/>
  <c r="C560" i="34"/>
  <c r="C561" i="34"/>
  <c r="C562" i="34"/>
  <c r="C563" i="34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611" i="34"/>
  <c r="C612" i="34"/>
  <c r="C598" i="34"/>
  <c r="C599" i="34"/>
  <c r="C600" i="34"/>
  <c r="C601" i="34"/>
  <c r="C602" i="34"/>
  <c r="C603" i="34"/>
  <c r="C604" i="34"/>
  <c r="C616" i="34"/>
  <c r="C617" i="34"/>
  <c r="C589" i="34"/>
  <c r="C590" i="34"/>
  <c r="C591" i="34"/>
  <c r="C618" i="34"/>
  <c r="C619" i="34"/>
  <c r="C620" i="34"/>
  <c r="C621" i="34"/>
  <c r="C622" i="34"/>
  <c r="C189" i="34"/>
  <c r="C190" i="34"/>
  <c r="C202" i="34"/>
  <c r="C203" i="34"/>
  <c r="C195" i="34"/>
  <c r="C196" i="34"/>
  <c r="C197" i="34"/>
  <c r="C199" i="34"/>
  <c r="C200" i="34"/>
  <c r="C201" i="34"/>
  <c r="C213" i="34"/>
  <c r="C214" i="34"/>
  <c r="C186" i="34"/>
  <c r="C187" i="34"/>
  <c r="C205" i="34"/>
  <c r="C206" i="34"/>
  <c r="C207" i="34"/>
  <c r="C208" i="34"/>
  <c r="C209" i="34"/>
  <c r="C210" i="34"/>
  <c r="C216" i="34"/>
  <c r="C217" i="34"/>
  <c r="C218" i="34"/>
  <c r="C219" i="34"/>
  <c r="C220" i="34"/>
  <c r="C226" i="34"/>
  <c r="C227" i="34"/>
  <c r="C290" i="34"/>
  <c r="C283" i="34"/>
  <c r="C281" i="34"/>
  <c r="C275" i="34"/>
  <c r="C268" i="34"/>
  <c r="C266" i="34"/>
  <c r="C258" i="34"/>
  <c r="C248" i="34"/>
  <c r="C232" i="34"/>
  <c r="C222" i="34"/>
  <c r="C221" i="34"/>
  <c r="C212" i="34"/>
  <c r="C198" i="34"/>
  <c r="C191" i="34"/>
  <c r="C284" i="34"/>
  <c r="C285" i="34"/>
  <c r="C286" i="34"/>
  <c r="C287" i="34"/>
  <c r="C288" i="34"/>
  <c r="C289" i="34"/>
  <c r="C269" i="34"/>
  <c r="C270" i="34"/>
  <c r="C271" i="34"/>
  <c r="C272" i="34"/>
  <c r="C267" i="34"/>
  <c r="C259" i="34"/>
  <c r="C260" i="34"/>
  <c r="C261" i="34"/>
  <c r="C262" i="34"/>
  <c r="C263" i="34"/>
  <c r="C249" i="34"/>
  <c r="C250" i="34"/>
  <c r="C49" i="34" l="1"/>
  <c r="C52" i="34"/>
  <c r="C53" i="34"/>
  <c r="C54" i="34"/>
  <c r="C55" i="34"/>
  <c r="C59" i="34"/>
  <c r="C60" i="34"/>
  <c r="C61" i="34"/>
  <c r="C62" i="34"/>
  <c r="C78" i="34"/>
  <c r="C79" i="34"/>
  <c r="C48" i="34"/>
  <c r="K61" i="34"/>
  <c r="K60" i="34"/>
  <c r="K59" i="34"/>
  <c r="K54" i="34"/>
  <c r="K53" i="34"/>
  <c r="K52" i="34"/>
  <c r="K48" i="34"/>
  <c r="B106" i="34" l="1"/>
  <c r="B105" i="34"/>
  <c r="B100" i="34"/>
  <c r="B99" i="34"/>
  <c r="B120" i="34"/>
  <c r="B119" i="34"/>
  <c r="B98" i="34"/>
  <c r="B97" i="34"/>
  <c r="B184" i="34"/>
  <c r="B183" i="34"/>
  <c r="B182" i="34"/>
  <c r="B181" i="34"/>
  <c r="B180" i="34"/>
  <c r="B179" i="34"/>
  <c r="B93" i="34"/>
  <c r="B92" i="34"/>
  <c r="B141" i="34"/>
  <c r="B140" i="34"/>
  <c r="B143" i="34"/>
  <c r="A92" i="34" l="1"/>
  <c r="A181" i="34"/>
  <c r="A97" i="34"/>
  <c r="A99" i="34"/>
  <c r="A93" i="34"/>
  <c r="A182" i="34"/>
  <c r="A98" i="34"/>
  <c r="A100" i="34"/>
  <c r="A143" i="34"/>
  <c r="A179" i="34"/>
  <c r="A183" i="34"/>
  <c r="A119" i="34"/>
  <c r="A105" i="34"/>
  <c r="A140" i="34"/>
  <c r="A141" i="34"/>
  <c r="A180" i="34"/>
  <c r="A184" i="34"/>
  <c r="A120" i="34"/>
  <c r="A106" i="34"/>
  <c r="O11" i="34"/>
  <c r="O12" i="34"/>
  <c r="O13" i="34"/>
  <c r="O14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938" i="34" l="1"/>
  <c r="R24" i="60" l="1"/>
  <c r="R27" i="60"/>
  <c r="A1" i="60" l="1"/>
  <c r="B15" i="55"/>
  <c r="A15" i="55" s="1"/>
  <c r="R174" i="60"/>
  <c r="R175" i="60"/>
  <c r="R176" i="60"/>
  <c r="R177" i="60"/>
  <c r="R178" i="60"/>
  <c r="R179" i="60"/>
  <c r="R180" i="60"/>
  <c r="R181" i="60"/>
  <c r="R182" i="60"/>
  <c r="R183" i="60"/>
  <c r="R14" i="60"/>
  <c r="R15" i="60"/>
  <c r="R16" i="60"/>
  <c r="R17" i="60"/>
  <c r="R18" i="60"/>
  <c r="R19" i="60"/>
  <c r="R20" i="60"/>
  <c r="R21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84" i="60"/>
  <c r="R189" i="60"/>
  <c r="R188" i="60"/>
  <c r="R187" i="60"/>
  <c r="R139" i="60"/>
  <c r="R138" i="60"/>
  <c r="R137" i="60"/>
  <c r="R136" i="60"/>
  <c r="R135" i="60"/>
  <c r="R134" i="60"/>
  <c r="I385" i="60"/>
  <c r="I126" i="60"/>
  <c r="R6" i="60"/>
  <c r="R25" i="60"/>
  <c r="R26" i="60"/>
  <c r="R13" i="60"/>
  <c r="R8" i="60"/>
  <c r="R9" i="60"/>
  <c r="R10" i="60"/>
  <c r="R11" i="60"/>
  <c r="R12" i="60"/>
  <c r="D27" i="15"/>
  <c r="C27" i="15"/>
  <c r="C25" i="15"/>
  <c r="D25" i="15"/>
  <c r="E285" i="55"/>
  <c r="A285" i="55"/>
  <c r="F285" i="55"/>
  <c r="F286" i="55" s="1"/>
  <c r="H385" i="60" l="1"/>
  <c r="R191" i="60"/>
  <c r="R193" i="60" s="1"/>
  <c r="R186" i="60"/>
  <c r="R192" i="60" s="1"/>
  <c r="J126" i="60"/>
  <c r="H126" i="60"/>
  <c r="R29" i="60"/>
  <c r="R31" i="60" s="1"/>
  <c r="N14" i="34"/>
  <c r="S14" i="34"/>
  <c r="T14" i="34"/>
  <c r="U14" i="34"/>
  <c r="Y14" i="34"/>
  <c r="Z14" i="34"/>
  <c r="F26" i="55"/>
  <c r="F27" i="55" s="1"/>
  <c r="R199" i="60" l="1"/>
  <c r="J385" i="60"/>
  <c r="R202" i="60" l="1"/>
  <c r="G15" i="55" l="1" a="1"/>
  <c r="G15" i="55" s="1"/>
  <c r="I15" i="55" a="1"/>
  <c r="I15" i="55" s="1"/>
  <c r="K15" i="55" l="1"/>
  <c r="I7" i="12" l="1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244" i="34" l="1"/>
  <c r="A1244" i="34" l="1"/>
  <c r="B620" i="34"/>
  <c r="A620" i="34" l="1"/>
  <c r="B481" i="34"/>
  <c r="B480" i="34"/>
  <c r="B492" i="34"/>
  <c r="B491" i="34"/>
  <c r="B490" i="34"/>
  <c r="B489" i="34"/>
  <c r="B488" i="34"/>
  <c r="B487" i="34"/>
  <c r="B486" i="34"/>
  <c r="B479" i="34"/>
  <c r="B478" i="34"/>
  <c r="B477" i="34"/>
  <c r="B476" i="34"/>
  <c r="B475" i="34"/>
  <c r="B474" i="34"/>
  <c r="B473" i="34"/>
  <c r="B472" i="34"/>
  <c r="B471" i="34"/>
  <c r="B470" i="34"/>
  <c r="B469" i="34"/>
  <c r="B468" i="34"/>
  <c r="B467" i="34"/>
  <c r="B466" i="34"/>
  <c r="B465" i="34"/>
  <c r="B464" i="34"/>
  <c r="B463" i="34"/>
  <c r="B462" i="34"/>
  <c r="B461" i="34"/>
  <c r="B460" i="34"/>
  <c r="B459" i="34"/>
  <c r="B458" i="34"/>
  <c r="B456" i="34"/>
  <c r="B455" i="34"/>
  <c r="B454" i="34"/>
  <c r="B453" i="34"/>
  <c r="B452" i="34"/>
  <c r="B451" i="34"/>
  <c r="B450" i="34"/>
  <c r="B449" i="34"/>
  <c r="B448" i="34"/>
  <c r="B186" i="34"/>
  <c r="B214" i="34"/>
  <c r="B213" i="34"/>
  <c r="B1187" i="34"/>
  <c r="B1186" i="34"/>
  <c r="B1185" i="34"/>
  <c r="B1179" i="34"/>
  <c r="B1178" i="34"/>
  <c r="B1169" i="34"/>
  <c r="B1168" i="34"/>
  <c r="B1167" i="34"/>
  <c r="B1166" i="34"/>
  <c r="B1159" i="34"/>
  <c r="B1158" i="34"/>
  <c r="B1129" i="34"/>
  <c r="B1128" i="34"/>
  <c r="B1127" i="34"/>
  <c r="B1126" i="34"/>
  <c r="B1118" i="34"/>
  <c r="B1117" i="34"/>
  <c r="B1068" i="34"/>
  <c r="B1067" i="34"/>
  <c r="B1066" i="34"/>
  <c r="B1065" i="34"/>
  <c r="B1062" i="34"/>
  <c r="B1061" i="34"/>
  <c r="B1060" i="34"/>
  <c r="B1059" i="34"/>
  <c r="B1058" i="34"/>
  <c r="B1057" i="34"/>
  <c r="B1055" i="34"/>
  <c r="B1054" i="34"/>
  <c r="B1053" i="34"/>
  <c r="B1052" i="34"/>
  <c r="B1056" i="34"/>
  <c r="B1051" i="34"/>
  <c r="B1050" i="34"/>
  <c r="B1049" i="34"/>
  <c r="B1010" i="34"/>
  <c r="B1009" i="34"/>
  <c r="B1008" i="34"/>
  <c r="B1007" i="34"/>
  <c r="B1006" i="34"/>
  <c r="B1005" i="34"/>
  <c r="B1004" i="34"/>
  <c r="B1003" i="34"/>
  <c r="B1002" i="34"/>
  <c r="B994" i="34"/>
  <c r="B992" i="34"/>
  <c r="B991" i="34"/>
  <c r="B990" i="34"/>
  <c r="B989" i="34"/>
  <c r="B988" i="34"/>
  <c r="B987" i="34"/>
  <c r="B986" i="34"/>
  <c r="B985" i="34"/>
  <c r="B978" i="34"/>
  <c r="B977" i="34"/>
  <c r="B976" i="34"/>
  <c r="B975" i="34"/>
  <c r="B974" i="34"/>
  <c r="B973" i="34"/>
  <c r="B972" i="34"/>
  <c r="B971" i="34"/>
  <c r="B970" i="34"/>
  <c r="B969" i="34"/>
  <c r="B968" i="34"/>
  <c r="B965" i="34"/>
  <c r="B964" i="34"/>
  <c r="B963" i="34"/>
  <c r="B962" i="34"/>
  <c r="B959" i="34"/>
  <c r="B958" i="34"/>
  <c r="B957" i="34"/>
  <c r="B952" i="34"/>
  <c r="B202" i="34"/>
  <c r="B190" i="34"/>
  <c r="B189" i="34"/>
  <c r="B622" i="34"/>
  <c r="B621" i="34"/>
  <c r="B1229" i="34"/>
  <c r="B1188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999" i="34"/>
  <c r="B998" i="34"/>
  <c r="B997" i="34"/>
  <c r="B996" i="34"/>
  <c r="B995" i="34"/>
  <c r="B1249" i="34"/>
  <c r="B1248" i="34"/>
  <c r="B1045" i="34"/>
  <c r="B1044" i="34"/>
  <c r="B1043" i="34"/>
  <c r="B1042" i="34"/>
  <c r="B1041" i="34"/>
  <c r="B1040" i="34"/>
  <c r="B1039" i="34"/>
  <c r="B1036" i="34"/>
  <c r="B1035" i="34"/>
  <c r="B1034" i="34"/>
  <c r="B1033" i="34"/>
  <c r="A190" i="34" l="1"/>
  <c r="A186" i="34"/>
  <c r="A451" i="34"/>
  <c r="A455" i="34"/>
  <c r="A460" i="34"/>
  <c r="A464" i="34"/>
  <c r="A468" i="34"/>
  <c r="A472" i="34"/>
  <c r="A476" i="34"/>
  <c r="A486" i="34"/>
  <c r="A490" i="34"/>
  <c r="A481" i="34"/>
  <c r="A621" i="34"/>
  <c r="A202" i="34"/>
  <c r="A448" i="34"/>
  <c r="A452" i="34"/>
  <c r="A456" i="34"/>
  <c r="A461" i="34"/>
  <c r="A465" i="34"/>
  <c r="A469" i="34"/>
  <c r="A473" i="34"/>
  <c r="A477" i="34"/>
  <c r="A487" i="34"/>
  <c r="A491" i="34"/>
  <c r="A622" i="34"/>
  <c r="A449" i="34"/>
  <c r="A453" i="34"/>
  <c r="A458" i="34"/>
  <c r="A462" i="34"/>
  <c r="A466" i="34"/>
  <c r="A470" i="34"/>
  <c r="A474" i="34"/>
  <c r="A478" i="34"/>
  <c r="A488" i="34"/>
  <c r="A492" i="34"/>
  <c r="A213" i="34"/>
  <c r="A189" i="34"/>
  <c r="A214" i="34"/>
  <c r="A450" i="34"/>
  <c r="A454" i="34"/>
  <c r="A459" i="34"/>
  <c r="A463" i="34"/>
  <c r="A467" i="34"/>
  <c r="A471" i="34"/>
  <c r="A475" i="34"/>
  <c r="A479" i="34"/>
  <c r="A489" i="34"/>
  <c r="A480" i="34"/>
  <c r="A996" i="34"/>
  <c r="A1027" i="34"/>
  <c r="A971" i="34"/>
  <c r="A977" i="34"/>
  <c r="A989" i="34"/>
  <c r="A1005" i="34"/>
  <c r="A1051" i="34"/>
  <c r="A1059" i="34"/>
  <c r="A1117" i="34"/>
  <c r="A1178" i="34"/>
  <c r="A1045" i="34"/>
  <c r="A1019" i="34"/>
  <c r="A1031" i="34"/>
  <c r="A965" i="34"/>
  <c r="A975" i="34"/>
  <c r="A985" i="34"/>
  <c r="A994" i="34"/>
  <c r="A1009" i="34"/>
  <c r="A1054" i="34"/>
  <c r="A1065" i="34"/>
  <c r="A1128" i="34"/>
  <c r="A1166" i="34"/>
  <c r="A1187" i="34"/>
  <c r="A1036" i="34"/>
  <c r="A1042" i="34"/>
  <c r="A1248" i="34"/>
  <c r="A997" i="34"/>
  <c r="A1012" i="34"/>
  <c r="A1016" i="34"/>
  <c r="A1020" i="34"/>
  <c r="A1024" i="34"/>
  <c r="A1028" i="34"/>
  <c r="A1032" i="34"/>
  <c r="A952" i="34"/>
  <c r="A962" i="34"/>
  <c r="A968" i="34"/>
  <c r="A972" i="34"/>
  <c r="A976" i="34"/>
  <c r="A986" i="34"/>
  <c r="A990" i="34"/>
  <c r="A1002" i="34"/>
  <c r="A1006" i="34"/>
  <c r="A1010" i="34"/>
  <c r="A1056" i="34"/>
  <c r="A1055" i="34"/>
  <c r="A1060" i="34"/>
  <c r="A1066" i="34"/>
  <c r="A1118" i="34"/>
  <c r="A1129" i="34"/>
  <c r="A1167" i="34"/>
  <c r="A1179" i="34"/>
  <c r="A1041" i="34"/>
  <c r="A1015" i="34"/>
  <c r="A1033" i="34"/>
  <c r="A1043" i="34"/>
  <c r="A998" i="34"/>
  <c r="A1017" i="34"/>
  <c r="A1025" i="34"/>
  <c r="A1188" i="34"/>
  <c r="A969" i="34"/>
  <c r="A987" i="34"/>
  <c r="A1003" i="34"/>
  <c r="A1052" i="34"/>
  <c r="A1061" i="34"/>
  <c r="A1158" i="34"/>
  <c r="A1185" i="34"/>
  <c r="A1035" i="34"/>
  <c r="A1011" i="34"/>
  <c r="A1023" i="34"/>
  <c r="A959" i="34"/>
  <c r="A1039" i="34"/>
  <c r="A1249" i="34"/>
  <c r="A1013" i="34"/>
  <c r="A1021" i="34"/>
  <c r="A1029" i="34"/>
  <c r="A957" i="34"/>
  <c r="A963" i="34"/>
  <c r="A973" i="34"/>
  <c r="A991" i="34"/>
  <c r="A1007" i="34"/>
  <c r="A1049" i="34"/>
  <c r="A1057" i="34"/>
  <c r="A1067" i="34"/>
  <c r="A1126" i="34"/>
  <c r="A1168" i="34"/>
  <c r="A1034" i="34"/>
  <c r="A1040" i="34"/>
  <c r="A1044" i="34"/>
  <c r="A995" i="34"/>
  <c r="A999" i="34"/>
  <c r="A1014" i="34"/>
  <c r="A1018" i="34"/>
  <c r="A1022" i="34"/>
  <c r="A1026" i="34"/>
  <c r="A1030" i="34"/>
  <c r="A1229" i="34"/>
  <c r="A958" i="34"/>
  <c r="A964" i="34"/>
  <c r="A970" i="34"/>
  <c r="A974" i="34"/>
  <c r="A978" i="34"/>
  <c r="A988" i="34"/>
  <c r="A992" i="34"/>
  <c r="A1004" i="34"/>
  <c r="A1008" i="34"/>
  <c r="A1050" i="34"/>
  <c r="A1053" i="34"/>
  <c r="A1058" i="34"/>
  <c r="A1062" i="34"/>
  <c r="A1068" i="34"/>
  <c r="A1127" i="34"/>
  <c r="A1159" i="34"/>
  <c r="A1169" i="34"/>
  <c r="A1186" i="34"/>
  <c r="B84" i="34" l="1"/>
  <c r="A84" i="34" l="1"/>
  <c r="B1250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1131" i="34"/>
  <c r="B1130" i="34"/>
  <c r="B1125" i="34"/>
  <c r="B1124" i="34"/>
  <c r="B1123" i="34"/>
  <c r="B1122" i="34"/>
  <c r="B1121" i="34"/>
  <c r="B1120" i="34"/>
  <c r="B1119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4" i="34"/>
  <c r="B1063" i="34"/>
  <c r="B1048" i="34"/>
  <c r="B1047" i="34"/>
  <c r="B1046" i="34"/>
  <c r="B205" i="34"/>
  <c r="B187" i="34"/>
  <c r="B196" i="34"/>
  <c r="B195" i="34"/>
  <c r="B203" i="34"/>
  <c r="B535" i="34"/>
  <c r="B534" i="34"/>
  <c r="B533" i="34"/>
  <c r="B532" i="34"/>
  <c r="B531" i="34"/>
  <c r="B530" i="34"/>
  <c r="B529" i="34"/>
  <c r="B528" i="34"/>
  <c r="B527" i="34"/>
  <c r="B526" i="34"/>
  <c r="B525" i="34"/>
  <c r="B524" i="34"/>
  <c r="B523" i="34"/>
  <c r="B522" i="34"/>
  <c r="B521" i="34"/>
  <c r="B520" i="34"/>
  <c r="B519" i="34"/>
  <c r="B1266" i="34"/>
  <c r="B1265" i="34"/>
  <c r="B1264" i="34"/>
  <c r="B1263" i="34"/>
  <c r="B1230" i="34"/>
  <c r="B940" i="34"/>
  <c r="B924" i="34"/>
  <c r="B854" i="34"/>
  <c r="B853" i="34"/>
  <c r="B850" i="34"/>
  <c r="B849" i="34"/>
  <c r="B848" i="34"/>
  <c r="B847" i="34"/>
  <c r="B846" i="34"/>
  <c r="B516" i="34"/>
  <c r="B515" i="34"/>
  <c r="B514" i="34"/>
  <c r="B513" i="34"/>
  <c r="B512" i="34"/>
  <c r="B511" i="34"/>
  <c r="B510" i="34"/>
  <c r="B509" i="34"/>
  <c r="B508" i="34"/>
  <c r="B507" i="34"/>
  <c r="B506" i="34"/>
  <c r="B505" i="34"/>
  <c r="B504" i="34"/>
  <c r="B503" i="34"/>
  <c r="B502" i="34"/>
  <c r="B501" i="34"/>
  <c r="B499" i="34"/>
  <c r="B498" i="34"/>
  <c r="B497" i="34"/>
  <c r="B496" i="34"/>
  <c r="B494" i="34"/>
  <c r="B493" i="34"/>
  <c r="B485" i="34"/>
  <c r="B484" i="34"/>
  <c r="B483" i="34"/>
  <c r="B482" i="34"/>
  <c r="B1261" i="34"/>
  <c r="B1262" i="34"/>
  <c r="B1260" i="34"/>
  <c r="B1256" i="34"/>
  <c r="B1255" i="34"/>
  <c r="B1254" i="34"/>
  <c r="A483" i="34" l="1"/>
  <c r="A508" i="34"/>
  <c r="A501" i="34"/>
  <c r="A509" i="34"/>
  <c r="A850" i="34"/>
  <c r="A525" i="34"/>
  <c r="A533" i="34"/>
  <c r="A497" i="34"/>
  <c r="A506" i="34"/>
  <c r="A510" i="34"/>
  <c r="A847" i="34"/>
  <c r="A853" i="34"/>
  <c r="A522" i="34"/>
  <c r="A526" i="34"/>
  <c r="A530" i="34"/>
  <c r="A196" i="34"/>
  <c r="A482" i="34"/>
  <c r="A493" i="34"/>
  <c r="A498" i="34"/>
  <c r="A503" i="34"/>
  <c r="A507" i="34"/>
  <c r="A511" i="34"/>
  <c r="A515" i="34"/>
  <c r="A848" i="34"/>
  <c r="A854" i="34"/>
  <c r="A519" i="34"/>
  <c r="A523" i="34"/>
  <c r="A527" i="34"/>
  <c r="A531" i="34"/>
  <c r="A535" i="34"/>
  <c r="A187" i="34"/>
  <c r="A504" i="34"/>
  <c r="A849" i="34"/>
  <c r="A520" i="34"/>
  <c r="A524" i="34"/>
  <c r="A528" i="34"/>
  <c r="A532" i="34"/>
  <c r="A203" i="34"/>
  <c r="A205" i="34"/>
  <c r="A494" i="34"/>
  <c r="A512" i="34"/>
  <c r="A496" i="34"/>
  <c r="A846" i="34"/>
  <c r="A195" i="34"/>
  <c r="A499" i="34"/>
  <c r="A516" i="34"/>
  <c r="A484" i="34"/>
  <c r="A505" i="34"/>
  <c r="A513" i="34"/>
  <c r="A521" i="34"/>
  <c r="A529" i="34"/>
  <c r="A485" i="34"/>
  <c r="A502" i="34"/>
  <c r="A514" i="34"/>
  <c r="A534" i="34"/>
  <c r="A1254" i="34"/>
  <c r="A1261" i="34"/>
  <c r="A1230" i="34"/>
  <c r="A1266" i="34"/>
  <c r="A1063" i="34"/>
  <c r="A1071" i="34"/>
  <c r="A1075" i="34"/>
  <c r="A1079" i="34"/>
  <c r="A1083" i="34"/>
  <c r="A1087" i="34"/>
  <c r="A1091" i="34"/>
  <c r="A1095" i="34"/>
  <c r="A1099" i="34"/>
  <c r="A1103" i="34"/>
  <c r="A1107" i="34"/>
  <c r="A1111" i="34"/>
  <c r="A1115" i="34"/>
  <c r="A1121" i="34"/>
  <c r="A1125" i="34"/>
  <c r="A1133" i="34"/>
  <c r="A1137" i="34"/>
  <c r="A1141" i="34"/>
  <c r="A1145" i="34"/>
  <c r="A1263" i="34"/>
  <c r="A1046" i="34"/>
  <c r="A1064" i="34"/>
  <c r="A1072" i="34"/>
  <c r="A1076" i="34"/>
  <c r="A1080" i="34"/>
  <c r="A1084" i="34"/>
  <c r="A1088" i="34"/>
  <c r="A1092" i="34"/>
  <c r="A1096" i="34"/>
  <c r="A1100" i="34"/>
  <c r="A1104" i="34"/>
  <c r="A1108" i="34"/>
  <c r="A1112" i="34"/>
  <c r="A1116" i="34"/>
  <c r="A1122" i="34"/>
  <c r="A1130" i="34"/>
  <c r="A1134" i="34"/>
  <c r="A1138" i="34"/>
  <c r="A1142" i="34"/>
  <c r="A1146" i="34"/>
  <c r="A1255" i="34"/>
  <c r="A1260" i="34"/>
  <c r="A924" i="34"/>
  <c r="A1264" i="34"/>
  <c r="A1047" i="34"/>
  <c r="A1069" i="34"/>
  <c r="A1073" i="34"/>
  <c r="A1077" i="34"/>
  <c r="A1081" i="34"/>
  <c r="A1085" i="34"/>
  <c r="A1089" i="34"/>
  <c r="A1093" i="34"/>
  <c r="A1097" i="34"/>
  <c r="A1101" i="34"/>
  <c r="A1105" i="34"/>
  <c r="A1109" i="34"/>
  <c r="A1113" i="34"/>
  <c r="A1119" i="34"/>
  <c r="A1123" i="34"/>
  <c r="A1131" i="34"/>
  <c r="A1135" i="34"/>
  <c r="A1139" i="34"/>
  <c r="A1143" i="34"/>
  <c r="A1147" i="34"/>
  <c r="A1256" i="34"/>
  <c r="A1262" i="34"/>
  <c r="A940" i="34"/>
  <c r="A1265" i="34"/>
  <c r="A1048" i="34"/>
  <c r="A1070" i="34"/>
  <c r="A1074" i="34"/>
  <c r="A1078" i="34"/>
  <c r="A1082" i="34"/>
  <c r="A1086" i="34"/>
  <c r="A1090" i="34"/>
  <c r="A1094" i="34"/>
  <c r="A1098" i="34"/>
  <c r="A1102" i="34"/>
  <c r="A1106" i="34"/>
  <c r="A1110" i="34"/>
  <c r="A1114" i="34"/>
  <c r="A1120" i="34"/>
  <c r="A1124" i="34"/>
  <c r="A1132" i="34"/>
  <c r="A1136" i="34"/>
  <c r="A1140" i="34"/>
  <c r="A1144" i="34"/>
  <c r="A1250" i="34"/>
  <c r="B1247" i="34" l="1"/>
  <c r="B951" i="34"/>
  <c r="B201" i="34"/>
  <c r="B619" i="34"/>
  <c r="A201" i="34" l="1"/>
  <c r="A619" i="34"/>
  <c r="A951" i="34"/>
  <c r="A1247" i="34"/>
  <c r="E26" i="55"/>
  <c r="B1172" i="34" l="1"/>
  <c r="B1162" i="34"/>
  <c r="B1154" i="34"/>
  <c r="B573" i="34"/>
  <c r="B568" i="34"/>
  <c r="B557" i="34"/>
  <c r="A557" i="34" l="1"/>
  <c r="A568" i="34"/>
  <c r="A573" i="34"/>
  <c r="A1154" i="34"/>
  <c r="A1162" i="34"/>
  <c r="A1172" i="34"/>
  <c r="B518" i="34"/>
  <c r="B926" i="34"/>
  <c r="B913" i="34"/>
  <c r="A518" i="34" l="1"/>
  <c r="A926" i="34"/>
  <c r="A913" i="34"/>
  <c r="B192" i="34"/>
  <c r="B271" i="34"/>
  <c r="B81" i="34"/>
  <c r="B65" i="34"/>
  <c r="B170" i="34"/>
  <c r="B371" i="34"/>
  <c r="B886" i="34"/>
  <c r="A192" i="34" l="1"/>
  <c r="A65" i="34"/>
  <c r="A81" i="34"/>
  <c r="A371" i="34"/>
  <c r="A271" i="34"/>
  <c r="A170" i="34"/>
  <c r="A886" i="34"/>
  <c r="O5" i="78"/>
  <c r="N5" i="78"/>
  <c r="B155" i="34"/>
  <c r="B150" i="34"/>
  <c r="A155" i="34" l="1"/>
  <c r="A150" i="34"/>
  <c r="B381" i="34"/>
  <c r="B380" i="34"/>
  <c r="B379" i="34"/>
  <c r="B378" i="34"/>
  <c r="B377" i="34"/>
  <c r="B376" i="34"/>
  <c r="B369" i="34"/>
  <c r="B367" i="34"/>
  <c r="B366" i="34"/>
  <c r="B365" i="34"/>
  <c r="B359" i="34"/>
  <c r="B358" i="34"/>
  <c r="B357" i="34"/>
  <c r="B356" i="34"/>
  <c r="B355" i="34"/>
  <c r="B354" i="34"/>
  <c r="B353" i="34"/>
  <c r="B352" i="34"/>
  <c r="B351" i="34"/>
  <c r="B167" i="34"/>
  <c r="B166" i="34"/>
  <c r="B165" i="34"/>
  <c r="B164" i="34"/>
  <c r="B163" i="34"/>
  <c r="B162" i="34"/>
  <c r="B161" i="34"/>
  <c r="B160" i="34"/>
  <c r="B157" i="34"/>
  <c r="B156" i="34"/>
  <c r="B154" i="34"/>
  <c r="B151" i="34"/>
  <c r="B149" i="34"/>
  <c r="B148" i="34"/>
  <c r="B147" i="34"/>
  <c r="B912" i="34"/>
  <c r="B911" i="34"/>
  <c r="B910" i="34"/>
  <c r="B885" i="34"/>
  <c r="B884" i="34"/>
  <c r="B883" i="34"/>
  <c r="B882" i="34"/>
  <c r="B881" i="34"/>
  <c r="B880" i="34"/>
  <c r="B879" i="34"/>
  <c r="B878" i="34"/>
  <c r="B866" i="34"/>
  <c r="B865" i="34"/>
  <c r="B864" i="34"/>
  <c r="B863" i="34"/>
  <c r="B862" i="34"/>
  <c r="B859" i="34"/>
  <c r="B858" i="34"/>
  <c r="B857" i="34"/>
  <c r="B856" i="34"/>
  <c r="B851" i="34"/>
  <c r="B845" i="34"/>
  <c r="B844" i="34"/>
  <c r="B843" i="34"/>
  <c r="B842" i="34"/>
  <c r="B841" i="34"/>
  <c r="B840" i="34"/>
  <c r="B839" i="34"/>
  <c r="B838" i="34"/>
  <c r="B826" i="34"/>
  <c r="B825" i="34"/>
  <c r="B824" i="34"/>
  <c r="B823" i="34"/>
  <c r="B822" i="34"/>
  <c r="B821" i="34"/>
  <c r="B820" i="34"/>
  <c r="B819" i="34"/>
  <c r="B798" i="34"/>
  <c r="B797" i="34"/>
  <c r="B796" i="34"/>
  <c r="B795" i="34"/>
  <c r="B794" i="34"/>
  <c r="B793" i="34"/>
  <c r="B792" i="34"/>
  <c r="B791" i="34"/>
  <c r="B790" i="34"/>
  <c r="B215" i="34"/>
  <c r="B225" i="34"/>
  <c r="B224" i="34"/>
  <c r="B223" i="34"/>
  <c r="B240" i="34"/>
  <c r="B239" i="34"/>
  <c r="B238" i="34"/>
  <c r="B237" i="34"/>
  <c r="B290" i="34"/>
  <c r="B227" i="34"/>
  <c r="B226" i="34"/>
  <c r="B220" i="34"/>
  <c r="B219" i="34"/>
  <c r="B218" i="34"/>
  <c r="B217" i="34"/>
  <c r="B216" i="34"/>
  <c r="B210" i="34"/>
  <c r="B589" i="34"/>
  <c r="B617" i="34"/>
  <c r="B616" i="34"/>
  <c r="B604" i="34"/>
  <c r="B603" i="34"/>
  <c r="B602" i="34"/>
  <c r="B601" i="34"/>
  <c r="B600" i="34"/>
  <c r="B599" i="34"/>
  <c r="B954" i="34"/>
  <c r="B953" i="34"/>
  <c r="B941" i="34"/>
  <c r="B923" i="34"/>
  <c r="B874" i="34"/>
  <c r="B873" i="34"/>
  <c r="B861" i="34"/>
  <c r="B860" i="34"/>
  <c r="B434" i="34"/>
  <c r="B433" i="34"/>
  <c r="B432" i="34"/>
  <c r="B431" i="34"/>
  <c r="B430" i="34"/>
  <c r="B429" i="34"/>
  <c r="B428" i="34"/>
  <c r="B427" i="34"/>
  <c r="B426" i="34"/>
  <c r="B410" i="34"/>
  <c r="B409" i="34"/>
  <c r="B408" i="34"/>
  <c r="B407" i="34"/>
  <c r="B406" i="34"/>
  <c r="B405" i="34"/>
  <c r="B404" i="34"/>
  <c r="B403" i="34"/>
  <c r="B402" i="34"/>
  <c r="B398" i="34"/>
  <c r="B397" i="34"/>
  <c r="B396" i="34"/>
  <c r="B395" i="34"/>
  <c r="B394" i="34"/>
  <c r="B393" i="34"/>
  <c r="B392" i="34"/>
  <c r="B391" i="34"/>
  <c r="B390" i="34"/>
  <c r="B384" i="34"/>
  <c r="B383" i="34"/>
  <c r="B382" i="34"/>
  <c r="B1184" i="34"/>
  <c r="B1183" i="34"/>
  <c r="B1182" i="34"/>
  <c r="B1181" i="34"/>
  <c r="B1180" i="34"/>
  <c r="B1177" i="34"/>
  <c r="B1176" i="34"/>
  <c r="B1175" i="34"/>
  <c r="B1174" i="34"/>
  <c r="B1173" i="34"/>
  <c r="B542" i="34"/>
  <c r="B541" i="34"/>
  <c r="B539" i="34"/>
  <c r="B538" i="34"/>
  <c r="B537" i="34"/>
  <c r="B536" i="34"/>
  <c r="B1001" i="34"/>
  <c r="B1000" i="34"/>
  <c r="B993" i="34"/>
  <c r="B807" i="34"/>
  <c r="B806" i="34"/>
  <c r="B805" i="34"/>
  <c r="B779" i="34"/>
  <c r="B778" i="34"/>
  <c r="B777" i="34"/>
  <c r="B191" i="34"/>
  <c r="B198" i="34"/>
  <c r="B212" i="34"/>
  <c r="B221" i="34"/>
  <c r="B222" i="34"/>
  <c r="B232" i="34"/>
  <c r="B248" i="34"/>
  <c r="B258" i="34"/>
  <c r="B266" i="34"/>
  <c r="B268" i="34"/>
  <c r="B1037" i="34"/>
  <c r="B984" i="34"/>
  <c r="B983" i="34"/>
  <c r="B982" i="34"/>
  <c r="B981" i="34"/>
  <c r="B980" i="34"/>
  <c r="B979" i="34"/>
  <c r="B967" i="34"/>
  <c r="B966" i="34"/>
  <c r="B961" i="34"/>
  <c r="B960" i="34"/>
  <c r="B956" i="34"/>
  <c r="B955" i="34"/>
  <c r="B931" i="34"/>
  <c r="B930" i="34"/>
  <c r="B929" i="34"/>
  <c r="B928" i="34"/>
  <c r="B927" i="34"/>
  <c r="B1171" i="34"/>
  <c r="B1170" i="34"/>
  <c r="B1165" i="34"/>
  <c r="B1164" i="34"/>
  <c r="B1163" i="34"/>
  <c r="B1161" i="34"/>
  <c r="B1160" i="34"/>
  <c r="B1157" i="34"/>
  <c r="B1156" i="34"/>
  <c r="B1155" i="34"/>
  <c r="B1153" i="34"/>
  <c r="B1152" i="34"/>
  <c r="B1151" i="34"/>
  <c r="B1150" i="34"/>
  <c r="B1149" i="34"/>
  <c r="B1148" i="34"/>
  <c r="B207" i="34"/>
  <c r="B206" i="34"/>
  <c r="B200" i="34"/>
  <c r="B199" i="34"/>
  <c r="B197" i="34"/>
  <c r="B598" i="34"/>
  <c r="B612" i="34"/>
  <c r="B611" i="34"/>
  <c r="B588" i="34"/>
  <c r="B587" i="34"/>
  <c r="B586" i="34"/>
  <c r="B585" i="34"/>
  <c r="B584" i="34"/>
  <c r="B583" i="34"/>
  <c r="B582" i="34"/>
  <c r="B581" i="34"/>
  <c r="B580" i="34"/>
  <c r="B579" i="34"/>
  <c r="B578" i="34"/>
  <c r="B577" i="34"/>
  <c r="B576" i="34"/>
  <c r="B575" i="34"/>
  <c r="B574" i="34"/>
  <c r="B572" i="34"/>
  <c r="B571" i="34"/>
  <c r="B570" i="34"/>
  <c r="B569" i="34"/>
  <c r="B567" i="34"/>
  <c r="B566" i="34"/>
  <c r="B565" i="34"/>
  <c r="B564" i="34"/>
  <c r="B563" i="34"/>
  <c r="B562" i="34"/>
  <c r="B561" i="34"/>
  <c r="B560" i="34"/>
  <c r="B559" i="34"/>
  <c r="B558" i="34"/>
  <c r="B556" i="34"/>
  <c r="B555" i="34"/>
  <c r="B517" i="34"/>
  <c r="B1038" i="34"/>
  <c r="B925" i="34"/>
  <c r="B914" i="34"/>
  <c r="B1258" i="34"/>
  <c r="B1257" i="34"/>
  <c r="B1253" i="34"/>
  <c r="B1252" i="34"/>
  <c r="B1251" i="34"/>
  <c r="B1239" i="34"/>
  <c r="B1238" i="34"/>
  <c r="B1237" i="34"/>
  <c r="B1236" i="34"/>
  <c r="B1235" i="34"/>
  <c r="B1234" i="34"/>
  <c r="B1233" i="34"/>
  <c r="B1232" i="34"/>
  <c r="B1231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08" i="34"/>
  <c r="B1207" i="34"/>
  <c r="B1210" i="34"/>
  <c r="B1209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A556" i="34" l="1"/>
  <c r="A565" i="34"/>
  <c r="A575" i="34"/>
  <c r="A579" i="34"/>
  <c r="A206" i="34"/>
  <c r="A558" i="34"/>
  <c r="A562" i="34"/>
  <c r="A566" i="34"/>
  <c r="A571" i="34"/>
  <c r="A576" i="34"/>
  <c r="A580" i="34"/>
  <c r="A584" i="34"/>
  <c r="A588" i="34"/>
  <c r="A197" i="34"/>
  <c r="A207" i="34"/>
  <c r="A266" i="34"/>
  <c r="A222" i="34"/>
  <c r="A191" i="34"/>
  <c r="A805" i="34"/>
  <c r="A538" i="34"/>
  <c r="A384" i="34"/>
  <c r="A393" i="34"/>
  <c r="A397" i="34"/>
  <c r="A404" i="34"/>
  <c r="A408" i="34"/>
  <c r="A427" i="34"/>
  <c r="A431" i="34"/>
  <c r="A860" i="34"/>
  <c r="A599" i="34"/>
  <c r="A603" i="34"/>
  <c r="A589" i="34"/>
  <c r="A218" i="34"/>
  <c r="A227" i="34"/>
  <c r="A239" i="34"/>
  <c r="A225" i="34"/>
  <c r="A792" i="34"/>
  <c r="A796" i="34"/>
  <c r="A820" i="34"/>
  <c r="A824" i="34"/>
  <c r="A839" i="34"/>
  <c r="A843" i="34"/>
  <c r="A856" i="34"/>
  <c r="A862" i="34"/>
  <c r="A866" i="34"/>
  <c r="A147" i="34"/>
  <c r="A154" i="34"/>
  <c r="A161" i="34"/>
  <c r="A165" i="34"/>
  <c r="A352" i="34"/>
  <c r="A356" i="34"/>
  <c r="A365" i="34"/>
  <c r="A376" i="34"/>
  <c r="A380" i="34"/>
  <c r="A517" i="34"/>
  <c r="A559" i="34"/>
  <c r="A563" i="34"/>
  <c r="A567" i="34"/>
  <c r="A572" i="34"/>
  <c r="A577" i="34"/>
  <c r="A581" i="34"/>
  <c r="A585" i="34"/>
  <c r="A611" i="34"/>
  <c r="A199" i="34"/>
  <c r="A258" i="34"/>
  <c r="A221" i="34"/>
  <c r="A777" i="34"/>
  <c r="A806" i="34"/>
  <c r="A539" i="34"/>
  <c r="A390" i="34"/>
  <c r="A394" i="34"/>
  <c r="A398" i="34"/>
  <c r="A405" i="34"/>
  <c r="A409" i="34"/>
  <c r="A428" i="34"/>
  <c r="A432" i="34"/>
  <c r="A861" i="34"/>
  <c r="A600" i="34"/>
  <c r="A604" i="34"/>
  <c r="A210" i="34"/>
  <c r="A219" i="34"/>
  <c r="A290" i="34"/>
  <c r="A240" i="34"/>
  <c r="A215" i="34"/>
  <c r="A793" i="34"/>
  <c r="A797" i="34"/>
  <c r="A821" i="34"/>
  <c r="A825" i="34"/>
  <c r="A840" i="34"/>
  <c r="A844" i="34"/>
  <c r="A857" i="34"/>
  <c r="A863" i="34"/>
  <c r="A148" i="34"/>
  <c r="A156" i="34"/>
  <c r="A162" i="34"/>
  <c r="A166" i="34"/>
  <c r="A353" i="34"/>
  <c r="A357" i="34"/>
  <c r="A366" i="34"/>
  <c r="A377" i="34"/>
  <c r="A381" i="34"/>
  <c r="A555" i="34"/>
  <c r="A560" i="34"/>
  <c r="A564" i="34"/>
  <c r="A569" i="34"/>
  <c r="A574" i="34"/>
  <c r="A578" i="34"/>
  <c r="A582" i="34"/>
  <c r="A586" i="34"/>
  <c r="A612" i="34"/>
  <c r="A200" i="34"/>
  <c r="A248" i="34"/>
  <c r="A212" i="34"/>
  <c r="A778" i="34"/>
  <c r="A807" i="34"/>
  <c r="A536" i="34"/>
  <c r="A541" i="34"/>
  <c r="A382" i="34"/>
  <c r="A391" i="34"/>
  <c r="A395" i="34"/>
  <c r="A402" i="34"/>
  <c r="A406" i="34"/>
  <c r="A410" i="34"/>
  <c r="A429" i="34"/>
  <c r="A433" i="34"/>
  <c r="A601" i="34"/>
  <c r="A616" i="34"/>
  <c r="A216" i="34"/>
  <c r="A220" i="34"/>
  <c r="A237" i="34"/>
  <c r="A223" i="34"/>
  <c r="A790" i="34"/>
  <c r="A794" i="34"/>
  <c r="A798" i="34"/>
  <c r="A822" i="34"/>
  <c r="A826" i="34"/>
  <c r="A841" i="34"/>
  <c r="A845" i="34"/>
  <c r="A858" i="34"/>
  <c r="A864" i="34"/>
  <c r="A149" i="34"/>
  <c r="A157" i="34"/>
  <c r="A163" i="34"/>
  <c r="A167" i="34"/>
  <c r="A354" i="34"/>
  <c r="A358" i="34"/>
  <c r="A367" i="34"/>
  <c r="A378" i="34"/>
  <c r="A561" i="34"/>
  <c r="A570" i="34"/>
  <c r="A583" i="34"/>
  <c r="A587" i="34"/>
  <c r="A598" i="34"/>
  <c r="A268" i="34"/>
  <c r="A232" i="34"/>
  <c r="A198" i="34"/>
  <c r="A779" i="34"/>
  <c r="A537" i="34"/>
  <c r="A542" i="34"/>
  <c r="A383" i="34"/>
  <c r="A392" i="34"/>
  <c r="A396" i="34"/>
  <c r="A403" i="34"/>
  <c r="A407" i="34"/>
  <c r="A426" i="34"/>
  <c r="A430" i="34"/>
  <c r="A434" i="34"/>
  <c r="A602" i="34"/>
  <c r="A617" i="34"/>
  <c r="A217" i="34"/>
  <c r="A226" i="34"/>
  <c r="A238" i="34"/>
  <c r="A224" i="34"/>
  <c r="A791" i="34"/>
  <c r="A795" i="34"/>
  <c r="A819" i="34"/>
  <c r="A823" i="34"/>
  <c r="A838" i="34"/>
  <c r="A842" i="34"/>
  <c r="A851" i="34"/>
  <c r="A859" i="34"/>
  <c r="A865" i="34"/>
  <c r="A151" i="34"/>
  <c r="A160" i="34"/>
  <c r="A164" i="34"/>
  <c r="A351" i="34"/>
  <c r="A355" i="34"/>
  <c r="A359" i="34"/>
  <c r="A369" i="34"/>
  <c r="A379" i="34"/>
  <c r="A1189" i="34"/>
  <c r="A1193" i="34"/>
  <c r="A1197" i="34"/>
  <c r="A1201" i="34"/>
  <c r="A1205" i="34"/>
  <c r="A1207" i="34"/>
  <c r="A1213" i="34"/>
  <c r="A1217" i="34"/>
  <c r="A1221" i="34"/>
  <c r="A1225" i="34"/>
  <c r="A1231" i="34"/>
  <c r="A1235" i="34"/>
  <c r="A1239" i="34"/>
  <c r="A914" i="34"/>
  <c r="A1148" i="34"/>
  <c r="A1152" i="34"/>
  <c r="A1157" i="34"/>
  <c r="A1164" i="34"/>
  <c r="A927" i="34"/>
  <c r="A931" i="34"/>
  <c r="A961" i="34"/>
  <c r="A980" i="34"/>
  <c r="A984" i="34"/>
  <c r="A1001" i="34"/>
  <c r="A1174" i="34"/>
  <c r="A1180" i="34"/>
  <c r="A1184" i="34"/>
  <c r="A941" i="34"/>
  <c r="A881" i="34"/>
  <c r="A885" i="34"/>
  <c r="A1190" i="34"/>
  <c r="A1194" i="34"/>
  <c r="A1198" i="34"/>
  <c r="A1202" i="34"/>
  <c r="A1206" i="34"/>
  <c r="A1208" i="34"/>
  <c r="A1214" i="34"/>
  <c r="A1218" i="34"/>
  <c r="A1222" i="34"/>
  <c r="A1226" i="34"/>
  <c r="A1232" i="34"/>
  <c r="A1236" i="34"/>
  <c r="A1251" i="34"/>
  <c r="A1257" i="34"/>
  <c r="A925" i="34"/>
  <c r="A1149" i="34"/>
  <c r="A1153" i="34"/>
  <c r="A1160" i="34"/>
  <c r="A1165" i="34"/>
  <c r="A928" i="34"/>
  <c r="A955" i="34"/>
  <c r="A966" i="34"/>
  <c r="A981" i="34"/>
  <c r="A1037" i="34"/>
  <c r="A1175" i="34"/>
  <c r="A1181" i="34"/>
  <c r="A873" i="34"/>
  <c r="A953" i="34"/>
  <c r="A878" i="34"/>
  <c r="A882" i="34"/>
  <c r="A910" i="34"/>
  <c r="A1191" i="34"/>
  <c r="A1195" i="34"/>
  <c r="A1199" i="34"/>
  <c r="A1203" i="34"/>
  <c r="A1209" i="34"/>
  <c r="A1211" i="34"/>
  <c r="A1215" i="34"/>
  <c r="A1219" i="34"/>
  <c r="A1223" i="34"/>
  <c r="A1227" i="34"/>
  <c r="A1233" i="34"/>
  <c r="A1237" i="34"/>
  <c r="A1252" i="34"/>
  <c r="A1258" i="34"/>
  <c r="A1038" i="34"/>
  <c r="A1150" i="34"/>
  <c r="A1155" i="34"/>
  <c r="A1161" i="34"/>
  <c r="A1170" i="34"/>
  <c r="A929" i="34"/>
  <c r="A956" i="34"/>
  <c r="A967" i="34"/>
  <c r="A982" i="34"/>
  <c r="A993" i="34"/>
  <c r="A1176" i="34"/>
  <c r="A1182" i="34"/>
  <c r="A874" i="34"/>
  <c r="A954" i="34"/>
  <c r="A879" i="34"/>
  <c r="A883" i="34"/>
  <c r="A911" i="34"/>
  <c r="A1192" i="34"/>
  <c r="A1196" i="34"/>
  <c r="A1200" i="34"/>
  <c r="A1204" i="34"/>
  <c r="A1210" i="34"/>
  <c r="A1212" i="34"/>
  <c r="A1216" i="34"/>
  <c r="A1220" i="34"/>
  <c r="A1224" i="34"/>
  <c r="A1228" i="34"/>
  <c r="A1234" i="34"/>
  <c r="A1238" i="34"/>
  <c r="A1253" i="34"/>
  <c r="A1151" i="34"/>
  <c r="A1156" i="34"/>
  <c r="A1163" i="34"/>
  <c r="A1171" i="34"/>
  <c r="A930" i="34"/>
  <c r="A960" i="34"/>
  <c r="A979" i="34"/>
  <c r="A983" i="34"/>
  <c r="A1000" i="34"/>
  <c r="A1173" i="34"/>
  <c r="A1177" i="34"/>
  <c r="A1183" i="34"/>
  <c r="A923" i="34"/>
  <c r="A880" i="34"/>
  <c r="A884" i="34"/>
  <c r="A912" i="34"/>
  <c r="B63" i="34"/>
  <c r="B64" i="34"/>
  <c r="B122" i="34"/>
  <c r="B1246" i="34"/>
  <c r="B618" i="34"/>
  <c r="A618" i="34" l="1"/>
  <c r="A64" i="34"/>
  <c r="A63" i="34"/>
  <c r="A122" i="34"/>
  <c r="A1246" i="34"/>
  <c r="B1259" i="34"/>
  <c r="A1259" i="34" l="1"/>
  <c r="I16" i="54" l="1"/>
  <c r="B52" i="34"/>
  <c r="A52" i="34" l="1"/>
  <c r="N11" i="34"/>
  <c r="N12" i="34"/>
  <c r="N13" i="34"/>
  <c r="N10" i="34"/>
  <c r="N5" i="77"/>
  <c r="O5" i="77" l="1"/>
  <c r="L5" i="75"/>
  <c r="M5" i="75"/>
  <c r="P5" i="74"/>
  <c r="O5" i="74"/>
  <c r="V46" i="34" l="1"/>
  <c r="V36" i="34"/>
  <c r="V37" i="34"/>
  <c r="V32" i="34"/>
  <c r="V34" i="34"/>
  <c r="V35" i="34"/>
  <c r="V25" i="34"/>
  <c r="V26" i="34"/>
  <c r="V42" i="34"/>
  <c r="V33" i="34"/>
  <c r="V29" i="34"/>
  <c r="V38" i="34"/>
  <c r="V22" i="34"/>
  <c r="V24" i="34"/>
  <c r="V23" i="34"/>
  <c r="V43" i="34"/>
  <c r="V41" i="34"/>
  <c r="V40" i="34"/>
  <c r="V30" i="34"/>
  <c r="V28" i="34"/>
  <c r="V31" i="34"/>
  <c r="V39" i="34"/>
  <c r="V27" i="34"/>
  <c r="V543" i="34"/>
  <c r="V551" i="34"/>
  <c r="V592" i="34"/>
  <c r="V595" i="34"/>
  <c r="V546" i="34"/>
  <c r="V609" i="34"/>
  <c r="V614" i="34"/>
  <c r="V554" i="34"/>
  <c r="V610" i="34"/>
  <c r="V615" i="34"/>
  <c r="V549" i="34"/>
  <c r="V608" i="34"/>
  <c r="V613" i="34"/>
  <c r="V547" i="34"/>
  <c r="V548" i="34"/>
  <c r="V553" i="34"/>
  <c r="V544" i="34"/>
  <c r="V550" i="34"/>
  <c r="V593" i="34"/>
  <c r="V596" i="34"/>
  <c r="V545" i="34"/>
  <c r="V552" i="34"/>
  <c r="V594" i="34"/>
  <c r="V597" i="34"/>
  <c r="V441" i="34"/>
  <c r="V495" i="34"/>
  <c r="V361" i="34"/>
  <c r="V364" i="34"/>
  <c r="V291" i="34"/>
  <c r="V282" i="34"/>
  <c r="V457" i="34"/>
  <c r="V444" i="34"/>
  <c r="V500" i="34"/>
  <c r="V540" i="34"/>
  <c r="V413" i="34"/>
  <c r="V368" i="34"/>
  <c r="V292" i="34"/>
  <c r="V73" i="34"/>
  <c r="V74" i="34"/>
  <c r="V75" i="34"/>
  <c r="V77" i="34"/>
  <c r="V76" i="34"/>
  <c r="V95" i="34"/>
  <c r="V177" i="34"/>
  <c r="V94" i="34"/>
  <c r="V134" i="34"/>
  <c r="V133" i="34"/>
  <c r="V178" i="34"/>
  <c r="V169" i="34"/>
  <c r="V168" i="34"/>
  <c r="V80" i="34"/>
  <c r="V125" i="34"/>
  <c r="V132" i="34"/>
  <c r="V153" i="34"/>
  <c r="V126" i="34"/>
  <c r="V152" i="34"/>
  <c r="V101" i="34"/>
  <c r="V140" i="34"/>
  <c r="V92" i="34"/>
  <c r="V181" i="34"/>
  <c r="V119" i="34"/>
  <c r="V105" i="34"/>
  <c r="V141" i="34"/>
  <c r="V179" i="34"/>
  <c r="V183" i="34"/>
  <c r="V180" i="34"/>
  <c r="V98" i="34"/>
  <c r="V100" i="34"/>
  <c r="V120" i="34"/>
  <c r="V99" i="34"/>
  <c r="V143" i="34"/>
  <c r="V184" i="34"/>
  <c r="V97" i="34"/>
  <c r="V93" i="34"/>
  <c r="V182" i="34"/>
  <c r="V106" i="34"/>
  <c r="V620" i="34"/>
  <c r="V455" i="34"/>
  <c r="V481" i="34"/>
  <c r="V202" i="34"/>
  <c r="V461" i="34"/>
  <c r="V469" i="34"/>
  <c r="V477" i="34"/>
  <c r="V491" i="34"/>
  <c r="V453" i="34"/>
  <c r="V463" i="34"/>
  <c r="V471" i="34"/>
  <c r="V479" i="34"/>
  <c r="V464" i="34"/>
  <c r="V472" i="34"/>
  <c r="V486" i="34"/>
  <c r="V452" i="34"/>
  <c r="V622" i="34"/>
  <c r="V213" i="34"/>
  <c r="V462" i="34"/>
  <c r="V470" i="34"/>
  <c r="V478" i="34"/>
  <c r="V492" i="34"/>
  <c r="V214" i="34"/>
  <c r="V454" i="34"/>
  <c r="V480" i="34"/>
  <c r="V186" i="34"/>
  <c r="V451" i="34"/>
  <c r="V460" i="34"/>
  <c r="V621" i="34"/>
  <c r="V465" i="34"/>
  <c r="V487" i="34"/>
  <c r="V449" i="34"/>
  <c r="V467" i="34"/>
  <c r="V489" i="34"/>
  <c r="V490" i="34"/>
  <c r="V458" i="34"/>
  <c r="V474" i="34"/>
  <c r="V476" i="34"/>
  <c r="V456" i="34"/>
  <c r="V473" i="34"/>
  <c r="V459" i="34"/>
  <c r="V475" i="34"/>
  <c r="V190" i="34"/>
  <c r="V468" i="34"/>
  <c r="V448" i="34"/>
  <c r="V466" i="34"/>
  <c r="V488" i="34"/>
  <c r="V189" i="34"/>
  <c r="V450" i="34"/>
  <c r="V84" i="34"/>
  <c r="V493" i="34"/>
  <c r="V483" i="34"/>
  <c r="V485" i="34"/>
  <c r="V484" i="34"/>
  <c r="V849" i="34"/>
  <c r="V497" i="34"/>
  <c r="V853" i="34"/>
  <c r="V196" i="34"/>
  <c r="V509" i="34"/>
  <c r="V482" i="34"/>
  <c r="V503" i="34"/>
  <c r="V511" i="34"/>
  <c r="V854" i="34"/>
  <c r="V519" i="34"/>
  <c r="V527" i="34"/>
  <c r="V535" i="34"/>
  <c r="V187" i="34"/>
  <c r="V494" i="34"/>
  <c r="V499" i="34"/>
  <c r="V504" i="34"/>
  <c r="V512" i="34"/>
  <c r="V501" i="34"/>
  <c r="V515" i="34"/>
  <c r="V528" i="34"/>
  <c r="V203" i="34"/>
  <c r="V496" i="34"/>
  <c r="V505" i="34"/>
  <c r="V850" i="34"/>
  <c r="V521" i="34"/>
  <c r="V502" i="34"/>
  <c r="V530" i="34"/>
  <c r="V507" i="34"/>
  <c r="V848" i="34"/>
  <c r="V531" i="34"/>
  <c r="V524" i="34"/>
  <c r="V846" i="34"/>
  <c r="V533" i="34"/>
  <c r="V847" i="34"/>
  <c r="V526" i="34"/>
  <c r="V498" i="34"/>
  <c r="V523" i="34"/>
  <c r="V516" i="34"/>
  <c r="V520" i="34"/>
  <c r="V205" i="34"/>
  <c r="V529" i="34"/>
  <c r="V510" i="34"/>
  <c r="V522" i="34"/>
  <c r="V508" i="34"/>
  <c r="V532" i="34"/>
  <c r="V513" i="34"/>
  <c r="V525" i="34"/>
  <c r="V506" i="34"/>
  <c r="V534" i="34"/>
  <c r="V195" i="34"/>
  <c r="V514" i="34"/>
  <c r="V201" i="34"/>
  <c r="V619" i="34"/>
  <c r="V573" i="34"/>
  <c r="V557" i="34"/>
  <c r="V568" i="34"/>
  <c r="V913" i="34"/>
  <c r="V518" i="34"/>
  <c r="V371" i="34"/>
  <c r="V170" i="34"/>
  <c r="V886" i="34"/>
  <c r="V192" i="34"/>
  <c r="V81" i="34"/>
  <c r="V65" i="34"/>
  <c r="V271" i="34"/>
  <c r="V155" i="34"/>
  <c r="V150" i="34"/>
  <c r="V212" i="34"/>
  <c r="V391" i="34"/>
  <c r="V433" i="34"/>
  <c r="V223" i="34"/>
  <c r="V841" i="34"/>
  <c r="V911" i="34"/>
  <c r="V206" i="34"/>
  <c r="V396" i="34"/>
  <c r="V430" i="34"/>
  <c r="V874" i="34"/>
  <c r="V617" i="34"/>
  <c r="V791" i="34"/>
  <c r="V819" i="34"/>
  <c r="V838" i="34"/>
  <c r="V884" i="34"/>
  <c r="V355" i="34"/>
  <c r="V369" i="34"/>
  <c r="V395" i="34"/>
  <c r="V429" i="34"/>
  <c r="V873" i="34"/>
  <c r="V883" i="34"/>
  <c r="V157" i="34"/>
  <c r="V163" i="34"/>
  <c r="V367" i="34"/>
  <c r="V268" i="34"/>
  <c r="V779" i="34"/>
  <c r="V537" i="34"/>
  <c r="V542" i="34"/>
  <c r="V392" i="34"/>
  <c r="V426" i="34"/>
  <c r="V434" i="34"/>
  <c r="V602" i="34"/>
  <c r="V238" i="34"/>
  <c r="V224" i="34"/>
  <c r="V795" i="34"/>
  <c r="V823" i="34"/>
  <c r="V842" i="34"/>
  <c r="V851" i="34"/>
  <c r="V880" i="34"/>
  <c r="V912" i="34"/>
  <c r="V151" i="34"/>
  <c r="V351" i="34"/>
  <c r="V359" i="34"/>
  <c r="V379" i="34"/>
  <c r="V574" i="34"/>
  <c r="V612" i="34"/>
  <c r="V778" i="34"/>
  <c r="V402" i="34"/>
  <c r="V220" i="34"/>
  <c r="V790" i="34"/>
  <c r="V826" i="34"/>
  <c r="V858" i="34"/>
  <c r="V149" i="34"/>
  <c r="V167" i="34"/>
  <c r="V358" i="34"/>
  <c r="V565" i="34"/>
  <c r="V583" i="34"/>
  <c r="V403" i="34"/>
  <c r="V859" i="34"/>
  <c r="V164" i="34"/>
  <c r="V562" i="34"/>
  <c r="V576" i="34"/>
  <c r="V197" i="34"/>
  <c r="V805" i="34"/>
  <c r="V384" i="34"/>
  <c r="V408" i="34"/>
  <c r="V603" i="34"/>
  <c r="V218" i="34"/>
  <c r="V796" i="34"/>
  <c r="V824" i="34"/>
  <c r="V843" i="34"/>
  <c r="V856" i="34"/>
  <c r="V866" i="34"/>
  <c r="V147" i="34"/>
  <c r="V161" i="34"/>
  <c r="V356" i="34"/>
  <c r="V376" i="34"/>
  <c r="V559" i="34"/>
  <c r="V567" i="34"/>
  <c r="V572" i="34"/>
  <c r="V577" i="34"/>
  <c r="V585" i="34"/>
  <c r="V199" i="34"/>
  <c r="V539" i="34"/>
  <c r="V390" i="34"/>
  <c r="V398" i="34"/>
  <c r="V432" i="34"/>
  <c r="V861" i="34"/>
  <c r="V600" i="34"/>
  <c r="V290" i="34"/>
  <c r="V215" i="34"/>
  <c r="V863" i="34"/>
  <c r="V162" i="34"/>
  <c r="V353" i="34"/>
  <c r="V381" i="34"/>
  <c r="V555" i="34"/>
  <c r="V586" i="34"/>
  <c r="V200" i="34"/>
  <c r="V536" i="34"/>
  <c r="V541" i="34"/>
  <c r="V822" i="34"/>
  <c r="V354" i="34"/>
  <c r="V556" i="34"/>
  <c r="V561" i="34"/>
  <c r="V579" i="34"/>
  <c r="V598" i="34"/>
  <c r="V232" i="34"/>
  <c r="V198" i="34"/>
  <c r="V558" i="34"/>
  <c r="V571" i="34"/>
  <c r="V580" i="34"/>
  <c r="V584" i="34"/>
  <c r="V222" i="34"/>
  <c r="V564" i="34"/>
  <c r="V569" i="34"/>
  <c r="V582" i="34"/>
  <c r="V248" i="34"/>
  <c r="V807" i="34"/>
  <c r="V410" i="34"/>
  <c r="V616" i="34"/>
  <c r="V216" i="34"/>
  <c r="V237" i="34"/>
  <c r="V798" i="34"/>
  <c r="V845" i="34"/>
  <c r="V378" i="34"/>
  <c r="V570" i="34"/>
  <c r="V575" i="34"/>
  <c r="V914" i="34"/>
  <c r="V588" i="34"/>
  <c r="V207" i="34"/>
  <c r="V266" i="34"/>
  <c r="V538" i="34"/>
  <c r="V404" i="34"/>
  <c r="V860" i="34"/>
  <c r="V599" i="34"/>
  <c r="V589" i="34"/>
  <c r="V239" i="34"/>
  <c r="V225" i="34"/>
  <c r="V792" i="34"/>
  <c r="V820" i="34"/>
  <c r="V862" i="34"/>
  <c r="V885" i="34"/>
  <c r="V352" i="34"/>
  <c r="V380" i="34"/>
  <c r="V517" i="34"/>
  <c r="V563" i="34"/>
  <c r="V581" i="34"/>
  <c r="V611" i="34"/>
  <c r="V777" i="34"/>
  <c r="V806" i="34"/>
  <c r="V394" i="34"/>
  <c r="V428" i="34"/>
  <c r="V604" i="34"/>
  <c r="V857" i="34"/>
  <c r="V357" i="34"/>
  <c r="V377" i="34"/>
  <c r="V560" i="34"/>
  <c r="V578" i="34"/>
  <c r="V382" i="34"/>
  <c r="V406" i="34"/>
  <c r="V601" i="34"/>
  <c r="V794" i="34"/>
  <c r="V864" i="34"/>
  <c r="V879" i="34"/>
  <c r="V587" i="34"/>
  <c r="V383" i="34"/>
  <c r="V407" i="34"/>
  <c r="V217" i="34"/>
  <c r="V226" i="34"/>
  <c r="V865" i="34"/>
  <c r="V160" i="34"/>
  <c r="V566" i="34"/>
  <c r="V191" i="34"/>
  <c r="V393" i="34"/>
  <c r="V427" i="34"/>
  <c r="V227" i="34"/>
  <c r="V881" i="34"/>
  <c r="V405" i="34"/>
  <c r="V219" i="34"/>
  <c r="V240" i="34"/>
  <c r="V825" i="34"/>
  <c r="V839" i="34"/>
  <c r="V221" i="34"/>
  <c r="V210" i="34"/>
  <c r="V821" i="34"/>
  <c r="V910" i="34"/>
  <c r="V431" i="34"/>
  <c r="V365" i="34"/>
  <c r="V258" i="34"/>
  <c r="V844" i="34"/>
  <c r="V156" i="34"/>
  <c r="V154" i="34"/>
  <c r="V165" i="34"/>
  <c r="V840" i="34"/>
  <c r="V397" i="34"/>
  <c r="V793" i="34"/>
  <c r="V878" i="34"/>
  <c r="V166" i="34"/>
  <c r="V797" i="34"/>
  <c r="V882" i="34"/>
  <c r="V148" i="34"/>
  <c r="V366" i="34"/>
  <c r="V409" i="34"/>
  <c r="V64" i="34"/>
  <c r="V618" i="34"/>
  <c r="V63" i="34"/>
  <c r="V122" i="34"/>
  <c r="V52" i="34"/>
  <c r="V14" i="34"/>
  <c r="V1244" i="34"/>
  <c r="V1034" i="34"/>
  <c r="V1044" i="34"/>
  <c r="V999" i="34"/>
  <c r="V1018" i="34"/>
  <c r="V1026" i="34"/>
  <c r="V1229" i="34"/>
  <c r="V964" i="34"/>
  <c r="V974" i="34"/>
  <c r="V988" i="34"/>
  <c r="V1004" i="34"/>
  <c r="V1050" i="34"/>
  <c r="V1058" i="34"/>
  <c r="V1068" i="34"/>
  <c r="V1159" i="34"/>
  <c r="V1041" i="34"/>
  <c r="V996" i="34"/>
  <c r="V1015" i="34"/>
  <c r="V1023" i="34"/>
  <c r="V1031" i="34"/>
  <c r="V965" i="34"/>
  <c r="V975" i="34"/>
  <c r="V989" i="34"/>
  <c r="V1005" i="34"/>
  <c r="V1051" i="34"/>
  <c r="V1059" i="34"/>
  <c r="V1117" i="34"/>
  <c r="V1187" i="34"/>
  <c r="V997" i="34"/>
  <c r="V1024" i="34"/>
  <c r="V952" i="34"/>
  <c r="V986" i="34"/>
  <c r="V1010" i="34"/>
  <c r="V1060" i="34"/>
  <c r="V1129" i="34"/>
  <c r="V1179" i="34"/>
  <c r="V1248" i="34"/>
  <c r="V1020" i="34"/>
  <c r="V962" i="34"/>
  <c r="V976" i="34"/>
  <c r="V1006" i="34"/>
  <c r="V1039" i="34"/>
  <c r="V1249" i="34"/>
  <c r="V1013" i="34"/>
  <c r="V1021" i="34"/>
  <c r="V1029" i="34"/>
  <c r="V957" i="34"/>
  <c r="V969" i="34"/>
  <c r="V977" i="34"/>
  <c r="V991" i="34"/>
  <c r="V1007" i="34"/>
  <c r="V1186" i="34"/>
  <c r="V1166" i="34"/>
  <c r="V1118" i="34"/>
  <c r="V1040" i="34"/>
  <c r="V995" i="34"/>
  <c r="V1014" i="34"/>
  <c r="V1022" i="34"/>
  <c r="V1030" i="34"/>
  <c r="V958" i="34"/>
  <c r="V970" i="34"/>
  <c r="V978" i="34"/>
  <c r="V992" i="34"/>
  <c r="V1008" i="34"/>
  <c r="V1053" i="34"/>
  <c r="V1062" i="34"/>
  <c r="V1127" i="34"/>
  <c r="V1169" i="34"/>
  <c r="V1035" i="34"/>
  <c r="V1045" i="34"/>
  <c r="V1011" i="34"/>
  <c r="V1019" i="34"/>
  <c r="V1027" i="34"/>
  <c r="V959" i="34"/>
  <c r="V971" i="34"/>
  <c r="V985" i="34"/>
  <c r="V994" i="34"/>
  <c r="V1009" i="34"/>
  <c r="V1054" i="34"/>
  <c r="V1065" i="34"/>
  <c r="V1036" i="34"/>
  <c r="V1016" i="34"/>
  <c r="V1032" i="34"/>
  <c r="V972" i="34"/>
  <c r="V1002" i="34"/>
  <c r="V1055" i="34"/>
  <c r="V1066" i="34"/>
  <c r="V1167" i="34"/>
  <c r="V1042" i="34"/>
  <c r="V1012" i="34"/>
  <c r="V1028" i="34"/>
  <c r="V968" i="34"/>
  <c r="V990" i="34"/>
  <c r="V1056" i="34"/>
  <c r="V1033" i="34"/>
  <c r="V1043" i="34"/>
  <c r="V998" i="34"/>
  <c r="V1017" i="34"/>
  <c r="V1025" i="34"/>
  <c r="V963" i="34"/>
  <c r="V973" i="34"/>
  <c r="V987" i="34"/>
  <c r="V1003" i="34"/>
  <c r="V1049" i="34"/>
  <c r="V1057" i="34"/>
  <c r="V1067" i="34"/>
  <c r="V1185" i="34"/>
  <c r="V1168" i="34"/>
  <c r="V1061" i="34"/>
  <c r="V1126" i="34"/>
  <c r="V1128" i="34"/>
  <c r="V1052" i="34"/>
  <c r="V1158" i="34"/>
  <c r="V1178" i="34"/>
  <c r="V1188" i="34"/>
  <c r="V1262" i="34"/>
  <c r="V1098" i="34"/>
  <c r="V1106" i="34"/>
  <c r="V1114" i="34"/>
  <c r="V1124" i="34"/>
  <c r="V1136" i="34"/>
  <c r="V1144" i="34"/>
  <c r="V1264" i="34"/>
  <c r="V1100" i="34"/>
  <c r="V1108" i="34"/>
  <c r="V1116" i="34"/>
  <c r="V1130" i="34"/>
  <c r="V1138" i="34"/>
  <c r="V1146" i="34"/>
  <c r="V1082" i="34"/>
  <c r="V1079" i="34"/>
  <c r="V1103" i="34"/>
  <c r="V1133" i="34"/>
  <c r="V1076" i="34"/>
  <c r="V1092" i="34"/>
  <c r="V1255" i="34"/>
  <c r="V1263" i="34"/>
  <c r="V1070" i="34"/>
  <c r="V1078" i="34"/>
  <c r="V1086" i="34"/>
  <c r="V1094" i="34"/>
  <c r="V1250" i="34"/>
  <c r="V1063" i="34"/>
  <c r="V1075" i="34"/>
  <c r="V1083" i="34"/>
  <c r="V1091" i="34"/>
  <c r="V1099" i="34"/>
  <c r="V1107" i="34"/>
  <c r="V1115" i="34"/>
  <c r="V1125" i="34"/>
  <c r="V1137" i="34"/>
  <c r="V1145" i="34"/>
  <c r="V940" i="34"/>
  <c r="V1046" i="34"/>
  <c r="V1072" i="34"/>
  <c r="V1080" i="34"/>
  <c r="V1088" i="34"/>
  <c r="V1096" i="34"/>
  <c r="V1260" i="34"/>
  <c r="V1047" i="34"/>
  <c r="V1073" i="34"/>
  <c r="V1081" i="34"/>
  <c r="V1089" i="34"/>
  <c r="V1097" i="34"/>
  <c r="V1105" i="34"/>
  <c r="V1113" i="34"/>
  <c r="V1123" i="34"/>
  <c r="V1135" i="34"/>
  <c r="V1143" i="34"/>
  <c r="V1111" i="34"/>
  <c r="V1141" i="34"/>
  <c r="V1064" i="34"/>
  <c r="V924" i="34"/>
  <c r="V1102" i="34"/>
  <c r="V1110" i="34"/>
  <c r="V1120" i="34"/>
  <c r="V1132" i="34"/>
  <c r="V1140" i="34"/>
  <c r="V1104" i="34"/>
  <c r="V1112" i="34"/>
  <c r="V1122" i="34"/>
  <c r="V1134" i="34"/>
  <c r="V1142" i="34"/>
  <c r="V1230" i="34"/>
  <c r="V1256" i="34"/>
  <c r="V1048" i="34"/>
  <c r="V1074" i="34"/>
  <c r="V1090" i="34"/>
  <c r="V1071" i="34"/>
  <c r="V1087" i="34"/>
  <c r="V1095" i="34"/>
  <c r="V1121" i="34"/>
  <c r="V1254" i="34"/>
  <c r="V1265" i="34"/>
  <c r="V1084" i="34"/>
  <c r="V1266" i="34"/>
  <c r="V1131" i="34"/>
  <c r="V1069" i="34"/>
  <c r="V1101" i="34"/>
  <c r="V1139" i="34"/>
  <c r="V1077" i="34"/>
  <c r="V1109" i="34"/>
  <c r="V1147" i="34"/>
  <c r="V1261" i="34"/>
  <c r="V1085" i="34"/>
  <c r="V1119" i="34"/>
  <c r="V1093" i="34"/>
  <c r="V1247" i="34"/>
  <c r="V951" i="34"/>
  <c r="V1162" i="34"/>
  <c r="V1154" i="34"/>
  <c r="V1172" i="34"/>
  <c r="V926" i="34"/>
  <c r="V923" i="34"/>
  <c r="V1206" i="34"/>
  <c r="V1232" i="34"/>
  <c r="V1192" i="34"/>
  <c r="V1204" i="34"/>
  <c r="V1216" i="34"/>
  <c r="V1228" i="34"/>
  <c r="V1202" i="34"/>
  <c r="V1236" i="34"/>
  <c r="V1152" i="34"/>
  <c r="V1164" i="34"/>
  <c r="V1190" i="34"/>
  <c r="V1218" i="34"/>
  <c r="V1196" i="34"/>
  <c r="V1210" i="34"/>
  <c r="V1224" i="34"/>
  <c r="V1238" i="34"/>
  <c r="V1156" i="34"/>
  <c r="V1222" i="34"/>
  <c r="V1148" i="34"/>
  <c r="V1174" i="34"/>
  <c r="V1184" i="34"/>
  <c r="V1198" i="34"/>
  <c r="V1208" i="34"/>
  <c r="V1212" i="34"/>
  <c r="V1234" i="34"/>
  <c r="V1150" i="34"/>
  <c r="V1182" i="34"/>
  <c r="V1195" i="34"/>
  <c r="V1252" i="34"/>
  <c r="V1197" i="34"/>
  <c r="V1213" i="34"/>
  <c r="V1231" i="34"/>
  <c r="V1038" i="34"/>
  <c r="V1171" i="34"/>
  <c r="V983" i="34"/>
  <c r="V1183" i="34"/>
  <c r="V1251" i="34"/>
  <c r="V1157" i="34"/>
  <c r="V961" i="34"/>
  <c r="V941" i="34"/>
  <c r="V1214" i="34"/>
  <c r="V1233" i="34"/>
  <c r="V981" i="34"/>
  <c r="V1181" i="34"/>
  <c r="V1194" i="34"/>
  <c r="V1191" i="34"/>
  <c r="V1223" i="34"/>
  <c r="V1200" i="34"/>
  <c r="V1155" i="34"/>
  <c r="V1170" i="34"/>
  <c r="V967" i="34"/>
  <c r="V1209" i="34"/>
  <c r="V1253" i="34"/>
  <c r="V1201" i="34"/>
  <c r="V1217" i="34"/>
  <c r="V1235" i="34"/>
  <c r="V1151" i="34"/>
  <c r="V930" i="34"/>
  <c r="V1000" i="34"/>
  <c r="V980" i="34"/>
  <c r="V1199" i="34"/>
  <c r="V1149" i="34"/>
  <c r="V955" i="34"/>
  <c r="V1037" i="34"/>
  <c r="V1203" i="34"/>
  <c r="V925" i="34"/>
  <c r="V929" i="34"/>
  <c r="V982" i="34"/>
  <c r="V1215" i="34"/>
  <c r="V1189" i="34"/>
  <c r="V1239" i="34"/>
  <c r="V927" i="34"/>
  <c r="V1180" i="34"/>
  <c r="V966" i="34"/>
  <c r="V953" i="34"/>
  <c r="V1237" i="34"/>
  <c r="V956" i="34"/>
  <c r="V1258" i="34"/>
  <c r="V1160" i="34"/>
  <c r="V1176" i="34"/>
  <c r="V1205" i="34"/>
  <c r="V960" i="34"/>
  <c r="V984" i="34"/>
  <c r="V1219" i="34"/>
  <c r="V1161" i="34"/>
  <c r="V1227" i="34"/>
  <c r="V1193" i="34"/>
  <c r="V1207" i="34"/>
  <c r="V1225" i="34"/>
  <c r="V1257" i="34"/>
  <c r="V1163" i="34"/>
  <c r="V979" i="34"/>
  <c r="V1177" i="34"/>
  <c r="V931" i="34"/>
  <c r="V1001" i="34"/>
  <c r="V1153" i="34"/>
  <c r="V928" i="34"/>
  <c r="V1175" i="34"/>
  <c r="V1226" i="34"/>
  <c r="V1211" i="34"/>
  <c r="V1220" i="34"/>
  <c r="V993" i="34"/>
  <c r="V954" i="34"/>
  <c r="V1221" i="34"/>
  <c r="V1173" i="34"/>
  <c r="V1165" i="34"/>
  <c r="V1246" i="34"/>
  <c r="V1259" i="34"/>
  <c r="B1240" i="34"/>
  <c r="B1245" i="34"/>
  <c r="B590" i="34"/>
  <c r="B591" i="34"/>
  <c r="V590" i="34" l="1"/>
  <c r="V591" i="34"/>
  <c r="A591" i="34"/>
  <c r="A590" i="34"/>
  <c r="V1245" i="34"/>
  <c r="V1240" i="34"/>
  <c r="A1245" i="34"/>
  <c r="A1240" i="34"/>
  <c r="B139" i="34"/>
  <c r="B138" i="34"/>
  <c r="V138" i="34" l="1"/>
  <c r="V139" i="34"/>
  <c r="A138" i="34"/>
  <c r="A139" i="34"/>
  <c r="B387" i="34"/>
  <c r="B144" i="34"/>
  <c r="B14" i="55"/>
  <c r="A14" i="55" s="1"/>
  <c r="D5" i="61"/>
  <c r="R7" i="60"/>
  <c r="F12" i="61"/>
  <c r="H12" i="61"/>
  <c r="C12" i="61"/>
  <c r="I12" i="61"/>
  <c r="G12" i="61"/>
  <c r="E12" i="61"/>
  <c r="D12" i="61"/>
  <c r="V144" i="34" l="1"/>
  <c r="V387" i="34"/>
  <c r="A144" i="34"/>
  <c r="A387" i="34"/>
  <c r="R23" i="60"/>
  <c r="R30" i="60" s="1"/>
  <c r="R37" i="60" s="1"/>
  <c r="R40" i="60" s="1"/>
  <c r="K16" i="60" l="1"/>
  <c r="K21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0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17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8" i="60"/>
  <c r="K112" i="60"/>
  <c r="K74" i="60"/>
  <c r="K99" i="60"/>
  <c r="K54" i="60"/>
  <c r="K107" i="60"/>
  <c r="K111" i="60"/>
  <c r="K79" i="60"/>
  <c r="K47" i="60"/>
  <c r="K15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19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72" i="34" l="1"/>
  <c r="B71" i="34"/>
  <c r="V72" i="34" l="1"/>
  <c r="V71" i="34"/>
  <c r="A72" i="34"/>
  <c r="A71" i="34"/>
  <c r="B25" i="55"/>
  <c r="A25" i="55" s="1"/>
  <c r="A26" i="55"/>
  <c r="T10" i="34"/>
  <c r="I19" i="55" l="1" a="1"/>
  <c r="I19" i="55" s="1"/>
  <c r="G19" i="55" a="1"/>
  <c r="G19" i="55" s="1"/>
  <c r="G36" i="55" a="1"/>
  <c r="G36" i="55" s="1"/>
  <c r="I36" i="55" a="1"/>
  <c r="I36" i="55" s="1"/>
  <c r="G68" i="55" a="1"/>
  <c r="G68" i="55" s="1"/>
  <c r="I68" i="55" a="1"/>
  <c r="I68" i="55" s="1"/>
  <c r="A3" i="15"/>
  <c r="A2" i="15"/>
  <c r="N8" i="73"/>
  <c r="M8" i="73"/>
  <c r="A2" i="73"/>
  <c r="A1" i="73"/>
  <c r="AA33" i="34" l="1"/>
  <c r="AA41" i="34"/>
  <c r="AA40" i="34"/>
  <c r="AA38" i="34"/>
  <c r="AA30" i="34"/>
  <c r="AA28" i="34"/>
  <c r="AA35" i="34"/>
  <c r="AA24" i="34"/>
  <c r="AA34" i="34"/>
  <c r="AA25" i="34"/>
  <c r="AA22" i="34"/>
  <c r="AA37" i="34"/>
  <c r="AA29" i="34"/>
  <c r="AA46" i="34"/>
  <c r="AA42" i="34"/>
  <c r="AA31" i="34"/>
  <c r="AA36" i="34"/>
  <c r="AA32" i="34"/>
  <c r="AA23" i="34"/>
  <c r="AA27" i="34"/>
  <c r="AA39" i="34"/>
  <c r="AA43" i="34"/>
  <c r="AA26" i="34"/>
  <c r="AA549" i="34"/>
  <c r="AA592" i="34"/>
  <c r="AA608" i="34"/>
  <c r="AA547" i="34"/>
  <c r="AA553" i="34"/>
  <c r="AA593" i="34"/>
  <c r="AA609" i="34"/>
  <c r="AA545" i="34"/>
  <c r="AA597" i="34"/>
  <c r="AA615" i="34"/>
  <c r="AA546" i="34"/>
  <c r="AA554" i="34"/>
  <c r="AA543" i="34"/>
  <c r="AA551" i="34"/>
  <c r="AA595" i="34"/>
  <c r="AA613" i="34"/>
  <c r="AA596" i="34"/>
  <c r="AA614" i="34"/>
  <c r="AA594" i="34"/>
  <c r="AA610" i="34"/>
  <c r="AA548" i="34"/>
  <c r="AA544" i="34"/>
  <c r="AA550" i="34"/>
  <c r="AA552" i="34"/>
  <c r="AA364" i="34"/>
  <c r="AA495" i="34"/>
  <c r="AA361" i="34"/>
  <c r="AA441" i="34"/>
  <c r="AA444" i="34"/>
  <c r="AA291" i="34"/>
  <c r="AA500" i="34"/>
  <c r="AA540" i="34"/>
  <c r="AA457" i="34"/>
  <c r="AA368" i="34"/>
  <c r="AA282" i="34"/>
  <c r="AA413" i="34"/>
  <c r="AA292" i="34"/>
  <c r="AA73" i="34"/>
  <c r="AA75" i="34"/>
  <c r="AA77" i="34"/>
  <c r="AA76" i="34"/>
  <c r="AA74" i="34"/>
  <c r="AA134" i="34"/>
  <c r="AA178" i="34"/>
  <c r="AA94" i="34"/>
  <c r="AA95" i="34"/>
  <c r="AA133" i="34"/>
  <c r="AA177" i="34"/>
  <c r="AA169" i="34"/>
  <c r="AA168" i="34"/>
  <c r="AA80" i="34"/>
  <c r="AA152" i="34"/>
  <c r="AA153" i="34"/>
  <c r="AA125" i="34"/>
  <c r="AA101" i="34"/>
  <c r="AA132" i="34"/>
  <c r="AA126" i="34"/>
  <c r="AA140" i="34"/>
  <c r="AA99" i="34"/>
  <c r="AA93" i="34"/>
  <c r="AA98" i="34"/>
  <c r="AA179" i="34"/>
  <c r="AA119" i="34"/>
  <c r="AA184" i="34"/>
  <c r="AA182" i="34"/>
  <c r="AA105" i="34"/>
  <c r="AA183" i="34"/>
  <c r="AA141" i="34"/>
  <c r="AA106" i="34"/>
  <c r="AA92" i="34"/>
  <c r="AA181" i="34"/>
  <c r="AA97" i="34"/>
  <c r="AA180" i="34"/>
  <c r="AA120" i="34"/>
  <c r="AA143" i="34"/>
  <c r="AA100" i="34"/>
  <c r="AA620" i="34"/>
  <c r="AA186" i="34"/>
  <c r="AA464" i="34"/>
  <c r="AA472" i="34"/>
  <c r="AA486" i="34"/>
  <c r="AA202" i="34"/>
  <c r="AA452" i="34"/>
  <c r="AA462" i="34"/>
  <c r="AA470" i="34"/>
  <c r="AA478" i="34"/>
  <c r="AA492" i="34"/>
  <c r="AA214" i="34"/>
  <c r="AA454" i="34"/>
  <c r="AA480" i="34"/>
  <c r="AA455" i="34"/>
  <c r="AA481" i="34"/>
  <c r="AA461" i="34"/>
  <c r="AA469" i="34"/>
  <c r="AA477" i="34"/>
  <c r="AA491" i="34"/>
  <c r="AA213" i="34"/>
  <c r="AA453" i="34"/>
  <c r="AA463" i="34"/>
  <c r="AA471" i="34"/>
  <c r="AA479" i="34"/>
  <c r="AA190" i="34"/>
  <c r="AA460" i="34"/>
  <c r="AA468" i="34"/>
  <c r="AA476" i="34"/>
  <c r="AA490" i="34"/>
  <c r="AA621" i="34"/>
  <c r="AA448" i="34"/>
  <c r="AA456" i="34"/>
  <c r="AA466" i="34"/>
  <c r="AA488" i="34"/>
  <c r="AA450" i="34"/>
  <c r="AA465" i="34"/>
  <c r="AA487" i="34"/>
  <c r="AA449" i="34"/>
  <c r="AA189" i="34"/>
  <c r="AA467" i="34"/>
  <c r="AA489" i="34"/>
  <c r="AA451" i="34"/>
  <c r="AA622" i="34"/>
  <c r="AA458" i="34"/>
  <c r="AA474" i="34"/>
  <c r="AA473" i="34"/>
  <c r="AA459" i="34"/>
  <c r="AA475" i="34"/>
  <c r="AA84" i="34"/>
  <c r="AA484" i="34"/>
  <c r="AA509" i="34"/>
  <c r="AA503" i="34"/>
  <c r="AA511" i="34"/>
  <c r="AA848" i="34"/>
  <c r="AA519" i="34"/>
  <c r="AA527" i="34"/>
  <c r="AA535" i="34"/>
  <c r="AA499" i="34"/>
  <c r="AA496" i="34"/>
  <c r="AA513" i="34"/>
  <c r="AA525" i="34"/>
  <c r="AA533" i="34"/>
  <c r="AA847" i="34"/>
  <c r="AA196" i="34"/>
  <c r="AA501" i="34"/>
  <c r="AA482" i="34"/>
  <c r="AA507" i="34"/>
  <c r="AA515" i="34"/>
  <c r="AA523" i="34"/>
  <c r="AA531" i="34"/>
  <c r="AA494" i="34"/>
  <c r="AA203" i="34"/>
  <c r="AA505" i="34"/>
  <c r="AA846" i="34"/>
  <c r="AA521" i="34"/>
  <c r="AA529" i="34"/>
  <c r="AA498" i="34"/>
  <c r="AA187" i="34"/>
  <c r="AA504" i="34"/>
  <c r="AA512" i="34"/>
  <c r="AA508" i="34"/>
  <c r="AA520" i="34"/>
  <c r="AA195" i="34"/>
  <c r="AA485" i="34"/>
  <c r="AA510" i="34"/>
  <c r="AA522" i="34"/>
  <c r="AA493" i="34"/>
  <c r="AA849" i="34"/>
  <c r="AA532" i="34"/>
  <c r="AA506" i="34"/>
  <c r="AA534" i="34"/>
  <c r="AA483" i="34"/>
  <c r="AA528" i="34"/>
  <c r="AA502" i="34"/>
  <c r="AA530" i="34"/>
  <c r="AA854" i="34"/>
  <c r="AA516" i="34"/>
  <c r="AA524" i="34"/>
  <c r="AA205" i="34"/>
  <c r="AA497" i="34"/>
  <c r="AA514" i="34"/>
  <c r="AA526" i="34"/>
  <c r="AA850" i="34"/>
  <c r="AA853" i="34"/>
  <c r="AA201" i="34"/>
  <c r="AA619" i="34"/>
  <c r="AA573" i="34"/>
  <c r="AA568" i="34"/>
  <c r="AA557" i="34"/>
  <c r="AA913" i="34"/>
  <c r="AA518" i="34"/>
  <c r="AA192" i="34"/>
  <c r="AA886" i="34"/>
  <c r="AA81" i="34"/>
  <c r="AA170" i="34"/>
  <c r="AA65" i="34"/>
  <c r="AA371" i="34"/>
  <c r="AA271" i="34"/>
  <c r="AA155" i="34"/>
  <c r="AA150" i="34"/>
  <c r="AA555" i="34"/>
  <c r="AA574" i="34"/>
  <c r="AA582" i="34"/>
  <c r="AA612" i="34"/>
  <c r="AA807" i="34"/>
  <c r="AA541" i="34"/>
  <c r="AA402" i="34"/>
  <c r="AA410" i="34"/>
  <c r="AA601" i="34"/>
  <c r="AA216" i="34"/>
  <c r="AA794" i="34"/>
  <c r="AA822" i="34"/>
  <c r="AA879" i="34"/>
  <c r="AA157" i="34"/>
  <c r="AA167" i="34"/>
  <c r="AA358" i="34"/>
  <c r="AA378" i="34"/>
  <c r="AA561" i="34"/>
  <c r="AA570" i="34"/>
  <c r="AA579" i="34"/>
  <c r="AA587" i="34"/>
  <c r="AA206" i="34"/>
  <c r="AA232" i="34"/>
  <c r="AA383" i="34"/>
  <c r="AA407" i="34"/>
  <c r="AA842" i="34"/>
  <c r="AA865" i="34"/>
  <c r="AA912" i="34"/>
  <c r="AA914" i="34"/>
  <c r="AA569" i="34"/>
  <c r="AA578" i="34"/>
  <c r="AA586" i="34"/>
  <c r="AA200" i="34"/>
  <c r="AA212" i="34"/>
  <c r="AA778" i="34"/>
  <c r="AA382" i="34"/>
  <c r="AA406" i="34"/>
  <c r="AA616" i="34"/>
  <c r="AA220" i="34"/>
  <c r="AA223" i="34"/>
  <c r="AA790" i="34"/>
  <c r="AA798" i="34"/>
  <c r="AA826" i="34"/>
  <c r="AA845" i="34"/>
  <c r="AA149" i="34"/>
  <c r="AA354" i="34"/>
  <c r="AA565" i="34"/>
  <c r="AA575" i="34"/>
  <c r="AA583" i="34"/>
  <c r="AA598" i="34"/>
  <c r="AA542" i="34"/>
  <c r="AA403" i="34"/>
  <c r="AA874" i="34"/>
  <c r="AA859" i="34"/>
  <c r="AA884" i="34"/>
  <c r="AA151" i="34"/>
  <c r="AA164" i="34"/>
  <c r="AA576" i="34"/>
  <c r="AA584" i="34"/>
  <c r="AA564" i="34"/>
  <c r="AA248" i="34"/>
  <c r="AA391" i="34"/>
  <c r="AA841" i="34"/>
  <c r="AA864" i="34"/>
  <c r="AA198" i="34"/>
  <c r="AA434" i="34"/>
  <c r="AA217" i="34"/>
  <c r="AA238" i="34"/>
  <c r="AA823" i="34"/>
  <c r="AA355" i="34"/>
  <c r="AA588" i="34"/>
  <c r="AA397" i="34"/>
  <c r="AA431" i="34"/>
  <c r="AA860" i="34"/>
  <c r="AA839" i="34"/>
  <c r="AA221" i="34"/>
  <c r="AA409" i="34"/>
  <c r="AA215" i="34"/>
  <c r="AA797" i="34"/>
  <c r="AA825" i="34"/>
  <c r="AA844" i="34"/>
  <c r="AA166" i="34"/>
  <c r="AA366" i="34"/>
  <c r="AA560" i="34"/>
  <c r="AA873" i="34"/>
  <c r="AA858" i="34"/>
  <c r="AA367" i="34"/>
  <c r="AA268" i="34"/>
  <c r="AA537" i="34"/>
  <c r="AA396" i="34"/>
  <c r="AA430" i="34"/>
  <c r="AA617" i="34"/>
  <c r="AA226" i="34"/>
  <c r="AA224" i="34"/>
  <c r="AA819" i="34"/>
  <c r="AA851" i="34"/>
  <c r="AA351" i="34"/>
  <c r="AA379" i="34"/>
  <c r="AA433" i="34"/>
  <c r="AA911" i="34"/>
  <c r="AA779" i="34"/>
  <c r="AA392" i="34"/>
  <c r="AA426" i="34"/>
  <c r="AA602" i="34"/>
  <c r="AA795" i="34"/>
  <c r="AA880" i="34"/>
  <c r="AA160" i="34"/>
  <c r="AA369" i="34"/>
  <c r="AA562" i="34"/>
  <c r="AA566" i="34"/>
  <c r="AA571" i="34"/>
  <c r="AA197" i="34"/>
  <c r="AA222" i="34"/>
  <c r="AA538" i="34"/>
  <c r="AA393" i="34"/>
  <c r="AA427" i="34"/>
  <c r="AA239" i="34"/>
  <c r="AA856" i="34"/>
  <c r="AA866" i="34"/>
  <c r="AA881" i="34"/>
  <c r="AA365" i="34"/>
  <c r="AA199" i="34"/>
  <c r="AA258" i="34"/>
  <c r="AA405" i="34"/>
  <c r="AA219" i="34"/>
  <c r="AA240" i="34"/>
  <c r="AA793" i="34"/>
  <c r="AA821" i="34"/>
  <c r="AA910" i="34"/>
  <c r="AA156" i="34"/>
  <c r="AA536" i="34"/>
  <c r="AA395" i="34"/>
  <c r="AA429" i="34"/>
  <c r="AA237" i="34"/>
  <c r="AA883" i="34"/>
  <c r="AA163" i="34"/>
  <c r="AA556" i="34"/>
  <c r="AA791" i="34"/>
  <c r="AA838" i="34"/>
  <c r="AA359" i="34"/>
  <c r="AA558" i="34"/>
  <c r="AA580" i="34"/>
  <c r="AA207" i="34"/>
  <c r="AA603" i="34"/>
  <c r="AA218" i="34"/>
  <c r="AA225" i="34"/>
  <c r="AA796" i="34"/>
  <c r="AA843" i="34"/>
  <c r="AA161" i="34"/>
  <c r="AA165" i="34"/>
  <c r="AA352" i="34"/>
  <c r="AA380" i="34"/>
  <c r="AA567" i="34"/>
  <c r="AA585" i="34"/>
  <c r="AA539" i="34"/>
  <c r="AA861" i="34"/>
  <c r="AA840" i="34"/>
  <c r="AA878" i="34"/>
  <c r="AA148" i="34"/>
  <c r="AA353" i="34"/>
  <c r="AA266" i="34"/>
  <c r="AA384" i="34"/>
  <c r="AA408" i="34"/>
  <c r="AA599" i="34"/>
  <c r="AA227" i="34"/>
  <c r="AA792" i="34"/>
  <c r="AA154" i="34"/>
  <c r="AA376" i="34"/>
  <c r="AA563" i="34"/>
  <c r="AA581" i="34"/>
  <c r="AA806" i="34"/>
  <c r="AA398" i="34"/>
  <c r="AA432" i="34"/>
  <c r="AA162" i="34"/>
  <c r="AA377" i="34"/>
  <c r="AA191" i="34"/>
  <c r="AA404" i="34"/>
  <c r="AA824" i="34"/>
  <c r="AA147" i="34"/>
  <c r="AA577" i="34"/>
  <c r="AA777" i="34"/>
  <c r="AA428" i="34"/>
  <c r="AA863" i="34"/>
  <c r="AA381" i="34"/>
  <c r="AA589" i="34"/>
  <c r="AA820" i="34"/>
  <c r="AA885" i="34"/>
  <c r="AA356" i="34"/>
  <c r="AA210" i="34"/>
  <c r="AA517" i="34"/>
  <c r="AA611" i="34"/>
  <c r="AA390" i="34"/>
  <c r="AA600" i="34"/>
  <c r="AA357" i="34"/>
  <c r="AA805" i="34"/>
  <c r="AA862" i="34"/>
  <c r="AA559" i="34"/>
  <c r="AA394" i="34"/>
  <c r="AA604" i="34"/>
  <c r="AA572" i="34"/>
  <c r="AA290" i="34"/>
  <c r="AA857" i="34"/>
  <c r="AA882" i="34"/>
  <c r="AA122" i="34"/>
  <c r="AA64" i="34"/>
  <c r="AA618" i="34"/>
  <c r="AA63" i="34"/>
  <c r="AA52" i="34"/>
  <c r="AA590" i="34"/>
  <c r="AA591" i="34"/>
  <c r="AA138" i="34"/>
  <c r="AA139" i="34"/>
  <c r="AA387" i="34"/>
  <c r="AA144" i="34"/>
  <c r="AA71" i="34"/>
  <c r="AA72" i="34"/>
  <c r="AA14" i="34"/>
  <c r="AA1244" i="34"/>
  <c r="AA1186" i="34"/>
  <c r="AA1166" i="34"/>
  <c r="AA1118" i="34"/>
  <c r="AA1034" i="34"/>
  <c r="AA1044" i="34"/>
  <c r="AA999" i="34"/>
  <c r="AA1018" i="34"/>
  <c r="AA1026" i="34"/>
  <c r="AA1229" i="34"/>
  <c r="AA964" i="34"/>
  <c r="AA974" i="34"/>
  <c r="AA988" i="34"/>
  <c r="AA1004" i="34"/>
  <c r="AA1050" i="34"/>
  <c r="AA1058" i="34"/>
  <c r="AA1068" i="34"/>
  <c r="AA1159" i="34"/>
  <c r="AA1041" i="34"/>
  <c r="AA996" i="34"/>
  <c r="AA1015" i="34"/>
  <c r="AA1023" i="34"/>
  <c r="AA1031" i="34"/>
  <c r="AA965" i="34"/>
  <c r="AA975" i="34"/>
  <c r="AA989" i="34"/>
  <c r="AA1005" i="34"/>
  <c r="AA1051" i="34"/>
  <c r="AA1059" i="34"/>
  <c r="AA1117" i="34"/>
  <c r="AA1187" i="34"/>
  <c r="AA997" i="34"/>
  <c r="AA1024" i="34"/>
  <c r="AA952" i="34"/>
  <c r="AA986" i="34"/>
  <c r="AA1010" i="34"/>
  <c r="AA1060" i="34"/>
  <c r="AA1129" i="34"/>
  <c r="AA1179" i="34"/>
  <c r="AA1248" i="34"/>
  <c r="AA1020" i="34"/>
  <c r="AA962" i="34"/>
  <c r="AA976" i="34"/>
  <c r="AA1006" i="34"/>
  <c r="AA1039" i="34"/>
  <c r="AA1249" i="34"/>
  <c r="AA1013" i="34"/>
  <c r="AA1021" i="34"/>
  <c r="AA1029" i="34"/>
  <c r="AA957" i="34"/>
  <c r="AA969" i="34"/>
  <c r="AA977" i="34"/>
  <c r="AA991" i="34"/>
  <c r="AA1128" i="34"/>
  <c r="AA1178" i="34"/>
  <c r="AA1188" i="34"/>
  <c r="AA1158" i="34"/>
  <c r="AA1040" i="34"/>
  <c r="AA1030" i="34"/>
  <c r="AA992" i="34"/>
  <c r="AA1127" i="34"/>
  <c r="AA1011" i="34"/>
  <c r="AA971" i="34"/>
  <c r="AA1054" i="34"/>
  <c r="AA1036" i="34"/>
  <c r="AA1002" i="34"/>
  <c r="AA1042" i="34"/>
  <c r="AA990" i="34"/>
  <c r="AA998" i="34"/>
  <c r="AA963" i="34"/>
  <c r="AA1007" i="34"/>
  <c r="AA1057" i="34"/>
  <c r="AA1126" i="34"/>
  <c r="AA995" i="34"/>
  <c r="AA958" i="34"/>
  <c r="AA1008" i="34"/>
  <c r="AA1169" i="34"/>
  <c r="AA1019" i="34"/>
  <c r="AA985" i="34"/>
  <c r="AA1065" i="34"/>
  <c r="AA1016" i="34"/>
  <c r="AA1055" i="34"/>
  <c r="AA1012" i="34"/>
  <c r="AA1017" i="34"/>
  <c r="AA973" i="34"/>
  <c r="AA1185" i="34"/>
  <c r="AA1052" i="34"/>
  <c r="AA1056" i="34"/>
  <c r="AA1049" i="34"/>
  <c r="AA1168" i="34"/>
  <c r="AA1014" i="34"/>
  <c r="AA970" i="34"/>
  <c r="AA1053" i="34"/>
  <c r="AA1035" i="34"/>
  <c r="AA1027" i="34"/>
  <c r="AA994" i="34"/>
  <c r="AA1032" i="34"/>
  <c r="AA1066" i="34"/>
  <c r="AA1028" i="34"/>
  <c r="AA1033" i="34"/>
  <c r="AA1025" i="34"/>
  <c r="AA987" i="34"/>
  <c r="AA1061" i="34"/>
  <c r="AA1022" i="34"/>
  <c r="AA978" i="34"/>
  <c r="AA1062" i="34"/>
  <c r="AA1045" i="34"/>
  <c r="AA959" i="34"/>
  <c r="AA1009" i="34"/>
  <c r="AA972" i="34"/>
  <c r="AA1167" i="34"/>
  <c r="AA968" i="34"/>
  <c r="AA1043" i="34"/>
  <c r="AA1003" i="34"/>
  <c r="AA1067" i="34"/>
  <c r="AA1256" i="34"/>
  <c r="AA1048" i="34"/>
  <c r="AA1074" i="34"/>
  <c r="AA1082" i="34"/>
  <c r="AA1090" i="34"/>
  <c r="AA1071" i="34"/>
  <c r="AA1079" i="34"/>
  <c r="AA1087" i="34"/>
  <c r="AA1095" i="34"/>
  <c r="AA1103" i="34"/>
  <c r="AA1111" i="34"/>
  <c r="AA1121" i="34"/>
  <c r="AA1133" i="34"/>
  <c r="AA1141" i="34"/>
  <c r="AA1254" i="34"/>
  <c r="AA1265" i="34"/>
  <c r="AA1064" i="34"/>
  <c r="AA1076" i="34"/>
  <c r="AA1084" i="34"/>
  <c r="AA1092" i="34"/>
  <c r="AA1261" i="34"/>
  <c r="AA1266" i="34"/>
  <c r="AA1069" i="34"/>
  <c r="AA1077" i="34"/>
  <c r="AA1085" i="34"/>
  <c r="AA1093" i="34"/>
  <c r="AA1101" i="34"/>
  <c r="AA1109" i="34"/>
  <c r="AA1119" i="34"/>
  <c r="AA1131" i="34"/>
  <c r="AA1139" i="34"/>
  <c r="AA1147" i="34"/>
  <c r="AA1114" i="34"/>
  <c r="AA1144" i="34"/>
  <c r="AA1130" i="34"/>
  <c r="AA1102" i="34"/>
  <c r="AA1110" i="34"/>
  <c r="AA1120" i="34"/>
  <c r="AA1132" i="34"/>
  <c r="AA1140" i="34"/>
  <c r="AA1104" i="34"/>
  <c r="AA1112" i="34"/>
  <c r="AA1122" i="34"/>
  <c r="AA1134" i="34"/>
  <c r="AA1142" i="34"/>
  <c r="AA1230" i="34"/>
  <c r="AA1264" i="34"/>
  <c r="AA1100" i="34"/>
  <c r="AA1138" i="34"/>
  <c r="AA1255" i="34"/>
  <c r="AA1263" i="34"/>
  <c r="AA1070" i="34"/>
  <c r="AA1078" i="34"/>
  <c r="AA1086" i="34"/>
  <c r="AA1094" i="34"/>
  <c r="AA1250" i="34"/>
  <c r="AA1063" i="34"/>
  <c r="AA1075" i="34"/>
  <c r="AA1083" i="34"/>
  <c r="AA1091" i="34"/>
  <c r="AA1099" i="34"/>
  <c r="AA1107" i="34"/>
  <c r="AA1115" i="34"/>
  <c r="AA1125" i="34"/>
  <c r="AA1137" i="34"/>
  <c r="AA1145" i="34"/>
  <c r="AA940" i="34"/>
  <c r="AA1046" i="34"/>
  <c r="AA1072" i="34"/>
  <c r="AA1080" i="34"/>
  <c r="AA1088" i="34"/>
  <c r="AA1096" i="34"/>
  <c r="AA1260" i="34"/>
  <c r="AA1047" i="34"/>
  <c r="AA1073" i="34"/>
  <c r="AA1081" i="34"/>
  <c r="AA1089" i="34"/>
  <c r="AA1097" i="34"/>
  <c r="AA1105" i="34"/>
  <c r="AA1113" i="34"/>
  <c r="AA1123" i="34"/>
  <c r="AA1135" i="34"/>
  <c r="AA1143" i="34"/>
  <c r="AA924" i="34"/>
  <c r="AA1262" i="34"/>
  <c r="AA1098" i="34"/>
  <c r="AA1106" i="34"/>
  <c r="AA1124" i="34"/>
  <c r="AA1136" i="34"/>
  <c r="AA1108" i="34"/>
  <c r="AA1116" i="34"/>
  <c r="AA1146" i="34"/>
  <c r="AA1247" i="34"/>
  <c r="AA951" i="34"/>
  <c r="AA1154" i="34"/>
  <c r="AA1172" i="34"/>
  <c r="AA1162" i="34"/>
  <c r="AA926" i="34"/>
  <c r="AA1209" i="34"/>
  <c r="AA1227" i="34"/>
  <c r="AA1253" i="34"/>
  <c r="AA1193" i="34"/>
  <c r="AA1201" i="34"/>
  <c r="AA1207" i="34"/>
  <c r="AA1217" i="34"/>
  <c r="AA1225" i="34"/>
  <c r="AA1235" i="34"/>
  <c r="AA1257" i="34"/>
  <c r="AA1151" i="34"/>
  <c r="AA1163" i="34"/>
  <c r="AA930" i="34"/>
  <c r="AA979" i="34"/>
  <c r="AA1000" i="34"/>
  <c r="AA1177" i="34"/>
  <c r="AA1258" i="34"/>
  <c r="AA931" i="34"/>
  <c r="AA980" i="34"/>
  <c r="AA1001" i="34"/>
  <c r="AA923" i="34"/>
  <c r="AA1195" i="34"/>
  <c r="AA1215" i="34"/>
  <c r="AA1252" i="34"/>
  <c r="AA1189" i="34"/>
  <c r="AA1197" i="34"/>
  <c r="AA1205" i="34"/>
  <c r="AA1213" i="34"/>
  <c r="AA1221" i="34"/>
  <c r="AA1231" i="34"/>
  <c r="AA1239" i="34"/>
  <c r="AA1038" i="34"/>
  <c r="AA1171" i="34"/>
  <c r="AA960" i="34"/>
  <c r="AA983" i="34"/>
  <c r="AA1173" i="34"/>
  <c r="AA1183" i="34"/>
  <c r="AA1251" i="34"/>
  <c r="AA1157" i="34"/>
  <c r="AA927" i="34"/>
  <c r="AA961" i="34"/>
  <c r="AA984" i="34"/>
  <c r="AA1199" i="34"/>
  <c r="AA1233" i="34"/>
  <c r="AA1153" i="34"/>
  <c r="AA1165" i="34"/>
  <c r="AA955" i="34"/>
  <c r="AA981" i="34"/>
  <c r="AA1175" i="34"/>
  <c r="AA953" i="34"/>
  <c r="AA1191" i="34"/>
  <c r="AA1211" i="34"/>
  <c r="AA1237" i="34"/>
  <c r="AA1161" i="34"/>
  <c r="AA929" i="34"/>
  <c r="AA967" i="34"/>
  <c r="AA993" i="34"/>
  <c r="AA1190" i="34"/>
  <c r="AA1210" i="34"/>
  <c r="AA1238" i="34"/>
  <c r="AA1174" i="34"/>
  <c r="AA1160" i="34"/>
  <c r="AA928" i="34"/>
  <c r="AA1234" i="34"/>
  <c r="AA1176" i="34"/>
  <c r="AA954" i="34"/>
  <c r="AA1206" i="34"/>
  <c r="AA1192" i="34"/>
  <c r="AA1216" i="34"/>
  <c r="AA1202" i="34"/>
  <c r="AA1164" i="34"/>
  <c r="AA1180" i="34"/>
  <c r="AA1181" i="34"/>
  <c r="AA1223" i="34"/>
  <c r="AA1156" i="34"/>
  <c r="AA1222" i="34"/>
  <c r="AA1149" i="34"/>
  <c r="AA925" i="34"/>
  <c r="AA941" i="34"/>
  <c r="AA1208" i="34"/>
  <c r="AA1212" i="34"/>
  <c r="AA1155" i="34"/>
  <c r="AA1196" i="34"/>
  <c r="AA1037" i="34"/>
  <c r="AA1203" i="34"/>
  <c r="AA1182" i="34"/>
  <c r="AA1232" i="34"/>
  <c r="AA1204" i="34"/>
  <c r="AA1228" i="34"/>
  <c r="AA1236" i="34"/>
  <c r="AA1152" i="34"/>
  <c r="AA1184" i="34"/>
  <c r="AA1214" i="34"/>
  <c r="AA1219" i="34"/>
  <c r="AA966" i="34"/>
  <c r="AA1194" i="34"/>
  <c r="AA1200" i="34"/>
  <c r="AA1150" i="34"/>
  <c r="AA1170" i="34"/>
  <c r="AA956" i="34"/>
  <c r="AA1218" i="34"/>
  <c r="AA1224" i="34"/>
  <c r="AA1148" i="34"/>
  <c r="AA1198" i="34"/>
  <c r="AA1226" i="34"/>
  <c r="AA1220" i="34"/>
  <c r="AA982" i="34"/>
  <c r="AA1246" i="34"/>
  <c r="AA1259" i="34"/>
  <c r="AA1240" i="34"/>
  <c r="AA1245" i="34"/>
  <c r="K19" i="55"/>
  <c r="K36" i="55"/>
  <c r="K68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67" i="34" l="1"/>
  <c r="B272" i="34"/>
  <c r="B281" i="34"/>
  <c r="B270" i="34"/>
  <c r="B269" i="34"/>
  <c r="B289" i="34"/>
  <c r="B288" i="34"/>
  <c r="B287" i="34"/>
  <c r="B286" i="34"/>
  <c r="B1241" i="34"/>
  <c r="B784" i="34"/>
  <c r="B783" i="34"/>
  <c r="B767" i="34"/>
  <c r="B208" i="34"/>
  <c r="B818" i="34"/>
  <c r="B817" i="34"/>
  <c r="B421" i="34"/>
  <c r="B420" i="34"/>
  <c r="B419" i="34"/>
  <c r="B416" i="34"/>
  <c r="B388" i="34"/>
  <c r="B375" i="34"/>
  <c r="B389" i="34"/>
  <c r="B412" i="34"/>
  <c r="B414" i="34"/>
  <c r="B415" i="34"/>
  <c r="B417" i="34"/>
  <c r="B418" i="34"/>
  <c r="B422" i="34"/>
  <c r="B423" i="34"/>
  <c r="B424" i="34"/>
  <c r="B425" i="34"/>
  <c r="B437" i="34"/>
  <c r="B438" i="34"/>
  <c r="B1242" i="34"/>
  <c r="B1243" i="34"/>
  <c r="B275" i="34"/>
  <c r="B259" i="34"/>
  <c r="B260" i="34"/>
  <c r="B261" i="34"/>
  <c r="B262" i="34"/>
  <c r="B263" i="34"/>
  <c r="B250" i="34"/>
  <c r="B251" i="34"/>
  <c r="B252" i="34"/>
  <c r="B211" i="34"/>
  <c r="B204" i="34"/>
  <c r="B193" i="34"/>
  <c r="B194" i="34"/>
  <c r="B188" i="34"/>
  <c r="B672" i="34"/>
  <c r="B775" i="34"/>
  <c r="B776" i="34"/>
  <c r="B780" i="34"/>
  <c r="B781" i="34"/>
  <c r="B782" i="34"/>
  <c r="B799" i="34"/>
  <c r="B800" i="34"/>
  <c r="B812" i="34"/>
  <c r="B813" i="34"/>
  <c r="B802" i="34"/>
  <c r="B815" i="34"/>
  <c r="B816" i="34"/>
  <c r="B831" i="34"/>
  <c r="B832" i="34"/>
  <c r="B833" i="34"/>
  <c r="B834" i="34"/>
  <c r="B835" i="34"/>
  <c r="B836" i="34"/>
  <c r="B837" i="34"/>
  <c r="B887" i="34"/>
  <c r="B888" i="34"/>
  <c r="B889" i="34"/>
  <c r="B890" i="34"/>
  <c r="B785" i="34"/>
  <c r="B786" i="34"/>
  <c r="B787" i="34"/>
  <c r="B788" i="34"/>
  <c r="B789" i="34"/>
  <c r="B808" i="34"/>
  <c r="B809" i="34"/>
  <c r="B810" i="34"/>
  <c r="B811" i="34"/>
  <c r="B868" i="34"/>
  <c r="B869" i="34"/>
  <c r="B870" i="34"/>
  <c r="B871" i="34"/>
  <c r="B872" i="34"/>
  <c r="B875" i="34"/>
  <c r="B876" i="34"/>
  <c r="B877" i="34"/>
  <c r="B898" i="34"/>
  <c r="B899" i="34"/>
  <c r="B900" i="34"/>
  <c r="B901" i="34"/>
  <c r="B902" i="34"/>
  <c r="B903" i="34"/>
  <c r="B904" i="34"/>
  <c r="B907" i="34"/>
  <c r="B908" i="34"/>
  <c r="B909" i="34"/>
  <c r="B915" i="34"/>
  <c r="B916" i="34"/>
  <c r="B917" i="34"/>
  <c r="B918" i="34"/>
  <c r="B919" i="34"/>
  <c r="B905" i="34"/>
  <c r="B906" i="34"/>
  <c r="B920" i="34"/>
  <c r="B921" i="34"/>
  <c r="B922" i="34"/>
  <c r="B932" i="34"/>
  <c r="B933" i="34"/>
  <c r="B934" i="34"/>
  <c r="B935" i="34"/>
  <c r="B936" i="34"/>
  <c r="B937" i="34"/>
  <c r="B938" i="34"/>
  <c r="B939" i="34"/>
  <c r="B942" i="34"/>
  <c r="B943" i="34"/>
  <c r="B944" i="34"/>
  <c r="B945" i="34"/>
  <c r="B946" i="34"/>
  <c r="B947" i="34"/>
  <c r="B891" i="34"/>
  <c r="B892" i="34"/>
  <c r="B893" i="34"/>
  <c r="B894" i="34"/>
  <c r="B895" i="34"/>
  <c r="B896" i="34"/>
  <c r="B948" i="34"/>
  <c r="B949" i="34"/>
  <c r="B950" i="34"/>
  <c r="I13" i="71"/>
  <c r="O11" i="42"/>
  <c r="N11" i="42"/>
  <c r="P43" i="34" l="1"/>
  <c r="R42" i="34"/>
  <c r="R43" i="34"/>
  <c r="R33" i="34"/>
  <c r="R31" i="34"/>
  <c r="R40" i="34"/>
  <c r="P39" i="34"/>
  <c r="Q30" i="34"/>
  <c r="P34" i="34"/>
  <c r="P31" i="34"/>
  <c r="P35" i="34"/>
  <c r="R28" i="34"/>
  <c r="R22" i="34"/>
  <c r="R24" i="34"/>
  <c r="Q24" i="34"/>
  <c r="R23" i="34"/>
  <c r="P25" i="34"/>
  <c r="Q26" i="34"/>
  <c r="P46" i="34"/>
  <c r="P36" i="34"/>
  <c r="R36" i="34"/>
  <c r="Q40" i="34"/>
  <c r="Q41" i="34"/>
  <c r="R39" i="34"/>
  <c r="R32" i="34"/>
  <c r="R34" i="34"/>
  <c r="Q35" i="34"/>
  <c r="Q28" i="34"/>
  <c r="P29" i="34"/>
  <c r="Q27" i="34"/>
  <c r="R29" i="34"/>
  <c r="P23" i="34"/>
  <c r="P26" i="34"/>
  <c r="Q43" i="34"/>
  <c r="R46" i="34"/>
  <c r="Q42" i="34"/>
  <c r="P41" i="34"/>
  <c r="R27" i="34"/>
  <c r="Q36" i="34"/>
  <c r="R38" i="34"/>
  <c r="Q46" i="34"/>
  <c r="P38" i="34"/>
  <c r="Q23" i="34"/>
  <c r="R25" i="34"/>
  <c r="Q38" i="34"/>
  <c r="Q37" i="34"/>
  <c r="R37" i="34"/>
  <c r="Q32" i="34"/>
  <c r="P24" i="34"/>
  <c r="Q22" i="34"/>
  <c r="P42" i="34"/>
  <c r="P40" i="34"/>
  <c r="Q39" i="34"/>
  <c r="R30" i="34"/>
  <c r="Q31" i="34"/>
  <c r="R35" i="34"/>
  <c r="P27" i="34"/>
  <c r="R26" i="34"/>
  <c r="P37" i="34"/>
  <c r="R41" i="34"/>
  <c r="P30" i="34"/>
  <c r="P32" i="34"/>
  <c r="Q34" i="34"/>
  <c r="P33" i="34"/>
  <c r="Q33" i="34"/>
  <c r="P28" i="34"/>
  <c r="Q29" i="34"/>
  <c r="P22" i="34"/>
  <c r="Q25" i="34"/>
  <c r="R543" i="34"/>
  <c r="P549" i="34"/>
  <c r="R551" i="34"/>
  <c r="R592" i="34"/>
  <c r="R595" i="34"/>
  <c r="P608" i="34"/>
  <c r="P613" i="34"/>
  <c r="P547" i="34"/>
  <c r="P548" i="34"/>
  <c r="P553" i="34"/>
  <c r="P544" i="34"/>
  <c r="R546" i="34"/>
  <c r="Q546" i="34"/>
  <c r="P550" i="34"/>
  <c r="P593" i="34"/>
  <c r="P596" i="34"/>
  <c r="R609" i="34"/>
  <c r="R614" i="34"/>
  <c r="P545" i="34"/>
  <c r="P552" i="34"/>
  <c r="R554" i="34"/>
  <c r="Q554" i="34"/>
  <c r="P594" i="34"/>
  <c r="P597" i="34"/>
  <c r="R610" i="34"/>
  <c r="R615" i="34"/>
  <c r="Q549" i="34"/>
  <c r="Q592" i="34"/>
  <c r="Q608" i="34"/>
  <c r="Q547" i="34"/>
  <c r="Q553" i="34"/>
  <c r="Q593" i="34"/>
  <c r="Q609" i="34"/>
  <c r="Q545" i="34"/>
  <c r="Q597" i="34"/>
  <c r="Q615" i="34"/>
  <c r="P543" i="34"/>
  <c r="R549" i="34"/>
  <c r="P551" i="34"/>
  <c r="P592" i="34"/>
  <c r="P595" i="34"/>
  <c r="R608" i="34"/>
  <c r="R613" i="34"/>
  <c r="R547" i="34"/>
  <c r="R548" i="34"/>
  <c r="Q548" i="34"/>
  <c r="R553" i="34"/>
  <c r="R544" i="34"/>
  <c r="Q544" i="34"/>
  <c r="P546" i="34"/>
  <c r="R550" i="34"/>
  <c r="Q550" i="34"/>
  <c r="R593" i="34"/>
  <c r="R596" i="34"/>
  <c r="P609" i="34"/>
  <c r="P614" i="34"/>
  <c r="R545" i="34"/>
  <c r="R552" i="34"/>
  <c r="Q552" i="34"/>
  <c r="P554" i="34"/>
  <c r="R594" i="34"/>
  <c r="R597" i="34"/>
  <c r="P610" i="34"/>
  <c r="P615" i="34"/>
  <c r="Q543" i="34"/>
  <c r="Q551" i="34"/>
  <c r="Q595" i="34"/>
  <c r="Q613" i="34"/>
  <c r="Q596" i="34"/>
  <c r="Q614" i="34"/>
  <c r="Q594" i="34"/>
  <c r="Q610" i="34"/>
  <c r="P441" i="34"/>
  <c r="Q495" i="34"/>
  <c r="R364" i="34"/>
  <c r="Q361" i="34"/>
  <c r="Q441" i="34"/>
  <c r="P495" i="34"/>
  <c r="P364" i="34"/>
  <c r="P361" i="34"/>
  <c r="R441" i="34"/>
  <c r="Q364" i="34"/>
  <c r="R495" i="34"/>
  <c r="R361" i="34"/>
  <c r="R282" i="34"/>
  <c r="R457" i="34"/>
  <c r="R444" i="34"/>
  <c r="P368" i="34"/>
  <c r="R500" i="34"/>
  <c r="Q500" i="34"/>
  <c r="Q413" i="34"/>
  <c r="R540" i="34"/>
  <c r="Q540" i="34"/>
  <c r="P457" i="34"/>
  <c r="Q368" i="34"/>
  <c r="R413" i="34"/>
  <c r="P282" i="34"/>
  <c r="Q291" i="34"/>
  <c r="P444" i="34"/>
  <c r="R368" i="34"/>
  <c r="P500" i="34"/>
  <c r="P413" i="34"/>
  <c r="P540" i="34"/>
  <c r="Q282" i="34"/>
  <c r="Q457" i="34"/>
  <c r="P291" i="34"/>
  <c r="R291" i="34"/>
  <c r="Q444" i="34"/>
  <c r="R292" i="34"/>
  <c r="P292" i="34"/>
  <c r="Q292" i="34"/>
  <c r="R74" i="34"/>
  <c r="R75" i="34"/>
  <c r="R76" i="34"/>
  <c r="P73" i="34"/>
  <c r="R77" i="34"/>
  <c r="Q73" i="34"/>
  <c r="Q74" i="34"/>
  <c r="P75" i="34"/>
  <c r="Q76" i="34"/>
  <c r="R73" i="34"/>
  <c r="P74" i="34"/>
  <c r="Q75" i="34"/>
  <c r="P76" i="34"/>
  <c r="Q77" i="34"/>
  <c r="P77" i="34"/>
  <c r="R134" i="34"/>
  <c r="R95" i="34"/>
  <c r="Q177" i="34"/>
  <c r="R177" i="34"/>
  <c r="R133" i="34"/>
  <c r="R178" i="34"/>
  <c r="Q134" i="34"/>
  <c r="Q178" i="34"/>
  <c r="Q95" i="34"/>
  <c r="P177" i="34"/>
  <c r="Q133" i="34"/>
  <c r="P133" i="34"/>
  <c r="P178" i="34"/>
  <c r="Q94" i="34"/>
  <c r="P134" i="34"/>
  <c r="P95" i="34"/>
  <c r="P94" i="34"/>
  <c r="R94" i="34"/>
  <c r="Q169" i="34"/>
  <c r="P169" i="34"/>
  <c r="P168" i="34"/>
  <c r="R169" i="34"/>
  <c r="Q168" i="34"/>
  <c r="R168" i="34"/>
  <c r="Q80" i="34"/>
  <c r="R80" i="34"/>
  <c r="P80" i="34"/>
  <c r="R125" i="34"/>
  <c r="P152" i="34"/>
  <c r="Q153" i="34"/>
  <c r="R132" i="34"/>
  <c r="P101" i="34"/>
  <c r="Q126" i="34"/>
  <c r="Q132" i="34"/>
  <c r="P132" i="34"/>
  <c r="Q152" i="34"/>
  <c r="P153" i="34"/>
  <c r="R101" i="34"/>
  <c r="R126" i="34"/>
  <c r="P125" i="34"/>
  <c r="Q125" i="34"/>
  <c r="R152" i="34"/>
  <c r="R153" i="34"/>
  <c r="Q101" i="34"/>
  <c r="P126" i="34"/>
  <c r="Q181" i="34"/>
  <c r="P97" i="34"/>
  <c r="Q93" i="34"/>
  <c r="Q182" i="34"/>
  <c r="Q98" i="34"/>
  <c r="R100" i="34"/>
  <c r="Q179" i="34"/>
  <c r="P183" i="34"/>
  <c r="Q141" i="34"/>
  <c r="Q184" i="34"/>
  <c r="R120" i="34"/>
  <c r="Q106" i="34"/>
  <c r="P106" i="34"/>
  <c r="R97" i="34"/>
  <c r="Q100" i="34"/>
  <c r="P141" i="34"/>
  <c r="Q120" i="34"/>
  <c r="R106" i="34"/>
  <c r="R92" i="34"/>
  <c r="Q99" i="34"/>
  <c r="P143" i="34"/>
  <c r="R105" i="34"/>
  <c r="R141" i="34"/>
  <c r="P184" i="34"/>
  <c r="P120" i="34"/>
  <c r="P140" i="34"/>
  <c r="P92" i="34"/>
  <c r="P181" i="34"/>
  <c r="Q97" i="34"/>
  <c r="R99" i="34"/>
  <c r="P99" i="34"/>
  <c r="R143" i="34"/>
  <c r="P93" i="34"/>
  <c r="P182" i="34"/>
  <c r="P98" i="34"/>
  <c r="R179" i="34"/>
  <c r="P179" i="34"/>
  <c r="R183" i="34"/>
  <c r="Q119" i="34"/>
  <c r="Q105" i="34"/>
  <c r="R180" i="34"/>
  <c r="R184" i="34"/>
  <c r="Q140" i="34"/>
  <c r="Q92" i="34"/>
  <c r="Q143" i="34"/>
  <c r="R93" i="34"/>
  <c r="R182" i="34"/>
  <c r="R98" i="34"/>
  <c r="P100" i="34"/>
  <c r="Q183" i="34"/>
  <c r="P119" i="34"/>
  <c r="R140" i="34"/>
  <c r="R181" i="34"/>
  <c r="R119" i="34"/>
  <c r="P105" i="34"/>
  <c r="P180" i="34"/>
  <c r="Q180" i="34"/>
  <c r="R620" i="34"/>
  <c r="P620" i="34"/>
  <c r="Q620" i="34"/>
  <c r="Q186" i="34"/>
  <c r="Q451" i="34"/>
  <c r="P455" i="34"/>
  <c r="P460" i="34"/>
  <c r="R464" i="34"/>
  <c r="P468" i="34"/>
  <c r="R472" i="34"/>
  <c r="P476" i="34"/>
  <c r="R486" i="34"/>
  <c r="P490" i="34"/>
  <c r="P481" i="34"/>
  <c r="P621" i="34"/>
  <c r="P448" i="34"/>
  <c r="R452" i="34"/>
  <c r="P456" i="34"/>
  <c r="P461" i="34"/>
  <c r="Q465" i="34"/>
  <c r="P469" i="34"/>
  <c r="Q473" i="34"/>
  <c r="P477" i="34"/>
  <c r="Q487" i="34"/>
  <c r="P491" i="34"/>
  <c r="R622" i="34"/>
  <c r="Q213" i="34"/>
  <c r="R213" i="34"/>
  <c r="Q449" i="34"/>
  <c r="P453" i="34"/>
  <c r="P458" i="34"/>
  <c r="R462" i="34"/>
  <c r="P466" i="34"/>
  <c r="R470" i="34"/>
  <c r="P474" i="34"/>
  <c r="R478" i="34"/>
  <c r="P488" i="34"/>
  <c r="R492" i="34"/>
  <c r="R214" i="34"/>
  <c r="P450" i="34"/>
  <c r="R454" i="34"/>
  <c r="Q459" i="34"/>
  <c r="P463" i="34"/>
  <c r="Q467" i="34"/>
  <c r="P471" i="34"/>
  <c r="Q475" i="34"/>
  <c r="P479" i="34"/>
  <c r="Q489" i="34"/>
  <c r="R480" i="34"/>
  <c r="P190" i="34"/>
  <c r="R186" i="34"/>
  <c r="R451" i="34"/>
  <c r="Q460" i="34"/>
  <c r="Q468" i="34"/>
  <c r="Q476" i="34"/>
  <c r="Q490" i="34"/>
  <c r="P202" i="34"/>
  <c r="Q448" i="34"/>
  <c r="Q456" i="34"/>
  <c r="R465" i="34"/>
  <c r="R473" i="34"/>
  <c r="R487" i="34"/>
  <c r="R449" i="34"/>
  <c r="Q458" i="34"/>
  <c r="Q466" i="34"/>
  <c r="Q474" i="34"/>
  <c r="Q488" i="34"/>
  <c r="P189" i="34"/>
  <c r="Q214" i="34"/>
  <c r="Q450" i="34"/>
  <c r="R459" i="34"/>
  <c r="R467" i="34"/>
  <c r="R475" i="34"/>
  <c r="R489" i="34"/>
  <c r="R190" i="34"/>
  <c r="P451" i="34"/>
  <c r="Q455" i="34"/>
  <c r="R460" i="34"/>
  <c r="P464" i="34"/>
  <c r="R468" i="34"/>
  <c r="P472" i="34"/>
  <c r="R476" i="34"/>
  <c r="P486" i="34"/>
  <c r="R490" i="34"/>
  <c r="Q481" i="34"/>
  <c r="R621" i="34"/>
  <c r="Q202" i="34"/>
  <c r="R448" i="34"/>
  <c r="P452" i="34"/>
  <c r="R456" i="34"/>
  <c r="P186" i="34"/>
  <c r="Q486" i="34"/>
  <c r="Q461" i="34"/>
  <c r="P473" i="34"/>
  <c r="Q477" i="34"/>
  <c r="P622" i="34"/>
  <c r="R458" i="34"/>
  <c r="P462" i="34"/>
  <c r="R474" i="34"/>
  <c r="P478" i="34"/>
  <c r="Q189" i="34"/>
  <c r="P459" i="34"/>
  <c r="Q463" i="34"/>
  <c r="P475" i="34"/>
  <c r="Q479" i="34"/>
  <c r="Q472" i="34"/>
  <c r="Q621" i="34"/>
  <c r="Q452" i="34"/>
  <c r="R461" i="34"/>
  <c r="R477" i="34"/>
  <c r="P213" i="34"/>
  <c r="Q462" i="34"/>
  <c r="Q478" i="34"/>
  <c r="P214" i="34"/>
  <c r="R463" i="34"/>
  <c r="R479" i="34"/>
  <c r="Q190" i="34"/>
  <c r="Q464" i="34"/>
  <c r="R202" i="34"/>
  <c r="P465" i="34"/>
  <c r="Q469" i="34"/>
  <c r="P487" i="34"/>
  <c r="Q491" i="34"/>
  <c r="P449" i="34"/>
  <c r="Q453" i="34"/>
  <c r="R466" i="34"/>
  <c r="P470" i="34"/>
  <c r="R488" i="34"/>
  <c r="P492" i="34"/>
  <c r="R189" i="34"/>
  <c r="R450" i="34"/>
  <c r="P454" i="34"/>
  <c r="P467" i="34"/>
  <c r="Q471" i="34"/>
  <c r="P489" i="34"/>
  <c r="P480" i="34"/>
  <c r="R455" i="34"/>
  <c r="R481" i="34"/>
  <c r="R469" i="34"/>
  <c r="R491" i="34"/>
  <c r="Q622" i="34"/>
  <c r="R453" i="34"/>
  <c r="Q470" i="34"/>
  <c r="Q492" i="34"/>
  <c r="Q454" i="34"/>
  <c r="R471" i="34"/>
  <c r="Q480" i="34"/>
  <c r="Q84" i="34"/>
  <c r="P84" i="34"/>
  <c r="R84" i="34"/>
  <c r="R484" i="34"/>
  <c r="R501" i="34"/>
  <c r="P509" i="34"/>
  <c r="P482" i="34"/>
  <c r="P493" i="34"/>
  <c r="Q498" i="34"/>
  <c r="P503" i="34"/>
  <c r="R507" i="34"/>
  <c r="P511" i="34"/>
  <c r="R515" i="34"/>
  <c r="R848" i="34"/>
  <c r="Q854" i="34"/>
  <c r="P519" i="34"/>
  <c r="R523" i="34"/>
  <c r="P527" i="34"/>
  <c r="R531" i="34"/>
  <c r="P535" i="34"/>
  <c r="P483" i="34"/>
  <c r="P494" i="34"/>
  <c r="P499" i="34"/>
  <c r="P504" i="34"/>
  <c r="R508" i="34"/>
  <c r="Q508" i="34"/>
  <c r="P512" i="34"/>
  <c r="R516" i="34"/>
  <c r="Q516" i="34"/>
  <c r="Q849" i="34"/>
  <c r="R520" i="34"/>
  <c r="Q520" i="34"/>
  <c r="P524" i="34"/>
  <c r="R528" i="34"/>
  <c r="Q528" i="34"/>
  <c r="P532" i="34"/>
  <c r="Q203" i="34"/>
  <c r="R203" i="34"/>
  <c r="R205" i="34"/>
  <c r="R496" i="34"/>
  <c r="R505" i="34"/>
  <c r="P513" i="34"/>
  <c r="P846" i="34"/>
  <c r="R850" i="34"/>
  <c r="R521" i="34"/>
  <c r="P525" i="34"/>
  <c r="R529" i="34"/>
  <c r="P533" i="34"/>
  <c r="P195" i="34"/>
  <c r="P485" i="34"/>
  <c r="Q497" i="34"/>
  <c r="R502" i="34"/>
  <c r="Q502" i="34"/>
  <c r="P506" i="34"/>
  <c r="R510" i="34"/>
  <c r="Q510" i="34"/>
  <c r="P514" i="34"/>
  <c r="P847" i="34"/>
  <c r="Q853" i="34"/>
  <c r="R522" i="34"/>
  <c r="Q522" i="34"/>
  <c r="P526" i="34"/>
  <c r="R530" i="34"/>
  <c r="Q530" i="34"/>
  <c r="P534" i="34"/>
  <c r="Q196" i="34"/>
  <c r="P484" i="34"/>
  <c r="P501" i="34"/>
  <c r="R509" i="34"/>
  <c r="R482" i="34"/>
  <c r="Q493" i="34"/>
  <c r="R498" i="34"/>
  <c r="R503" i="34"/>
  <c r="P507" i="34"/>
  <c r="R511" i="34"/>
  <c r="P515" i="34"/>
  <c r="P848" i="34"/>
  <c r="R854" i="34"/>
  <c r="R519" i="34"/>
  <c r="P523" i="34"/>
  <c r="R527" i="34"/>
  <c r="P531" i="34"/>
  <c r="R535" i="34"/>
  <c r="Q187" i="34"/>
  <c r="R187" i="34"/>
  <c r="Q483" i="34"/>
  <c r="R494" i="34"/>
  <c r="R499" i="34"/>
  <c r="R504" i="34"/>
  <c r="Q504" i="34"/>
  <c r="P508" i="34"/>
  <c r="R512" i="34"/>
  <c r="Q512" i="34"/>
  <c r="P516" i="34"/>
  <c r="P849" i="34"/>
  <c r="P520" i="34"/>
  <c r="R524" i="34"/>
  <c r="Q524" i="34"/>
  <c r="P528" i="34"/>
  <c r="R532" i="34"/>
  <c r="Q532" i="34"/>
  <c r="Q205" i="34"/>
  <c r="P496" i="34"/>
  <c r="P505" i="34"/>
  <c r="R513" i="34"/>
  <c r="R846" i="34"/>
  <c r="Q850" i="34"/>
  <c r="P521" i="34"/>
  <c r="R525" i="34"/>
  <c r="P529" i="34"/>
  <c r="R533" i="34"/>
  <c r="Q195" i="34"/>
  <c r="R195" i="34"/>
  <c r="Q485" i="34"/>
  <c r="P497" i="34"/>
  <c r="P502" i="34"/>
  <c r="R506" i="34"/>
  <c r="Q506" i="34"/>
  <c r="P510" i="34"/>
  <c r="R514" i="34"/>
  <c r="Q514" i="34"/>
  <c r="R847" i="34"/>
  <c r="P853" i="34"/>
  <c r="P522" i="34"/>
  <c r="R526" i="34"/>
  <c r="Q526" i="34"/>
  <c r="P530" i="34"/>
  <c r="R534" i="34"/>
  <c r="Q534" i="34"/>
  <c r="Q484" i="34"/>
  <c r="Q501" i="34"/>
  <c r="R493" i="34"/>
  <c r="P498" i="34"/>
  <c r="Q507" i="34"/>
  <c r="Q515" i="34"/>
  <c r="Q848" i="34"/>
  <c r="P854" i="34"/>
  <c r="Q523" i="34"/>
  <c r="Q531" i="34"/>
  <c r="R483" i="34"/>
  <c r="Q503" i="34"/>
  <c r="Q527" i="34"/>
  <c r="P187" i="34"/>
  <c r="R849" i="34"/>
  <c r="Q513" i="34"/>
  <c r="Q525" i="34"/>
  <c r="R853" i="34"/>
  <c r="Q519" i="34"/>
  <c r="Q499" i="34"/>
  <c r="P205" i="34"/>
  <c r="Q496" i="34"/>
  <c r="Q521" i="34"/>
  <c r="Q509" i="34"/>
  <c r="P203" i="34"/>
  <c r="Q846" i="34"/>
  <c r="P850" i="34"/>
  <c r="Q533" i="34"/>
  <c r="R497" i="34"/>
  <c r="Q847" i="34"/>
  <c r="R196" i="34"/>
  <c r="Q482" i="34"/>
  <c r="Q511" i="34"/>
  <c r="Q535" i="34"/>
  <c r="Q494" i="34"/>
  <c r="Q529" i="34"/>
  <c r="R485" i="34"/>
  <c r="P196" i="34"/>
  <c r="Q505" i="34"/>
  <c r="Q201" i="34"/>
  <c r="P619" i="34"/>
  <c r="R201" i="34"/>
  <c r="R619" i="34"/>
  <c r="Q619" i="34"/>
  <c r="P201" i="34"/>
  <c r="P573" i="34"/>
  <c r="R557" i="34"/>
  <c r="R568" i="34"/>
  <c r="Q557" i="34"/>
  <c r="Q573" i="34"/>
  <c r="Q568" i="34"/>
  <c r="R573" i="34"/>
  <c r="P557" i="34"/>
  <c r="P568" i="34"/>
  <c r="P913" i="34"/>
  <c r="P518" i="34"/>
  <c r="R913" i="34"/>
  <c r="R518" i="34"/>
  <c r="Q518" i="34"/>
  <c r="Q913" i="34"/>
  <c r="R170" i="34"/>
  <c r="P170" i="34"/>
  <c r="P192" i="34"/>
  <c r="R886" i="34"/>
  <c r="Q65" i="34"/>
  <c r="P371" i="34"/>
  <c r="Q271" i="34"/>
  <c r="R271" i="34"/>
  <c r="Q886" i="34"/>
  <c r="P65" i="34"/>
  <c r="P81" i="34"/>
  <c r="Q192" i="34"/>
  <c r="Q81" i="34"/>
  <c r="P271" i="34"/>
  <c r="R192" i="34"/>
  <c r="P886" i="34"/>
  <c r="R65" i="34"/>
  <c r="R81" i="34"/>
  <c r="Q371" i="34"/>
  <c r="Q170" i="34"/>
  <c r="R371" i="34"/>
  <c r="R150" i="34"/>
  <c r="Q150" i="34"/>
  <c r="Q155" i="34"/>
  <c r="P155" i="34"/>
  <c r="R155" i="34"/>
  <c r="P150" i="34"/>
  <c r="P555" i="34"/>
  <c r="P560" i="34"/>
  <c r="R564" i="34"/>
  <c r="Q564" i="34"/>
  <c r="R569" i="34"/>
  <c r="R574" i="34"/>
  <c r="P578" i="34"/>
  <c r="R582" i="34"/>
  <c r="P586" i="34"/>
  <c r="R612" i="34"/>
  <c r="R248" i="34"/>
  <c r="Q248" i="34"/>
  <c r="R212" i="34"/>
  <c r="R778" i="34"/>
  <c r="R807" i="34"/>
  <c r="P536" i="34"/>
  <c r="P541" i="34"/>
  <c r="P382" i="34"/>
  <c r="P391" i="34"/>
  <c r="Q395" i="34"/>
  <c r="R402" i="34"/>
  <c r="P406" i="34"/>
  <c r="R410" i="34"/>
  <c r="Q429" i="34"/>
  <c r="P433" i="34"/>
  <c r="Q873" i="34"/>
  <c r="P601" i="34"/>
  <c r="R616" i="34"/>
  <c r="R216" i="34"/>
  <c r="R220" i="34"/>
  <c r="R237" i="34"/>
  <c r="R790" i="34"/>
  <c r="P794" i="34"/>
  <c r="R798" i="34"/>
  <c r="P822" i="34"/>
  <c r="R826" i="34"/>
  <c r="P841" i="34"/>
  <c r="R845" i="34"/>
  <c r="R858" i="34"/>
  <c r="Q864" i="34"/>
  <c r="P879" i="34"/>
  <c r="Q883" i="34"/>
  <c r="P911" i="34"/>
  <c r="P149" i="34"/>
  <c r="Q163" i="34"/>
  <c r="R163" i="34"/>
  <c r="P163" i="34"/>
  <c r="P354" i="34"/>
  <c r="R358" i="34"/>
  <c r="Q367" i="34"/>
  <c r="R378" i="34"/>
  <c r="P556" i="34"/>
  <c r="P561" i="34"/>
  <c r="R565" i="34"/>
  <c r="R570" i="34"/>
  <c r="R575" i="34"/>
  <c r="P579" i="34"/>
  <c r="R583" i="34"/>
  <c r="P587" i="34"/>
  <c r="P598" i="34"/>
  <c r="R268" i="34"/>
  <c r="Q537" i="34"/>
  <c r="Q392" i="34"/>
  <c r="R403" i="34"/>
  <c r="Q426" i="34"/>
  <c r="Q434" i="34"/>
  <c r="P874" i="34"/>
  <c r="Q617" i="34"/>
  <c r="P217" i="34"/>
  <c r="Q226" i="34"/>
  <c r="P226" i="34"/>
  <c r="R238" i="34"/>
  <c r="P224" i="34"/>
  <c r="Q791" i="34"/>
  <c r="Q819" i="34"/>
  <c r="Q851" i="34"/>
  <c r="R859" i="34"/>
  <c r="Q880" i="34"/>
  <c r="P884" i="34"/>
  <c r="R160" i="34"/>
  <c r="Q164" i="34"/>
  <c r="Q351" i="34"/>
  <c r="P355" i="34"/>
  <c r="Q359" i="34"/>
  <c r="P369" i="34"/>
  <c r="Q379" i="34"/>
  <c r="R914" i="34"/>
  <c r="P558" i="34"/>
  <c r="R562" i="34"/>
  <c r="Q562" i="34"/>
  <c r="R555" i="34"/>
  <c r="R560" i="34"/>
  <c r="Q560" i="34"/>
  <c r="P564" i="34"/>
  <c r="P569" i="34"/>
  <c r="P574" i="34"/>
  <c r="R578" i="34"/>
  <c r="P582" i="34"/>
  <c r="R586" i="34"/>
  <c r="P612" i="34"/>
  <c r="R200" i="34"/>
  <c r="P248" i="34"/>
  <c r="P212" i="34"/>
  <c r="P778" i="34"/>
  <c r="P807" i="34"/>
  <c r="R536" i="34"/>
  <c r="Q536" i="34"/>
  <c r="R541" i="34"/>
  <c r="R382" i="34"/>
  <c r="Q391" i="34"/>
  <c r="P395" i="34"/>
  <c r="P402" i="34"/>
  <c r="R406" i="34"/>
  <c r="P410" i="34"/>
  <c r="P429" i="34"/>
  <c r="Q433" i="34"/>
  <c r="P873" i="34"/>
  <c r="R601" i="34"/>
  <c r="P616" i="34"/>
  <c r="P216" i="34"/>
  <c r="Q220" i="34"/>
  <c r="Q237" i="34"/>
  <c r="P237" i="34"/>
  <c r="P790" i="34"/>
  <c r="R794" i="34"/>
  <c r="P798" i="34"/>
  <c r="R822" i="34"/>
  <c r="P826" i="34"/>
  <c r="Q841" i="34"/>
  <c r="P845" i="34"/>
  <c r="Q858" i="34"/>
  <c r="R864" i="34"/>
  <c r="R879" i="34"/>
  <c r="P883" i="34"/>
  <c r="Q911" i="34"/>
  <c r="Q149" i="34"/>
  <c r="R354" i="34"/>
  <c r="P358" i="34"/>
  <c r="P367" i="34"/>
  <c r="P378" i="34"/>
  <c r="R556" i="34"/>
  <c r="Q556" i="34"/>
  <c r="R561" i="34"/>
  <c r="P565" i="34"/>
  <c r="P570" i="34"/>
  <c r="P575" i="34"/>
  <c r="R579" i="34"/>
  <c r="P583" i="34"/>
  <c r="R587" i="34"/>
  <c r="R598" i="34"/>
  <c r="P206" i="34"/>
  <c r="P268" i="34"/>
  <c r="Q268" i="34"/>
  <c r="Q232" i="34"/>
  <c r="Q198" i="34"/>
  <c r="Q779" i="34"/>
  <c r="R383" i="34"/>
  <c r="Q396" i="34"/>
  <c r="R407" i="34"/>
  <c r="Q430" i="34"/>
  <c r="Q602" i="34"/>
  <c r="R217" i="34"/>
  <c r="R226" i="34"/>
  <c r="Q224" i="34"/>
  <c r="Q795" i="34"/>
  <c r="Q823" i="34"/>
  <c r="Q838" i="34"/>
  <c r="P842" i="34"/>
  <c r="R865" i="34"/>
  <c r="P912" i="34"/>
  <c r="Q160" i="34"/>
  <c r="P160" i="34"/>
  <c r="R164" i="34"/>
  <c r="P351" i="34"/>
  <c r="Q355" i="34"/>
  <c r="P359" i="34"/>
  <c r="Q369" i="34"/>
  <c r="P379" i="34"/>
  <c r="P914" i="34"/>
  <c r="R558" i="34"/>
  <c r="Q558" i="34"/>
  <c r="P562" i="34"/>
  <c r="R566" i="34"/>
  <c r="Q566" i="34"/>
  <c r="R571" i="34"/>
  <c r="R576" i="34"/>
  <c r="P580" i="34"/>
  <c r="R584" i="34"/>
  <c r="P588" i="34"/>
  <c r="Q197" i="34"/>
  <c r="P197" i="34"/>
  <c r="Q582" i="34"/>
  <c r="P200" i="34"/>
  <c r="Q807" i="34"/>
  <c r="Q382" i="34"/>
  <c r="Q406" i="34"/>
  <c r="R873" i="34"/>
  <c r="Q601" i="34"/>
  <c r="Q216" i="34"/>
  <c r="Q794" i="34"/>
  <c r="Q879" i="34"/>
  <c r="P157" i="34"/>
  <c r="Q167" i="34"/>
  <c r="R367" i="34"/>
  <c r="Q570" i="34"/>
  <c r="Q587" i="34"/>
  <c r="R779" i="34"/>
  <c r="R537" i="34"/>
  <c r="Q542" i="34"/>
  <c r="R392" i="34"/>
  <c r="P396" i="34"/>
  <c r="R426" i="34"/>
  <c r="P430" i="34"/>
  <c r="R602" i="34"/>
  <c r="P617" i="34"/>
  <c r="P238" i="34"/>
  <c r="R224" i="34"/>
  <c r="R795" i="34"/>
  <c r="P819" i="34"/>
  <c r="R842" i="34"/>
  <c r="R851" i="34"/>
  <c r="R880" i="34"/>
  <c r="Q884" i="34"/>
  <c r="R351" i="34"/>
  <c r="R379" i="34"/>
  <c r="P566" i="34"/>
  <c r="R580" i="34"/>
  <c r="Q580" i="34"/>
  <c r="Q584" i="34"/>
  <c r="P207" i="34"/>
  <c r="P266" i="34"/>
  <c r="Q266" i="34"/>
  <c r="R266" i="34"/>
  <c r="P222" i="34"/>
  <c r="Q222" i="34"/>
  <c r="R191" i="34"/>
  <c r="Q805" i="34"/>
  <c r="R393" i="34"/>
  <c r="Q404" i="34"/>
  <c r="R427" i="34"/>
  <c r="Q599" i="34"/>
  <c r="Q589" i="34"/>
  <c r="R227" i="34"/>
  <c r="P239" i="34"/>
  <c r="R225" i="34"/>
  <c r="Q792" i="34"/>
  <c r="Q820" i="34"/>
  <c r="P856" i="34"/>
  <c r="Q862" i="34"/>
  <c r="P866" i="34"/>
  <c r="R881" i="34"/>
  <c r="Q885" i="34"/>
  <c r="P147" i="34"/>
  <c r="R154" i="34"/>
  <c r="Q165" i="34"/>
  <c r="Q352" i="34"/>
  <c r="R365" i="34"/>
  <c r="Q380" i="34"/>
  <c r="Q517" i="34"/>
  <c r="Q563" i="34"/>
  <c r="Q572" i="34"/>
  <c r="Q581" i="34"/>
  <c r="Q611" i="34"/>
  <c r="Q221" i="34"/>
  <c r="P221" i="34"/>
  <c r="Q806" i="34"/>
  <c r="Q394" i="34"/>
  <c r="R405" i="34"/>
  <c r="Q428" i="34"/>
  <c r="Q600" i="34"/>
  <c r="Q210" i="34"/>
  <c r="P210" i="34"/>
  <c r="R219" i="34"/>
  <c r="P240" i="34"/>
  <c r="R240" i="34"/>
  <c r="P793" i="34"/>
  <c r="R797" i="34"/>
  <c r="P821" i="34"/>
  <c r="R825" i="34"/>
  <c r="Q840" i="34"/>
  <c r="R844" i="34"/>
  <c r="Q857" i="34"/>
  <c r="P863" i="34"/>
  <c r="Q878" i="34"/>
  <c r="R882" i="34"/>
  <c r="P910" i="34"/>
  <c r="P156" i="34"/>
  <c r="R162" i="34"/>
  <c r="R166" i="34"/>
  <c r="P353" i="34"/>
  <c r="Q357" i="34"/>
  <c r="R366" i="34"/>
  <c r="Q377" i="34"/>
  <c r="P381" i="34"/>
  <c r="Q578" i="34"/>
  <c r="Q778" i="34"/>
  <c r="Q402" i="34"/>
  <c r="R433" i="34"/>
  <c r="P220" i="34"/>
  <c r="Q790" i="34"/>
  <c r="Q826" i="34"/>
  <c r="P864" i="34"/>
  <c r="R911" i="34"/>
  <c r="R167" i="34"/>
  <c r="Q358" i="34"/>
  <c r="Q565" i="34"/>
  <c r="Q583" i="34"/>
  <c r="R206" i="34"/>
  <c r="P779" i="34"/>
  <c r="P383" i="34"/>
  <c r="P392" i="34"/>
  <c r="P407" i="34"/>
  <c r="P426" i="34"/>
  <c r="R874" i="34"/>
  <c r="P602" i="34"/>
  <c r="R791" i="34"/>
  <c r="P795" i="34"/>
  <c r="R838" i="34"/>
  <c r="Q842" i="34"/>
  <c r="P865" i="34"/>
  <c r="P880" i="34"/>
  <c r="Q151" i="34"/>
  <c r="P164" i="34"/>
  <c r="R369" i="34"/>
  <c r="P576" i="34"/>
  <c r="R588" i="34"/>
  <c r="Q588" i="34"/>
  <c r="R207" i="34"/>
  <c r="Q555" i="34"/>
  <c r="Q574" i="34"/>
  <c r="Q612" i="34"/>
  <c r="Q541" i="34"/>
  <c r="R395" i="34"/>
  <c r="R429" i="34"/>
  <c r="Q223" i="34"/>
  <c r="R223" i="34"/>
  <c r="Q822" i="34"/>
  <c r="P858" i="34"/>
  <c r="R883" i="34"/>
  <c r="R149" i="34"/>
  <c r="R157" i="34"/>
  <c r="Q354" i="34"/>
  <c r="Q561" i="34"/>
  <c r="Q579" i="34"/>
  <c r="Q206" i="34"/>
  <c r="R198" i="34"/>
  <c r="R542" i="34"/>
  <c r="Q383" i="34"/>
  <c r="P403" i="34"/>
  <c r="Q407" i="34"/>
  <c r="R434" i="34"/>
  <c r="Q874" i="34"/>
  <c r="Q217" i="34"/>
  <c r="Q238" i="34"/>
  <c r="P791" i="34"/>
  <c r="R823" i="34"/>
  <c r="P838" i="34"/>
  <c r="P859" i="34"/>
  <c r="Q865" i="34"/>
  <c r="R912" i="34"/>
  <c r="R151" i="34"/>
  <c r="R359" i="34"/>
  <c r="P584" i="34"/>
  <c r="Q207" i="34"/>
  <c r="Q191" i="34"/>
  <c r="P191" i="34"/>
  <c r="Q384" i="34"/>
  <c r="R397" i="34"/>
  <c r="Q408" i="34"/>
  <c r="R431" i="34"/>
  <c r="P860" i="34"/>
  <c r="Q603" i="34"/>
  <c r="P218" i="34"/>
  <c r="P227" i="34"/>
  <c r="Q225" i="34"/>
  <c r="Q796" i="34"/>
  <c r="Q824" i="34"/>
  <c r="R839" i="34"/>
  <c r="Q843" i="34"/>
  <c r="P154" i="34"/>
  <c r="P165" i="34"/>
  <c r="Q356" i="34"/>
  <c r="Q376" i="34"/>
  <c r="Q559" i="34"/>
  <c r="Q567" i="34"/>
  <c r="Q577" i="34"/>
  <c r="Q585" i="34"/>
  <c r="R221" i="34"/>
  <c r="Q777" i="34"/>
  <c r="Q539" i="34"/>
  <c r="Q390" i="34"/>
  <c r="Q398" i="34"/>
  <c r="R409" i="34"/>
  <c r="Q432" i="34"/>
  <c r="Q861" i="34"/>
  <c r="Q604" i="34"/>
  <c r="R210" i="34"/>
  <c r="P219" i="34"/>
  <c r="P290" i="34"/>
  <c r="R793" i="34"/>
  <c r="P797" i="34"/>
  <c r="R821" i="34"/>
  <c r="P825" i="34"/>
  <c r="R840" i="34"/>
  <c r="P844" i="34"/>
  <c r="P857" i="34"/>
  <c r="Q863" i="34"/>
  <c r="R878" i="34"/>
  <c r="Q882" i="34"/>
  <c r="R910" i="34"/>
  <c r="R148" i="34"/>
  <c r="Q353" i="34"/>
  <c r="P357" i="34"/>
  <c r="P366" i="34"/>
  <c r="P377" i="34"/>
  <c r="Q381" i="34"/>
  <c r="Q569" i="34"/>
  <c r="Q586" i="34"/>
  <c r="Q200" i="34"/>
  <c r="Q212" i="34"/>
  <c r="R391" i="34"/>
  <c r="Q410" i="34"/>
  <c r="Q616" i="34"/>
  <c r="P223" i="34"/>
  <c r="Q798" i="34"/>
  <c r="R841" i="34"/>
  <c r="Q845" i="34"/>
  <c r="Q157" i="34"/>
  <c r="P167" i="34"/>
  <c r="Q378" i="34"/>
  <c r="Q575" i="34"/>
  <c r="Q598" i="34"/>
  <c r="P232" i="34"/>
  <c r="R232" i="34"/>
  <c r="P198" i="34"/>
  <c r="P537" i="34"/>
  <c r="P542" i="34"/>
  <c r="R396" i="34"/>
  <c r="Q403" i="34"/>
  <c r="R430" i="34"/>
  <c r="P434" i="34"/>
  <c r="R617" i="34"/>
  <c r="R819" i="34"/>
  <c r="P823" i="34"/>
  <c r="P851" i="34"/>
  <c r="Q859" i="34"/>
  <c r="R884" i="34"/>
  <c r="Q912" i="34"/>
  <c r="P151" i="34"/>
  <c r="R355" i="34"/>
  <c r="Q914" i="34"/>
  <c r="P571" i="34"/>
  <c r="Q571" i="34"/>
  <c r="Q576" i="34"/>
  <c r="R197" i="34"/>
  <c r="R222" i="34"/>
  <c r="R538" i="34"/>
  <c r="P384" i="34"/>
  <c r="R404" i="34"/>
  <c r="P408" i="34"/>
  <c r="R860" i="34"/>
  <c r="R599" i="34"/>
  <c r="R792" i="34"/>
  <c r="P824" i="34"/>
  <c r="Q839" i="34"/>
  <c r="R862" i="34"/>
  <c r="Q866" i="34"/>
  <c r="Q147" i="34"/>
  <c r="Q154" i="34"/>
  <c r="P365" i="34"/>
  <c r="P376" i="34"/>
  <c r="P559" i="34"/>
  <c r="R563" i="34"/>
  <c r="P577" i="34"/>
  <c r="R581" i="34"/>
  <c r="Q199" i="34"/>
  <c r="R777" i="34"/>
  <c r="R806" i="34"/>
  <c r="R394" i="34"/>
  <c r="P398" i="34"/>
  <c r="R428" i="34"/>
  <c r="P432" i="34"/>
  <c r="R604" i="34"/>
  <c r="P215" i="34"/>
  <c r="Q797" i="34"/>
  <c r="P882" i="34"/>
  <c r="Q156" i="34"/>
  <c r="P162" i="34"/>
  <c r="R805" i="34"/>
  <c r="P538" i="34"/>
  <c r="P397" i="34"/>
  <c r="P404" i="34"/>
  <c r="P431" i="34"/>
  <c r="Q860" i="34"/>
  <c r="P589" i="34"/>
  <c r="R218" i="34"/>
  <c r="P820" i="34"/>
  <c r="R824" i="34"/>
  <c r="R856" i="34"/>
  <c r="P862" i="34"/>
  <c r="P885" i="34"/>
  <c r="Q161" i="34"/>
  <c r="P161" i="34"/>
  <c r="R165" i="34"/>
  <c r="R356" i="34"/>
  <c r="Q365" i="34"/>
  <c r="P517" i="34"/>
  <c r="R559" i="34"/>
  <c r="R572" i="34"/>
  <c r="R577" i="34"/>
  <c r="P611" i="34"/>
  <c r="R199" i="34"/>
  <c r="Q258" i="34"/>
  <c r="P777" i="34"/>
  <c r="R390" i="34"/>
  <c r="P394" i="34"/>
  <c r="P409" i="34"/>
  <c r="P428" i="34"/>
  <c r="R600" i="34"/>
  <c r="P604" i="34"/>
  <c r="R290" i="34"/>
  <c r="Q290" i="34"/>
  <c r="Q240" i="34"/>
  <c r="Q793" i="34"/>
  <c r="P840" i="34"/>
  <c r="R863" i="34"/>
  <c r="P878" i="34"/>
  <c r="Q148" i="34"/>
  <c r="Q166" i="34"/>
  <c r="Q366" i="34"/>
  <c r="P805" i="34"/>
  <c r="Q538" i="34"/>
  <c r="P393" i="34"/>
  <c r="Q397" i="34"/>
  <c r="P427" i="34"/>
  <c r="Q431" i="34"/>
  <c r="P603" i="34"/>
  <c r="R589" i="34"/>
  <c r="Q393" i="34"/>
  <c r="Q218" i="34"/>
  <c r="Q239" i="34"/>
  <c r="P796" i="34"/>
  <c r="Q856" i="34"/>
  <c r="P881" i="34"/>
  <c r="R352" i="34"/>
  <c r="R517" i="34"/>
  <c r="P567" i="34"/>
  <c r="R611" i="34"/>
  <c r="P390" i="34"/>
  <c r="P405" i="34"/>
  <c r="P600" i="34"/>
  <c r="Q219" i="34"/>
  <c r="Q910" i="34"/>
  <c r="P166" i="34"/>
  <c r="R357" i="34"/>
  <c r="R384" i="34"/>
  <c r="P792" i="34"/>
  <c r="R843" i="34"/>
  <c r="R866" i="34"/>
  <c r="P563" i="34"/>
  <c r="R585" i="34"/>
  <c r="R215" i="34"/>
  <c r="P148" i="34"/>
  <c r="R353" i="34"/>
  <c r="R381" i="34"/>
  <c r="P599" i="34"/>
  <c r="Q227" i="34"/>
  <c r="R796" i="34"/>
  <c r="P839" i="34"/>
  <c r="Q881" i="34"/>
  <c r="R147" i="34"/>
  <c r="R161" i="34"/>
  <c r="P352" i="34"/>
  <c r="R376" i="34"/>
  <c r="R567" i="34"/>
  <c r="P581" i="34"/>
  <c r="R258" i="34"/>
  <c r="P806" i="34"/>
  <c r="Q405" i="34"/>
  <c r="R432" i="34"/>
  <c r="Q821" i="34"/>
  <c r="Q844" i="34"/>
  <c r="R156" i="34"/>
  <c r="R377" i="34"/>
  <c r="R408" i="34"/>
  <c r="R603" i="34"/>
  <c r="R239" i="34"/>
  <c r="P225" i="34"/>
  <c r="R820" i="34"/>
  <c r="P843" i="34"/>
  <c r="R885" i="34"/>
  <c r="P356" i="34"/>
  <c r="R380" i="34"/>
  <c r="P572" i="34"/>
  <c r="P585" i="34"/>
  <c r="P199" i="34"/>
  <c r="P539" i="34"/>
  <c r="Q409" i="34"/>
  <c r="P861" i="34"/>
  <c r="Q215" i="34"/>
  <c r="Q825" i="34"/>
  <c r="R857" i="34"/>
  <c r="Q427" i="34"/>
  <c r="P380" i="34"/>
  <c r="P258" i="34"/>
  <c r="R539" i="34"/>
  <c r="R398" i="34"/>
  <c r="R861" i="34"/>
  <c r="Q162" i="34"/>
  <c r="P64" i="34"/>
  <c r="Q122" i="34"/>
  <c r="R122" i="34"/>
  <c r="P618" i="34"/>
  <c r="P63" i="34"/>
  <c r="Q618" i="34"/>
  <c r="Q64" i="34"/>
  <c r="R64" i="34"/>
  <c r="R618" i="34"/>
  <c r="R63" i="34"/>
  <c r="Q63" i="34"/>
  <c r="P122" i="34"/>
  <c r="P52" i="34"/>
  <c r="Q52" i="34"/>
  <c r="R52" i="34"/>
  <c r="R590" i="34"/>
  <c r="R591" i="34"/>
  <c r="P590" i="34"/>
  <c r="P591" i="34"/>
  <c r="Q590" i="34"/>
  <c r="Q591" i="34"/>
  <c r="P139" i="34"/>
  <c r="P138" i="34"/>
  <c r="R139" i="34"/>
  <c r="Q138" i="34"/>
  <c r="Q139" i="34"/>
  <c r="R138" i="34"/>
  <c r="R144" i="34"/>
  <c r="R387" i="34"/>
  <c r="Q144" i="34"/>
  <c r="Q387" i="34"/>
  <c r="P144" i="34"/>
  <c r="P387" i="34"/>
  <c r="P72" i="34"/>
  <c r="P71" i="34"/>
  <c r="Q72" i="34"/>
  <c r="R71" i="34"/>
  <c r="Q71" i="34"/>
  <c r="R72" i="34"/>
  <c r="R894" i="34"/>
  <c r="V894" i="34"/>
  <c r="Q894" i="34"/>
  <c r="AA894" i="34"/>
  <c r="P894" i="34"/>
  <c r="R920" i="34"/>
  <c r="V920" i="34"/>
  <c r="P920" i="34"/>
  <c r="Q920" i="34"/>
  <c r="AA920" i="34"/>
  <c r="R918" i="34"/>
  <c r="V918" i="34"/>
  <c r="Q918" i="34"/>
  <c r="AA918" i="34"/>
  <c r="P918" i="34"/>
  <c r="P909" i="34"/>
  <c r="R909" i="34"/>
  <c r="V909" i="34"/>
  <c r="AA909" i="34"/>
  <c r="Q909" i="34"/>
  <c r="P903" i="34"/>
  <c r="Q903" i="34"/>
  <c r="R903" i="34"/>
  <c r="V903" i="34"/>
  <c r="AA903" i="34"/>
  <c r="P899" i="34"/>
  <c r="Q899" i="34"/>
  <c r="R899" i="34"/>
  <c r="V899" i="34"/>
  <c r="AA899" i="34"/>
  <c r="P875" i="34"/>
  <c r="R875" i="34"/>
  <c r="V875" i="34"/>
  <c r="AA875" i="34"/>
  <c r="Q875" i="34"/>
  <c r="P869" i="34"/>
  <c r="Q869" i="34"/>
  <c r="R869" i="34"/>
  <c r="V869" i="34"/>
  <c r="AA869" i="34"/>
  <c r="R809" i="34"/>
  <c r="V809" i="34"/>
  <c r="P809" i="34"/>
  <c r="AA809" i="34"/>
  <c r="Q809" i="34"/>
  <c r="R787" i="34"/>
  <c r="V787" i="34"/>
  <c r="P787" i="34"/>
  <c r="AA787" i="34"/>
  <c r="Q787" i="34"/>
  <c r="P889" i="34"/>
  <c r="R889" i="34"/>
  <c r="V889" i="34"/>
  <c r="AA889" i="34"/>
  <c r="Q889" i="34"/>
  <c r="R836" i="34"/>
  <c r="V836" i="34"/>
  <c r="Q836" i="34"/>
  <c r="AA836" i="34"/>
  <c r="P836" i="34"/>
  <c r="P832" i="34"/>
  <c r="R832" i="34"/>
  <c r="V832" i="34"/>
  <c r="AA832" i="34"/>
  <c r="Q832" i="34"/>
  <c r="P802" i="34"/>
  <c r="R802" i="34"/>
  <c r="V802" i="34"/>
  <c r="AA802" i="34"/>
  <c r="Q802" i="34"/>
  <c r="R799" i="34"/>
  <c r="V799" i="34"/>
  <c r="P799" i="34"/>
  <c r="AA799" i="34"/>
  <c r="Q799" i="34"/>
  <c r="P776" i="34"/>
  <c r="R776" i="34"/>
  <c r="V776" i="34"/>
  <c r="AA776" i="34"/>
  <c r="Q776" i="34"/>
  <c r="R672" i="34"/>
  <c r="V672" i="34"/>
  <c r="P672" i="34"/>
  <c r="AA672" i="34"/>
  <c r="Q672" i="34"/>
  <c r="AA204" i="34"/>
  <c r="Q204" i="34"/>
  <c r="V204" i="34"/>
  <c r="R204" i="34"/>
  <c r="P204" i="34"/>
  <c r="R250" i="34"/>
  <c r="V250" i="34"/>
  <c r="AA250" i="34"/>
  <c r="Q250" i="34"/>
  <c r="P250" i="34"/>
  <c r="P260" i="34"/>
  <c r="Q260" i="34"/>
  <c r="V260" i="34"/>
  <c r="AA260" i="34"/>
  <c r="R260" i="34"/>
  <c r="R424" i="34"/>
  <c r="V424" i="34"/>
  <c r="P424" i="34"/>
  <c r="Q424" i="34"/>
  <c r="AA424" i="34"/>
  <c r="P417" i="34"/>
  <c r="Q417" i="34"/>
  <c r="R417" i="34"/>
  <c r="V417" i="34"/>
  <c r="AA417" i="34"/>
  <c r="P389" i="34"/>
  <c r="Q389" i="34"/>
  <c r="R389" i="34"/>
  <c r="V389" i="34"/>
  <c r="AA389" i="34"/>
  <c r="P419" i="34"/>
  <c r="Q419" i="34"/>
  <c r="R419" i="34"/>
  <c r="V419" i="34"/>
  <c r="AA419" i="34"/>
  <c r="P818" i="34"/>
  <c r="R818" i="34"/>
  <c r="V818" i="34"/>
  <c r="AA818" i="34"/>
  <c r="Q818" i="34"/>
  <c r="R783" i="34"/>
  <c r="V783" i="34"/>
  <c r="P783" i="34"/>
  <c r="AA783" i="34"/>
  <c r="Q783" i="34"/>
  <c r="P287" i="34"/>
  <c r="R287" i="34"/>
  <c r="V287" i="34"/>
  <c r="Q287" i="34"/>
  <c r="AA287" i="34"/>
  <c r="P270" i="34"/>
  <c r="Q270" i="34"/>
  <c r="V270" i="34"/>
  <c r="AA270" i="34"/>
  <c r="R270" i="34"/>
  <c r="P893" i="34"/>
  <c r="Q893" i="34"/>
  <c r="R893" i="34"/>
  <c r="V893" i="34"/>
  <c r="AA893" i="34"/>
  <c r="R906" i="34"/>
  <c r="V906" i="34"/>
  <c r="P906" i="34"/>
  <c r="Q906" i="34"/>
  <c r="AA906" i="34"/>
  <c r="P917" i="34"/>
  <c r="Q917" i="34"/>
  <c r="R917" i="34"/>
  <c r="V917" i="34"/>
  <c r="AA917" i="34"/>
  <c r="R908" i="34"/>
  <c r="V908" i="34"/>
  <c r="Q908" i="34"/>
  <c r="AA908" i="34"/>
  <c r="P908" i="34"/>
  <c r="R902" i="34"/>
  <c r="V902" i="34"/>
  <c r="P902" i="34"/>
  <c r="Q902" i="34"/>
  <c r="AA902" i="34"/>
  <c r="R898" i="34"/>
  <c r="V898" i="34"/>
  <c r="P898" i="34"/>
  <c r="Q898" i="34"/>
  <c r="AA898" i="34"/>
  <c r="R872" i="34"/>
  <c r="V872" i="34"/>
  <c r="Q872" i="34"/>
  <c r="AA872" i="34"/>
  <c r="P872" i="34"/>
  <c r="R868" i="34"/>
  <c r="V868" i="34"/>
  <c r="P868" i="34"/>
  <c r="Q868" i="34"/>
  <c r="AA868" i="34"/>
  <c r="P808" i="34"/>
  <c r="R808" i="34"/>
  <c r="V808" i="34"/>
  <c r="AA808" i="34"/>
  <c r="Q808" i="34"/>
  <c r="P786" i="34"/>
  <c r="R786" i="34"/>
  <c r="V786" i="34"/>
  <c r="AA786" i="34"/>
  <c r="Q786" i="34"/>
  <c r="R888" i="34"/>
  <c r="V888" i="34"/>
  <c r="Q888" i="34"/>
  <c r="AA888" i="34"/>
  <c r="P888" i="34"/>
  <c r="P835" i="34"/>
  <c r="R835" i="34"/>
  <c r="V835" i="34"/>
  <c r="AA835" i="34"/>
  <c r="Q835" i="34"/>
  <c r="R831" i="34"/>
  <c r="V831" i="34"/>
  <c r="P831" i="34"/>
  <c r="AA831" i="34"/>
  <c r="Q831" i="34"/>
  <c r="R813" i="34"/>
  <c r="V813" i="34"/>
  <c r="P813" i="34"/>
  <c r="AA813" i="34"/>
  <c r="Q813" i="34"/>
  <c r="P782" i="34"/>
  <c r="R782" i="34"/>
  <c r="V782" i="34"/>
  <c r="AA782" i="34"/>
  <c r="Q782" i="34"/>
  <c r="R775" i="34"/>
  <c r="V775" i="34"/>
  <c r="P775" i="34"/>
  <c r="AA775" i="34"/>
  <c r="Q775" i="34"/>
  <c r="AA188" i="34"/>
  <c r="Q188" i="34"/>
  <c r="V188" i="34"/>
  <c r="P188" i="34"/>
  <c r="R188" i="34"/>
  <c r="Q211" i="34"/>
  <c r="R211" i="34"/>
  <c r="AA211" i="34"/>
  <c r="P211" i="34"/>
  <c r="V211" i="34"/>
  <c r="R263" i="34"/>
  <c r="V263" i="34"/>
  <c r="P263" i="34"/>
  <c r="Q263" i="34"/>
  <c r="AA263" i="34"/>
  <c r="R259" i="34"/>
  <c r="V259" i="34"/>
  <c r="P259" i="34"/>
  <c r="Q259" i="34"/>
  <c r="AA259" i="34"/>
  <c r="R438" i="34"/>
  <c r="V438" i="34"/>
  <c r="P438" i="34"/>
  <c r="Q438" i="34"/>
  <c r="AA438" i="34"/>
  <c r="P423" i="34"/>
  <c r="Q423" i="34"/>
  <c r="R423" i="34"/>
  <c r="V423" i="34"/>
  <c r="AA423" i="34"/>
  <c r="P415" i="34"/>
  <c r="Q415" i="34"/>
  <c r="R415" i="34"/>
  <c r="V415" i="34"/>
  <c r="AA415" i="34"/>
  <c r="P375" i="34"/>
  <c r="Q375" i="34"/>
  <c r="R375" i="34"/>
  <c r="V375" i="34"/>
  <c r="AA375" i="34"/>
  <c r="R420" i="34"/>
  <c r="V420" i="34"/>
  <c r="P420" i="34"/>
  <c r="Q420" i="34"/>
  <c r="AA420" i="34"/>
  <c r="AA208" i="34"/>
  <c r="R208" i="34"/>
  <c r="V208" i="34"/>
  <c r="P208" i="34"/>
  <c r="Q208" i="34"/>
  <c r="P784" i="34"/>
  <c r="R784" i="34"/>
  <c r="V784" i="34"/>
  <c r="AA784" i="34"/>
  <c r="Q784" i="34"/>
  <c r="R288" i="34"/>
  <c r="V288" i="34"/>
  <c r="P288" i="34"/>
  <c r="AA288" i="34"/>
  <c r="Q288" i="34"/>
  <c r="P281" i="34"/>
  <c r="V281" i="34"/>
  <c r="AA281" i="34"/>
  <c r="R281" i="34"/>
  <c r="Q281" i="34"/>
  <c r="R896" i="34"/>
  <c r="V896" i="34"/>
  <c r="P896" i="34"/>
  <c r="Q896" i="34"/>
  <c r="AA896" i="34"/>
  <c r="R892" i="34"/>
  <c r="V892" i="34"/>
  <c r="Q892" i="34"/>
  <c r="AA892" i="34"/>
  <c r="P892" i="34"/>
  <c r="R922" i="34"/>
  <c r="V922" i="34"/>
  <c r="Q922" i="34"/>
  <c r="AA922" i="34"/>
  <c r="P922" i="34"/>
  <c r="P905" i="34"/>
  <c r="R905" i="34"/>
  <c r="V905" i="34"/>
  <c r="AA905" i="34"/>
  <c r="Q905" i="34"/>
  <c r="R916" i="34"/>
  <c r="V916" i="34"/>
  <c r="P916" i="34"/>
  <c r="Q916" i="34"/>
  <c r="AA916" i="34"/>
  <c r="P907" i="34"/>
  <c r="Q907" i="34"/>
  <c r="R907" i="34"/>
  <c r="V907" i="34"/>
  <c r="AA907" i="34"/>
  <c r="P901" i="34"/>
  <c r="R901" i="34"/>
  <c r="V901" i="34"/>
  <c r="AA901" i="34"/>
  <c r="Q901" i="34"/>
  <c r="P877" i="34"/>
  <c r="Q877" i="34"/>
  <c r="R877" i="34"/>
  <c r="V877" i="34"/>
  <c r="AA877" i="34"/>
  <c r="P871" i="34"/>
  <c r="Q871" i="34"/>
  <c r="R871" i="34"/>
  <c r="V871" i="34"/>
  <c r="AA871" i="34"/>
  <c r="R811" i="34"/>
  <c r="V811" i="34"/>
  <c r="P811" i="34"/>
  <c r="AA811" i="34"/>
  <c r="Q811" i="34"/>
  <c r="R789" i="34"/>
  <c r="V789" i="34"/>
  <c r="P789" i="34"/>
  <c r="AA789" i="34"/>
  <c r="Q789" i="34"/>
  <c r="R785" i="34"/>
  <c r="V785" i="34"/>
  <c r="P785" i="34"/>
  <c r="AA785" i="34"/>
  <c r="Q785" i="34"/>
  <c r="P887" i="34"/>
  <c r="Q887" i="34"/>
  <c r="R887" i="34"/>
  <c r="V887" i="34"/>
  <c r="AA887" i="34"/>
  <c r="R834" i="34"/>
  <c r="V834" i="34"/>
  <c r="Q834" i="34"/>
  <c r="AA834" i="34"/>
  <c r="P834" i="34"/>
  <c r="P816" i="34"/>
  <c r="R816" i="34"/>
  <c r="V816" i="34"/>
  <c r="AA816" i="34"/>
  <c r="Q816" i="34"/>
  <c r="P812" i="34"/>
  <c r="R812" i="34"/>
  <c r="V812" i="34"/>
  <c r="AA812" i="34"/>
  <c r="Q812" i="34"/>
  <c r="R781" i="34"/>
  <c r="V781" i="34"/>
  <c r="P781" i="34"/>
  <c r="AA781" i="34"/>
  <c r="Q781" i="34"/>
  <c r="AA194" i="34"/>
  <c r="R194" i="34"/>
  <c r="P194" i="34"/>
  <c r="V194" i="34"/>
  <c r="Q194" i="34"/>
  <c r="R252" i="34"/>
  <c r="V252" i="34"/>
  <c r="Q252" i="34"/>
  <c r="P252" i="34"/>
  <c r="AA252" i="34"/>
  <c r="P262" i="34"/>
  <c r="R262" i="34"/>
  <c r="V262" i="34"/>
  <c r="AA262" i="34"/>
  <c r="Q262" i="34"/>
  <c r="R275" i="34"/>
  <c r="V275" i="34"/>
  <c r="Q275" i="34"/>
  <c r="AA275" i="34"/>
  <c r="P275" i="34"/>
  <c r="P437" i="34"/>
  <c r="Q437" i="34"/>
  <c r="R437" i="34"/>
  <c r="V437" i="34"/>
  <c r="AA437" i="34"/>
  <c r="R422" i="34"/>
  <c r="V422" i="34"/>
  <c r="P422" i="34"/>
  <c r="Q422" i="34"/>
  <c r="AA422" i="34"/>
  <c r="R414" i="34"/>
  <c r="V414" i="34"/>
  <c r="P414" i="34"/>
  <c r="Q414" i="34"/>
  <c r="AA414" i="34"/>
  <c r="R388" i="34"/>
  <c r="V388" i="34"/>
  <c r="P388" i="34"/>
  <c r="Q388" i="34"/>
  <c r="AA388" i="34"/>
  <c r="P421" i="34"/>
  <c r="Q421" i="34"/>
  <c r="R421" i="34"/>
  <c r="V421" i="34"/>
  <c r="AA421" i="34"/>
  <c r="P767" i="34"/>
  <c r="R767" i="34"/>
  <c r="V767" i="34"/>
  <c r="AA767" i="34"/>
  <c r="Q767" i="34"/>
  <c r="P289" i="34"/>
  <c r="Q289" i="34"/>
  <c r="R289" i="34"/>
  <c r="AA289" i="34"/>
  <c r="V289" i="34"/>
  <c r="P272" i="34"/>
  <c r="R272" i="34"/>
  <c r="AA272" i="34"/>
  <c r="Q272" i="34"/>
  <c r="V272" i="34"/>
  <c r="P895" i="34"/>
  <c r="R895" i="34"/>
  <c r="V895" i="34"/>
  <c r="AA895" i="34"/>
  <c r="Q895" i="34"/>
  <c r="P891" i="34"/>
  <c r="Q891" i="34"/>
  <c r="R891" i="34"/>
  <c r="V891" i="34"/>
  <c r="AA891" i="34"/>
  <c r="P921" i="34"/>
  <c r="Q921" i="34"/>
  <c r="R921" i="34"/>
  <c r="V921" i="34"/>
  <c r="AA921" i="34"/>
  <c r="P919" i="34"/>
  <c r="R919" i="34"/>
  <c r="V919" i="34"/>
  <c r="AA919" i="34"/>
  <c r="Q919" i="34"/>
  <c r="P915" i="34"/>
  <c r="R915" i="34"/>
  <c r="V915" i="34"/>
  <c r="AA915" i="34"/>
  <c r="Q915" i="34"/>
  <c r="R904" i="34"/>
  <c r="V904" i="34"/>
  <c r="Q904" i="34"/>
  <c r="AA904" i="34"/>
  <c r="P904" i="34"/>
  <c r="R900" i="34"/>
  <c r="V900" i="34"/>
  <c r="Q900" i="34"/>
  <c r="AA900" i="34"/>
  <c r="P900" i="34"/>
  <c r="R876" i="34"/>
  <c r="V876" i="34"/>
  <c r="P876" i="34"/>
  <c r="Q876" i="34"/>
  <c r="AA876" i="34"/>
  <c r="R870" i="34"/>
  <c r="V870" i="34"/>
  <c r="Q870" i="34"/>
  <c r="AA870" i="34"/>
  <c r="P870" i="34"/>
  <c r="P810" i="34"/>
  <c r="R810" i="34"/>
  <c r="V810" i="34"/>
  <c r="AA810" i="34"/>
  <c r="Q810" i="34"/>
  <c r="P788" i="34"/>
  <c r="R788" i="34"/>
  <c r="V788" i="34"/>
  <c r="AA788" i="34"/>
  <c r="Q788" i="34"/>
  <c r="R890" i="34"/>
  <c r="V890" i="34"/>
  <c r="P890" i="34"/>
  <c r="Q890" i="34"/>
  <c r="AA890" i="34"/>
  <c r="P837" i="34"/>
  <c r="R837" i="34"/>
  <c r="V837" i="34"/>
  <c r="AA837" i="34"/>
  <c r="Q837" i="34"/>
  <c r="R833" i="34"/>
  <c r="V833" i="34"/>
  <c r="P833" i="34"/>
  <c r="AA833" i="34"/>
  <c r="Q833" i="34"/>
  <c r="R815" i="34"/>
  <c r="V815" i="34"/>
  <c r="P815" i="34"/>
  <c r="AA815" i="34"/>
  <c r="Q815" i="34"/>
  <c r="P800" i="34"/>
  <c r="R800" i="34"/>
  <c r="V800" i="34"/>
  <c r="AA800" i="34"/>
  <c r="Q800" i="34"/>
  <c r="P780" i="34"/>
  <c r="R780" i="34"/>
  <c r="V780" i="34"/>
  <c r="AA780" i="34"/>
  <c r="Q780" i="34"/>
  <c r="Q193" i="34"/>
  <c r="P193" i="34"/>
  <c r="R193" i="34"/>
  <c r="V193" i="34"/>
  <c r="AA193" i="34"/>
  <c r="P251" i="34"/>
  <c r="R251" i="34"/>
  <c r="V251" i="34"/>
  <c r="AA251" i="34"/>
  <c r="Q251" i="34"/>
  <c r="R261" i="34"/>
  <c r="V261" i="34"/>
  <c r="Q261" i="34"/>
  <c r="AA261" i="34"/>
  <c r="P261" i="34"/>
  <c r="P425" i="34"/>
  <c r="Q425" i="34"/>
  <c r="R425" i="34"/>
  <c r="V425" i="34"/>
  <c r="AA425" i="34"/>
  <c r="R418" i="34"/>
  <c r="V418" i="34"/>
  <c r="P418" i="34"/>
  <c r="Q418" i="34"/>
  <c r="AA418" i="34"/>
  <c r="R412" i="34"/>
  <c r="V412" i="34"/>
  <c r="P412" i="34"/>
  <c r="Q412" i="34"/>
  <c r="AA412" i="34"/>
  <c r="R416" i="34"/>
  <c r="V416" i="34"/>
  <c r="P416" i="34"/>
  <c r="Q416" i="34"/>
  <c r="AA416" i="34"/>
  <c r="R817" i="34"/>
  <c r="V817" i="34"/>
  <c r="P817" i="34"/>
  <c r="AA817" i="34"/>
  <c r="Q817" i="34"/>
  <c r="R286" i="34"/>
  <c r="V286" i="34"/>
  <c r="Q286" i="34"/>
  <c r="AA286" i="34"/>
  <c r="P286" i="34"/>
  <c r="R269" i="34"/>
  <c r="V269" i="34"/>
  <c r="P269" i="34"/>
  <c r="AA269" i="34"/>
  <c r="Q269" i="34"/>
  <c r="R267" i="34"/>
  <c r="V267" i="34"/>
  <c r="P267" i="34"/>
  <c r="AA267" i="34"/>
  <c r="Q267" i="34"/>
  <c r="P1244" i="34"/>
  <c r="R1244" i="34"/>
  <c r="Q1244" i="34"/>
  <c r="P1034" i="34"/>
  <c r="Q1040" i="34"/>
  <c r="P1044" i="34"/>
  <c r="R999" i="34"/>
  <c r="Q1014" i="34"/>
  <c r="P1018" i="34"/>
  <c r="Q1022" i="34"/>
  <c r="P1026" i="34"/>
  <c r="Q1030" i="34"/>
  <c r="Q1229" i="34"/>
  <c r="P1229" i="34"/>
  <c r="Q958" i="34"/>
  <c r="P964" i="34"/>
  <c r="Q970" i="34"/>
  <c r="P974" i="34"/>
  <c r="Q978" i="34"/>
  <c r="P988" i="34"/>
  <c r="Q992" i="34"/>
  <c r="P1004" i="34"/>
  <c r="Q1008" i="34"/>
  <c r="P1050" i="34"/>
  <c r="P1058" i="34"/>
  <c r="R1062" i="34"/>
  <c r="P1068" i="34"/>
  <c r="Q1068" i="34"/>
  <c r="Q1159" i="34"/>
  <c r="P1159" i="34"/>
  <c r="R1186" i="34"/>
  <c r="R1041" i="34"/>
  <c r="P996" i="34"/>
  <c r="R1015" i="34"/>
  <c r="R1023" i="34"/>
  <c r="R1031" i="34"/>
  <c r="R965" i="34"/>
  <c r="R975" i="34"/>
  <c r="R989" i="34"/>
  <c r="Q994" i="34"/>
  <c r="R1005" i="34"/>
  <c r="R1051" i="34"/>
  <c r="Q1054" i="34"/>
  <c r="R1059" i="34"/>
  <c r="Q1059" i="34"/>
  <c r="P1065" i="34"/>
  <c r="Q1117" i="34"/>
  <c r="P1117" i="34"/>
  <c r="R1166" i="34"/>
  <c r="Q1187" i="34"/>
  <c r="R1040" i="34"/>
  <c r="P995" i="34"/>
  <c r="Q999" i="34"/>
  <c r="R1014" i="34"/>
  <c r="R1022" i="34"/>
  <c r="R1030" i="34"/>
  <c r="R1229" i="34"/>
  <c r="R958" i="34"/>
  <c r="R970" i="34"/>
  <c r="R978" i="34"/>
  <c r="R992" i="34"/>
  <c r="R1008" i="34"/>
  <c r="P1053" i="34"/>
  <c r="Q1058" i="34"/>
  <c r="R1159" i="34"/>
  <c r="P1186" i="34"/>
  <c r="P1035" i="34"/>
  <c r="Q1041" i="34"/>
  <c r="P1045" i="34"/>
  <c r="P1011" i="34"/>
  <c r="Q1015" i="34"/>
  <c r="P1019" i="34"/>
  <c r="Q1023" i="34"/>
  <c r="P1027" i="34"/>
  <c r="Q1031" i="34"/>
  <c r="P959" i="34"/>
  <c r="Q965" i="34"/>
  <c r="P971" i="34"/>
  <c r="Q975" i="34"/>
  <c r="P985" i="34"/>
  <c r="Q989" i="34"/>
  <c r="R994" i="34"/>
  <c r="Q1005" i="34"/>
  <c r="P1009" i="34"/>
  <c r="Q1051" i="34"/>
  <c r="R1054" i="34"/>
  <c r="R1117" i="34"/>
  <c r="Q1128" i="34"/>
  <c r="P1166" i="34"/>
  <c r="Q1178" i="34"/>
  <c r="R1187" i="34"/>
  <c r="Q1034" i="34"/>
  <c r="P1040" i="34"/>
  <c r="Q1044" i="34"/>
  <c r="R995" i="34"/>
  <c r="P1014" i="34"/>
  <c r="Q1018" i="34"/>
  <c r="P1022" i="34"/>
  <c r="Q1026" i="34"/>
  <c r="P1030" i="34"/>
  <c r="P958" i="34"/>
  <c r="Q964" i="34"/>
  <c r="P970" i="34"/>
  <c r="Q974" i="34"/>
  <c r="P978" i="34"/>
  <c r="Q988" i="34"/>
  <c r="P992" i="34"/>
  <c r="Q1004" i="34"/>
  <c r="P1008" i="34"/>
  <c r="Q1050" i="34"/>
  <c r="R1053" i="34"/>
  <c r="R1058" i="34"/>
  <c r="P1062" i="34"/>
  <c r="Q1062" i="34"/>
  <c r="R1068" i="34"/>
  <c r="Q1127" i="34"/>
  <c r="P1127" i="34"/>
  <c r="Q1169" i="34"/>
  <c r="P1169" i="34"/>
  <c r="R1035" i="34"/>
  <c r="R1045" i="34"/>
  <c r="Q996" i="34"/>
  <c r="R1011" i="34"/>
  <c r="R1019" i="34"/>
  <c r="R1027" i="34"/>
  <c r="R959" i="34"/>
  <c r="R971" i="34"/>
  <c r="R985" i="34"/>
  <c r="P994" i="34"/>
  <c r="R1009" i="34"/>
  <c r="P1054" i="34"/>
  <c r="P1059" i="34"/>
  <c r="R1065" i="34"/>
  <c r="R1128" i="34"/>
  <c r="R1178" i="34"/>
  <c r="P1036" i="34"/>
  <c r="P1016" i="34"/>
  <c r="R1034" i="34"/>
  <c r="R1044" i="34"/>
  <c r="Q995" i="34"/>
  <c r="P999" i="34"/>
  <c r="R1018" i="34"/>
  <c r="R1026" i="34"/>
  <c r="R964" i="34"/>
  <c r="R974" i="34"/>
  <c r="R988" i="34"/>
  <c r="R1004" i="34"/>
  <c r="R1050" i="34"/>
  <c r="Q1053" i="34"/>
  <c r="R1127" i="34"/>
  <c r="R1169" i="34"/>
  <c r="Q1186" i="34"/>
  <c r="Q1035" i="34"/>
  <c r="P1041" i="34"/>
  <c r="Q1045" i="34"/>
  <c r="R996" i="34"/>
  <c r="Q1011" i="34"/>
  <c r="P1015" i="34"/>
  <c r="Q1019" i="34"/>
  <c r="P1023" i="34"/>
  <c r="Q1027" i="34"/>
  <c r="P1031" i="34"/>
  <c r="Q959" i="34"/>
  <c r="P965" i="34"/>
  <c r="Q971" i="34"/>
  <c r="P975" i="34"/>
  <c r="Q985" i="34"/>
  <c r="P989" i="34"/>
  <c r="P1005" i="34"/>
  <c r="Q1009" i="34"/>
  <c r="P1051" i="34"/>
  <c r="Q1065" i="34"/>
  <c r="P1128" i="34"/>
  <c r="Q1166" i="34"/>
  <c r="P1178" i="34"/>
  <c r="P997" i="34"/>
  <c r="R1016" i="34"/>
  <c r="R1032" i="34"/>
  <c r="R972" i="34"/>
  <c r="R1002" i="34"/>
  <c r="P1055" i="34"/>
  <c r="R1129" i="34"/>
  <c r="R1179" i="34"/>
  <c r="R1042" i="34"/>
  <c r="R1012" i="34"/>
  <c r="R1028" i="34"/>
  <c r="R968" i="34"/>
  <c r="R990" i="34"/>
  <c r="R1056" i="34"/>
  <c r="P1118" i="34"/>
  <c r="P1033" i="34"/>
  <c r="Q1039" i="34"/>
  <c r="P1043" i="34"/>
  <c r="R998" i="34"/>
  <c r="Q1013" i="34"/>
  <c r="P1017" i="34"/>
  <c r="Q1021" i="34"/>
  <c r="P1025" i="34"/>
  <c r="Q1029" i="34"/>
  <c r="Q1188" i="34"/>
  <c r="Q957" i="34"/>
  <c r="P963" i="34"/>
  <c r="Q969" i="34"/>
  <c r="P973" i="34"/>
  <c r="Q977" i="34"/>
  <c r="P987" i="34"/>
  <c r="Q991" i="34"/>
  <c r="P1003" i="34"/>
  <c r="Q1007" i="34"/>
  <c r="P1049" i="34"/>
  <c r="Q1061" i="34"/>
  <c r="P1126" i="34"/>
  <c r="Q1158" i="34"/>
  <c r="P1168" i="34"/>
  <c r="Q1036" i="34"/>
  <c r="R997" i="34"/>
  <c r="Q997" i="34"/>
  <c r="Q1024" i="34"/>
  <c r="P1032" i="34"/>
  <c r="Q952" i="34"/>
  <c r="P972" i="34"/>
  <c r="Q986" i="34"/>
  <c r="P1002" i="34"/>
  <c r="Q1010" i="34"/>
  <c r="R1055" i="34"/>
  <c r="R1060" i="34"/>
  <c r="P1066" i="34"/>
  <c r="Q1066" i="34"/>
  <c r="Q1167" i="34"/>
  <c r="P1167" i="34"/>
  <c r="P1042" i="34"/>
  <c r="P1248" i="34"/>
  <c r="P1012" i="34"/>
  <c r="Q1020" i="34"/>
  <c r="P1028" i="34"/>
  <c r="Q962" i="34"/>
  <c r="P968" i="34"/>
  <c r="Q976" i="34"/>
  <c r="P990" i="34"/>
  <c r="Q1006" i="34"/>
  <c r="P1056" i="34"/>
  <c r="R1033" i="34"/>
  <c r="R1043" i="34"/>
  <c r="Q1249" i="34"/>
  <c r="P998" i="34"/>
  <c r="R1017" i="34"/>
  <c r="R1025" i="34"/>
  <c r="R1188" i="34"/>
  <c r="R963" i="34"/>
  <c r="R973" i="34"/>
  <c r="R987" i="34"/>
  <c r="R1003" i="34"/>
  <c r="R1049" i="34"/>
  <c r="Q1052" i="34"/>
  <c r="R1057" i="34"/>
  <c r="Q1057" i="34"/>
  <c r="P1061" i="34"/>
  <c r="R1067" i="34"/>
  <c r="R1158" i="34"/>
  <c r="Q1185" i="34"/>
  <c r="P1185" i="34"/>
  <c r="P1187" i="34"/>
  <c r="R1036" i="34"/>
  <c r="R1024" i="34"/>
  <c r="R952" i="34"/>
  <c r="R986" i="34"/>
  <c r="R1010" i="34"/>
  <c r="Q1055" i="34"/>
  <c r="R1167" i="34"/>
  <c r="Q1248" i="34"/>
  <c r="R1020" i="34"/>
  <c r="R962" i="34"/>
  <c r="R976" i="34"/>
  <c r="R1006" i="34"/>
  <c r="Q1118" i="34"/>
  <c r="Q1033" i="34"/>
  <c r="P1039" i="34"/>
  <c r="Q1043" i="34"/>
  <c r="R1249" i="34"/>
  <c r="P1013" i="34"/>
  <c r="Q1017" i="34"/>
  <c r="P1021" i="34"/>
  <c r="Q1025" i="34"/>
  <c r="P1029" i="34"/>
  <c r="P1188" i="34"/>
  <c r="P957" i="34"/>
  <c r="Q963" i="34"/>
  <c r="P969" i="34"/>
  <c r="Q973" i="34"/>
  <c r="P977" i="34"/>
  <c r="Q987" i="34"/>
  <c r="P991" i="34"/>
  <c r="Q1003" i="34"/>
  <c r="P1007" i="34"/>
  <c r="Q1049" i="34"/>
  <c r="R1052" i="34"/>
  <c r="Q1067" i="34"/>
  <c r="Q1126" i="34"/>
  <c r="P1158" i="34"/>
  <c r="Q1168" i="34"/>
  <c r="R1185" i="34"/>
  <c r="Q1016" i="34"/>
  <c r="P1024" i="34"/>
  <c r="Q1032" i="34"/>
  <c r="P952" i="34"/>
  <c r="Q972" i="34"/>
  <c r="P986" i="34"/>
  <c r="Q1002" i="34"/>
  <c r="P1010" i="34"/>
  <c r="P1060" i="34"/>
  <c r="Q1060" i="34"/>
  <c r="R1066" i="34"/>
  <c r="Q1129" i="34"/>
  <c r="P1129" i="34"/>
  <c r="Q1179" i="34"/>
  <c r="P1179" i="34"/>
  <c r="Q1042" i="34"/>
  <c r="R1248" i="34"/>
  <c r="Q1012" i="34"/>
  <c r="P1020" i="34"/>
  <c r="Q1028" i="34"/>
  <c r="P962" i="34"/>
  <c r="Q968" i="34"/>
  <c r="P976" i="34"/>
  <c r="Q990" i="34"/>
  <c r="P1006" i="34"/>
  <c r="Q1056" i="34"/>
  <c r="R1118" i="34"/>
  <c r="R1039" i="34"/>
  <c r="P1249" i="34"/>
  <c r="Q998" i="34"/>
  <c r="R1013" i="34"/>
  <c r="R1021" i="34"/>
  <c r="R1029" i="34"/>
  <c r="R957" i="34"/>
  <c r="R969" i="34"/>
  <c r="R977" i="34"/>
  <c r="R991" i="34"/>
  <c r="R1007" i="34"/>
  <c r="P1052" i="34"/>
  <c r="P1057" i="34"/>
  <c r="R1061" i="34"/>
  <c r="P1067" i="34"/>
  <c r="R1126" i="34"/>
  <c r="R1168" i="34"/>
  <c r="R924" i="34"/>
  <c r="R1255" i="34"/>
  <c r="Q1256" i="34"/>
  <c r="P1263" i="34"/>
  <c r="Q1102" i="34"/>
  <c r="P1106" i="34"/>
  <c r="Q1110" i="34"/>
  <c r="P1114" i="34"/>
  <c r="Q1120" i="34"/>
  <c r="P1124" i="34"/>
  <c r="Q1132" i="34"/>
  <c r="P1136" i="34"/>
  <c r="Q1140" i="34"/>
  <c r="P1144" i="34"/>
  <c r="Q1250" i="34"/>
  <c r="P1264" i="34"/>
  <c r="Q1071" i="34"/>
  <c r="Q1079" i="34"/>
  <c r="Q1087" i="34"/>
  <c r="R1103" i="34"/>
  <c r="R1111" i="34"/>
  <c r="R1121" i="34"/>
  <c r="R1133" i="34"/>
  <c r="R1141" i="34"/>
  <c r="R940" i="34"/>
  <c r="P1262" i="34"/>
  <c r="P1255" i="34"/>
  <c r="Q1263" i="34"/>
  <c r="Q1048" i="34"/>
  <c r="P1070" i="34"/>
  <c r="Q1070" i="34"/>
  <c r="R1074" i="34"/>
  <c r="P1078" i="34"/>
  <c r="Q1078" i="34"/>
  <c r="R1082" i="34"/>
  <c r="P1086" i="34"/>
  <c r="Q1086" i="34"/>
  <c r="R1090" i="34"/>
  <c r="P1094" i="34"/>
  <c r="Q1094" i="34"/>
  <c r="R1102" i="34"/>
  <c r="R1110" i="34"/>
  <c r="R1120" i="34"/>
  <c r="R1132" i="34"/>
  <c r="R1140" i="34"/>
  <c r="R1250" i="34"/>
  <c r="R1063" i="34"/>
  <c r="P1071" i="34"/>
  <c r="R1075" i="34"/>
  <c r="P1079" i="34"/>
  <c r="R1083" i="34"/>
  <c r="P1087" i="34"/>
  <c r="R1091" i="34"/>
  <c r="Q1099" i="34"/>
  <c r="P1099" i="34"/>
  <c r="Q1107" i="34"/>
  <c r="P1107" i="34"/>
  <c r="Q1115" i="34"/>
  <c r="P1115" i="34"/>
  <c r="Q1125" i="34"/>
  <c r="P1125" i="34"/>
  <c r="Q1137" i="34"/>
  <c r="P1137" i="34"/>
  <c r="Q1145" i="34"/>
  <c r="P1145" i="34"/>
  <c r="P1256" i="34"/>
  <c r="R1263" i="34"/>
  <c r="R1048" i="34"/>
  <c r="Q1098" i="34"/>
  <c r="P1102" i="34"/>
  <c r="Q1106" i="34"/>
  <c r="P1110" i="34"/>
  <c r="Q1114" i="34"/>
  <c r="P1120" i="34"/>
  <c r="Q1124" i="34"/>
  <c r="P1132" i="34"/>
  <c r="Q1136" i="34"/>
  <c r="P1140" i="34"/>
  <c r="Q1144" i="34"/>
  <c r="Q1063" i="34"/>
  <c r="Q1075" i="34"/>
  <c r="Q1083" i="34"/>
  <c r="Q1091" i="34"/>
  <c r="P1095" i="34"/>
  <c r="R1099" i="34"/>
  <c r="R1107" i="34"/>
  <c r="R1115" i="34"/>
  <c r="R1125" i="34"/>
  <c r="R1137" i="34"/>
  <c r="R1145" i="34"/>
  <c r="Q1254" i="34"/>
  <c r="Q924" i="34"/>
  <c r="P924" i="34"/>
  <c r="R1262" i="34"/>
  <c r="Q1262" i="34"/>
  <c r="Q1255" i="34"/>
  <c r="R1256" i="34"/>
  <c r="P1048" i="34"/>
  <c r="R1070" i="34"/>
  <c r="P1074" i="34"/>
  <c r="Q1074" i="34"/>
  <c r="R1078" i="34"/>
  <c r="P1082" i="34"/>
  <c r="Q1082" i="34"/>
  <c r="R1086" i="34"/>
  <c r="P1090" i="34"/>
  <c r="Q1090" i="34"/>
  <c r="R1094" i="34"/>
  <c r="P1098" i="34"/>
  <c r="R1098" i="34"/>
  <c r="R1106" i="34"/>
  <c r="R1114" i="34"/>
  <c r="R1124" i="34"/>
  <c r="R1136" i="34"/>
  <c r="R1144" i="34"/>
  <c r="P1250" i="34"/>
  <c r="R1264" i="34"/>
  <c r="Q1264" i="34"/>
  <c r="P1063" i="34"/>
  <c r="R1071" i="34"/>
  <c r="P1075" i="34"/>
  <c r="R1079" i="34"/>
  <c r="P1083" i="34"/>
  <c r="R1087" i="34"/>
  <c r="P1091" i="34"/>
  <c r="R1095" i="34"/>
  <c r="Q1095" i="34"/>
  <c r="Q1103" i="34"/>
  <c r="P1103" i="34"/>
  <c r="Q1111" i="34"/>
  <c r="P1111" i="34"/>
  <c r="Q1121" i="34"/>
  <c r="P1121" i="34"/>
  <c r="Q1133" i="34"/>
  <c r="P1133" i="34"/>
  <c r="P1141" i="34"/>
  <c r="Q940" i="34"/>
  <c r="R1265" i="34"/>
  <c r="P1265" i="34"/>
  <c r="R1046" i="34"/>
  <c r="R1096" i="34"/>
  <c r="P1100" i="34"/>
  <c r="Q1104" i="34"/>
  <c r="P1108" i="34"/>
  <c r="Q1112" i="34"/>
  <c r="P1116" i="34"/>
  <c r="Q1122" i="34"/>
  <c r="P1130" i="34"/>
  <c r="Q1134" i="34"/>
  <c r="P1138" i="34"/>
  <c r="Q1142" i="34"/>
  <c r="P1146" i="34"/>
  <c r="P1260" i="34"/>
  <c r="Q1230" i="34"/>
  <c r="P1266" i="34"/>
  <c r="P1047" i="34"/>
  <c r="Q1069" i="34"/>
  <c r="Q1077" i="34"/>
  <c r="Q1085" i="34"/>
  <c r="Q1093" i="34"/>
  <c r="P1097" i="34"/>
  <c r="R1101" i="34"/>
  <c r="R1109" i="34"/>
  <c r="R1119" i="34"/>
  <c r="R1131" i="34"/>
  <c r="R1139" i="34"/>
  <c r="R1147" i="34"/>
  <c r="P1143" i="34"/>
  <c r="Q1141" i="34"/>
  <c r="R1254" i="34"/>
  <c r="P1046" i="34"/>
  <c r="R1064" i="34"/>
  <c r="P1072" i="34"/>
  <c r="Q1072" i="34"/>
  <c r="R1076" i="34"/>
  <c r="P1080" i="34"/>
  <c r="Q1080" i="34"/>
  <c r="R1084" i="34"/>
  <c r="P1088" i="34"/>
  <c r="Q1088" i="34"/>
  <c r="R1092" i="34"/>
  <c r="P1096" i="34"/>
  <c r="R1104" i="34"/>
  <c r="R1112" i="34"/>
  <c r="R1122" i="34"/>
  <c r="R1134" i="34"/>
  <c r="R1142" i="34"/>
  <c r="R1260" i="34"/>
  <c r="Q1261" i="34"/>
  <c r="R1230" i="34"/>
  <c r="R1047" i="34"/>
  <c r="P1069" i="34"/>
  <c r="R1073" i="34"/>
  <c r="P1077" i="34"/>
  <c r="R1081" i="34"/>
  <c r="P1085" i="34"/>
  <c r="R1089" i="34"/>
  <c r="P1093" i="34"/>
  <c r="R1097" i="34"/>
  <c r="Q1097" i="34"/>
  <c r="Q1105" i="34"/>
  <c r="P1105" i="34"/>
  <c r="Q1113" i="34"/>
  <c r="P1113" i="34"/>
  <c r="Q1123" i="34"/>
  <c r="P1123" i="34"/>
  <c r="Q1135" i="34"/>
  <c r="P940" i="34"/>
  <c r="Q1100" i="34"/>
  <c r="P1104" i="34"/>
  <c r="Q1108" i="34"/>
  <c r="P1112" i="34"/>
  <c r="Q1116" i="34"/>
  <c r="P1122" i="34"/>
  <c r="Q1130" i="34"/>
  <c r="P1134" i="34"/>
  <c r="Q1138" i="34"/>
  <c r="P1142" i="34"/>
  <c r="Q1146" i="34"/>
  <c r="Q1260" i="34"/>
  <c r="R1261" i="34"/>
  <c r="P1230" i="34"/>
  <c r="Q1266" i="34"/>
  <c r="Q1047" i="34"/>
  <c r="Q1073" i="34"/>
  <c r="Q1081" i="34"/>
  <c r="Q1089" i="34"/>
  <c r="R1105" i="34"/>
  <c r="R1113" i="34"/>
  <c r="R1123" i="34"/>
  <c r="R1135" i="34"/>
  <c r="R1143" i="34"/>
  <c r="Q1143" i="34"/>
  <c r="P1254" i="34"/>
  <c r="Q1265" i="34"/>
  <c r="Q1046" i="34"/>
  <c r="P1064" i="34"/>
  <c r="Q1064" i="34"/>
  <c r="R1072" i="34"/>
  <c r="P1076" i="34"/>
  <c r="Q1076" i="34"/>
  <c r="R1080" i="34"/>
  <c r="P1084" i="34"/>
  <c r="Q1084" i="34"/>
  <c r="R1088" i="34"/>
  <c r="P1092" i="34"/>
  <c r="Q1092" i="34"/>
  <c r="Q1096" i="34"/>
  <c r="R1100" i="34"/>
  <c r="R1108" i="34"/>
  <c r="R1116" i="34"/>
  <c r="R1130" i="34"/>
  <c r="R1138" i="34"/>
  <c r="R1146" i="34"/>
  <c r="P1261" i="34"/>
  <c r="R1266" i="34"/>
  <c r="R1069" i="34"/>
  <c r="P1073" i="34"/>
  <c r="R1077" i="34"/>
  <c r="P1081" i="34"/>
  <c r="R1085" i="34"/>
  <c r="P1089" i="34"/>
  <c r="R1093" i="34"/>
  <c r="Q1101" i="34"/>
  <c r="P1101" i="34"/>
  <c r="Q1109" i="34"/>
  <c r="P1109" i="34"/>
  <c r="Q1119" i="34"/>
  <c r="P1119" i="34"/>
  <c r="Q1131" i="34"/>
  <c r="P1131" i="34"/>
  <c r="Q1139" i="34"/>
  <c r="P1139" i="34"/>
  <c r="Q1147" i="34"/>
  <c r="P1147" i="34"/>
  <c r="P1135" i="34"/>
  <c r="P1247" i="34"/>
  <c r="P951" i="34"/>
  <c r="R1247" i="34"/>
  <c r="R951" i="34"/>
  <c r="Q1247" i="34"/>
  <c r="Q951" i="34"/>
  <c r="Q1154" i="34"/>
  <c r="P1162" i="34"/>
  <c r="Q1172" i="34"/>
  <c r="R1154" i="34"/>
  <c r="R1172" i="34"/>
  <c r="Q1162" i="34"/>
  <c r="P1154" i="34"/>
  <c r="P1172" i="34"/>
  <c r="R1162" i="34"/>
  <c r="R926" i="34"/>
  <c r="Q926" i="34"/>
  <c r="P926" i="34"/>
  <c r="P923" i="34"/>
  <c r="Q923" i="34"/>
  <c r="R923" i="34"/>
  <c r="R1206" i="34"/>
  <c r="Q1209" i="34"/>
  <c r="P1209" i="34"/>
  <c r="Q1227" i="34"/>
  <c r="P1227" i="34"/>
  <c r="P1252" i="34"/>
  <c r="R1192" i="34"/>
  <c r="R1204" i="34"/>
  <c r="R1216" i="34"/>
  <c r="R1228" i="34"/>
  <c r="P1253" i="34"/>
  <c r="Q1193" i="34"/>
  <c r="P1193" i="34"/>
  <c r="Q1201" i="34"/>
  <c r="P1201" i="34"/>
  <c r="Q1190" i="34"/>
  <c r="P1206" i="34"/>
  <c r="Q1218" i="34"/>
  <c r="P1232" i="34"/>
  <c r="Q1232" i="34"/>
  <c r="R1209" i="34"/>
  <c r="R1227" i="34"/>
  <c r="Q1252" i="34"/>
  <c r="P1192" i="34"/>
  <c r="Q1196" i="34"/>
  <c r="P1204" i="34"/>
  <c r="Q1210" i="34"/>
  <c r="P1216" i="34"/>
  <c r="Q1224" i="34"/>
  <c r="P1228" i="34"/>
  <c r="R1238" i="34"/>
  <c r="R1193" i="34"/>
  <c r="R1201" i="34"/>
  <c r="R1190" i="34"/>
  <c r="R1218" i="34"/>
  <c r="Q1195" i="34"/>
  <c r="P1195" i="34"/>
  <c r="Q1215" i="34"/>
  <c r="P1215" i="34"/>
  <c r="R1252" i="34"/>
  <c r="R1196" i="34"/>
  <c r="R1210" i="34"/>
  <c r="R1224" i="34"/>
  <c r="Q1253" i="34"/>
  <c r="Q1189" i="34"/>
  <c r="P1189" i="34"/>
  <c r="Q1197" i="34"/>
  <c r="P1197" i="34"/>
  <c r="P1190" i="34"/>
  <c r="Q1206" i="34"/>
  <c r="P1218" i="34"/>
  <c r="R1232" i="34"/>
  <c r="R1195" i="34"/>
  <c r="R1215" i="34"/>
  <c r="Q1192" i="34"/>
  <c r="P1196" i="34"/>
  <c r="Q1204" i="34"/>
  <c r="P1210" i="34"/>
  <c r="Q1216" i="34"/>
  <c r="P1224" i="34"/>
  <c r="Q1228" i="34"/>
  <c r="P1238" i="34"/>
  <c r="Q1238" i="34"/>
  <c r="R1253" i="34"/>
  <c r="R1189" i="34"/>
  <c r="R1197" i="34"/>
  <c r="R1205" i="34"/>
  <c r="R1213" i="34"/>
  <c r="R1221" i="34"/>
  <c r="R1231" i="34"/>
  <c r="P1235" i="34"/>
  <c r="R1239" i="34"/>
  <c r="R1257" i="34"/>
  <c r="P1156" i="34"/>
  <c r="R1171" i="34"/>
  <c r="P979" i="34"/>
  <c r="Q983" i="34"/>
  <c r="R1000" i="34"/>
  <c r="R1173" i="34"/>
  <c r="R1183" i="34"/>
  <c r="Q1202" i="34"/>
  <c r="P1222" i="34"/>
  <c r="R1236" i="34"/>
  <c r="P1258" i="34"/>
  <c r="P1148" i="34"/>
  <c r="Q1152" i="34"/>
  <c r="R1157" i="34"/>
  <c r="Q1164" i="34"/>
  <c r="Q961" i="34"/>
  <c r="R980" i="34"/>
  <c r="P1001" i="34"/>
  <c r="P1174" i="34"/>
  <c r="Q1180" i="34"/>
  <c r="P1184" i="34"/>
  <c r="P941" i="34"/>
  <c r="P1198" i="34"/>
  <c r="Q1214" i="34"/>
  <c r="R1199" i="34"/>
  <c r="R1233" i="34"/>
  <c r="R1153" i="34"/>
  <c r="Q1160" i="34"/>
  <c r="R1165" i="34"/>
  <c r="Q955" i="34"/>
  <c r="R966" i="34"/>
  <c r="Q981" i="34"/>
  <c r="P1037" i="34"/>
  <c r="R1175" i="34"/>
  <c r="Q953" i="34"/>
  <c r="Q1194" i="34"/>
  <c r="P1208" i="34"/>
  <c r="Q1226" i="34"/>
  <c r="R1191" i="34"/>
  <c r="R1211" i="34"/>
  <c r="R1237" i="34"/>
  <c r="Q1200" i="34"/>
  <c r="P1212" i="34"/>
  <c r="Q1220" i="34"/>
  <c r="P1234" i="34"/>
  <c r="Q1234" i="34"/>
  <c r="P1150" i="34"/>
  <c r="R1161" i="34"/>
  <c r="Q1170" i="34"/>
  <c r="R956" i="34"/>
  <c r="Q967" i="34"/>
  <c r="R982" i="34"/>
  <c r="Q993" i="34"/>
  <c r="Q1176" i="34"/>
  <c r="P1182" i="34"/>
  <c r="R954" i="34"/>
  <c r="Q1207" i="34"/>
  <c r="P1207" i="34"/>
  <c r="Q1217" i="34"/>
  <c r="P1217" i="34"/>
  <c r="Q1225" i="34"/>
  <c r="P1225" i="34"/>
  <c r="Q1235" i="34"/>
  <c r="P1257" i="34"/>
  <c r="Q1038" i="34"/>
  <c r="Q1151" i="34"/>
  <c r="P1151" i="34"/>
  <c r="Q1163" i="34"/>
  <c r="P1163" i="34"/>
  <c r="R930" i="34"/>
  <c r="Q960" i="34"/>
  <c r="R979" i="34"/>
  <c r="P1000" i="34"/>
  <c r="Q1177" i="34"/>
  <c r="P1177" i="34"/>
  <c r="R1202" i="34"/>
  <c r="Q1251" i="34"/>
  <c r="R1258" i="34"/>
  <c r="R1152" i="34"/>
  <c r="R1164" i="34"/>
  <c r="R927" i="34"/>
  <c r="P931" i="34"/>
  <c r="Q931" i="34"/>
  <c r="P980" i="34"/>
  <c r="Q984" i="34"/>
  <c r="R1001" i="34"/>
  <c r="R1180" i="34"/>
  <c r="R941" i="34"/>
  <c r="R1214" i="34"/>
  <c r="Q1219" i="34"/>
  <c r="P1219" i="34"/>
  <c r="Q1149" i="34"/>
  <c r="P1149" i="34"/>
  <c r="R1160" i="34"/>
  <c r="R928" i="34"/>
  <c r="P966" i="34"/>
  <c r="R1037" i="34"/>
  <c r="Q1181" i="34"/>
  <c r="P1181" i="34"/>
  <c r="R1194" i="34"/>
  <c r="R1226" i="34"/>
  <c r="Q1203" i="34"/>
  <c r="P1203" i="34"/>
  <c r="Q1223" i="34"/>
  <c r="P1223" i="34"/>
  <c r="R1200" i="34"/>
  <c r="R1220" i="34"/>
  <c r="P925" i="34"/>
  <c r="Q925" i="34"/>
  <c r="Q1155" i="34"/>
  <c r="P1155" i="34"/>
  <c r="R1170" i="34"/>
  <c r="R929" i="34"/>
  <c r="P956" i="34"/>
  <c r="P982" i="34"/>
  <c r="R1176" i="34"/>
  <c r="P954" i="34"/>
  <c r="R1207" i="34"/>
  <c r="R1217" i="34"/>
  <c r="R1225" i="34"/>
  <c r="P1231" i="34"/>
  <c r="R1235" i="34"/>
  <c r="P1239" i="34"/>
  <c r="R1038" i="34"/>
  <c r="R1151" i="34"/>
  <c r="Q1156" i="34"/>
  <c r="R1163" i="34"/>
  <c r="Q930" i="34"/>
  <c r="R960" i="34"/>
  <c r="Q979" i="34"/>
  <c r="P983" i="34"/>
  <c r="R1177" i="34"/>
  <c r="P1202" i="34"/>
  <c r="Q1222" i="34"/>
  <c r="P1236" i="34"/>
  <c r="Q1236" i="34"/>
  <c r="R1251" i="34"/>
  <c r="Q1258" i="34"/>
  <c r="Q1148" i="34"/>
  <c r="P1152" i="34"/>
  <c r="P1164" i="34"/>
  <c r="P961" i="34"/>
  <c r="R984" i="34"/>
  <c r="Q1001" i="34"/>
  <c r="Q1174" i="34"/>
  <c r="P1180" i="34"/>
  <c r="Q1184" i="34"/>
  <c r="Q941" i="34"/>
  <c r="Q1198" i="34"/>
  <c r="P1214" i="34"/>
  <c r="R1219" i="34"/>
  <c r="P1233" i="34"/>
  <c r="R1149" i="34"/>
  <c r="P1160" i="34"/>
  <c r="Q928" i="34"/>
  <c r="P955" i="34"/>
  <c r="P981" i="34"/>
  <c r="Q1037" i="34"/>
  <c r="R1181" i="34"/>
  <c r="P953" i="34"/>
  <c r="P1194" i="34"/>
  <c r="Q1208" i="34"/>
  <c r="P1226" i="34"/>
  <c r="R1203" i="34"/>
  <c r="R1223" i="34"/>
  <c r="P1237" i="34"/>
  <c r="P1200" i="34"/>
  <c r="Q1212" i="34"/>
  <c r="P1220" i="34"/>
  <c r="R1234" i="34"/>
  <c r="Q1150" i="34"/>
  <c r="R1155" i="34"/>
  <c r="P1170" i="34"/>
  <c r="P967" i="34"/>
  <c r="P993" i="34"/>
  <c r="P1176" i="34"/>
  <c r="Q1182" i="34"/>
  <c r="Q1205" i="34"/>
  <c r="P1205" i="34"/>
  <c r="Q1213" i="34"/>
  <c r="P1213" i="34"/>
  <c r="Q1221" i="34"/>
  <c r="P1221" i="34"/>
  <c r="Q1231" i="34"/>
  <c r="Q1239" i="34"/>
  <c r="Q1257" i="34"/>
  <c r="P1038" i="34"/>
  <c r="R1156" i="34"/>
  <c r="Q1171" i="34"/>
  <c r="P1171" i="34"/>
  <c r="P930" i="34"/>
  <c r="P960" i="34"/>
  <c r="R983" i="34"/>
  <c r="Q1000" i="34"/>
  <c r="Q1173" i="34"/>
  <c r="P1173" i="34"/>
  <c r="Q1183" i="34"/>
  <c r="P1183" i="34"/>
  <c r="R1222" i="34"/>
  <c r="P1251" i="34"/>
  <c r="R1148" i="34"/>
  <c r="Q1157" i="34"/>
  <c r="P1157" i="34"/>
  <c r="P927" i="34"/>
  <c r="Q927" i="34"/>
  <c r="R931" i="34"/>
  <c r="R961" i="34"/>
  <c r="Q980" i="34"/>
  <c r="P984" i="34"/>
  <c r="R1174" i="34"/>
  <c r="R1184" i="34"/>
  <c r="R1198" i="34"/>
  <c r="Q1199" i="34"/>
  <c r="P1199" i="34"/>
  <c r="Q1233" i="34"/>
  <c r="Q1153" i="34"/>
  <c r="P1153" i="34"/>
  <c r="Q1165" i="34"/>
  <c r="P1165" i="34"/>
  <c r="P928" i="34"/>
  <c r="R955" i="34"/>
  <c r="Q966" i="34"/>
  <c r="R981" i="34"/>
  <c r="Q1175" i="34"/>
  <c r="P1175" i="34"/>
  <c r="R953" i="34"/>
  <c r="R1208" i="34"/>
  <c r="Q1191" i="34"/>
  <c r="P1191" i="34"/>
  <c r="Q1211" i="34"/>
  <c r="P1211" i="34"/>
  <c r="Q1237" i="34"/>
  <c r="R1212" i="34"/>
  <c r="R925" i="34"/>
  <c r="R1150" i="34"/>
  <c r="Q1161" i="34"/>
  <c r="P1161" i="34"/>
  <c r="P929" i="34"/>
  <c r="Q929" i="34"/>
  <c r="Q956" i="34"/>
  <c r="R967" i="34"/>
  <c r="Q982" i="34"/>
  <c r="R993" i="34"/>
  <c r="R1182" i="34"/>
  <c r="Q954" i="34"/>
  <c r="P1246" i="34"/>
  <c r="Q1246" i="34"/>
  <c r="R1246" i="34"/>
  <c r="P1259" i="34"/>
  <c r="R1259" i="34"/>
  <c r="Q1259" i="34"/>
  <c r="P1245" i="34"/>
  <c r="Q1245" i="34"/>
  <c r="P1240" i="34"/>
  <c r="Q1240" i="34"/>
  <c r="R1245" i="34"/>
  <c r="R1240" i="34"/>
  <c r="A870" i="34"/>
  <c r="A810" i="34"/>
  <c r="A833" i="34"/>
  <c r="A815" i="34"/>
  <c r="A780" i="34"/>
  <c r="A251" i="34"/>
  <c r="A869" i="34"/>
  <c r="A809" i="34"/>
  <c r="A787" i="34"/>
  <c r="A836" i="34"/>
  <c r="A832" i="34"/>
  <c r="A802" i="34"/>
  <c r="A799" i="34"/>
  <c r="A776" i="34"/>
  <c r="A672" i="34"/>
  <c r="A204" i="34"/>
  <c r="A250" i="34"/>
  <c r="A260" i="34"/>
  <c r="A424" i="34"/>
  <c r="A417" i="34"/>
  <c r="A389" i="34"/>
  <c r="A419" i="34"/>
  <c r="A818" i="34"/>
  <c r="A783" i="34"/>
  <c r="A287" i="34"/>
  <c r="A270" i="34"/>
  <c r="A868" i="34"/>
  <c r="A808" i="34"/>
  <c r="A786" i="34"/>
  <c r="A835" i="34"/>
  <c r="A831" i="34"/>
  <c r="A813" i="34"/>
  <c r="A782" i="34"/>
  <c r="A775" i="34"/>
  <c r="A188" i="34"/>
  <c r="A211" i="34"/>
  <c r="A263" i="34"/>
  <c r="A259" i="34"/>
  <c r="A438" i="34"/>
  <c r="A423" i="34"/>
  <c r="A415" i="34"/>
  <c r="A375" i="34"/>
  <c r="A420" i="34"/>
  <c r="A208" i="34"/>
  <c r="A784" i="34"/>
  <c r="A288" i="34"/>
  <c r="A281" i="34"/>
  <c r="A871" i="34"/>
  <c r="A811" i="34"/>
  <c r="A789" i="34"/>
  <c r="A785" i="34"/>
  <c r="A834" i="34"/>
  <c r="A816" i="34"/>
  <c r="A812" i="34"/>
  <c r="A781" i="34"/>
  <c r="A194" i="34"/>
  <c r="A252" i="34"/>
  <c r="A262" i="34"/>
  <c r="A275" i="34"/>
  <c r="A437" i="34"/>
  <c r="A422" i="34"/>
  <c r="A414" i="34"/>
  <c r="A388" i="34"/>
  <c r="A421" i="34"/>
  <c r="A767" i="34"/>
  <c r="A289" i="34"/>
  <c r="A272" i="34"/>
  <c r="A788" i="34"/>
  <c r="A837" i="34"/>
  <c r="A800" i="34"/>
  <c r="A193" i="34"/>
  <c r="A261" i="34"/>
  <c r="A425" i="34"/>
  <c r="A418" i="34"/>
  <c r="A412" i="34"/>
  <c r="A416" i="34"/>
  <c r="A817" i="34"/>
  <c r="A286" i="34"/>
  <c r="A269" i="34"/>
  <c r="A267" i="34"/>
  <c r="R949" i="34"/>
  <c r="V949" i="34"/>
  <c r="AA949" i="34"/>
  <c r="P949" i="34"/>
  <c r="Q949" i="34"/>
  <c r="R937" i="34"/>
  <c r="V937" i="34"/>
  <c r="P937" i="34"/>
  <c r="Q937" i="34"/>
  <c r="AA937" i="34"/>
  <c r="P948" i="34"/>
  <c r="Q948" i="34"/>
  <c r="R948" i="34"/>
  <c r="V948" i="34"/>
  <c r="AA948" i="34"/>
  <c r="P946" i="34"/>
  <c r="Q946" i="34"/>
  <c r="R946" i="34"/>
  <c r="V946" i="34"/>
  <c r="AA946" i="34"/>
  <c r="P942" i="34"/>
  <c r="Q942" i="34"/>
  <c r="R942" i="34"/>
  <c r="V942" i="34"/>
  <c r="AA942" i="34"/>
  <c r="P936" i="34"/>
  <c r="Q936" i="34"/>
  <c r="R936" i="34"/>
  <c r="V936" i="34"/>
  <c r="AA936" i="34"/>
  <c r="R932" i="34"/>
  <c r="P932" i="34"/>
  <c r="Q932" i="34"/>
  <c r="V932" i="34"/>
  <c r="AA932" i="34"/>
  <c r="AA1242" i="34"/>
  <c r="P1242" i="34"/>
  <c r="R1242" i="34"/>
  <c r="V1242" i="34"/>
  <c r="Q1242" i="34"/>
  <c r="R945" i="34"/>
  <c r="V945" i="34"/>
  <c r="AA945" i="34"/>
  <c r="P945" i="34"/>
  <c r="Q945" i="34"/>
  <c r="R939" i="34"/>
  <c r="V939" i="34"/>
  <c r="P939" i="34"/>
  <c r="Q939" i="34"/>
  <c r="AA939" i="34"/>
  <c r="R935" i="34"/>
  <c r="V935" i="34"/>
  <c r="P935" i="34"/>
  <c r="Q935" i="34"/>
  <c r="AA935" i="34"/>
  <c r="R943" i="34"/>
  <c r="V943" i="34"/>
  <c r="AA943" i="34"/>
  <c r="P943" i="34"/>
  <c r="Q943" i="34"/>
  <c r="Q1243" i="34"/>
  <c r="R1243" i="34"/>
  <c r="V1243" i="34"/>
  <c r="P1243" i="34"/>
  <c r="AA1243" i="34"/>
  <c r="P950" i="34"/>
  <c r="Q950" i="34"/>
  <c r="R950" i="34"/>
  <c r="V950" i="34"/>
  <c r="AA950" i="34"/>
  <c r="P944" i="34"/>
  <c r="Q944" i="34"/>
  <c r="R944" i="34"/>
  <c r="V944" i="34"/>
  <c r="AA944" i="34"/>
  <c r="P938" i="34"/>
  <c r="Q938" i="34"/>
  <c r="R938" i="34"/>
  <c r="V938" i="34"/>
  <c r="AA938" i="34"/>
  <c r="P934" i="34"/>
  <c r="Q934" i="34"/>
  <c r="R934" i="34"/>
  <c r="V934" i="34"/>
  <c r="AA934" i="34"/>
  <c r="Q1241" i="34"/>
  <c r="R1241" i="34"/>
  <c r="V1241" i="34"/>
  <c r="P1241" i="34"/>
  <c r="AA1241" i="34"/>
  <c r="R947" i="34"/>
  <c r="V947" i="34"/>
  <c r="AA947" i="34"/>
  <c r="P947" i="34"/>
  <c r="Q947" i="34"/>
  <c r="R933" i="34"/>
  <c r="V933" i="34"/>
  <c r="P933" i="34"/>
  <c r="Q933" i="34"/>
  <c r="AA933" i="34"/>
  <c r="P14" i="34"/>
  <c r="R14" i="34"/>
  <c r="Q14" i="34"/>
  <c r="A948" i="34"/>
  <c r="A893" i="34"/>
  <c r="A946" i="34"/>
  <c r="A942" i="34"/>
  <c r="A936" i="34"/>
  <c r="A932" i="34"/>
  <c r="A906" i="34"/>
  <c r="A917" i="34"/>
  <c r="A908" i="34"/>
  <c r="A902" i="34"/>
  <c r="A898" i="34"/>
  <c r="A872" i="34"/>
  <c r="A888" i="34"/>
  <c r="A1242" i="34"/>
  <c r="A896" i="34"/>
  <c r="A892" i="34"/>
  <c r="A945" i="34"/>
  <c r="A939" i="34"/>
  <c r="A935" i="34"/>
  <c r="A922" i="34"/>
  <c r="A905" i="34"/>
  <c r="A916" i="34"/>
  <c r="A907" i="34"/>
  <c r="A901" i="34"/>
  <c r="A877" i="34"/>
  <c r="A887" i="34"/>
  <c r="A950" i="34"/>
  <c r="A895" i="34"/>
  <c r="A891" i="34"/>
  <c r="A944" i="34"/>
  <c r="A938" i="34"/>
  <c r="A934" i="34"/>
  <c r="A921" i="34"/>
  <c r="A919" i="34"/>
  <c r="A915" i="34"/>
  <c r="A904" i="34"/>
  <c r="A900" i="34"/>
  <c r="A876" i="34"/>
  <c r="A890" i="34"/>
  <c r="A1241" i="34"/>
  <c r="A949" i="34"/>
  <c r="A894" i="34"/>
  <c r="A947" i="34"/>
  <c r="A943" i="34"/>
  <c r="A937" i="34"/>
  <c r="A933" i="34"/>
  <c r="A920" i="34"/>
  <c r="A918" i="34"/>
  <c r="A909" i="34"/>
  <c r="A903" i="34"/>
  <c r="A899" i="34"/>
  <c r="A875" i="34"/>
  <c r="A889" i="34"/>
  <c r="A1243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6" i="70"/>
  <c r="D47" i="70" s="1"/>
  <c r="C46" i="70"/>
  <c r="B344" i="34" l="1"/>
  <c r="B345" i="34"/>
  <c r="B346" i="34"/>
  <c r="B347" i="34"/>
  <c r="B348" i="34"/>
  <c r="B349" i="34"/>
  <c r="B171" i="34"/>
  <c r="B172" i="34"/>
  <c r="B372" i="34"/>
  <c r="B373" i="34"/>
  <c r="B374" i="34"/>
  <c r="R374" i="34" l="1"/>
  <c r="V374" i="34"/>
  <c r="P374" i="34"/>
  <c r="Q374" i="34"/>
  <c r="AA374" i="34"/>
  <c r="Q171" i="34"/>
  <c r="R171" i="34"/>
  <c r="V171" i="34"/>
  <c r="AA171" i="34"/>
  <c r="P171" i="34"/>
  <c r="R346" i="34"/>
  <c r="V346" i="34"/>
  <c r="P346" i="34"/>
  <c r="Q346" i="34"/>
  <c r="AA346" i="34"/>
  <c r="P347" i="34"/>
  <c r="Q347" i="34"/>
  <c r="R347" i="34"/>
  <c r="V347" i="34"/>
  <c r="AA347" i="34"/>
  <c r="P373" i="34"/>
  <c r="Q373" i="34"/>
  <c r="R373" i="34"/>
  <c r="V373" i="34"/>
  <c r="AA373" i="34"/>
  <c r="P349" i="34"/>
  <c r="Q349" i="34"/>
  <c r="R349" i="34"/>
  <c r="V349" i="34"/>
  <c r="AA349" i="34"/>
  <c r="P345" i="34"/>
  <c r="Q345" i="34"/>
  <c r="R345" i="34"/>
  <c r="V345" i="34"/>
  <c r="AA345" i="34"/>
  <c r="AA172" i="34"/>
  <c r="R172" i="34"/>
  <c r="P172" i="34"/>
  <c r="Q172" i="34"/>
  <c r="V172" i="34"/>
  <c r="R372" i="34"/>
  <c r="V372" i="34"/>
  <c r="P372" i="34"/>
  <c r="Q372" i="34"/>
  <c r="AA372" i="34"/>
  <c r="R348" i="34"/>
  <c r="V348" i="34"/>
  <c r="P348" i="34"/>
  <c r="Q348" i="34"/>
  <c r="AA348" i="34"/>
  <c r="R344" i="34"/>
  <c r="V344" i="34"/>
  <c r="P344" i="34"/>
  <c r="Q344" i="34"/>
  <c r="AA344" i="34"/>
  <c r="A372" i="34"/>
  <c r="A348" i="34"/>
  <c r="A344" i="34"/>
  <c r="A172" i="34"/>
  <c r="A347" i="34"/>
  <c r="A374" i="34"/>
  <c r="A171" i="34"/>
  <c r="A346" i="34"/>
  <c r="A373" i="34"/>
  <c r="A349" i="34"/>
  <c r="A345" i="34"/>
  <c r="B129" i="34"/>
  <c r="B135" i="34"/>
  <c r="B136" i="34"/>
  <c r="B137" i="34"/>
  <c r="B175" i="34"/>
  <c r="B176" i="34"/>
  <c r="B185" i="34"/>
  <c r="B343" i="34"/>
  <c r="B115" i="34"/>
  <c r="B116" i="34"/>
  <c r="B117" i="34"/>
  <c r="B118" i="34"/>
  <c r="B121" i="34"/>
  <c r="B123" i="34"/>
  <c r="B124" i="34"/>
  <c r="B127" i="34"/>
  <c r="B128" i="34"/>
  <c r="B114" i="34"/>
  <c r="B130" i="34"/>
  <c r="B113" i="34"/>
  <c r="B146" i="34"/>
  <c r="B145" i="34"/>
  <c r="B446" i="34"/>
  <c r="B445" i="34"/>
  <c r="B443" i="34"/>
  <c r="B442" i="34"/>
  <c r="B436" i="34"/>
  <c r="B401" i="34"/>
  <c r="B386" i="34"/>
  <c r="B385" i="34"/>
  <c r="B363" i="34"/>
  <c r="B142" i="34"/>
  <c r="B44" i="34"/>
  <c r="B45" i="34"/>
  <c r="B53" i="34"/>
  <c r="B54" i="34"/>
  <c r="B55" i="34"/>
  <c r="B59" i="34"/>
  <c r="B60" i="34"/>
  <c r="B61" i="34"/>
  <c r="B62" i="34"/>
  <c r="B399" i="34"/>
  <c r="B400" i="34"/>
  <c r="B107" i="34"/>
  <c r="B108" i="34"/>
  <c r="B350" i="34"/>
  <c r="B360" i="34"/>
  <c r="B362" i="34"/>
  <c r="B102" i="34"/>
  <c r="B82" i="34"/>
  <c r="B83" i="34"/>
  <c r="B66" i="34"/>
  <c r="B67" i="34"/>
  <c r="B47" i="34"/>
  <c r="B56" i="34"/>
  <c r="B57" i="34"/>
  <c r="B58" i="34"/>
  <c r="B85" i="34"/>
  <c r="B86" i="34"/>
  <c r="B87" i="34"/>
  <c r="B69" i="34"/>
  <c r="B70" i="34"/>
  <c r="B78" i="34"/>
  <c r="B79" i="34"/>
  <c r="B50" i="34"/>
  <c r="B51" i="34"/>
  <c r="B90" i="34"/>
  <c r="B91" i="34"/>
  <c r="B48" i="34"/>
  <c r="B49" i="34"/>
  <c r="B103" i="34"/>
  <c r="B104" i="34"/>
  <c r="B110" i="34"/>
  <c r="B111" i="34"/>
  <c r="B88" i="34"/>
  <c r="B89" i="34"/>
  <c r="B96" i="34"/>
  <c r="P70" i="34" l="1"/>
  <c r="Q70" i="34"/>
  <c r="R70" i="34"/>
  <c r="V70" i="34"/>
  <c r="AA70" i="34"/>
  <c r="R362" i="34"/>
  <c r="V362" i="34"/>
  <c r="P362" i="34"/>
  <c r="Q362" i="34"/>
  <c r="AA362" i="34"/>
  <c r="P54" i="34"/>
  <c r="R54" i="34"/>
  <c r="V54" i="34"/>
  <c r="AA54" i="34"/>
  <c r="Q54" i="34"/>
  <c r="Q88" i="34"/>
  <c r="R88" i="34"/>
  <c r="AA88" i="34"/>
  <c r="P88" i="34"/>
  <c r="V88" i="34"/>
  <c r="AA103" i="34"/>
  <c r="Q103" i="34"/>
  <c r="V103" i="34"/>
  <c r="P103" i="34"/>
  <c r="R103" i="34"/>
  <c r="Q90" i="34"/>
  <c r="AA90" i="34"/>
  <c r="P90" i="34"/>
  <c r="R90" i="34"/>
  <c r="V90" i="34"/>
  <c r="Q78" i="34"/>
  <c r="AA78" i="34"/>
  <c r="P78" i="34"/>
  <c r="R78" i="34"/>
  <c r="V78" i="34"/>
  <c r="Q86" i="34"/>
  <c r="AA86" i="34"/>
  <c r="P86" i="34"/>
  <c r="R86" i="34"/>
  <c r="V86" i="34"/>
  <c r="P58" i="34"/>
  <c r="Q58" i="34"/>
  <c r="V58" i="34"/>
  <c r="R58" i="34"/>
  <c r="AA58" i="34"/>
  <c r="R67" i="34"/>
  <c r="V67" i="34"/>
  <c r="P67" i="34"/>
  <c r="Q67" i="34"/>
  <c r="AA67" i="34"/>
  <c r="Q102" i="34"/>
  <c r="R102" i="34"/>
  <c r="AA102" i="34"/>
  <c r="P102" i="34"/>
  <c r="V102" i="34"/>
  <c r="Q108" i="34"/>
  <c r="V108" i="34"/>
  <c r="AA108" i="34"/>
  <c r="P108" i="34"/>
  <c r="R108" i="34"/>
  <c r="P62" i="34"/>
  <c r="Q62" i="34"/>
  <c r="R62" i="34"/>
  <c r="V62" i="34"/>
  <c r="AA62" i="34"/>
  <c r="R55" i="34"/>
  <c r="V55" i="34"/>
  <c r="P55" i="34"/>
  <c r="AA55" i="34"/>
  <c r="Q55" i="34"/>
  <c r="R44" i="34"/>
  <c r="V44" i="34"/>
  <c r="P44" i="34"/>
  <c r="Q44" i="34"/>
  <c r="AA44" i="34"/>
  <c r="R386" i="34"/>
  <c r="V386" i="34"/>
  <c r="P386" i="34"/>
  <c r="Q386" i="34"/>
  <c r="AA386" i="34"/>
  <c r="P443" i="34"/>
  <c r="Q443" i="34"/>
  <c r="R443" i="34"/>
  <c r="V443" i="34"/>
  <c r="AA443" i="34"/>
  <c r="AA146" i="34"/>
  <c r="R146" i="34"/>
  <c r="P146" i="34"/>
  <c r="V146" i="34"/>
  <c r="Q146" i="34"/>
  <c r="Q128" i="34"/>
  <c r="P128" i="34"/>
  <c r="R128" i="34"/>
  <c r="AA128" i="34"/>
  <c r="V128" i="34"/>
  <c r="AA121" i="34"/>
  <c r="R121" i="34"/>
  <c r="Q121" i="34"/>
  <c r="V121" i="34"/>
  <c r="P121" i="34"/>
  <c r="AA115" i="34"/>
  <c r="Q115" i="34"/>
  <c r="V115" i="34"/>
  <c r="P115" i="34"/>
  <c r="R115" i="34"/>
  <c r="Q175" i="34"/>
  <c r="R175" i="34"/>
  <c r="AA175" i="34"/>
  <c r="V175" i="34"/>
  <c r="P175" i="34"/>
  <c r="AA129" i="34"/>
  <c r="R129" i="34"/>
  <c r="P129" i="34"/>
  <c r="V129" i="34"/>
  <c r="Q129" i="34"/>
  <c r="P51" i="34"/>
  <c r="Q51" i="34"/>
  <c r="AA51" i="34"/>
  <c r="V51" i="34"/>
  <c r="R51" i="34"/>
  <c r="R57" i="34"/>
  <c r="V57" i="34"/>
  <c r="Q57" i="34"/>
  <c r="AA57" i="34"/>
  <c r="P57" i="34"/>
  <c r="R61" i="34"/>
  <c r="V61" i="34"/>
  <c r="P61" i="34"/>
  <c r="AA61" i="34"/>
  <c r="Q61" i="34"/>
  <c r="P445" i="34"/>
  <c r="Q445" i="34"/>
  <c r="R445" i="34"/>
  <c r="V445" i="34"/>
  <c r="AA445" i="34"/>
  <c r="P48" i="34"/>
  <c r="R48" i="34"/>
  <c r="V48" i="34"/>
  <c r="Q48" i="34"/>
  <c r="AA48" i="34"/>
  <c r="R360" i="34"/>
  <c r="V360" i="34"/>
  <c r="P360" i="34"/>
  <c r="Q360" i="34"/>
  <c r="AA360" i="34"/>
  <c r="R53" i="34"/>
  <c r="V53" i="34"/>
  <c r="P53" i="34"/>
  <c r="AA53" i="34"/>
  <c r="Q53" i="34"/>
  <c r="R446" i="34"/>
  <c r="V446" i="34"/>
  <c r="P446" i="34"/>
  <c r="Q446" i="34"/>
  <c r="AA446" i="34"/>
  <c r="AA117" i="34"/>
  <c r="R117" i="34"/>
  <c r="P117" i="34"/>
  <c r="V117" i="34"/>
  <c r="Q117" i="34"/>
  <c r="AA136" i="34"/>
  <c r="Q136" i="34"/>
  <c r="V136" i="34"/>
  <c r="P136" i="34"/>
  <c r="R136" i="34"/>
  <c r="AA111" i="34"/>
  <c r="Q111" i="34"/>
  <c r="V111" i="34"/>
  <c r="R111" i="34"/>
  <c r="P111" i="34"/>
  <c r="R49" i="34"/>
  <c r="V49" i="34"/>
  <c r="P49" i="34"/>
  <c r="AA49" i="34"/>
  <c r="Q49" i="34"/>
  <c r="AA85" i="34"/>
  <c r="R85" i="34"/>
  <c r="V85" i="34"/>
  <c r="P85" i="34"/>
  <c r="Q85" i="34"/>
  <c r="P66" i="34"/>
  <c r="R66" i="34"/>
  <c r="Q66" i="34"/>
  <c r="V66" i="34"/>
  <c r="AA66" i="34"/>
  <c r="AA107" i="34"/>
  <c r="Q107" i="34"/>
  <c r="V107" i="34"/>
  <c r="P107" i="34"/>
  <c r="R107" i="34"/>
  <c r="AA142" i="34"/>
  <c r="R142" i="34"/>
  <c r="V142" i="34"/>
  <c r="P142" i="34"/>
  <c r="Q142" i="34"/>
  <c r="P401" i="34"/>
  <c r="Q401" i="34"/>
  <c r="R401" i="34"/>
  <c r="V401" i="34"/>
  <c r="AA401" i="34"/>
  <c r="AA113" i="34"/>
  <c r="P113" i="34"/>
  <c r="R113" i="34"/>
  <c r="Q113" i="34"/>
  <c r="V113" i="34"/>
  <c r="AA127" i="34"/>
  <c r="Q127" i="34"/>
  <c r="V127" i="34"/>
  <c r="P127" i="34"/>
  <c r="R127" i="34"/>
  <c r="Q118" i="34"/>
  <c r="V118" i="34"/>
  <c r="P118" i="34"/>
  <c r="AA118" i="34"/>
  <c r="R118" i="34"/>
  <c r="P343" i="34"/>
  <c r="Q343" i="34"/>
  <c r="R343" i="34"/>
  <c r="V343" i="34"/>
  <c r="AA343" i="34"/>
  <c r="Q137" i="34"/>
  <c r="R137" i="34"/>
  <c r="P137" i="34"/>
  <c r="AA137" i="34"/>
  <c r="V137" i="34"/>
  <c r="Q96" i="34"/>
  <c r="V96" i="34"/>
  <c r="R96" i="34"/>
  <c r="P96" i="34"/>
  <c r="AA96" i="34"/>
  <c r="Q110" i="34"/>
  <c r="P110" i="34"/>
  <c r="AA110" i="34"/>
  <c r="V110" i="34"/>
  <c r="R110" i="34"/>
  <c r="R50" i="34"/>
  <c r="V50" i="34"/>
  <c r="P50" i="34"/>
  <c r="AA50" i="34"/>
  <c r="Q50" i="34"/>
  <c r="R69" i="34"/>
  <c r="V69" i="34"/>
  <c r="P69" i="34"/>
  <c r="Q69" i="34"/>
  <c r="AA69" i="34"/>
  <c r="P56" i="34"/>
  <c r="V56" i="34"/>
  <c r="AA56" i="34"/>
  <c r="R56" i="34"/>
  <c r="Q56" i="34"/>
  <c r="AA83" i="34"/>
  <c r="R83" i="34"/>
  <c r="Q83" i="34"/>
  <c r="P83" i="34"/>
  <c r="V83" i="34"/>
  <c r="R400" i="34"/>
  <c r="V400" i="34"/>
  <c r="P400" i="34"/>
  <c r="Q400" i="34"/>
  <c r="AA400" i="34"/>
  <c r="P60" i="34"/>
  <c r="Q60" i="34"/>
  <c r="AA60" i="34"/>
  <c r="R60" i="34"/>
  <c r="V60" i="34"/>
  <c r="P363" i="34"/>
  <c r="Q363" i="34"/>
  <c r="R363" i="34"/>
  <c r="V363" i="34"/>
  <c r="AA363" i="34"/>
  <c r="R436" i="34"/>
  <c r="V436" i="34"/>
  <c r="P436" i="34"/>
  <c r="Q436" i="34"/>
  <c r="AA436" i="34"/>
  <c r="Q130" i="34"/>
  <c r="P130" i="34"/>
  <c r="R130" i="34"/>
  <c r="V130" i="34"/>
  <c r="AA130" i="34"/>
  <c r="Q124" i="34"/>
  <c r="P124" i="34"/>
  <c r="V124" i="34"/>
  <c r="AA124" i="34"/>
  <c r="R124" i="34"/>
  <c r="Q185" i="34"/>
  <c r="P185" i="34"/>
  <c r="V185" i="34"/>
  <c r="AA185" i="34"/>
  <c r="R185" i="34"/>
  <c r="AA89" i="34"/>
  <c r="Q89" i="34"/>
  <c r="V89" i="34"/>
  <c r="P89" i="34"/>
  <c r="R89" i="34"/>
  <c r="Q104" i="34"/>
  <c r="V104" i="34"/>
  <c r="AA104" i="34"/>
  <c r="R104" i="34"/>
  <c r="P104" i="34"/>
  <c r="AA91" i="34"/>
  <c r="Q91" i="34"/>
  <c r="R91" i="34"/>
  <c r="V91" i="34"/>
  <c r="P91" i="34"/>
  <c r="AA79" i="34"/>
  <c r="Q79" i="34"/>
  <c r="P79" i="34"/>
  <c r="R79" i="34"/>
  <c r="V79" i="34"/>
  <c r="AA87" i="34"/>
  <c r="Q87" i="34"/>
  <c r="P87" i="34"/>
  <c r="R87" i="34"/>
  <c r="V87" i="34"/>
  <c r="R47" i="34"/>
  <c r="V47" i="34"/>
  <c r="AA47" i="34"/>
  <c r="Q47" i="34"/>
  <c r="P47" i="34"/>
  <c r="Q82" i="34"/>
  <c r="V82" i="34"/>
  <c r="AA82" i="34"/>
  <c r="P82" i="34"/>
  <c r="R82" i="34"/>
  <c r="R350" i="34"/>
  <c r="V350" i="34"/>
  <c r="P350" i="34"/>
  <c r="Q350" i="34"/>
  <c r="AA350" i="34"/>
  <c r="P399" i="34"/>
  <c r="Q399" i="34"/>
  <c r="R399" i="34"/>
  <c r="V399" i="34"/>
  <c r="AA399" i="34"/>
  <c r="R59" i="34"/>
  <c r="V59" i="34"/>
  <c r="P59" i="34"/>
  <c r="Q59" i="34"/>
  <c r="AA59" i="34"/>
  <c r="P45" i="34"/>
  <c r="Q45" i="34"/>
  <c r="AA45" i="34"/>
  <c r="R45" i="34"/>
  <c r="V45" i="34"/>
  <c r="P385" i="34"/>
  <c r="Q385" i="34"/>
  <c r="R385" i="34"/>
  <c r="V385" i="34"/>
  <c r="AA385" i="34"/>
  <c r="R442" i="34"/>
  <c r="V442" i="34"/>
  <c r="P442" i="34"/>
  <c r="Q442" i="34"/>
  <c r="AA442" i="34"/>
  <c r="Q145" i="34"/>
  <c r="P145" i="34"/>
  <c r="V145" i="34"/>
  <c r="R145" i="34"/>
  <c r="AA145" i="34"/>
  <c r="Q114" i="34"/>
  <c r="R114" i="34"/>
  <c r="AA114" i="34"/>
  <c r="P114" i="34"/>
  <c r="V114" i="34"/>
  <c r="AA123" i="34"/>
  <c r="Q123" i="34"/>
  <c r="V123" i="34"/>
  <c r="P123" i="34"/>
  <c r="R123" i="34"/>
  <c r="Q116" i="34"/>
  <c r="P116" i="34"/>
  <c r="R116" i="34"/>
  <c r="AA116" i="34"/>
  <c r="V116" i="34"/>
  <c r="AA176" i="34"/>
  <c r="Q176" i="34"/>
  <c r="V176" i="34"/>
  <c r="P176" i="34"/>
  <c r="R176" i="34"/>
  <c r="Q135" i="34"/>
  <c r="R135" i="34"/>
  <c r="AA135" i="34"/>
  <c r="V135" i="34"/>
  <c r="P135" i="34"/>
  <c r="A51" i="34"/>
  <c r="A57" i="34"/>
  <c r="A362" i="34"/>
  <c r="A61" i="34"/>
  <c r="A54" i="34"/>
  <c r="A401" i="34"/>
  <c r="A113" i="34"/>
  <c r="A96" i="34"/>
  <c r="A110" i="34"/>
  <c r="A48" i="34"/>
  <c r="A50" i="34"/>
  <c r="A69" i="34"/>
  <c r="A56" i="34"/>
  <c r="A83" i="34"/>
  <c r="A360" i="34"/>
  <c r="A400" i="34"/>
  <c r="A60" i="34"/>
  <c r="A53" i="34"/>
  <c r="A363" i="34"/>
  <c r="A436" i="34"/>
  <c r="A446" i="34"/>
  <c r="A130" i="34"/>
  <c r="A124" i="34"/>
  <c r="A117" i="34"/>
  <c r="A185" i="34"/>
  <c r="A136" i="34"/>
  <c r="A49" i="34"/>
  <c r="A89" i="34"/>
  <c r="A91" i="34"/>
  <c r="A87" i="34"/>
  <c r="A47" i="34"/>
  <c r="A82" i="34"/>
  <c r="A350" i="34"/>
  <c r="A399" i="34"/>
  <c r="A59" i="34"/>
  <c r="A45" i="34"/>
  <c r="A385" i="34"/>
  <c r="A442" i="34"/>
  <c r="A145" i="34"/>
  <c r="A114" i="34"/>
  <c r="A123" i="34"/>
  <c r="A116" i="34"/>
  <c r="A176" i="34"/>
  <c r="A135" i="34"/>
  <c r="A111" i="34"/>
  <c r="A85" i="34"/>
  <c r="A104" i="34"/>
  <c r="A79" i="34"/>
  <c r="A88" i="34"/>
  <c r="A103" i="34"/>
  <c r="A90" i="34"/>
  <c r="A78" i="34"/>
  <c r="A86" i="34"/>
  <c r="A58" i="34"/>
  <c r="A67" i="34"/>
  <c r="A102" i="34"/>
  <c r="A108" i="34"/>
  <c r="A62" i="34"/>
  <c r="A55" i="34"/>
  <c r="A44" i="34"/>
  <c r="A386" i="34"/>
  <c r="A443" i="34"/>
  <c r="A146" i="34"/>
  <c r="A128" i="34"/>
  <c r="A121" i="34"/>
  <c r="A115" i="34"/>
  <c r="A175" i="34"/>
  <c r="A129" i="34"/>
  <c r="A70" i="34"/>
  <c r="A66" i="34"/>
  <c r="A107" i="34"/>
  <c r="A142" i="34"/>
  <c r="A445" i="34"/>
  <c r="A127" i="34"/>
  <c r="A118" i="34"/>
  <c r="A343" i="34"/>
  <c r="A137" i="34"/>
  <c r="B867" i="34"/>
  <c r="B830" i="34"/>
  <c r="B829" i="34"/>
  <c r="B828" i="34"/>
  <c r="B804" i="34"/>
  <c r="B803" i="34"/>
  <c r="B285" i="34"/>
  <c r="B284" i="34"/>
  <c r="B447" i="34"/>
  <c r="B440" i="34"/>
  <c r="B439" i="34"/>
  <c r="B174" i="34"/>
  <c r="B173" i="34"/>
  <c r="B158" i="34"/>
  <c r="B159" i="34"/>
  <c r="B68" i="34"/>
  <c r="Q159" i="34" l="1"/>
  <c r="R159" i="34"/>
  <c r="AA159" i="34"/>
  <c r="V159" i="34"/>
  <c r="P159" i="34"/>
  <c r="P439" i="34"/>
  <c r="Q439" i="34"/>
  <c r="R439" i="34"/>
  <c r="V439" i="34"/>
  <c r="AA439" i="34"/>
  <c r="P285" i="34"/>
  <c r="Q285" i="34"/>
  <c r="V285" i="34"/>
  <c r="AA285" i="34"/>
  <c r="R285" i="34"/>
  <c r="R829" i="34"/>
  <c r="V829" i="34"/>
  <c r="P829" i="34"/>
  <c r="AA829" i="34"/>
  <c r="Q829" i="34"/>
  <c r="AA158" i="34"/>
  <c r="P158" i="34"/>
  <c r="Q158" i="34"/>
  <c r="V158" i="34"/>
  <c r="R158" i="34"/>
  <c r="R440" i="34"/>
  <c r="V440" i="34"/>
  <c r="P440" i="34"/>
  <c r="Q440" i="34"/>
  <c r="AA440" i="34"/>
  <c r="R803" i="34"/>
  <c r="V803" i="34"/>
  <c r="P803" i="34"/>
  <c r="AA803" i="34"/>
  <c r="Q803" i="34"/>
  <c r="P830" i="34"/>
  <c r="R830" i="34"/>
  <c r="V830" i="34"/>
  <c r="AA830" i="34"/>
  <c r="Q830" i="34"/>
  <c r="Q173" i="34"/>
  <c r="P173" i="34"/>
  <c r="V173" i="34"/>
  <c r="R173" i="34"/>
  <c r="AA173" i="34"/>
  <c r="P804" i="34"/>
  <c r="R804" i="34"/>
  <c r="V804" i="34"/>
  <c r="AA804" i="34"/>
  <c r="Q804" i="34"/>
  <c r="P447" i="34"/>
  <c r="Q447" i="34"/>
  <c r="R447" i="34"/>
  <c r="V447" i="34"/>
  <c r="AA447" i="34"/>
  <c r="P867" i="34"/>
  <c r="R867" i="34"/>
  <c r="V867" i="34"/>
  <c r="AA867" i="34"/>
  <c r="Q867" i="34"/>
  <c r="P68" i="34"/>
  <c r="Q68" i="34"/>
  <c r="R68" i="34"/>
  <c r="AA68" i="34"/>
  <c r="V68" i="34"/>
  <c r="AA174" i="34"/>
  <c r="P174" i="34"/>
  <c r="V174" i="34"/>
  <c r="Q174" i="34"/>
  <c r="R174" i="34"/>
  <c r="R284" i="34"/>
  <c r="V284" i="34"/>
  <c r="P284" i="34"/>
  <c r="Q284" i="34"/>
  <c r="AA284" i="34"/>
  <c r="P828" i="34"/>
  <c r="R828" i="34"/>
  <c r="V828" i="34"/>
  <c r="AA828" i="34"/>
  <c r="Q828" i="34"/>
  <c r="A440" i="34"/>
  <c r="A174" i="34"/>
  <c r="A284" i="34"/>
  <c r="A828" i="34"/>
  <c r="A159" i="34"/>
  <c r="A439" i="34"/>
  <c r="A285" i="34"/>
  <c r="A829" i="34"/>
  <c r="A158" i="34"/>
  <c r="A803" i="34"/>
  <c r="A830" i="34"/>
  <c r="A173" i="34"/>
  <c r="A447" i="34"/>
  <c r="A804" i="34"/>
  <c r="A867" i="34"/>
  <c r="A68" i="34"/>
  <c r="A14" i="71"/>
  <c r="E37" i="71" s="1"/>
  <c r="A19" i="71"/>
  <c r="A20" i="71"/>
  <c r="A17" i="71"/>
  <c r="B370" i="34"/>
  <c r="A18" i="71"/>
  <c r="B855" i="34"/>
  <c r="A16" i="71"/>
  <c r="A15" i="71"/>
  <c r="U10" i="34"/>
  <c r="P855" i="34" l="1"/>
  <c r="Q855" i="34"/>
  <c r="R855" i="34"/>
  <c r="V855" i="34"/>
  <c r="AA855" i="34"/>
  <c r="R370" i="34"/>
  <c r="V370" i="34"/>
  <c r="P370" i="34"/>
  <c r="Q370" i="34"/>
  <c r="AA370" i="34"/>
  <c r="A855" i="34"/>
  <c r="A370" i="34"/>
  <c r="A36" i="71"/>
  <c r="H2" i="71"/>
  <c r="S10" i="34"/>
  <c r="O8" i="43" l="1"/>
  <c r="N8" i="43"/>
  <c r="D13" i="15" l="1"/>
  <c r="C13" i="15"/>
  <c r="B109" i="34"/>
  <c r="B411" i="34"/>
  <c r="B435" i="34"/>
  <c r="B209" i="34"/>
  <c r="B283" i="34"/>
  <c r="B249" i="34"/>
  <c r="B801" i="34"/>
  <c r="B814" i="34"/>
  <c r="B827" i="34"/>
  <c r="B852" i="34"/>
  <c r="B897" i="34"/>
  <c r="B131" i="34"/>
  <c r="P249" i="34" l="1"/>
  <c r="Q249" i="34"/>
  <c r="AA249" i="34"/>
  <c r="V249" i="34"/>
  <c r="R249" i="34"/>
  <c r="R827" i="34"/>
  <c r="V827" i="34"/>
  <c r="P827" i="34"/>
  <c r="AA827" i="34"/>
  <c r="Q827" i="34"/>
  <c r="P283" i="34"/>
  <c r="Q283" i="34"/>
  <c r="R283" i="34"/>
  <c r="AA283" i="34"/>
  <c r="V283" i="34"/>
  <c r="AA109" i="34"/>
  <c r="R109" i="34"/>
  <c r="Q109" i="34"/>
  <c r="V109" i="34"/>
  <c r="P109" i="34"/>
  <c r="P411" i="34"/>
  <c r="Q411" i="34"/>
  <c r="R411" i="34"/>
  <c r="V411" i="34"/>
  <c r="AA411" i="34"/>
  <c r="AA131" i="34"/>
  <c r="R131" i="34"/>
  <c r="V131" i="34"/>
  <c r="P131" i="34"/>
  <c r="Q131" i="34"/>
  <c r="P814" i="34"/>
  <c r="R814" i="34"/>
  <c r="V814" i="34"/>
  <c r="AA814" i="34"/>
  <c r="Q814" i="34"/>
  <c r="Q209" i="34"/>
  <c r="AA209" i="34"/>
  <c r="P209" i="34"/>
  <c r="R209" i="34"/>
  <c r="V209" i="34"/>
  <c r="R852" i="34"/>
  <c r="V852" i="34"/>
  <c r="P852" i="34"/>
  <c r="Q852" i="34"/>
  <c r="AA852" i="34"/>
  <c r="P897" i="34"/>
  <c r="R897" i="34"/>
  <c r="V897" i="34"/>
  <c r="AA897" i="34"/>
  <c r="Q897" i="34"/>
  <c r="R801" i="34"/>
  <c r="V801" i="34"/>
  <c r="P801" i="34"/>
  <c r="AA801" i="34"/>
  <c r="Q801" i="34"/>
  <c r="P435" i="34"/>
  <c r="Q435" i="34"/>
  <c r="R435" i="34"/>
  <c r="V435" i="34"/>
  <c r="AA435" i="34"/>
  <c r="A814" i="34"/>
  <c r="A209" i="34"/>
  <c r="A131" i="34"/>
  <c r="A801" i="34"/>
  <c r="A435" i="34"/>
  <c r="A852" i="34"/>
  <c r="A411" i="34"/>
  <c r="A249" i="34"/>
  <c r="A827" i="34"/>
  <c r="A283" i="34"/>
  <c r="A109" i="34"/>
  <c r="A897" i="34"/>
  <c r="B11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Q112" i="34" l="1"/>
  <c r="P112" i="34"/>
  <c r="V112" i="34"/>
  <c r="AA112" i="34"/>
  <c r="R112" i="34"/>
  <c r="A11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S46" i="34" l="1"/>
  <c r="T46" i="34"/>
  <c r="U282" i="34"/>
  <c r="S292" i="34"/>
  <c r="T168" i="34"/>
  <c r="S169" i="34"/>
  <c r="S125" i="34"/>
  <c r="S152" i="34"/>
  <c r="S153" i="34"/>
  <c r="U65" i="34"/>
  <c r="T192" i="34"/>
  <c r="T170" i="34"/>
  <c r="U192" i="34"/>
  <c r="T150" i="34"/>
  <c r="S155" i="34"/>
  <c r="U157" i="34"/>
  <c r="U198" i="34"/>
  <c r="S160" i="34"/>
  <c r="U223" i="34"/>
  <c r="S167" i="34"/>
  <c r="U212" i="34"/>
  <c r="U268" i="34"/>
  <c r="U154" i="34"/>
  <c r="T258" i="34"/>
  <c r="S148" i="34"/>
  <c r="T157" i="34"/>
  <c r="U266" i="34"/>
  <c r="T167" i="34"/>
  <c r="S164" i="34"/>
  <c r="U147" i="34"/>
  <c r="U258" i="34"/>
  <c r="U156" i="34"/>
  <c r="U166" i="34"/>
  <c r="T268" i="34"/>
  <c r="U239" i="34"/>
  <c r="S156" i="34"/>
  <c r="T225" i="34"/>
  <c r="S166" i="34"/>
  <c r="T215" i="34"/>
  <c r="U165" i="34"/>
  <c r="T64" i="34"/>
  <c r="U63" i="34"/>
  <c r="S138" i="34"/>
  <c r="U139" i="34"/>
  <c r="T144" i="34"/>
  <c r="S287" i="34"/>
  <c r="U259" i="34"/>
  <c r="U194" i="34"/>
  <c r="T261" i="34"/>
  <c r="S204" i="34"/>
  <c r="T259" i="34"/>
  <c r="T262" i="34"/>
  <c r="U193" i="34"/>
  <c r="U250" i="34"/>
  <c r="U188" i="34"/>
  <c r="S288" i="34"/>
  <c r="T194" i="34"/>
  <c r="U289" i="34"/>
  <c r="S261" i="34"/>
  <c r="U287" i="34"/>
  <c r="T289" i="34"/>
  <c r="U269" i="34"/>
  <c r="U171" i="34"/>
  <c r="S88" i="34"/>
  <c r="U102" i="34"/>
  <c r="S129" i="34"/>
  <c r="T117" i="34"/>
  <c r="U113" i="34"/>
  <c r="U96" i="34"/>
  <c r="U83" i="34"/>
  <c r="T116" i="34"/>
  <c r="T88" i="34"/>
  <c r="U108" i="34"/>
  <c r="T121" i="34"/>
  <c r="S136" i="34"/>
  <c r="T127" i="34"/>
  <c r="U110" i="34"/>
  <c r="U104" i="34"/>
  <c r="T114" i="34"/>
  <c r="S176" i="34"/>
  <c r="S114" i="34"/>
  <c r="S175" i="34"/>
  <c r="S124" i="34"/>
  <c r="S103" i="34"/>
  <c r="S108" i="34"/>
  <c r="T115" i="34"/>
  <c r="U107" i="34"/>
  <c r="T56" i="34"/>
  <c r="S104" i="34"/>
  <c r="T135" i="34"/>
  <c r="T107" i="34"/>
  <c r="S145" i="34"/>
  <c r="T173" i="34"/>
  <c r="U159" i="34"/>
  <c r="T68" i="34"/>
  <c r="U173" i="34"/>
  <c r="S285" i="34"/>
  <c r="S171" i="34"/>
  <c r="U58" i="34"/>
  <c r="U129" i="34"/>
  <c r="T111" i="34"/>
  <c r="S110" i="34"/>
  <c r="U176" i="34"/>
  <c r="T103" i="34"/>
  <c r="T175" i="34"/>
  <c r="T136" i="34"/>
  <c r="T83" i="34"/>
  <c r="S47" i="34"/>
  <c r="T176" i="34"/>
  <c r="S66" i="34"/>
  <c r="S89" i="34"/>
  <c r="S128" i="34"/>
  <c r="S111" i="34"/>
  <c r="S83" i="34"/>
  <c r="T47" i="34"/>
  <c r="T113" i="34"/>
  <c r="U68" i="34"/>
  <c r="T159" i="34"/>
  <c r="S284" i="34"/>
  <c r="S173" i="34"/>
  <c r="S282" i="34"/>
  <c r="U291" i="34"/>
  <c r="U169" i="34"/>
  <c r="T80" i="34"/>
  <c r="U153" i="34"/>
  <c r="T125" i="34"/>
  <c r="T81" i="34"/>
  <c r="S271" i="34"/>
  <c r="U150" i="34"/>
  <c r="S198" i="34"/>
  <c r="T224" i="34"/>
  <c r="T163" i="34"/>
  <c r="T223" i="34"/>
  <c r="U160" i="34"/>
  <c r="T43" i="34"/>
  <c r="U46" i="34"/>
  <c r="T282" i="34"/>
  <c r="T292" i="34"/>
  <c r="U168" i="34"/>
  <c r="S80" i="34"/>
  <c r="T153" i="34"/>
  <c r="T152" i="34"/>
  <c r="S126" i="34"/>
  <c r="T271" i="34"/>
  <c r="S65" i="34"/>
  <c r="U170" i="34"/>
  <c r="S81" i="34"/>
  <c r="U155" i="34"/>
  <c r="S248" i="34"/>
  <c r="T232" i="34"/>
  <c r="U238" i="34"/>
  <c r="T160" i="34"/>
  <c r="S149" i="34"/>
  <c r="U232" i="34"/>
  <c r="U237" i="34"/>
  <c r="S151" i="34"/>
  <c r="U161" i="34"/>
  <c r="S258" i="34"/>
  <c r="U148" i="34"/>
  <c r="S163" i="34"/>
  <c r="S222" i="34"/>
  <c r="S268" i="34"/>
  <c r="U222" i="34"/>
  <c r="S154" i="34"/>
  <c r="T221" i="34"/>
  <c r="S162" i="34"/>
  <c r="U248" i="34"/>
  <c r="S238" i="34"/>
  <c r="S147" i="34"/>
  <c r="T166" i="34"/>
  <c r="T147" i="34"/>
  <c r="T222" i="34"/>
  <c r="S221" i="34"/>
  <c r="T290" i="34"/>
  <c r="S63" i="34"/>
  <c r="T63" i="34"/>
  <c r="U138" i="34"/>
  <c r="T139" i="34"/>
  <c r="U204" i="34"/>
  <c r="U270" i="34"/>
  <c r="S259" i="34"/>
  <c r="T272" i="34"/>
  <c r="S269" i="34"/>
  <c r="T250" i="34"/>
  <c r="T288" i="34"/>
  <c r="S262" i="34"/>
  <c r="U251" i="34"/>
  <c r="U260" i="34"/>
  <c r="T188" i="34"/>
  <c r="U288" i="34"/>
  <c r="U252" i="34"/>
  <c r="S272" i="34"/>
  <c r="S286" i="34"/>
  <c r="S270" i="34"/>
  <c r="U272" i="34"/>
  <c r="T267" i="34"/>
  <c r="T128" i="34"/>
  <c r="U118" i="34"/>
  <c r="S185" i="34"/>
  <c r="U146" i="34"/>
  <c r="T118" i="34"/>
  <c r="T123" i="34"/>
  <c r="S102" i="34"/>
  <c r="U103" i="34"/>
  <c r="S127" i="34"/>
  <c r="S146" i="34"/>
  <c r="S123" i="34"/>
  <c r="T174" i="34"/>
  <c r="S43" i="34"/>
  <c r="U292" i="34"/>
  <c r="U126" i="34"/>
  <c r="S192" i="34"/>
  <c r="T65" i="34"/>
  <c r="S237" i="34"/>
  <c r="U164" i="34"/>
  <c r="T238" i="34"/>
  <c r="U43" i="34"/>
  <c r="T291" i="34"/>
  <c r="S291" i="34"/>
  <c r="T169" i="34"/>
  <c r="S168" i="34"/>
  <c r="U80" i="34"/>
  <c r="U125" i="34"/>
  <c r="T126" i="34"/>
  <c r="U152" i="34"/>
  <c r="U81" i="34"/>
  <c r="S170" i="34"/>
  <c r="U271" i="34"/>
  <c r="S150" i="34"/>
  <c r="T155" i="34"/>
  <c r="T149" i="34"/>
  <c r="T198" i="34"/>
  <c r="U151" i="34"/>
  <c r="T248" i="34"/>
  <c r="U167" i="34"/>
  <c r="S224" i="34"/>
  <c r="U163" i="34"/>
  <c r="S191" i="34"/>
  <c r="T165" i="34"/>
  <c r="U240" i="34"/>
  <c r="S223" i="34"/>
  <c r="T266" i="34"/>
  <c r="T212" i="34"/>
  <c r="U224" i="34"/>
  <c r="S225" i="34"/>
  <c r="T161" i="34"/>
  <c r="T148" i="34"/>
  <c r="T162" i="34"/>
  <c r="S157" i="34"/>
  <c r="S266" i="34"/>
  <c r="U290" i="34"/>
  <c r="T239" i="34"/>
  <c r="T156" i="34"/>
  <c r="T240" i="34"/>
  <c r="S240" i="34"/>
  <c r="S64" i="34"/>
  <c r="U64" i="34"/>
  <c r="S122" i="34"/>
  <c r="S139" i="34"/>
  <c r="U144" i="34"/>
  <c r="T260" i="34"/>
  <c r="T263" i="34"/>
  <c r="U281" i="34"/>
  <c r="S251" i="34"/>
  <c r="S267" i="34"/>
  <c r="T211" i="34"/>
  <c r="S252" i="34"/>
  <c r="S289" i="34"/>
  <c r="U267" i="34"/>
  <c r="S188" i="34"/>
  <c r="S263" i="34"/>
  <c r="S194" i="34"/>
  <c r="U275" i="34"/>
  <c r="T251" i="34"/>
  <c r="S260" i="34"/>
  <c r="S275" i="34"/>
  <c r="U286" i="34"/>
  <c r="S172" i="34"/>
  <c r="U172" i="34"/>
  <c r="T67" i="34"/>
  <c r="U175" i="34"/>
  <c r="S117" i="34"/>
  <c r="S107" i="34"/>
  <c r="T137" i="34"/>
  <c r="U56" i="34"/>
  <c r="T82" i="34"/>
  <c r="U114" i="34"/>
  <c r="T102" i="34"/>
  <c r="S121" i="34"/>
  <c r="U57" i="34"/>
  <c r="S113" i="34"/>
  <c r="T96" i="34"/>
  <c r="T89" i="34"/>
  <c r="T145" i="34"/>
  <c r="U116" i="34"/>
  <c r="S82" i="34"/>
  <c r="T146" i="34"/>
  <c r="S96" i="34"/>
  <c r="U88" i="34"/>
  <c r="U67" i="34"/>
  <c r="U115" i="34"/>
  <c r="S165" i="34"/>
  <c r="S212" i="34"/>
  <c r="U215" i="34"/>
  <c r="U221" i="34"/>
  <c r="U225" i="34"/>
  <c r="T138" i="34"/>
  <c r="S281" i="34"/>
  <c r="T252" i="34"/>
  <c r="S211" i="34"/>
  <c r="T204" i="34"/>
  <c r="T172" i="34"/>
  <c r="T66" i="34"/>
  <c r="U47" i="34"/>
  <c r="U136" i="34"/>
  <c r="U123" i="34"/>
  <c r="U135" i="34"/>
  <c r="U66" i="34"/>
  <c r="T158" i="34"/>
  <c r="S232" i="34"/>
  <c r="S239" i="34"/>
  <c r="T281" i="34"/>
  <c r="S118" i="34"/>
  <c r="T58" i="34"/>
  <c r="U174" i="34"/>
  <c r="T237" i="34"/>
  <c r="T191" i="34"/>
  <c r="U149" i="34"/>
  <c r="S215" i="34"/>
  <c r="U122" i="34"/>
  <c r="S250" i="34"/>
  <c r="T269" i="34"/>
  <c r="U261" i="34"/>
  <c r="U262" i="34"/>
  <c r="T286" i="34"/>
  <c r="U121" i="34"/>
  <c r="S56" i="34"/>
  <c r="U128" i="34"/>
  <c r="T124" i="34"/>
  <c r="T108" i="34"/>
  <c r="S115" i="34"/>
  <c r="T110" i="34"/>
  <c r="S116" i="34"/>
  <c r="U89" i="34"/>
  <c r="T284" i="34"/>
  <c r="S158" i="34"/>
  <c r="U137" i="34"/>
  <c r="U111" i="34"/>
  <c r="T129" i="34"/>
  <c r="U285" i="34"/>
  <c r="S174" i="34"/>
  <c r="U117" i="34"/>
  <c r="U158" i="34"/>
  <c r="S290" i="34"/>
  <c r="U191" i="34"/>
  <c r="T193" i="34"/>
  <c r="T275" i="34"/>
  <c r="S67" i="34"/>
  <c r="S137" i="34"/>
  <c r="S135" i="34"/>
  <c r="U145" i="34"/>
  <c r="U185" i="34"/>
  <c r="S68" i="34"/>
  <c r="T151" i="34"/>
  <c r="T154" i="34"/>
  <c r="T164" i="34"/>
  <c r="S161" i="34"/>
  <c r="T122" i="34"/>
  <c r="U211" i="34"/>
  <c r="T287" i="34"/>
  <c r="T270" i="34"/>
  <c r="S193" i="34"/>
  <c r="T171" i="34"/>
  <c r="S57" i="34"/>
  <c r="T104" i="34"/>
  <c r="T57" i="34"/>
  <c r="U82" i="34"/>
  <c r="U124" i="34"/>
  <c r="T285" i="34"/>
  <c r="T185" i="34"/>
  <c r="U284" i="34"/>
  <c r="U162" i="34"/>
  <c r="S144" i="34"/>
  <c r="U263" i="34"/>
  <c r="S58" i="34"/>
  <c r="U127" i="34"/>
  <c r="S159" i="34"/>
  <c r="T283" i="34"/>
  <c r="S109" i="34"/>
  <c r="S249" i="34"/>
  <c r="U283" i="34"/>
  <c r="T109" i="34"/>
  <c r="U249" i="34"/>
  <c r="S283" i="34"/>
  <c r="U109" i="34"/>
  <c r="T249" i="34"/>
  <c r="T112" i="34"/>
  <c r="U112" i="34"/>
  <c r="S112" i="34"/>
  <c r="I65" i="55" a="1"/>
  <c r="I65" i="55" s="1"/>
  <c r="I14" i="55" a="1"/>
  <c r="I14" i="55" s="1"/>
  <c r="G22" i="55" a="1"/>
  <c r="G22" i="55" s="1"/>
  <c r="I20" i="55" a="1"/>
  <c r="I20" i="55" s="1"/>
  <c r="G65" i="55" a="1"/>
  <c r="G65" i="55" s="1"/>
  <c r="G14" i="55" a="1"/>
  <c r="G14" i="55" s="1"/>
  <c r="G21" i="55" a="1"/>
  <c r="G21" i="55" s="1"/>
  <c r="G20" i="55" a="1"/>
  <c r="G20" i="55" s="1"/>
  <c r="I22" i="55" a="1"/>
  <c r="I22" i="55" s="1"/>
  <c r="I21" i="55" a="1"/>
  <c r="I21" i="55" s="1"/>
  <c r="A14" i="12"/>
  <c r="F21" i="43" l="1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20" i="55"/>
  <c r="K65" i="55"/>
  <c r="K21" i="55"/>
  <c r="K22" i="55"/>
  <c r="A12" i="43"/>
  <c r="G96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R20" i="34" l="1"/>
  <c r="V20" i="34"/>
  <c r="P20" i="34"/>
  <c r="Q20" i="34"/>
  <c r="AA20" i="34"/>
  <c r="P19" i="34"/>
  <c r="Q19" i="34"/>
  <c r="R19" i="34"/>
  <c r="V19" i="34"/>
  <c r="AA19" i="34"/>
  <c r="P21" i="34"/>
  <c r="Q21" i="34"/>
  <c r="R21" i="34"/>
  <c r="V21" i="34"/>
  <c r="AA21" i="34"/>
  <c r="P17" i="34"/>
  <c r="Q17" i="34"/>
  <c r="R17" i="34"/>
  <c r="V17" i="34"/>
  <c r="AA17" i="34"/>
  <c r="Q16" i="34"/>
  <c r="R16" i="34"/>
  <c r="V16" i="34"/>
  <c r="AA16" i="34"/>
  <c r="P16" i="34"/>
  <c r="P18" i="34"/>
  <c r="Q18" i="34"/>
  <c r="R18" i="34"/>
  <c r="V18" i="34"/>
  <c r="AA18" i="34"/>
  <c r="R15" i="34"/>
  <c r="V15" i="34"/>
  <c r="AA15" i="34"/>
  <c r="P15" i="34"/>
  <c r="Q15" i="34"/>
  <c r="A17" i="34"/>
  <c r="P13" i="34"/>
  <c r="A13" i="34"/>
  <c r="A20" i="34"/>
  <c r="A16" i="34"/>
  <c r="A21" i="34"/>
  <c r="A19" i="34"/>
  <c r="A18" i="34"/>
  <c r="A15" i="34"/>
  <c r="V11" i="34"/>
  <c r="P11" i="34"/>
  <c r="V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303" i="34" l="1"/>
  <c r="W302" i="34"/>
  <c r="W316" i="34"/>
  <c r="W298" i="34"/>
  <c r="W315" i="34"/>
  <c r="W297" i="34"/>
  <c r="W299" i="34"/>
  <c r="W305" i="34"/>
  <c r="W318" i="34"/>
  <c r="W306" i="34"/>
  <c r="W304" i="34"/>
  <c r="W312" i="34"/>
  <c r="W310" i="34"/>
  <c r="W317" i="34"/>
  <c r="W311" i="34"/>
  <c r="W342" i="34"/>
  <c r="W341" i="34"/>
  <c r="W320" i="34"/>
  <c r="W332" i="34"/>
  <c r="W337" i="34"/>
  <c r="W314" i="34"/>
  <c r="W340" i="34"/>
  <c r="W301" i="34"/>
  <c r="W300" i="34"/>
  <c r="W295" i="34"/>
  <c r="W296" i="34"/>
  <c r="W329" i="34"/>
  <c r="W333" i="34"/>
  <c r="W336" i="34"/>
  <c r="W313" i="34"/>
  <c r="W309" i="34"/>
  <c r="W319" i="34"/>
  <c r="A12" i="56"/>
  <c r="A11" i="56"/>
  <c r="X757" i="34"/>
  <c r="X607" i="34"/>
  <c r="X673" i="34"/>
  <c r="X326" i="34"/>
  <c r="X717" i="34"/>
  <c r="X712" i="34"/>
  <c r="X690" i="34"/>
  <c r="X325" i="34"/>
  <c r="X331" i="34"/>
  <c r="X740" i="34"/>
  <c r="X733" i="34"/>
  <c r="X747" i="34"/>
  <c r="X674" i="34"/>
  <c r="X730" i="34"/>
  <c r="X771" i="34"/>
  <c r="X768" i="34"/>
  <c r="X713" i="34"/>
  <c r="X689" i="34"/>
  <c r="X698" i="34"/>
  <c r="X294" i="34"/>
  <c r="X723" i="34"/>
  <c r="X739" i="34"/>
  <c r="X759" i="34"/>
  <c r="X708" i="34"/>
  <c r="X716" i="34"/>
  <c r="X700" i="34"/>
  <c r="X711" i="34"/>
  <c r="X760" i="34"/>
  <c r="X279" i="34"/>
  <c r="X265" i="34"/>
  <c r="X254" i="34"/>
  <c r="X649" i="34"/>
  <c r="X663" i="34"/>
  <c r="X637" i="34"/>
  <c r="X635" i="34"/>
  <c r="X256" i="34"/>
  <c r="X652" i="34"/>
  <c r="X681" i="34"/>
  <c r="X664" i="34"/>
  <c r="X634" i="34"/>
  <c r="X273" i="34"/>
  <c r="X650" i="34"/>
  <c r="X662" i="34"/>
  <c r="X276" i="34"/>
  <c r="X230" i="34"/>
  <c r="X236" i="34"/>
  <c r="X657" i="34"/>
  <c r="X676" i="34"/>
  <c r="X665" i="34"/>
  <c r="X644" i="34"/>
  <c r="X655" i="34"/>
  <c r="X247" i="34"/>
  <c r="X234" i="34"/>
  <c r="X677" i="34"/>
  <c r="X640" i="34"/>
  <c r="X758" i="34"/>
  <c r="X338" i="34"/>
  <c r="X734" i="34"/>
  <c r="X772" i="34"/>
  <c r="X721" i="34"/>
  <c r="X765" i="34"/>
  <c r="X726" i="34"/>
  <c r="X323" i="34"/>
  <c r="X748" i="34"/>
  <c r="X719" i="34"/>
  <c r="X737" i="34"/>
  <c r="X751" i="34"/>
  <c r="X722" i="34"/>
  <c r="X754" i="34"/>
  <c r="X773" i="34"/>
  <c r="X750" i="34"/>
  <c r="X718" i="34"/>
  <c r="X697" i="34"/>
  <c r="X738" i="34"/>
  <c r="X308" i="34"/>
  <c r="X727" i="34"/>
  <c r="X743" i="34"/>
  <c r="X704" i="34"/>
  <c r="X761" i="34"/>
  <c r="X692" i="34"/>
  <c r="X693" i="34"/>
  <c r="X762" i="34"/>
  <c r="X228" i="34"/>
  <c r="X280" i="34"/>
  <c r="X246" i="34"/>
  <c r="X651" i="34"/>
  <c r="X669" i="34"/>
  <c r="X646" i="34"/>
  <c r="X625" i="34"/>
  <c r="X628" i="34"/>
  <c r="X257" i="34"/>
  <c r="X660" i="34"/>
  <c r="X678" i="34"/>
  <c r="X666" i="34"/>
  <c r="X638" i="34"/>
  <c r="X274" i="34"/>
  <c r="X658" i="34"/>
  <c r="X633" i="34"/>
  <c r="X277" i="34"/>
  <c r="X231" i="34"/>
  <c r="X233" i="34"/>
  <c r="X667" i="34"/>
  <c r="X680" i="34"/>
  <c r="X670" i="34"/>
  <c r="X642" i="34"/>
  <c r="X645" i="34"/>
  <c r="X243" i="34"/>
  <c r="X647" i="34"/>
  <c r="X605" i="34"/>
  <c r="X339" i="34"/>
  <c r="X330" i="34"/>
  <c r="X746" i="34"/>
  <c r="X720" i="34"/>
  <c r="X764" i="34"/>
  <c r="X742" i="34"/>
  <c r="X321" i="34"/>
  <c r="X736" i="34"/>
  <c r="X725" i="34"/>
  <c r="X741" i="34"/>
  <c r="X755" i="34"/>
  <c r="X694" i="34"/>
  <c r="X335" i="34"/>
  <c r="X770" i="34"/>
  <c r="X714" i="34"/>
  <c r="X701" i="34"/>
  <c r="X705" i="34"/>
  <c r="X774" i="34"/>
  <c r="X328" i="34"/>
  <c r="X731" i="34"/>
  <c r="X749" i="34"/>
  <c r="X691" i="34"/>
  <c r="X766" i="34"/>
  <c r="X699" i="34"/>
  <c r="X709" i="34"/>
  <c r="X695" i="34"/>
  <c r="X229" i="34"/>
  <c r="X278" i="34"/>
  <c r="X241" i="34"/>
  <c r="X654" i="34"/>
  <c r="X683" i="34"/>
  <c r="X636" i="34"/>
  <c r="X643" i="34"/>
  <c r="X623" i="34"/>
  <c r="X255" i="34"/>
  <c r="X682" i="34"/>
  <c r="X679" i="34"/>
  <c r="X656" i="34"/>
  <c r="X606" i="34"/>
  <c r="X752" i="34"/>
  <c r="X307" i="34"/>
  <c r="X732" i="34"/>
  <c r="X707" i="34"/>
  <c r="X756" i="34"/>
  <c r="X324" i="34"/>
  <c r="X322" i="34"/>
  <c r="X744" i="34"/>
  <c r="X729" i="34"/>
  <c r="X745" i="34"/>
  <c r="X703" i="34"/>
  <c r="X728" i="34"/>
  <c r="X327" i="34"/>
  <c r="X769" i="34"/>
  <c r="X715" i="34"/>
  <c r="X696" i="34"/>
  <c r="X334" i="34"/>
  <c r="X293" i="34"/>
  <c r="X724" i="34"/>
  <c r="X735" i="34"/>
  <c r="X753" i="34"/>
  <c r="X702" i="34"/>
  <c r="X763" i="34"/>
  <c r="X675" i="34"/>
  <c r="X710" i="34"/>
  <c r="X706" i="34"/>
  <c r="X631" i="34"/>
  <c r="X264" i="34"/>
  <c r="X242" i="34"/>
  <c r="X668" i="34"/>
  <c r="X661" i="34"/>
  <c r="X671" i="34"/>
  <c r="X639" i="34"/>
  <c r="X627" i="34"/>
  <c r="X245" i="34"/>
  <c r="X659" i="34"/>
  <c r="X686" i="34"/>
  <c r="X648" i="34"/>
  <c r="X630" i="34"/>
  <c r="X253" i="34"/>
  <c r="X687" i="34"/>
  <c r="X632" i="34"/>
  <c r="X244" i="34"/>
  <c r="X235" i="34"/>
  <c r="X653" i="34"/>
  <c r="X685" i="34"/>
  <c r="X688" i="34"/>
  <c r="X641" i="34"/>
  <c r="X626" i="34"/>
  <c r="X629" i="34"/>
  <c r="X624" i="34"/>
  <c r="X684" i="34"/>
  <c r="W758" i="34"/>
  <c r="W757" i="34"/>
  <c r="W607" i="34"/>
  <c r="W606" i="34"/>
  <c r="W605" i="34"/>
  <c r="W339" i="34"/>
  <c r="W338" i="34"/>
  <c r="W294" i="34"/>
  <c r="W293" i="34"/>
  <c r="W308" i="34"/>
  <c r="W307" i="34"/>
  <c r="W325" i="34"/>
  <c r="W324" i="34"/>
  <c r="W323" i="34"/>
  <c r="W335" i="34"/>
  <c r="W334" i="34"/>
  <c r="W322" i="34"/>
  <c r="W321" i="34"/>
  <c r="W328" i="34"/>
  <c r="W327" i="34"/>
  <c r="W326" i="34"/>
  <c r="W331" i="34"/>
  <c r="W330" i="34"/>
  <c r="W773" i="34"/>
  <c r="W771" i="34"/>
  <c r="W772" i="34"/>
  <c r="W770" i="34"/>
  <c r="W774" i="34"/>
  <c r="W714" i="34"/>
  <c r="W769" i="34"/>
  <c r="W768" i="34"/>
  <c r="W721" i="34"/>
  <c r="W719" i="34"/>
  <c r="W717" i="34"/>
  <c r="W715" i="34"/>
  <c r="W720" i="34"/>
  <c r="W718" i="34"/>
  <c r="W716" i="34"/>
  <c r="W713" i="34"/>
  <c r="W732" i="34"/>
  <c r="W730" i="34"/>
  <c r="W728" i="34"/>
  <c r="W726" i="34"/>
  <c r="W724" i="34"/>
  <c r="W722" i="34"/>
  <c r="W733" i="34"/>
  <c r="W729" i="34"/>
  <c r="W727" i="34"/>
  <c r="W725" i="34"/>
  <c r="W723" i="34"/>
  <c r="W731" i="34"/>
  <c r="W744" i="34"/>
  <c r="W742" i="34"/>
  <c r="W740" i="34"/>
  <c r="W738" i="34"/>
  <c r="W736" i="34"/>
  <c r="W734" i="34"/>
  <c r="W745" i="34"/>
  <c r="W743" i="34"/>
  <c r="W741" i="34"/>
  <c r="W739" i="34"/>
  <c r="W737" i="34"/>
  <c r="W735" i="34"/>
  <c r="W756" i="34"/>
  <c r="W754" i="34"/>
  <c r="W752" i="34"/>
  <c r="W750" i="34"/>
  <c r="W748" i="34"/>
  <c r="W746" i="34"/>
  <c r="W759" i="34"/>
  <c r="W755" i="34"/>
  <c r="W753" i="34"/>
  <c r="W751" i="34"/>
  <c r="W749" i="34"/>
  <c r="W747" i="34"/>
  <c r="W703" i="34"/>
  <c r="W701" i="34"/>
  <c r="W699" i="34"/>
  <c r="W698" i="34"/>
  <c r="W696" i="34"/>
  <c r="W694" i="34"/>
  <c r="W692" i="34"/>
  <c r="W690" i="34"/>
  <c r="W675" i="34"/>
  <c r="W673" i="34"/>
  <c r="W702" i="34"/>
  <c r="W704" i="34"/>
  <c r="W700" i="34"/>
  <c r="W697" i="34"/>
  <c r="W695" i="34"/>
  <c r="W693" i="34"/>
  <c r="W691" i="34"/>
  <c r="W689" i="34"/>
  <c r="W674" i="34"/>
  <c r="W709" i="34"/>
  <c r="W707" i="34"/>
  <c r="W705" i="34"/>
  <c r="W706" i="34"/>
  <c r="W708" i="34"/>
  <c r="W761" i="34"/>
  <c r="W712" i="34"/>
  <c r="W710" i="34"/>
  <c r="W760" i="34"/>
  <c r="W711" i="34"/>
  <c r="W766" i="34"/>
  <c r="W764" i="34"/>
  <c r="W762" i="34"/>
  <c r="W765" i="34"/>
  <c r="W763" i="34"/>
  <c r="W229" i="34"/>
  <c r="W228" i="34"/>
  <c r="W280" i="34"/>
  <c r="W279" i="34"/>
  <c r="W278" i="34"/>
  <c r="W277" i="34"/>
  <c r="W276" i="34"/>
  <c r="W274" i="34"/>
  <c r="W273" i="34"/>
  <c r="W265" i="34"/>
  <c r="W264" i="34"/>
  <c r="W247" i="34"/>
  <c r="W257" i="34"/>
  <c r="W256" i="34"/>
  <c r="W255" i="34"/>
  <c r="W246" i="34"/>
  <c r="W245" i="34"/>
  <c r="W244" i="34"/>
  <c r="W243" i="34"/>
  <c r="W242" i="34"/>
  <c r="W241" i="34"/>
  <c r="W234" i="34"/>
  <c r="W231" i="34"/>
  <c r="W230" i="34"/>
  <c r="W254" i="34"/>
  <c r="W253" i="34"/>
  <c r="W236" i="34"/>
  <c r="W235" i="34"/>
  <c r="W233" i="34"/>
  <c r="W668" i="34"/>
  <c r="W660" i="34"/>
  <c r="W658" i="34"/>
  <c r="W656" i="34"/>
  <c r="W654" i="34"/>
  <c r="W652" i="34"/>
  <c r="W650" i="34"/>
  <c r="W667" i="34"/>
  <c r="W659" i="34"/>
  <c r="W657" i="34"/>
  <c r="W655" i="34"/>
  <c r="W653" i="34"/>
  <c r="W651" i="34"/>
  <c r="W649" i="34"/>
  <c r="W687" i="34"/>
  <c r="W685" i="34"/>
  <c r="W683" i="34"/>
  <c r="W681" i="34"/>
  <c r="W679" i="34"/>
  <c r="W677" i="34"/>
  <c r="W669" i="34"/>
  <c r="W688" i="34"/>
  <c r="W686" i="34"/>
  <c r="W684" i="34"/>
  <c r="W682" i="34"/>
  <c r="W680" i="34"/>
  <c r="W678" i="34"/>
  <c r="W676" i="34"/>
  <c r="W670" i="34"/>
  <c r="W665" i="34"/>
  <c r="W663" i="34"/>
  <c r="W661" i="34"/>
  <c r="W666" i="34"/>
  <c r="W664" i="34"/>
  <c r="W662" i="34"/>
  <c r="W633" i="34"/>
  <c r="W632" i="34"/>
  <c r="W631" i="34"/>
  <c r="W630" i="34"/>
  <c r="W629" i="34"/>
  <c r="W628" i="34"/>
  <c r="W627" i="34"/>
  <c r="W626" i="34"/>
  <c r="W625" i="34"/>
  <c r="W624" i="34"/>
  <c r="W623" i="34"/>
  <c r="W643" i="34"/>
  <c r="W642" i="34"/>
  <c r="W641" i="34"/>
  <c r="W640" i="34"/>
  <c r="W639" i="34"/>
  <c r="W638" i="34"/>
  <c r="W637" i="34"/>
  <c r="W636" i="34"/>
  <c r="W635" i="34"/>
  <c r="W634" i="34"/>
  <c r="W671" i="34"/>
  <c r="W648" i="34"/>
  <c r="W647" i="34"/>
  <c r="W646" i="34"/>
  <c r="W645" i="34"/>
  <c r="W644" i="34"/>
  <c r="X43" i="34"/>
  <c r="X42" i="34"/>
  <c r="X31" i="34"/>
  <c r="X37" i="34"/>
  <c r="X26" i="34"/>
  <c r="X28" i="34"/>
  <c r="X608" i="34"/>
  <c r="X553" i="34"/>
  <c r="X596" i="34"/>
  <c r="X597" i="34"/>
  <c r="X595" i="34"/>
  <c r="X554" i="34"/>
  <c r="X361" i="34"/>
  <c r="X291" i="34"/>
  <c r="X500" i="34"/>
  <c r="X77" i="34"/>
  <c r="X76" i="34"/>
  <c r="X177" i="34"/>
  <c r="X168" i="34"/>
  <c r="X152" i="34"/>
  <c r="X99" i="34"/>
  <c r="X179" i="34"/>
  <c r="X98" i="34"/>
  <c r="X106" i="34"/>
  <c r="X100" i="34"/>
  <c r="X190" i="34"/>
  <c r="X464" i="34"/>
  <c r="X621" i="34"/>
  <c r="X469" i="34"/>
  <c r="X462" i="34"/>
  <c r="X454" i="34"/>
  <c r="X480" i="34"/>
  <c r="X214" i="34"/>
  <c r="X622" i="34"/>
  <c r="X459" i="34"/>
  <c r="X456" i="34"/>
  <c r="X458" i="34"/>
  <c r="X84" i="34"/>
  <c r="X498" i="34"/>
  <c r="X482" i="34"/>
  <c r="X531" i="34"/>
  <c r="X849" i="34"/>
  <c r="X532" i="34"/>
  <c r="X534" i="34"/>
  <c r="X512" i="34"/>
  <c r="X535" i="34"/>
  <c r="X513" i="34"/>
  <c r="X526" i="34"/>
  <c r="X203" i="34"/>
  <c r="X195" i="34"/>
  <c r="X528" i="34"/>
  <c r="X619" i="34"/>
  <c r="X568" i="34"/>
  <c r="X271" i="34"/>
  <c r="X371" i="34"/>
  <c r="X155" i="34"/>
  <c r="X858" i="34"/>
  <c r="X537" i="34"/>
  <c r="X407" i="34"/>
  <c r="X823" i="34"/>
  <c r="X151" i="34"/>
  <c r="X392" i="34"/>
  <c r="X617" i="34"/>
  <c r="X859" i="34"/>
  <c r="X578" i="34"/>
  <c r="X822" i="34"/>
  <c r="X579" i="34"/>
  <c r="X369" i="34"/>
  <c r="X384" i="34"/>
  <c r="X599" i="34"/>
  <c r="X225" i="34"/>
  <c r="X885" i="34"/>
  <c r="X563" i="34"/>
  <c r="X806" i="34"/>
  <c r="X432" i="34"/>
  <c r="X156" i="34"/>
  <c r="X248" i="34"/>
  <c r="X406" i="34"/>
  <c r="X798" i="34"/>
  <c r="X575" i="34"/>
  <c r="X359" i="34"/>
  <c r="X586" i="34"/>
  <c r="X601" i="34"/>
  <c r="X163" i="34"/>
  <c r="X598" i="34"/>
  <c r="X355" i="34"/>
  <c r="X266" i="34"/>
  <c r="X427" i="34"/>
  <c r="X824" i="34"/>
  <c r="X147" i="34"/>
  <c r="X365" i="34"/>
  <c r="X572" i="34"/>
  <c r="X539" i="34"/>
  <c r="X861" i="34"/>
  <c r="X215" i="34"/>
  <c r="X564" i="34"/>
  <c r="X873" i="34"/>
  <c r="X354" i="34"/>
  <c r="X583" i="34"/>
  <c r="X379" i="34"/>
  <c r="X258" i="34"/>
  <c r="X863" i="34"/>
  <c r="X357" i="34"/>
  <c r="X377" i="34"/>
  <c r="X910" i="34"/>
  <c r="X353" i="34"/>
  <c r="X63" i="34"/>
  <c r="X52" i="34"/>
  <c r="X138" i="34"/>
  <c r="X40" i="34"/>
  <c r="X134" i="34"/>
  <c r="X101" i="34"/>
  <c r="X180" i="34"/>
  <c r="X141" i="34"/>
  <c r="X120" i="34"/>
  <c r="X452" i="34"/>
  <c r="X478" i="34"/>
  <c r="X448" i="34"/>
  <c r="X488" i="34"/>
  <c r="X487" i="34"/>
  <c r="X850" i="34"/>
  <c r="X515" i="34"/>
  <c r="X519" i="34"/>
  <c r="X509" i="34"/>
  <c r="X524" i="34"/>
  <c r="X527" i="34"/>
  <c r="X853" i="34"/>
  <c r="X557" i="34"/>
  <c r="X170" i="34"/>
  <c r="X237" i="34"/>
  <c r="X383" i="34"/>
  <c r="X851" i="34"/>
  <c r="X426" i="34"/>
  <c r="X555" i="34"/>
  <c r="X378" i="34"/>
  <c r="X571" i="34"/>
  <c r="X227" i="34"/>
  <c r="X376" i="34"/>
  <c r="X398" i="34"/>
  <c r="X574" i="34"/>
  <c r="X616" i="34"/>
  <c r="X884" i="34"/>
  <c r="X391" i="34"/>
  <c r="X556" i="34"/>
  <c r="X576" i="34"/>
  <c r="X218" i="34"/>
  <c r="X165" i="34"/>
  <c r="X585" i="34"/>
  <c r="X290" i="34"/>
  <c r="X778" i="34"/>
  <c r="X565" i="34"/>
  <c r="X588" i="34"/>
  <c r="X825" i="34"/>
  <c r="X856" i="34"/>
  <c r="X797" i="34"/>
  <c r="X590" i="34"/>
  <c r="X36" i="34"/>
  <c r="X41" i="34"/>
  <c r="X25" i="34"/>
  <c r="X34" i="34"/>
  <c r="X29" i="34"/>
  <c r="X24" i="34"/>
  <c r="X613" i="34"/>
  <c r="X544" i="34"/>
  <c r="X545" i="34"/>
  <c r="X543" i="34"/>
  <c r="X546" i="34"/>
  <c r="X610" i="34"/>
  <c r="X441" i="34"/>
  <c r="X444" i="34"/>
  <c r="X413" i="34"/>
  <c r="X73" i="34"/>
  <c r="X94" i="34"/>
  <c r="X133" i="34"/>
  <c r="X80" i="34"/>
  <c r="X153" i="34"/>
  <c r="X143" i="34"/>
  <c r="X140" i="34"/>
  <c r="X119" i="34"/>
  <c r="X105" i="34"/>
  <c r="X183" i="34"/>
  <c r="X189" i="34"/>
  <c r="X472" i="34"/>
  <c r="X202" i="34"/>
  <c r="X477" i="34"/>
  <c r="X470" i="34"/>
  <c r="X463" i="34"/>
  <c r="X468" i="34"/>
  <c r="X451" i="34"/>
  <c r="X466" i="34"/>
  <c r="X475" i="34"/>
  <c r="X465" i="34"/>
  <c r="X474" i="34"/>
  <c r="X187" i="34"/>
  <c r="X854" i="34"/>
  <c r="X507" i="34"/>
  <c r="X494" i="34"/>
  <c r="X493" i="34"/>
  <c r="X533" i="34"/>
  <c r="X196" i="34"/>
  <c r="X497" i="34"/>
  <c r="X504" i="34"/>
  <c r="X525" i="34"/>
  <c r="X503" i="34"/>
  <c r="X505" i="34"/>
  <c r="X510" i="34"/>
  <c r="X529" i="34"/>
  <c r="X201" i="34"/>
  <c r="X518" i="34"/>
  <c r="X65" i="34"/>
  <c r="X200" i="34"/>
  <c r="X167" i="34"/>
  <c r="X542" i="34"/>
  <c r="X430" i="34"/>
  <c r="X838" i="34"/>
  <c r="X864" i="34"/>
  <c r="X403" i="34"/>
  <c r="X217" i="34"/>
  <c r="X880" i="34"/>
  <c r="X541" i="34"/>
  <c r="X911" i="34"/>
  <c r="X206" i="34"/>
  <c r="X914" i="34"/>
  <c r="X397" i="34"/>
  <c r="X589" i="34"/>
  <c r="X792" i="34"/>
  <c r="X356" i="34"/>
  <c r="X581" i="34"/>
  <c r="X390" i="34"/>
  <c r="X604" i="34"/>
  <c r="X569" i="34"/>
  <c r="X212" i="34"/>
  <c r="X429" i="34"/>
  <c r="X845" i="34"/>
  <c r="X238" i="34"/>
  <c r="X562" i="34"/>
  <c r="X536" i="34"/>
  <c r="X794" i="34"/>
  <c r="X358" i="34"/>
  <c r="X226" i="34"/>
  <c r="X558" i="34"/>
  <c r="X805" i="34"/>
  <c r="X603" i="34"/>
  <c r="X843" i="34"/>
  <c r="X161" i="34"/>
  <c r="X380" i="34"/>
  <c r="X577" i="34"/>
  <c r="X394" i="34"/>
  <c r="X600" i="34"/>
  <c r="X840" i="34"/>
  <c r="X582" i="34"/>
  <c r="X220" i="34"/>
  <c r="X367" i="34"/>
  <c r="X874" i="34"/>
  <c r="X584" i="34"/>
  <c r="X210" i="34"/>
  <c r="X866" i="34"/>
  <c r="X860" i="34"/>
  <c r="X191" i="34"/>
  <c r="X154" i="34"/>
  <c r="X381" i="34"/>
  <c r="X122" i="34"/>
  <c r="X591" i="34"/>
  <c r="X387" i="34"/>
  <c r="X27" i="34"/>
  <c r="X39" i="34"/>
  <c r="X33" i="34"/>
  <c r="X30" i="34"/>
  <c r="X23" i="34"/>
  <c r="X547" i="34"/>
  <c r="X550" i="34"/>
  <c r="X552" i="34"/>
  <c r="X551" i="34"/>
  <c r="X609" i="34"/>
  <c r="X615" i="34"/>
  <c r="X364" i="34"/>
  <c r="X457" i="34"/>
  <c r="X540" i="34"/>
  <c r="X75" i="34"/>
  <c r="X178" i="34"/>
  <c r="X125" i="34"/>
  <c r="X181" i="34"/>
  <c r="X92" i="34"/>
  <c r="X186" i="34"/>
  <c r="X486" i="34"/>
  <c r="X491" i="34"/>
  <c r="X471" i="34"/>
  <c r="X460" i="34"/>
  <c r="X490" i="34"/>
  <c r="X467" i="34"/>
  <c r="X205" i="34"/>
  <c r="X508" i="34"/>
  <c r="X506" i="34"/>
  <c r="X511" i="34"/>
  <c r="X485" i="34"/>
  <c r="X846" i="34"/>
  <c r="X502" i="34"/>
  <c r="X913" i="34"/>
  <c r="X192" i="34"/>
  <c r="X268" i="34"/>
  <c r="X602" i="34"/>
  <c r="X157" i="34"/>
  <c r="X791" i="34"/>
  <c r="X410" i="34"/>
  <c r="X232" i="34"/>
  <c r="X408" i="34"/>
  <c r="X820" i="34"/>
  <c r="X611" i="34"/>
  <c r="X882" i="34"/>
  <c r="X382" i="34"/>
  <c r="X883" i="34"/>
  <c r="X566" i="34"/>
  <c r="X841" i="34"/>
  <c r="X842" i="34"/>
  <c r="X393" i="34"/>
  <c r="X862" i="34"/>
  <c r="X559" i="34"/>
  <c r="X405" i="34"/>
  <c r="X878" i="34"/>
  <c r="X790" i="34"/>
  <c r="X224" i="34"/>
  <c r="X793" i="34"/>
  <c r="X222" i="34"/>
  <c r="X221" i="34"/>
  <c r="X64" i="34"/>
  <c r="X46" i="34"/>
  <c r="X35" i="34"/>
  <c r="X594" i="34"/>
  <c r="X282" i="34"/>
  <c r="X95" i="34"/>
  <c r="X182" i="34"/>
  <c r="X620" i="34"/>
  <c r="X453" i="34"/>
  <c r="X473" i="34"/>
  <c r="X489" i="34"/>
  <c r="X516" i="34"/>
  <c r="X848" i="34"/>
  <c r="X521" i="34"/>
  <c r="X81" i="34"/>
  <c r="X779" i="34"/>
  <c r="X198" i="34"/>
  <c r="X433" i="34"/>
  <c r="X431" i="34"/>
  <c r="X777" i="34"/>
  <c r="X395" i="34"/>
  <c r="X197" i="34"/>
  <c r="X164" i="34"/>
  <c r="X881" i="34"/>
  <c r="X428" i="34"/>
  <c r="X826" i="34"/>
  <c r="X844" i="34"/>
  <c r="X162" i="34"/>
  <c r="X144" i="34"/>
  <c r="X614" i="34"/>
  <c r="X479" i="34"/>
  <c r="X501" i="34"/>
  <c r="X514" i="34"/>
  <c r="X150" i="34"/>
  <c r="X819" i="34"/>
  <c r="X839" i="34"/>
  <c r="X149" i="34"/>
  <c r="X404" i="34"/>
  <c r="X166" i="34"/>
  <c r="X351" i="34"/>
  <c r="X618" i="34"/>
  <c r="X593" i="34"/>
  <c r="X74" i="34"/>
  <c r="X97" i="34"/>
  <c r="X213" i="34"/>
  <c r="X523" i="34"/>
  <c r="X520" i="34"/>
  <c r="X223" i="34"/>
  <c r="X560" i="34"/>
  <c r="X517" i="34"/>
  <c r="X160" i="34"/>
  <c r="X796" i="34"/>
  <c r="X807" i="34"/>
  <c r="X219" i="34"/>
  <c r="X32" i="34"/>
  <c r="X549" i="34"/>
  <c r="X592" i="34"/>
  <c r="X368" i="34"/>
  <c r="X169" i="34"/>
  <c r="X93" i="34"/>
  <c r="X455" i="34"/>
  <c r="X492" i="34"/>
  <c r="X450" i="34"/>
  <c r="X484" i="34"/>
  <c r="X499" i="34"/>
  <c r="X496" i="34"/>
  <c r="X522" i="34"/>
  <c r="X886" i="34"/>
  <c r="X396" i="34"/>
  <c r="X434" i="34"/>
  <c r="X561" i="34"/>
  <c r="X239" i="34"/>
  <c r="X409" i="34"/>
  <c r="X216" i="34"/>
  <c r="X402" i="34"/>
  <c r="X580" i="34"/>
  <c r="X352" i="34"/>
  <c r="X240" i="34"/>
  <c r="X570" i="34"/>
  <c r="X857" i="34"/>
  <c r="X366" i="34"/>
  <c r="X38" i="34"/>
  <c r="X548" i="34"/>
  <c r="X292" i="34"/>
  <c r="X126" i="34"/>
  <c r="X184" i="34"/>
  <c r="X481" i="34"/>
  <c r="X476" i="34"/>
  <c r="X847" i="34"/>
  <c r="X530" i="34"/>
  <c r="X795" i="34"/>
  <c r="X912" i="34"/>
  <c r="X148" i="34"/>
  <c r="X879" i="34"/>
  <c r="X567" i="34"/>
  <c r="X821" i="34"/>
  <c r="X22" i="34"/>
  <c r="X495" i="34"/>
  <c r="X132" i="34"/>
  <c r="X461" i="34"/>
  <c r="X449" i="34"/>
  <c r="X483" i="34"/>
  <c r="X573" i="34"/>
  <c r="X865" i="34"/>
  <c r="X538" i="34"/>
  <c r="X612" i="34"/>
  <c r="X587" i="34"/>
  <c r="X199" i="34"/>
  <c r="X207" i="34"/>
  <c r="X139" i="34"/>
  <c r="X72" i="34"/>
  <c r="X71" i="34"/>
  <c r="X903" i="34"/>
  <c r="X875" i="34"/>
  <c r="X787" i="34"/>
  <c r="X889" i="34"/>
  <c r="X832" i="34"/>
  <c r="X908" i="34"/>
  <c r="X188" i="34"/>
  <c r="X211" i="34"/>
  <c r="X892" i="34"/>
  <c r="X834" i="34"/>
  <c r="X252" i="34"/>
  <c r="X275" i="34"/>
  <c r="X289" i="34"/>
  <c r="X900" i="34"/>
  <c r="X870" i="34"/>
  <c r="X425" i="34"/>
  <c r="X412" i="34"/>
  <c r="X267" i="34"/>
  <c r="X836" i="34"/>
  <c r="X204" i="34"/>
  <c r="X250" i="34"/>
  <c r="X260" i="34"/>
  <c r="X424" i="34"/>
  <c r="X389" i="34"/>
  <c r="X818" i="34"/>
  <c r="X783" i="34"/>
  <c r="X906" i="34"/>
  <c r="X898" i="34"/>
  <c r="X868" i="34"/>
  <c r="X786" i="34"/>
  <c r="X835" i="34"/>
  <c r="X831" i="34"/>
  <c r="X423" i="34"/>
  <c r="X375" i="34"/>
  <c r="X208" i="34"/>
  <c r="X905" i="34"/>
  <c r="X907" i="34"/>
  <c r="X877" i="34"/>
  <c r="X789" i="34"/>
  <c r="X812" i="34"/>
  <c r="X781" i="34"/>
  <c r="X194" i="34"/>
  <c r="X422" i="34"/>
  <c r="X388" i="34"/>
  <c r="X767" i="34"/>
  <c r="X272" i="34"/>
  <c r="X895" i="34"/>
  <c r="X921" i="34"/>
  <c r="X915" i="34"/>
  <c r="X788" i="34"/>
  <c r="X837" i="34"/>
  <c r="X833" i="34"/>
  <c r="X780" i="34"/>
  <c r="X286" i="34"/>
  <c r="X920" i="34"/>
  <c r="X909" i="34"/>
  <c r="X899" i="34"/>
  <c r="X869" i="34"/>
  <c r="X809" i="34"/>
  <c r="X802" i="34"/>
  <c r="X799" i="34"/>
  <c r="X776" i="34"/>
  <c r="X672" i="34"/>
  <c r="X287" i="34"/>
  <c r="X872" i="34"/>
  <c r="X888" i="34"/>
  <c r="X922" i="34"/>
  <c r="X262" i="34"/>
  <c r="X904" i="34"/>
  <c r="X418" i="34"/>
  <c r="X416" i="34"/>
  <c r="X817" i="34"/>
  <c r="X894" i="34"/>
  <c r="X918" i="34"/>
  <c r="X417" i="34"/>
  <c r="X419" i="34"/>
  <c r="X270" i="34"/>
  <c r="X893" i="34"/>
  <c r="X917" i="34"/>
  <c r="X902" i="34"/>
  <c r="X808" i="34"/>
  <c r="X813" i="34"/>
  <c r="X782" i="34"/>
  <c r="X775" i="34"/>
  <c r="X263" i="34"/>
  <c r="X259" i="34"/>
  <c r="X438" i="34"/>
  <c r="X415" i="34"/>
  <c r="X420" i="34"/>
  <c r="X784" i="34"/>
  <c r="X288" i="34"/>
  <c r="X281" i="34"/>
  <c r="X896" i="34"/>
  <c r="X916" i="34"/>
  <c r="X901" i="34"/>
  <c r="X871" i="34"/>
  <c r="X811" i="34"/>
  <c r="X785" i="34"/>
  <c r="X887" i="34"/>
  <c r="X816" i="34"/>
  <c r="X437" i="34"/>
  <c r="X414" i="34"/>
  <c r="X421" i="34"/>
  <c r="X891" i="34"/>
  <c r="X919" i="34"/>
  <c r="X876" i="34"/>
  <c r="X810" i="34"/>
  <c r="X890" i="34"/>
  <c r="X815" i="34"/>
  <c r="X800" i="34"/>
  <c r="X193" i="34"/>
  <c r="X251" i="34"/>
  <c r="X261" i="34"/>
  <c r="X269" i="34"/>
  <c r="X346" i="34"/>
  <c r="X373" i="34"/>
  <c r="X345" i="34"/>
  <c r="X171" i="34"/>
  <c r="X347" i="34"/>
  <c r="X349" i="34"/>
  <c r="X374" i="34"/>
  <c r="X348" i="34"/>
  <c r="X172" i="34"/>
  <c r="X372" i="34"/>
  <c r="X344" i="34"/>
  <c r="X70" i="34"/>
  <c r="X54" i="34"/>
  <c r="X78" i="34"/>
  <c r="X386" i="34"/>
  <c r="X121" i="34"/>
  <c r="X175" i="34"/>
  <c r="X401" i="34"/>
  <c r="X127" i="34"/>
  <c r="X118" i="34"/>
  <c r="X50" i="34"/>
  <c r="X69" i="34"/>
  <c r="X400" i="34"/>
  <c r="X363" i="34"/>
  <c r="X130" i="34"/>
  <c r="X399" i="34"/>
  <c r="X45" i="34"/>
  <c r="X442" i="34"/>
  <c r="X145" i="34"/>
  <c r="X135" i="34"/>
  <c r="X90" i="34"/>
  <c r="X86" i="34"/>
  <c r="X67" i="34"/>
  <c r="X55" i="34"/>
  <c r="X115" i="34"/>
  <c r="X48" i="34"/>
  <c r="X49" i="34"/>
  <c r="X66" i="34"/>
  <c r="X107" i="34"/>
  <c r="X343" i="34"/>
  <c r="X137" i="34"/>
  <c r="X96" i="34"/>
  <c r="X110" i="34"/>
  <c r="X83" i="34"/>
  <c r="X185" i="34"/>
  <c r="X79" i="34"/>
  <c r="X350" i="34"/>
  <c r="X59" i="34"/>
  <c r="X385" i="34"/>
  <c r="X176" i="34"/>
  <c r="X103" i="34"/>
  <c r="X108" i="34"/>
  <c r="X57" i="34"/>
  <c r="X61" i="34"/>
  <c r="X445" i="34"/>
  <c r="X360" i="34"/>
  <c r="X136" i="34"/>
  <c r="X89" i="34"/>
  <c r="X104" i="34"/>
  <c r="X87" i="34"/>
  <c r="X82" i="34"/>
  <c r="X123" i="34"/>
  <c r="X362" i="34"/>
  <c r="X88" i="34"/>
  <c r="X102" i="34"/>
  <c r="X62" i="34"/>
  <c r="X44" i="34"/>
  <c r="X443" i="34"/>
  <c r="X146" i="34"/>
  <c r="X51" i="34"/>
  <c r="X53" i="34"/>
  <c r="X111" i="34"/>
  <c r="X85" i="34"/>
  <c r="X142" i="34"/>
  <c r="X113" i="34"/>
  <c r="X60" i="34"/>
  <c r="X436" i="34"/>
  <c r="X124" i="34"/>
  <c r="X47" i="34"/>
  <c r="X58" i="34"/>
  <c r="X128" i="34"/>
  <c r="X129" i="34"/>
  <c r="X446" i="34"/>
  <c r="X117" i="34"/>
  <c r="X56" i="34"/>
  <c r="X91" i="34"/>
  <c r="X114" i="34"/>
  <c r="X116" i="34"/>
  <c r="X440" i="34"/>
  <c r="X803" i="34"/>
  <c r="X830" i="34"/>
  <c r="X828" i="34"/>
  <c r="X285" i="34"/>
  <c r="X447" i="34"/>
  <c r="X439" i="34"/>
  <c r="X173" i="34"/>
  <c r="X68" i="34"/>
  <c r="X174" i="34"/>
  <c r="X159" i="34"/>
  <c r="X829" i="34"/>
  <c r="X158" i="34"/>
  <c r="X804" i="34"/>
  <c r="X867" i="34"/>
  <c r="X284" i="34"/>
  <c r="X855" i="34"/>
  <c r="X370" i="34"/>
  <c r="X827" i="34"/>
  <c r="X131" i="34"/>
  <c r="X897" i="34"/>
  <c r="X801" i="34"/>
  <c r="X435" i="34"/>
  <c r="X209" i="34"/>
  <c r="X249" i="34"/>
  <c r="X411" i="34"/>
  <c r="X814" i="34"/>
  <c r="X852" i="34"/>
  <c r="X283" i="34"/>
  <c r="X109" i="34"/>
  <c r="X112" i="34"/>
  <c r="X21" i="34"/>
  <c r="X20" i="34"/>
  <c r="X19" i="34"/>
  <c r="W41" i="34"/>
  <c r="W39" i="34"/>
  <c r="W37" i="34"/>
  <c r="W38" i="34"/>
  <c r="W36" i="34"/>
  <c r="W40" i="34"/>
  <c r="W35" i="34"/>
  <c r="W33" i="34"/>
  <c r="W31" i="34"/>
  <c r="W32" i="34"/>
  <c r="W30" i="34"/>
  <c r="W34" i="34"/>
  <c r="W29" i="34"/>
  <c r="W27" i="34"/>
  <c r="W42" i="34"/>
  <c r="W43" i="34"/>
  <c r="W28" i="34"/>
  <c r="W46" i="34"/>
  <c r="W48" i="34"/>
  <c r="W52" i="34"/>
  <c r="W54" i="34"/>
  <c r="W65" i="34"/>
  <c r="W66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59" i="34"/>
  <c r="W60" i="34"/>
  <c r="W44" i="34"/>
  <c r="W45" i="34"/>
  <c r="W67" i="34"/>
  <c r="W78" i="34"/>
  <c r="W80" i="34"/>
  <c r="W86" i="34"/>
  <c r="W88" i="34"/>
  <c r="W90" i="34"/>
  <c r="W100" i="34"/>
  <c r="W102" i="34"/>
  <c r="W106" i="34"/>
  <c r="W114" i="34"/>
  <c r="W126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0" i="34"/>
  <c r="W24" i="34"/>
  <c r="W92" i="34"/>
  <c r="W110" i="34"/>
  <c r="W112" i="34"/>
  <c r="W122" i="34"/>
  <c r="W124" i="34"/>
  <c r="W133" i="34"/>
  <c r="W135" i="34"/>
  <c r="W143" i="34"/>
  <c r="W151" i="34"/>
  <c r="W159" i="34"/>
  <c r="W167" i="34"/>
  <c r="W175" i="34"/>
  <c r="W177" i="34"/>
  <c r="W187" i="34"/>
  <c r="W189" i="34"/>
  <c r="W191" i="34"/>
  <c r="W197" i="34"/>
  <c r="W199" i="34"/>
  <c r="W209" i="34"/>
  <c r="W211" i="34"/>
  <c r="W213" i="34"/>
  <c r="W215" i="34"/>
  <c r="W225" i="34"/>
  <c r="W47" i="34"/>
  <c r="W53" i="34"/>
  <c r="W57" i="34"/>
  <c r="W58" i="34"/>
  <c r="W69" i="34"/>
  <c r="W108" i="34"/>
  <c r="W120" i="34"/>
  <c r="W26" i="34"/>
  <c r="W55" i="34"/>
  <c r="W64" i="34"/>
  <c r="W71" i="34"/>
  <c r="W94" i="34"/>
  <c r="W104" i="34"/>
  <c r="W139" i="34"/>
  <c r="W147" i="34"/>
  <c r="W149" i="34"/>
  <c r="W169" i="34"/>
  <c r="W203" i="34"/>
  <c r="W217" i="34"/>
  <c r="W237" i="34"/>
  <c r="W238" i="34"/>
  <c r="W56" i="34"/>
  <c r="W61" i="34"/>
  <c r="W62" i="34"/>
  <c r="W51" i="34"/>
  <c r="W68" i="34"/>
  <c r="W116" i="34"/>
  <c r="W145" i="34"/>
  <c r="W157" i="34"/>
  <c r="W165" i="34"/>
  <c r="W223" i="34"/>
  <c r="W227" i="34"/>
  <c r="W249" i="34"/>
  <c r="W261" i="34"/>
  <c r="W262" i="34"/>
  <c r="W271" i="34"/>
  <c r="W272" i="34"/>
  <c r="W286" i="34"/>
  <c r="W287" i="34"/>
  <c r="W50" i="34"/>
  <c r="W72" i="34"/>
  <c r="W76" i="34"/>
  <c r="W153" i="34"/>
  <c r="W173" i="34"/>
  <c r="W181" i="34"/>
  <c r="W193" i="34"/>
  <c r="W221" i="34"/>
  <c r="W258" i="34"/>
  <c r="W266" i="34"/>
  <c r="W270" i="34"/>
  <c r="W288" i="34"/>
  <c r="W290" i="34"/>
  <c r="W292" i="34"/>
  <c r="W343" i="34"/>
  <c r="W346" i="34"/>
  <c r="W347" i="34"/>
  <c r="W350" i="34"/>
  <c r="W351" i="34"/>
  <c r="W354" i="34"/>
  <c r="W355" i="34"/>
  <c r="W358" i="34"/>
  <c r="W359" i="34"/>
  <c r="W362" i="34"/>
  <c r="W363" i="34"/>
  <c r="W366" i="34"/>
  <c r="W367" i="34"/>
  <c r="W370" i="34"/>
  <c r="W371" i="34"/>
  <c r="W374" i="34"/>
  <c r="W375" i="34"/>
  <c r="W378" i="34"/>
  <c r="W379" i="34"/>
  <c r="W382" i="34"/>
  <c r="W383" i="34"/>
  <c r="W386" i="34"/>
  <c r="W387" i="34"/>
  <c r="W390" i="34"/>
  <c r="W391" i="34"/>
  <c r="W394" i="34"/>
  <c r="W395" i="34"/>
  <c r="W398" i="34"/>
  <c r="W399" i="34"/>
  <c r="W402" i="34"/>
  <c r="W403" i="34"/>
  <c r="W406" i="34"/>
  <c r="W407" i="34"/>
  <c r="W410" i="34"/>
  <c r="W411" i="34"/>
  <c r="W414" i="34"/>
  <c r="W415" i="34"/>
  <c r="W418" i="34"/>
  <c r="W419" i="34"/>
  <c r="W422" i="34"/>
  <c r="W423" i="34"/>
  <c r="W426" i="34"/>
  <c r="W427" i="34"/>
  <c r="W430" i="34"/>
  <c r="W431" i="34"/>
  <c r="W434" i="34"/>
  <c r="W435" i="34"/>
  <c r="W438" i="34"/>
  <c r="W439" i="34"/>
  <c r="W442" i="34"/>
  <c r="W443" i="34"/>
  <c r="W446" i="34"/>
  <c r="W447" i="34"/>
  <c r="W450" i="34"/>
  <c r="W451" i="34"/>
  <c r="W454" i="34"/>
  <c r="W455" i="34"/>
  <c r="W458" i="34"/>
  <c r="W459" i="34"/>
  <c r="W462" i="34"/>
  <c r="W463" i="34"/>
  <c r="W466" i="34"/>
  <c r="W467" i="34"/>
  <c r="W470" i="34"/>
  <c r="W471" i="34"/>
  <c r="W474" i="34"/>
  <c r="W475" i="34"/>
  <c r="W478" i="34"/>
  <c r="W479" i="34"/>
  <c r="W482" i="34"/>
  <c r="W483" i="34"/>
  <c r="W486" i="34"/>
  <c r="W487" i="34"/>
  <c r="W490" i="34"/>
  <c r="W491" i="34"/>
  <c r="W494" i="34"/>
  <c r="W495" i="34"/>
  <c r="W19" i="34"/>
  <c r="W70" i="34"/>
  <c r="W84" i="34"/>
  <c r="W98" i="34"/>
  <c r="W128" i="34"/>
  <c r="W137" i="34"/>
  <c r="W141" i="34"/>
  <c r="W179" i="34"/>
  <c r="W195" i="34"/>
  <c r="W207" i="34"/>
  <c r="W248" i="34"/>
  <c r="W263" i="34"/>
  <c r="W267" i="34"/>
  <c r="W269" i="34"/>
  <c r="W283" i="34"/>
  <c r="W289" i="34"/>
  <c r="W344" i="34"/>
  <c r="W345" i="34"/>
  <c r="W348" i="34"/>
  <c r="W349" i="34"/>
  <c r="W352" i="34"/>
  <c r="W353" i="34"/>
  <c r="W356" i="34"/>
  <c r="W357" i="34"/>
  <c r="W360" i="34"/>
  <c r="W361" i="34"/>
  <c r="W364" i="34"/>
  <c r="W365" i="34"/>
  <c r="W368" i="34"/>
  <c r="W369" i="34"/>
  <c r="W372" i="34"/>
  <c r="W373" i="34"/>
  <c r="W376" i="34"/>
  <c r="W377" i="34"/>
  <c r="W380" i="34"/>
  <c r="W381" i="34"/>
  <c r="W384" i="34"/>
  <c r="W385" i="34"/>
  <c r="W388" i="34"/>
  <c r="W389" i="34"/>
  <c r="W392" i="34"/>
  <c r="W393" i="34"/>
  <c r="W396" i="34"/>
  <c r="W397" i="34"/>
  <c r="W400" i="34"/>
  <c r="W401" i="34"/>
  <c r="W404" i="34"/>
  <c r="W405" i="34"/>
  <c r="W408" i="34"/>
  <c r="W409" i="34"/>
  <c r="W412" i="34"/>
  <c r="W413" i="34"/>
  <c r="W416" i="34"/>
  <c r="W417" i="34"/>
  <c r="W420" i="34"/>
  <c r="W421" i="34"/>
  <c r="W424" i="34"/>
  <c r="W425" i="34"/>
  <c r="W428" i="34"/>
  <c r="W429" i="34"/>
  <c r="W432" i="34"/>
  <c r="W433" i="34"/>
  <c r="W436" i="34"/>
  <c r="W437" i="34"/>
  <c r="W440" i="34"/>
  <c r="W441" i="34"/>
  <c r="W444" i="34"/>
  <c r="W445" i="34"/>
  <c r="W448" i="34"/>
  <c r="W449" i="34"/>
  <c r="W452" i="34"/>
  <c r="W453" i="34"/>
  <c r="W456" i="34"/>
  <c r="W457" i="34"/>
  <c r="W460" i="34"/>
  <c r="W461" i="34"/>
  <c r="W464" i="34"/>
  <c r="W465" i="34"/>
  <c r="W468" i="34"/>
  <c r="W469" i="34"/>
  <c r="W472" i="34"/>
  <c r="W473" i="34"/>
  <c r="W476" i="34"/>
  <c r="W477" i="34"/>
  <c r="W480" i="34"/>
  <c r="W481" i="34"/>
  <c r="W484" i="34"/>
  <c r="W485" i="34"/>
  <c r="W488" i="34"/>
  <c r="W489" i="34"/>
  <c r="W492" i="34"/>
  <c r="W493" i="34"/>
  <c r="W496" i="34"/>
  <c r="W497" i="34"/>
  <c r="W21" i="34"/>
  <c r="W23" i="34"/>
  <c r="W25" i="34"/>
  <c r="W63" i="34"/>
  <c r="W74" i="34"/>
  <c r="W155" i="34"/>
  <c r="W163" i="34"/>
  <c r="W201" i="34"/>
  <c r="W251" i="34"/>
  <c r="W260" i="34"/>
  <c r="W275" i="34"/>
  <c r="W282" i="34"/>
  <c r="W284" i="34"/>
  <c r="W291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183" i="34"/>
  <c r="W185" i="34"/>
  <c r="W239" i="34"/>
  <c r="W252" i="34"/>
  <c r="W504" i="34"/>
  <c r="W512" i="34"/>
  <c r="W520" i="34"/>
  <c r="W528" i="34"/>
  <c r="W536" i="34"/>
  <c r="W544" i="34"/>
  <c r="W552" i="34"/>
  <c r="W560" i="34"/>
  <c r="W250" i="34"/>
  <c r="W268" i="34"/>
  <c r="W281" i="34"/>
  <c r="W498" i="34"/>
  <c r="W506" i="34"/>
  <c r="W514" i="34"/>
  <c r="W538" i="34"/>
  <c r="W562" i="34"/>
  <c r="W567" i="34"/>
  <c r="W571" i="34"/>
  <c r="W577" i="34"/>
  <c r="W581" i="34"/>
  <c r="W585" i="34"/>
  <c r="W587" i="34"/>
  <c r="W593" i="34"/>
  <c r="W595" i="34"/>
  <c r="W599" i="34"/>
  <c r="W603" i="34"/>
  <c r="W611" i="34"/>
  <c r="W620" i="34"/>
  <c r="W778" i="34"/>
  <c r="W782" i="34"/>
  <c r="W786" i="34"/>
  <c r="W792" i="34"/>
  <c r="W796" i="34"/>
  <c r="W800" i="34"/>
  <c r="W804" i="34"/>
  <c r="W810" i="34"/>
  <c r="W812" i="34"/>
  <c r="W816" i="34"/>
  <c r="W820" i="34"/>
  <c r="W824" i="34"/>
  <c r="W826" i="34"/>
  <c r="W832" i="34"/>
  <c r="W171" i="34"/>
  <c r="W205" i="34"/>
  <c r="W232" i="34"/>
  <c r="W285" i="34"/>
  <c r="W500" i="34"/>
  <c r="W508" i="34"/>
  <c r="W516" i="34"/>
  <c r="W524" i="34"/>
  <c r="W532" i="34"/>
  <c r="W540" i="34"/>
  <c r="W548" i="34"/>
  <c r="W556" i="34"/>
  <c r="W564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22" i="34"/>
  <c r="W49" i="34"/>
  <c r="W82" i="34"/>
  <c r="W118" i="34"/>
  <c r="W130" i="34"/>
  <c r="W161" i="34"/>
  <c r="W259" i="34"/>
  <c r="W502" i="34"/>
  <c r="W510" i="34"/>
  <c r="W518" i="34"/>
  <c r="W526" i="34"/>
  <c r="W534" i="34"/>
  <c r="W542" i="34"/>
  <c r="W550" i="34"/>
  <c r="W558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12" i="34"/>
  <c r="W609" i="34"/>
  <c r="W613" i="34"/>
  <c r="W615" i="34"/>
  <c r="W617" i="34"/>
  <c r="W619" i="34"/>
  <c r="W621" i="34"/>
  <c r="W672" i="34"/>
  <c r="W775" i="34"/>
  <c r="W777" i="34"/>
  <c r="W779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6" i="34"/>
  <c r="W219" i="34"/>
  <c r="W240" i="34"/>
  <c r="W522" i="34"/>
  <c r="W530" i="34"/>
  <c r="W546" i="34"/>
  <c r="W554" i="34"/>
  <c r="W569" i="34"/>
  <c r="W573" i="34"/>
  <c r="W575" i="34"/>
  <c r="W579" i="34"/>
  <c r="W583" i="34"/>
  <c r="W589" i="34"/>
  <c r="W591" i="34"/>
  <c r="W597" i="34"/>
  <c r="W601" i="34"/>
  <c r="W608" i="34"/>
  <c r="W610" i="34"/>
  <c r="W614" i="34"/>
  <c r="W616" i="34"/>
  <c r="W618" i="34"/>
  <c r="W622" i="34"/>
  <c r="W767" i="34"/>
  <c r="W776" i="34"/>
  <c r="W780" i="34"/>
  <c r="W784" i="34"/>
  <c r="W788" i="34"/>
  <c r="W790" i="34"/>
  <c r="W794" i="34"/>
  <c r="W798" i="34"/>
  <c r="W802" i="34"/>
  <c r="W806" i="34"/>
  <c r="W808" i="34"/>
  <c r="W814" i="34"/>
  <c r="W818" i="34"/>
  <c r="W822" i="34"/>
  <c r="W828" i="34"/>
  <c r="W830" i="34"/>
  <c r="X1026" i="34"/>
  <c r="X1050" i="34"/>
  <c r="X996" i="34"/>
  <c r="X1005" i="34"/>
  <c r="X986" i="34"/>
  <c r="X1020" i="34"/>
  <c r="X1013" i="34"/>
  <c r="X1067" i="34"/>
  <c r="X978" i="34"/>
  <c r="X1127" i="34"/>
  <c r="X1027" i="34"/>
  <c r="X1012" i="34"/>
  <c r="X1033" i="34"/>
  <c r="X1049" i="34"/>
  <c r="X1117" i="34"/>
  <c r="X962" i="34"/>
  <c r="X1052" i="34"/>
  <c r="X999" i="34"/>
  <c r="X1058" i="34"/>
  <c r="X1051" i="34"/>
  <c r="X1188" i="34"/>
  <c r="X1030" i="34"/>
  <c r="X1045" i="34"/>
  <c r="X994" i="34"/>
  <c r="X1166" i="34"/>
  <c r="X1055" i="34"/>
  <c r="X1028" i="34"/>
  <c r="X1017" i="34"/>
  <c r="X957" i="34"/>
  <c r="X1262" i="34"/>
  <c r="X1114" i="34"/>
  <c r="X1099" i="34"/>
  <c r="X1080" i="34"/>
  <c r="X1138" i="34"/>
  <c r="X1123" i="34"/>
  <c r="X1075" i="34"/>
  <c r="X1076" i="34"/>
  <c r="X1110" i="34"/>
  <c r="X1086" i="34"/>
  <c r="X1250" i="34"/>
  <c r="X1125" i="34"/>
  <c r="X1072" i="34"/>
  <c r="X1146" i="34"/>
  <c r="X1077" i="34"/>
  <c r="X1131" i="34"/>
  <c r="X1082" i="34"/>
  <c r="X1264" i="34"/>
  <c r="X1121" i="34"/>
  <c r="X1104" i="34"/>
  <c r="X1230" i="34"/>
  <c r="X1147" i="34"/>
  <c r="X1247" i="34"/>
  <c r="X926" i="34"/>
  <c r="X1224" i="34"/>
  <c r="X1225" i="34"/>
  <c r="X979" i="34"/>
  <c r="X1148" i="34"/>
  <c r="X941" i="34"/>
  <c r="X1223" i="34"/>
  <c r="X1155" i="34"/>
  <c r="X1200" i="34"/>
  <c r="X1216" i="34"/>
  <c r="X1235" i="34"/>
  <c r="X1202" i="34"/>
  <c r="X1214" i="34"/>
  <c r="X955" i="34"/>
  <c r="X1244" i="34"/>
  <c r="X964" i="34"/>
  <c r="X1159" i="34"/>
  <c r="X1031" i="34"/>
  <c r="X997" i="34"/>
  <c r="X1129" i="34"/>
  <c r="X1039" i="34"/>
  <c r="X969" i="34"/>
  <c r="X1022" i="34"/>
  <c r="X1053" i="34"/>
  <c r="X1035" i="34"/>
  <c r="X1016" i="34"/>
  <c r="X1056" i="34"/>
  <c r="X963" i="34"/>
  <c r="X1168" i="34"/>
  <c r="X1010" i="34"/>
  <c r="X1021" i="34"/>
  <c r="X974" i="34"/>
  <c r="X965" i="34"/>
  <c r="X1178" i="34"/>
  <c r="X995" i="34"/>
  <c r="X992" i="34"/>
  <c r="X959" i="34"/>
  <c r="X1054" i="34"/>
  <c r="X1032" i="34"/>
  <c r="X1167" i="34"/>
  <c r="X1043" i="34"/>
  <c r="X1003" i="34"/>
  <c r="X1094" i="34"/>
  <c r="X1079" i="34"/>
  <c r="X1137" i="34"/>
  <c r="X1100" i="34"/>
  <c r="X1085" i="34"/>
  <c r="X1090" i="34"/>
  <c r="X1133" i="34"/>
  <c r="X1134" i="34"/>
  <c r="X1263" i="34"/>
  <c r="X1092" i="34"/>
  <c r="X1255" i="34"/>
  <c r="X1124" i="34"/>
  <c r="X1087" i="34"/>
  <c r="X940" i="34"/>
  <c r="X1108" i="34"/>
  <c r="X1266" i="34"/>
  <c r="X1113" i="34"/>
  <c r="X1139" i="34"/>
  <c r="X1256" i="34"/>
  <c r="X1120" i="34"/>
  <c r="X1083" i="34"/>
  <c r="X1064" i="34"/>
  <c r="X1142" i="34"/>
  <c r="X1089" i="34"/>
  <c r="X1162" i="34"/>
  <c r="X923" i="34"/>
  <c r="X1227" i="34"/>
  <c r="X1193" i="34"/>
  <c r="X1156" i="34"/>
  <c r="X1177" i="34"/>
  <c r="X1001" i="34"/>
  <c r="X1181" i="34"/>
  <c r="X925" i="34"/>
  <c r="X954" i="34"/>
  <c r="X1215" i="34"/>
  <c r="X1205" i="34"/>
  <c r="X930" i="34"/>
  <c r="X1164" i="34"/>
  <c r="X1153" i="34"/>
  <c r="X1194" i="34"/>
  <c r="X1238" i="34"/>
  <c r="X1257" i="34"/>
  <c r="X1174" i="34"/>
  <c r="X966" i="34"/>
  <c r="X1234" i="34"/>
  <c r="X1232" i="34"/>
  <c r="X1213" i="34"/>
  <c r="X1160" i="34"/>
  <c r="X1068" i="34"/>
  <c r="X1128" i="34"/>
  <c r="X976" i="34"/>
  <c r="X1007" i="34"/>
  <c r="X1186" i="34"/>
  <c r="X968" i="34"/>
  <c r="X1061" i="34"/>
  <c r="X1006" i="34"/>
  <c r="X1023" i="34"/>
  <c r="X1040" i="34"/>
  <c r="X1019" i="34"/>
  <c r="X1036" i="34"/>
  <c r="X990" i="34"/>
  <c r="X1057" i="34"/>
  <c r="X1136" i="34"/>
  <c r="X1096" i="34"/>
  <c r="X1143" i="34"/>
  <c r="X1112" i="34"/>
  <c r="X1071" i="34"/>
  <c r="X1088" i="34"/>
  <c r="X1093" i="34"/>
  <c r="X1102" i="34"/>
  <c r="X1141" i="34"/>
  <c r="X1073" i="34"/>
  <c r="X951" i="34"/>
  <c r="X1218" i="34"/>
  <c r="X1239" i="34"/>
  <c r="X980" i="34"/>
  <c r="X1212" i="34"/>
  <c r="X1206" i="34"/>
  <c r="X1038" i="34"/>
  <c r="X1199" i="34"/>
  <c r="X1201" i="34"/>
  <c r="X1258" i="34"/>
  <c r="X1149" i="34"/>
  <c r="X956" i="34"/>
  <c r="X1252" i="34"/>
  <c r="X984" i="34"/>
  <c r="X981" i="34"/>
  <c r="X927" i="34"/>
  <c r="X1228" i="34"/>
  <c r="X1157" i="34"/>
  <c r="X967" i="34"/>
  <c r="X1246" i="34"/>
  <c r="X1229" i="34"/>
  <c r="X1015" i="34"/>
  <c r="X1060" i="34"/>
  <c r="X1029" i="34"/>
  <c r="X1008" i="34"/>
  <c r="X971" i="34"/>
  <c r="X1025" i="34"/>
  <c r="X1187" i="34"/>
  <c r="X1158" i="34"/>
  <c r="X1018" i="34"/>
  <c r="X1065" i="34"/>
  <c r="X970" i="34"/>
  <c r="X1009" i="34"/>
  <c r="X973" i="34"/>
  <c r="X1078" i="34"/>
  <c r="X1115" i="34"/>
  <c r="X1091" i="34"/>
  <c r="X1106" i="34"/>
  <c r="X1260" i="34"/>
  <c r="X1063" i="34"/>
  <c r="X1122" i="34"/>
  <c r="X1154" i="34"/>
  <c r="X1000" i="34"/>
  <c r="X982" i="34"/>
  <c r="X1251" i="34"/>
  <c r="X1231" i="34"/>
  <c r="X1198" i="34"/>
  <c r="X960" i="34"/>
  <c r="X1171" i="34"/>
  <c r="X1220" i="34"/>
  <c r="X1165" i="34"/>
  <c r="X1245" i="34"/>
  <c r="X1034" i="34"/>
  <c r="X1041" i="34"/>
  <c r="X1024" i="34"/>
  <c r="X1249" i="34"/>
  <c r="X958" i="34"/>
  <c r="X1011" i="34"/>
  <c r="X1118" i="34"/>
  <c r="X1185" i="34"/>
  <c r="X977" i="34"/>
  <c r="X1044" i="34"/>
  <c r="X989" i="34"/>
  <c r="X1014" i="34"/>
  <c r="X985" i="34"/>
  <c r="X1002" i="34"/>
  <c r="X998" i="34"/>
  <c r="X924" i="34"/>
  <c r="X1095" i="34"/>
  <c r="X1116" i="34"/>
  <c r="X1132" i="34"/>
  <c r="X1119" i="34"/>
  <c r="X1074" i="34"/>
  <c r="X1070" i="34"/>
  <c r="X1107" i="34"/>
  <c r="X1130" i="34"/>
  <c r="X1135" i="34"/>
  <c r="X1140" i="34"/>
  <c r="X1084" i="34"/>
  <c r="X1109" i="34"/>
  <c r="X1196" i="34"/>
  <c r="X1163" i="34"/>
  <c r="X1184" i="34"/>
  <c r="X1150" i="34"/>
  <c r="X1192" i="34"/>
  <c r="X1173" i="34"/>
  <c r="X928" i="34"/>
  <c r="X1190" i="34"/>
  <c r="X1217" i="34"/>
  <c r="X931" i="34"/>
  <c r="X1037" i="34"/>
  <c r="X1182" i="34"/>
  <c r="X1204" i="34"/>
  <c r="X1226" i="34"/>
  <c r="X929" i="34"/>
  <c r="X953" i="34"/>
  <c r="X1197" i="34"/>
  <c r="X1176" i="34"/>
  <c r="X1240" i="34"/>
  <c r="X14" i="34"/>
  <c r="X1066" i="34"/>
  <c r="X1069" i="34"/>
  <c r="X1111" i="34"/>
  <c r="X1145" i="34"/>
  <c r="X1081" i="34"/>
  <c r="X1101" i="34"/>
  <c r="X1253" i="34"/>
  <c r="X1219" i="34"/>
  <c r="X1189" i="34"/>
  <c r="X1175" i="34"/>
  <c r="X1209" i="34"/>
  <c r="X1203" i="34"/>
  <c r="X993" i="34"/>
  <c r="X983" i="34"/>
  <c r="X1259" i="34"/>
  <c r="X1248" i="34"/>
  <c r="X987" i="34"/>
  <c r="X952" i="34"/>
  <c r="X1126" i="34"/>
  <c r="X1254" i="34"/>
  <c r="X1265" i="34"/>
  <c r="X1048" i="34"/>
  <c r="X1172" i="34"/>
  <c r="X1208" i="34"/>
  <c r="X1221" i="34"/>
  <c r="X1237" i="34"/>
  <c r="X1195" i="34"/>
  <c r="X1161" i="34"/>
  <c r="X991" i="34"/>
  <c r="X1179" i="34"/>
  <c r="X1169" i="34"/>
  <c r="X1098" i="34"/>
  <c r="X1047" i="34"/>
  <c r="X1103" i="34"/>
  <c r="X1211" i="34"/>
  <c r="X1180" i="34"/>
  <c r="X1183" i="34"/>
  <c r="X988" i="34"/>
  <c r="X1062" i="34"/>
  <c r="X1059" i="34"/>
  <c r="X1046" i="34"/>
  <c r="X1097" i="34"/>
  <c r="X1261" i="34"/>
  <c r="X1207" i="34"/>
  <c r="X1170" i="34"/>
  <c r="X1151" i="34"/>
  <c r="X961" i="34"/>
  <c r="X1191" i="34"/>
  <c r="X975" i="34"/>
  <c r="X972" i="34"/>
  <c r="X1004" i="34"/>
  <c r="X1042" i="34"/>
  <c r="X1105" i="34"/>
  <c r="X1144" i="34"/>
  <c r="X1222" i="34"/>
  <c r="X1233" i="34"/>
  <c r="X1236" i="34"/>
  <c r="X1210" i="34"/>
  <c r="X1152" i="34"/>
  <c r="X932" i="34"/>
  <c r="X943" i="34"/>
  <c r="X1241" i="34"/>
  <c r="X937" i="34"/>
  <c r="X946" i="34"/>
  <c r="X936" i="34"/>
  <c r="X939" i="34"/>
  <c r="X950" i="34"/>
  <c r="X938" i="34"/>
  <c r="X933" i="34"/>
  <c r="X949" i="34"/>
  <c r="X1242" i="34"/>
  <c r="X945" i="34"/>
  <c r="X1243" i="34"/>
  <c r="X947" i="34"/>
  <c r="X948" i="34"/>
  <c r="X942" i="34"/>
  <c r="X935" i="34"/>
  <c r="X944" i="34"/>
  <c r="X934" i="34"/>
  <c r="X16" i="34"/>
  <c r="X17" i="34"/>
  <c r="X18" i="34"/>
  <c r="X10" i="34"/>
  <c r="X15" i="34"/>
  <c r="W16" i="34"/>
  <c r="W18" i="34"/>
  <c r="W15" i="34"/>
  <c r="W17" i="34"/>
  <c r="W924" i="34"/>
  <c r="W923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985" i="34"/>
  <c r="W986" i="34"/>
  <c r="W987" i="34"/>
  <c r="W988" i="34"/>
  <c r="W989" i="34"/>
  <c r="W990" i="34"/>
  <c r="W991" i="34"/>
  <c r="W992" i="34"/>
  <c r="W993" i="34"/>
  <c r="W994" i="34"/>
  <c r="W995" i="34"/>
  <c r="W996" i="34"/>
  <c r="W997" i="34"/>
  <c r="W998" i="34"/>
  <c r="W999" i="34"/>
  <c r="W1000" i="34"/>
  <c r="W1001" i="34"/>
  <c r="W1002" i="34"/>
  <c r="W1003" i="34"/>
  <c r="W1004" i="34"/>
  <c r="W1005" i="34"/>
  <c r="W1006" i="34"/>
  <c r="W1007" i="34"/>
  <c r="W1008" i="34"/>
  <c r="W1009" i="34"/>
  <c r="W1010" i="34"/>
  <c r="W1011" i="34"/>
  <c r="W1012" i="34"/>
  <c r="W1013" i="34"/>
  <c r="W1014" i="34"/>
  <c r="W1015" i="34"/>
  <c r="W1016" i="34"/>
  <c r="W1017" i="34"/>
  <c r="W1018" i="34"/>
  <c r="W1019" i="34"/>
  <c r="W1020" i="34"/>
  <c r="W1021" i="34"/>
  <c r="W1022" i="34"/>
  <c r="W1023" i="34"/>
  <c r="W1024" i="34"/>
  <c r="W1025" i="34"/>
  <c r="W1026" i="34"/>
  <c r="W1027" i="34"/>
  <c r="W1028" i="34"/>
  <c r="W1029" i="34"/>
  <c r="W1030" i="34"/>
  <c r="W1031" i="34"/>
  <c r="W1032" i="34"/>
  <c r="W1033" i="34"/>
  <c r="W1034" i="34"/>
  <c r="W1035" i="34"/>
  <c r="W1036" i="34"/>
  <c r="W1037" i="34"/>
  <c r="W1038" i="34"/>
  <c r="W1039" i="34"/>
  <c r="W1040" i="34"/>
  <c r="W1041" i="34"/>
  <c r="W1042" i="34"/>
  <c r="W1043" i="34"/>
  <c r="W1044" i="34"/>
  <c r="W1045" i="34"/>
  <c r="W1046" i="34"/>
  <c r="W1047" i="34"/>
  <c r="W1048" i="34"/>
  <c r="W1049" i="34"/>
  <c r="W1050" i="34"/>
  <c r="W1051" i="34"/>
  <c r="W1052" i="34"/>
  <c r="W1053" i="34"/>
  <c r="W1054" i="34"/>
  <c r="W1055" i="34"/>
  <c r="W1056" i="34"/>
  <c r="W1057" i="34"/>
  <c r="W1058" i="34"/>
  <c r="W1059" i="34"/>
  <c r="W1060" i="34"/>
  <c r="W1061" i="34"/>
  <c r="W1062" i="34"/>
  <c r="W1063" i="34"/>
  <c r="W1064" i="34"/>
  <c r="W1065" i="34"/>
  <c r="W1066" i="34"/>
  <c r="W1067" i="34"/>
  <c r="W1068" i="34"/>
  <c r="W1069" i="34"/>
  <c r="W1070" i="34"/>
  <c r="W1071" i="34"/>
  <c r="W1072" i="34"/>
  <c r="W1073" i="34"/>
  <c r="W1074" i="34"/>
  <c r="W1075" i="34"/>
  <c r="W1076" i="34"/>
  <c r="W1077" i="34"/>
  <c r="W1078" i="34"/>
  <c r="W1079" i="34"/>
  <c r="W1080" i="34"/>
  <c r="W1081" i="34"/>
  <c r="W1082" i="34"/>
  <c r="W1083" i="34"/>
  <c r="W1084" i="34"/>
  <c r="W1085" i="34"/>
  <c r="W1086" i="34"/>
  <c r="W1087" i="34"/>
  <c r="W1088" i="34"/>
  <c r="W1089" i="34"/>
  <c r="W1090" i="34"/>
  <c r="W1091" i="34"/>
  <c r="W1092" i="34"/>
  <c r="W1093" i="34"/>
  <c r="W1094" i="34"/>
  <c r="W1095" i="34"/>
  <c r="W1096" i="34"/>
  <c r="W1097" i="34"/>
  <c r="W1098" i="34"/>
  <c r="W1099" i="34"/>
  <c r="W1100" i="34"/>
  <c r="W1101" i="34"/>
  <c r="W1102" i="34"/>
  <c r="W1103" i="34"/>
  <c r="W1104" i="34"/>
  <c r="W1105" i="34"/>
  <c r="W1106" i="34"/>
  <c r="W1107" i="34"/>
  <c r="W1108" i="34"/>
  <c r="W1109" i="34"/>
  <c r="W1110" i="34"/>
  <c r="W1111" i="34"/>
  <c r="W1112" i="34"/>
  <c r="W1113" i="34"/>
  <c r="W1114" i="34"/>
  <c r="W1115" i="34"/>
  <c r="W1116" i="34"/>
  <c r="W1117" i="34"/>
  <c r="W1118" i="34"/>
  <c r="W1119" i="34"/>
  <c r="W1120" i="34"/>
  <c r="W1121" i="34"/>
  <c r="W1122" i="34"/>
  <c r="W1123" i="34"/>
  <c r="W1124" i="34"/>
  <c r="W1125" i="34"/>
  <c r="W1126" i="34"/>
  <c r="W1127" i="34"/>
  <c r="W1128" i="34"/>
  <c r="W1129" i="34"/>
  <c r="W1130" i="34"/>
  <c r="W1131" i="34"/>
  <c r="W1132" i="34"/>
  <c r="W1133" i="34"/>
  <c r="W1134" i="34"/>
  <c r="W1135" i="34"/>
  <c r="W1136" i="34"/>
  <c r="W1137" i="34"/>
  <c r="W1138" i="34"/>
  <c r="W1139" i="34"/>
  <c r="W1140" i="34"/>
  <c r="W1141" i="34"/>
  <c r="W1142" i="34"/>
  <c r="W1143" i="34"/>
  <c r="W1144" i="34"/>
  <c r="W1145" i="34"/>
  <c r="W1146" i="34"/>
  <c r="W1147" i="34"/>
  <c r="W1148" i="34"/>
  <c r="W1149" i="34"/>
  <c r="W1150" i="34"/>
  <c r="W1151" i="34"/>
  <c r="W1152" i="34"/>
  <c r="W1153" i="34"/>
  <c r="W1154" i="34"/>
  <c r="W1155" i="34"/>
  <c r="W1156" i="34"/>
  <c r="W1157" i="34"/>
  <c r="W1158" i="34"/>
  <c r="W1159" i="34"/>
  <c r="W1160" i="34"/>
  <c r="W1161" i="34"/>
  <c r="W1162" i="34"/>
  <c r="W1163" i="34"/>
  <c r="W1164" i="34"/>
  <c r="W1165" i="34"/>
  <c r="W1166" i="34"/>
  <c r="W1167" i="34"/>
  <c r="W1168" i="34"/>
  <c r="W1169" i="34"/>
  <c r="W1170" i="34"/>
  <c r="W1171" i="34"/>
  <c r="W1172" i="34"/>
  <c r="W1173" i="34"/>
  <c r="W1174" i="34"/>
  <c r="W1175" i="34"/>
  <c r="W1176" i="34"/>
  <c r="W1177" i="34"/>
  <c r="W1178" i="34"/>
  <c r="W1179" i="34"/>
  <c r="W1180" i="34"/>
  <c r="W1181" i="34"/>
  <c r="W1182" i="34"/>
  <c r="W1183" i="34"/>
  <c r="W1184" i="34"/>
  <c r="W1185" i="34"/>
  <c r="W1186" i="34"/>
  <c r="W1187" i="34"/>
  <c r="W1188" i="34"/>
  <c r="W1189" i="34"/>
  <c r="W1190" i="34"/>
  <c r="W1191" i="34"/>
  <c r="W1192" i="34"/>
  <c r="W1193" i="34"/>
  <c r="W1194" i="34"/>
  <c r="W1195" i="34"/>
  <c r="W1196" i="34"/>
  <c r="W1197" i="34"/>
  <c r="W1198" i="34"/>
  <c r="W1199" i="34"/>
  <c r="W1200" i="34"/>
  <c r="W1201" i="34"/>
  <c r="W1202" i="34"/>
  <c r="W1203" i="34"/>
  <c r="W1204" i="34"/>
  <c r="W1205" i="34"/>
  <c r="W1206" i="34"/>
  <c r="W1207" i="34"/>
  <c r="W1208" i="34"/>
  <c r="W1209" i="34"/>
  <c r="W1210" i="34"/>
  <c r="W1211" i="34"/>
  <c r="W1212" i="34"/>
  <c r="W1213" i="34"/>
  <c r="W1214" i="34"/>
  <c r="W1215" i="34"/>
  <c r="W1216" i="34"/>
  <c r="W1217" i="34"/>
  <c r="W1218" i="34"/>
  <c r="W1219" i="34"/>
  <c r="W1220" i="34"/>
  <c r="W1221" i="34"/>
  <c r="W1222" i="34"/>
  <c r="W1223" i="34"/>
  <c r="W1224" i="34"/>
  <c r="W1225" i="34"/>
  <c r="W1226" i="34"/>
  <c r="W1227" i="34"/>
  <c r="W1228" i="34"/>
  <c r="W1229" i="34"/>
  <c r="W1230" i="34"/>
  <c r="W1231" i="34"/>
  <c r="W1232" i="34"/>
  <c r="W1233" i="34"/>
  <c r="W1234" i="34"/>
  <c r="W1235" i="34"/>
  <c r="W1236" i="34"/>
  <c r="W1237" i="34"/>
  <c r="W1238" i="34"/>
  <c r="W1239" i="34"/>
  <c r="W1240" i="34"/>
  <c r="W1241" i="34"/>
  <c r="W1242" i="34"/>
  <c r="W1243" i="34"/>
  <c r="W1244" i="34"/>
  <c r="W1245" i="34"/>
  <c r="W1246" i="34"/>
  <c r="W1247" i="34"/>
  <c r="W1248" i="34"/>
  <c r="W1249" i="34"/>
  <c r="W1250" i="34"/>
  <c r="W1251" i="34"/>
  <c r="W1252" i="34"/>
  <c r="W1253" i="34"/>
  <c r="W1254" i="34"/>
  <c r="W1255" i="34"/>
  <c r="W1256" i="34"/>
  <c r="W1257" i="34"/>
  <c r="W1258" i="34"/>
  <c r="W1259" i="34"/>
  <c r="W1260" i="34"/>
  <c r="W1261" i="34"/>
  <c r="W1262" i="34"/>
  <c r="W1263" i="34"/>
  <c r="W1264" i="34"/>
  <c r="W1265" i="34"/>
  <c r="W1266" i="34"/>
  <c r="G285" i="55"/>
  <c r="I285" i="55"/>
  <c r="W14" i="34"/>
  <c r="I26" i="55"/>
  <c r="W13" i="34"/>
  <c r="W11" i="34"/>
  <c r="W12" i="34"/>
  <c r="X12" i="34"/>
  <c r="X11" i="34"/>
  <c r="X13" i="34"/>
  <c r="A10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K1270" i="34" l="1"/>
  <c r="J176" i="55" s="1" a="1"/>
  <c r="J176" i="55" s="1"/>
  <c r="H56" i="57"/>
  <c r="I36" i="58"/>
  <c r="F3" i="68"/>
  <c r="H48" i="57"/>
  <c r="A30" i="47"/>
  <c r="K285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J70" i="55" l="1" a="1"/>
  <c r="J70" i="55" s="1"/>
  <c r="J96" i="55" a="1"/>
  <c r="J96" i="55" s="1"/>
  <c r="J192" i="55" a="1"/>
  <c r="J192" i="55" s="1"/>
  <c r="J195" i="55" a="1"/>
  <c r="J195" i="55" s="1"/>
  <c r="H126" i="55" a="1"/>
  <c r="H126" i="55" s="1"/>
  <c r="H275" i="55" a="1"/>
  <c r="H275" i="55" s="1"/>
  <c r="H75" i="55" a="1"/>
  <c r="H75" i="55" s="1"/>
  <c r="H85" i="55" a="1"/>
  <c r="H85" i="55" s="1"/>
  <c r="H240" i="55" a="1"/>
  <c r="H240" i="55" s="1"/>
  <c r="H255" i="55" a="1"/>
  <c r="H255" i="55" s="1"/>
  <c r="J281" i="55" a="1"/>
  <c r="J281" i="55" s="1"/>
  <c r="J99" i="55" a="1"/>
  <c r="J99" i="55" s="1"/>
  <c r="J244" i="55" a="1"/>
  <c r="J244" i="55" s="1"/>
  <c r="H106" i="55" a="1"/>
  <c r="H106" i="55" s="1"/>
  <c r="H133" i="55" a="1"/>
  <c r="H133" i="55" s="1"/>
  <c r="J217" i="55" a="1"/>
  <c r="J217" i="55" s="1"/>
  <c r="H99" i="55" a="1"/>
  <c r="H99" i="55" s="1"/>
  <c r="H244" i="55" a="1"/>
  <c r="H244" i="55" s="1"/>
  <c r="L244" i="55" s="1"/>
  <c r="J108" i="55" a="1"/>
  <c r="J108" i="55" s="1"/>
  <c r="H170" i="55" a="1"/>
  <c r="H170" i="55" s="1"/>
  <c r="H29" i="55" a="1"/>
  <c r="H29" i="55" s="1"/>
  <c r="H86" i="55" a="1"/>
  <c r="H86" i="55" s="1"/>
  <c r="H103" i="55" a="1"/>
  <c r="H103" i="55" s="1"/>
  <c r="J152" i="55" a="1"/>
  <c r="J152" i="55" s="1"/>
  <c r="H221" i="55" a="1"/>
  <c r="H221" i="55" s="1"/>
  <c r="H67" i="55" a="1"/>
  <c r="H67" i="55" s="1"/>
  <c r="H249" i="55" a="1"/>
  <c r="H249" i="55" s="1"/>
  <c r="J215" i="55" a="1"/>
  <c r="J215" i="55" s="1"/>
  <c r="J250" i="55" a="1"/>
  <c r="J250" i="55" s="1"/>
  <c r="J129" i="55" a="1"/>
  <c r="J129" i="55" s="1"/>
  <c r="J178" i="55" a="1"/>
  <c r="J178" i="55" s="1"/>
  <c r="J41" i="55" a="1"/>
  <c r="J41" i="55" s="1"/>
  <c r="H203" i="55" a="1"/>
  <c r="H203" i="55" s="1"/>
  <c r="H113" i="55" a="1"/>
  <c r="H113" i="55" s="1"/>
  <c r="H39" i="55" a="1"/>
  <c r="H39" i="55" s="1"/>
  <c r="H194" i="55" a="1"/>
  <c r="H194" i="55" s="1"/>
  <c r="H84" i="55" a="1"/>
  <c r="H84" i="55" s="1"/>
  <c r="J168" i="55" a="1"/>
  <c r="J168" i="55" s="1"/>
  <c r="J264" i="55" a="1"/>
  <c r="J264" i="55" s="1"/>
  <c r="H149" i="55" a="1"/>
  <c r="H149" i="55" s="1"/>
  <c r="J28" i="55" a="1"/>
  <c r="J28" i="55" s="1"/>
  <c r="J80" i="55" a="1"/>
  <c r="J80" i="55" s="1"/>
  <c r="H168" i="55" a="1"/>
  <c r="H168" i="55" s="1"/>
  <c r="H264" i="55" a="1"/>
  <c r="H264" i="55" s="1"/>
  <c r="H28" i="55" a="1"/>
  <c r="H28" i="55" s="1"/>
  <c r="L28" i="55" s="1"/>
  <c r="H282" i="55" a="1"/>
  <c r="H282" i="55" s="1"/>
  <c r="H92" i="55" a="1"/>
  <c r="H92" i="55" s="1"/>
  <c r="H139" i="55" a="1"/>
  <c r="H139" i="55" s="1"/>
  <c r="H82" i="55" a="1"/>
  <c r="H82" i="55" s="1"/>
  <c r="J167" i="55" a="1"/>
  <c r="J167" i="55" s="1"/>
  <c r="H146" i="55" a="1"/>
  <c r="H146" i="55" s="1"/>
  <c r="H238" i="55" a="1"/>
  <c r="H238" i="55" s="1"/>
  <c r="H32" i="55" a="1"/>
  <c r="H32" i="55" s="1"/>
  <c r="J219" i="55" a="1"/>
  <c r="J219" i="55" s="1"/>
  <c r="J117" i="55" a="1"/>
  <c r="J117" i="55" s="1"/>
  <c r="J130" i="55" a="1"/>
  <c r="J130" i="55" s="1"/>
  <c r="J75" i="55" a="1"/>
  <c r="J75" i="55" s="1"/>
  <c r="J188" i="55" a="1"/>
  <c r="J188" i="55" s="1"/>
  <c r="J283" i="55" a="1"/>
  <c r="J283" i="55" s="1"/>
  <c r="J104" i="55" a="1"/>
  <c r="J104" i="55" s="1"/>
  <c r="J85" i="55" a="1"/>
  <c r="J85" i="55" s="1"/>
  <c r="J198" i="55" a="1"/>
  <c r="J198" i="55" s="1"/>
  <c r="H73" i="55" a="1"/>
  <c r="H73" i="55" s="1"/>
  <c r="H185" i="55" a="1"/>
  <c r="H185" i="55" s="1"/>
  <c r="H42" i="55" a="1"/>
  <c r="H42" i="55" s="1"/>
  <c r="H114" i="55" a="1"/>
  <c r="H114" i="55" s="1"/>
  <c r="H207" i="55" a="1"/>
  <c r="H207" i="55" s="1"/>
  <c r="J254" i="55" a="1"/>
  <c r="J254" i="55" s="1"/>
  <c r="J112" i="55" a="1"/>
  <c r="J112" i="55" s="1"/>
  <c r="J245" i="55" a="1"/>
  <c r="J245" i="55" s="1"/>
  <c r="J48" i="55" a="1"/>
  <c r="J48" i="55" s="1"/>
  <c r="J116" i="55" a="1"/>
  <c r="J116" i="55" s="1"/>
  <c r="H30" i="55" a="1"/>
  <c r="H30" i="55" s="1"/>
  <c r="H112" i="55" a="1"/>
  <c r="H112" i="55" s="1"/>
  <c r="L112" i="55" s="1"/>
  <c r="H245" i="55" a="1"/>
  <c r="H245" i="55" s="1"/>
  <c r="J224" i="55" a="1"/>
  <c r="J224" i="55" s="1"/>
  <c r="J259" i="55" a="1"/>
  <c r="J259" i="55" s="1"/>
  <c r="H35" i="55" a="1"/>
  <c r="H35" i="55" s="1"/>
  <c r="H31" i="55" a="1"/>
  <c r="H31" i="55" s="1"/>
  <c r="J249" i="55" a="1"/>
  <c r="J249" i="55" s="1"/>
  <c r="J232" i="55" a="1"/>
  <c r="J232" i="55" s="1"/>
  <c r="H105" i="55" a="1"/>
  <c r="H105" i="55" s="1"/>
  <c r="H176" i="55" a="1"/>
  <c r="H176" i="55" s="1"/>
  <c r="L176" i="55" s="1"/>
  <c r="J220" i="55" a="1"/>
  <c r="J220" i="55" s="1"/>
  <c r="H164" i="55" a="1"/>
  <c r="H164" i="55" s="1"/>
  <c r="J120" i="55" a="1"/>
  <c r="J120" i="55" s="1"/>
  <c r="J174" i="55" a="1"/>
  <c r="J174" i="55" s="1"/>
  <c r="J183" i="55" a="1"/>
  <c r="J183" i="55" s="1"/>
  <c r="J95" i="55" a="1"/>
  <c r="J95" i="55" s="1"/>
  <c r="J205" i="55" a="1"/>
  <c r="J205" i="55" s="1"/>
  <c r="H181" i="55" a="1"/>
  <c r="H181" i="55" s="1"/>
  <c r="J73" i="55" a="1"/>
  <c r="J73" i="55" s="1"/>
  <c r="J40" i="55" a="1"/>
  <c r="J40" i="55" s="1"/>
  <c r="J228" i="55" a="1"/>
  <c r="J228" i="55" s="1"/>
  <c r="H177" i="55" a="1"/>
  <c r="H177" i="55" s="1"/>
  <c r="J74" i="55" a="1"/>
  <c r="J74" i="55" s="1"/>
  <c r="H137" i="55" a="1"/>
  <c r="H137" i="55" s="1"/>
  <c r="J98" i="55" a="1"/>
  <c r="J98" i="55" s="1"/>
  <c r="J155" i="55" a="1"/>
  <c r="J155" i="55" s="1"/>
  <c r="J196" i="55" a="1"/>
  <c r="J196" i="55" s="1"/>
  <c r="H163" i="55" a="1"/>
  <c r="H163" i="55" s="1"/>
  <c r="H88" i="55" a="1"/>
  <c r="H88" i="55" s="1"/>
  <c r="H151" i="55" a="1"/>
  <c r="H151" i="55" s="1"/>
  <c r="H95" i="55" a="1"/>
  <c r="H95" i="55" s="1"/>
  <c r="L95" i="55" s="1"/>
  <c r="H193" i="55" a="1"/>
  <c r="H193" i="55" s="1"/>
  <c r="H235" i="55" a="1"/>
  <c r="H235" i="55" s="1"/>
  <c r="H229" i="55" a="1"/>
  <c r="H229" i="55" s="1"/>
  <c r="J272" i="55" a="1"/>
  <c r="J272" i="55" s="1"/>
  <c r="J269" i="55" a="1"/>
  <c r="J269" i="55" s="1"/>
  <c r="H223" i="55" a="1"/>
  <c r="H223" i="55" s="1"/>
  <c r="H204" i="55" a="1"/>
  <c r="H204" i="55" s="1"/>
  <c r="J139" i="55" a="1"/>
  <c r="J139" i="55" s="1"/>
  <c r="H272" i="55" a="1"/>
  <c r="H272" i="55" s="1"/>
  <c r="H269" i="55" a="1"/>
  <c r="H269" i="55" s="1"/>
  <c r="L269" i="55" s="1"/>
  <c r="J149" i="55" a="1"/>
  <c r="J149" i="55" s="1"/>
  <c r="H280" i="55" a="1"/>
  <c r="H280" i="55" s="1"/>
  <c r="H222" i="55" a="1"/>
  <c r="H222" i="55" s="1"/>
  <c r="J78" i="55" a="1"/>
  <c r="J78" i="55" s="1"/>
  <c r="J142" i="55" a="1"/>
  <c r="J142" i="55" s="1"/>
  <c r="J81" i="55" a="1"/>
  <c r="J81" i="55" s="1"/>
  <c r="H132" i="55" a="1"/>
  <c r="H132" i="55" s="1"/>
  <c r="H253" i="55" a="1"/>
  <c r="H253" i="55" s="1"/>
  <c r="J118" i="55" a="1"/>
  <c r="J118" i="55" s="1"/>
  <c r="J170" i="55" a="1"/>
  <c r="J170" i="55" s="1"/>
  <c r="J144" i="55" a="1"/>
  <c r="J144" i="55" s="1"/>
  <c r="J239" i="55" a="1"/>
  <c r="J239" i="55" s="1"/>
  <c r="H44" i="55" a="1"/>
  <c r="H44" i="55" s="1"/>
  <c r="J42" i="55" a="1"/>
  <c r="J42" i="55" s="1"/>
  <c r="J114" i="55" a="1"/>
  <c r="J114" i="55" s="1"/>
  <c r="J207" i="55" a="1"/>
  <c r="J207" i="55" s="1"/>
  <c r="J261" i="55" a="1"/>
  <c r="J261" i="55" s="1"/>
  <c r="H72" i="55" a="1"/>
  <c r="H72" i="55" s="1"/>
  <c r="H183" i="55" a="1"/>
  <c r="H183" i="55" s="1"/>
  <c r="H94" i="55" a="1"/>
  <c r="H94" i="55" s="1"/>
  <c r="H161" i="55" a="1"/>
  <c r="H161" i="55" s="1"/>
  <c r="H228" i="55" a="1"/>
  <c r="H228" i="55" s="1"/>
  <c r="J107" i="55" a="1"/>
  <c r="J107" i="55" s="1"/>
  <c r="J276" i="55" a="1"/>
  <c r="J276" i="55" s="1"/>
  <c r="J273" i="55" a="1"/>
  <c r="J273" i="55" s="1"/>
  <c r="H224" i="55" a="1"/>
  <c r="H224" i="55" s="1"/>
  <c r="L224" i="55" s="1"/>
  <c r="J206" i="55" a="1"/>
  <c r="J206" i="55" s="1"/>
  <c r="H225" i="55" a="1"/>
  <c r="H225" i="55" s="1"/>
  <c r="H276" i="55" a="1"/>
  <c r="H276" i="55" s="1"/>
  <c r="H273" i="55" a="1"/>
  <c r="H273" i="55" s="1"/>
  <c r="J66" i="55" a="1"/>
  <c r="J66" i="55" s="1"/>
  <c r="J131" i="55" a="1"/>
  <c r="J131" i="55" s="1"/>
  <c r="H116" i="55" a="1"/>
  <c r="H116" i="55" s="1"/>
  <c r="L116" i="55" s="1"/>
  <c r="H141" i="55" a="1"/>
  <c r="H141" i="55" s="1"/>
  <c r="J143" i="55" a="1"/>
  <c r="J143" i="55" s="1"/>
  <c r="J79" i="55" a="1"/>
  <c r="J79" i="55" s="1"/>
  <c r="H162" i="55" a="1"/>
  <c r="H162" i="55" s="1"/>
  <c r="H236" i="55" a="1"/>
  <c r="H236" i="55" s="1"/>
  <c r="J34" i="55" a="1"/>
  <c r="J34" i="55" s="1"/>
  <c r="J111" i="55" a="1"/>
  <c r="J111" i="55" s="1"/>
  <c r="J145" i="55" a="1"/>
  <c r="J145" i="55" s="1"/>
  <c r="J213" i="55" a="1"/>
  <c r="J213" i="55" s="1"/>
  <c r="J227" i="55" a="1"/>
  <c r="J227" i="55" s="1"/>
  <c r="J50" i="55" a="1"/>
  <c r="J50" i="55" s="1"/>
  <c r="H234" i="55" a="1"/>
  <c r="H234" i="55" s="1"/>
  <c r="H98" i="55" a="1"/>
  <c r="H98" i="55" s="1"/>
  <c r="H155" i="55" a="1"/>
  <c r="H155" i="55" s="1"/>
  <c r="L155" i="55" s="1"/>
  <c r="H196" i="55" a="1"/>
  <c r="H196" i="55" s="1"/>
  <c r="L196" i="55" s="1"/>
  <c r="H90" i="55" a="1"/>
  <c r="H90" i="55" s="1"/>
  <c r="J91" i="55" a="1"/>
  <c r="J91" i="55" s="1"/>
  <c r="J277" i="55" a="1"/>
  <c r="J277" i="55" s="1"/>
  <c r="J204" i="55" a="1"/>
  <c r="J204" i="55" s="1"/>
  <c r="L204" i="55" s="1"/>
  <c r="J222" i="55" a="1"/>
  <c r="J222" i="55" s="1"/>
  <c r="J135" i="55" a="1"/>
  <c r="J135" i="55" s="1"/>
  <c r="H91" i="55" a="1"/>
  <c r="H91" i="55" s="1"/>
  <c r="H277" i="55" a="1"/>
  <c r="H277" i="55" s="1"/>
  <c r="L277" i="55" s="1"/>
  <c r="J223" i="55" a="1"/>
  <c r="J223" i="55" s="1"/>
  <c r="J46" i="55" a="1"/>
  <c r="J46" i="55" s="1"/>
  <c r="H61" i="55" a="1"/>
  <c r="H61" i="55" s="1"/>
  <c r="J93" i="55" a="1"/>
  <c r="J93" i="55" s="1"/>
  <c r="J136" i="55" a="1"/>
  <c r="J136" i="55" s="1"/>
  <c r="J211" i="55" a="1"/>
  <c r="J211" i="55" s="1"/>
  <c r="H97" i="55" a="1"/>
  <c r="H97" i="55" s="1"/>
  <c r="H257" i="55" a="1"/>
  <c r="H257" i="55" s="1"/>
  <c r="J247" i="55" a="1"/>
  <c r="J247" i="55" s="1"/>
  <c r="J133" i="55" a="1"/>
  <c r="J133" i="55" s="1"/>
  <c r="J110" i="55" a="1"/>
  <c r="J110" i="55" s="1"/>
  <c r="J218" i="55" a="1"/>
  <c r="J218" i="55" s="1"/>
  <c r="J203" i="55" a="1"/>
  <c r="J203" i="55" s="1"/>
  <c r="J190" i="55" a="1"/>
  <c r="J190" i="55" s="1"/>
  <c r="H125" i="55" a="1"/>
  <c r="H125" i="55" s="1"/>
  <c r="J185" i="55" a="1"/>
  <c r="J185" i="55" s="1"/>
  <c r="J191" i="55" a="1"/>
  <c r="J191" i="55" s="1"/>
  <c r="J84" i="55" a="1"/>
  <c r="J84" i="55" s="1"/>
  <c r="H180" i="55" a="1"/>
  <c r="H180" i="55" s="1"/>
  <c r="H63" i="55" a="1"/>
  <c r="H63" i="55" s="1"/>
  <c r="H189" i="55" a="1"/>
  <c r="H189" i="55" s="1"/>
  <c r="H159" i="55" a="1"/>
  <c r="H159" i="55" s="1"/>
  <c r="H200" i="55" a="1"/>
  <c r="H200" i="55" s="1"/>
  <c r="J275" i="55" a="1"/>
  <c r="J275" i="55" s="1"/>
  <c r="J76" i="55" a="1"/>
  <c r="J76" i="55" s="1"/>
  <c r="J55" i="55" a="1"/>
  <c r="J55" i="55" s="1"/>
  <c r="J141" i="55" a="1"/>
  <c r="J141" i="55" s="1"/>
  <c r="J128" i="55" a="1"/>
  <c r="J128" i="55" s="1"/>
  <c r="H173" i="55" a="1"/>
  <c r="H173" i="55" s="1"/>
  <c r="H76" i="55" a="1"/>
  <c r="H76" i="55" s="1"/>
  <c r="H55" i="55" a="1"/>
  <c r="H55" i="55" s="1"/>
  <c r="J225" i="55" a="1"/>
  <c r="J225" i="55" s="1"/>
  <c r="J126" i="55" a="1"/>
  <c r="J126" i="55" s="1"/>
  <c r="H209" i="55" a="1"/>
  <c r="H209" i="55" s="1"/>
  <c r="H123" i="55" a="1"/>
  <c r="H123" i="55" s="1"/>
  <c r="H247" i="55" a="1"/>
  <c r="H247" i="55" s="1"/>
  <c r="H144" i="55" a="1"/>
  <c r="H144" i="55" s="1"/>
  <c r="L144" i="55" s="1"/>
  <c r="H239" i="55" a="1"/>
  <c r="H239" i="55" s="1"/>
  <c r="L239" i="55" s="1"/>
  <c r="J121" i="55" a="1"/>
  <c r="J121" i="55" s="1"/>
  <c r="H265" i="55" a="1"/>
  <c r="H265" i="55" s="1"/>
  <c r="H100" i="55" a="1"/>
  <c r="H100" i="55" s="1"/>
  <c r="J146" i="55" a="1"/>
  <c r="J146" i="55" s="1"/>
  <c r="J238" i="55" a="1"/>
  <c r="J238" i="55" s="1"/>
  <c r="J252" i="55" a="1"/>
  <c r="J252" i="55" s="1"/>
  <c r="J258" i="55" a="1"/>
  <c r="J258" i="55" s="1"/>
  <c r="H51" i="55" a="1"/>
  <c r="H51" i="55" s="1"/>
  <c r="J71" i="55" a="1"/>
  <c r="J71" i="55" s="1"/>
  <c r="H37" i="55" a="1"/>
  <c r="H37" i="55" s="1"/>
  <c r="J240" i="55" a="1"/>
  <c r="J240" i="55" s="1"/>
  <c r="J166" i="55" a="1"/>
  <c r="J166" i="55" s="1"/>
  <c r="J179" i="55" a="1"/>
  <c r="J179" i="55" s="1"/>
  <c r="J63" i="55" a="1"/>
  <c r="J63" i="55" s="1"/>
  <c r="H261" i="55" a="1"/>
  <c r="H261" i="55" s="1"/>
  <c r="L261" i="55" s="1"/>
  <c r="J43" i="55" a="1"/>
  <c r="J43" i="55" s="1"/>
  <c r="J160" i="55" a="1"/>
  <c r="J160" i="55" s="1"/>
  <c r="J199" i="55" a="1"/>
  <c r="J199" i="55" s="1"/>
  <c r="H131" i="55" a="1"/>
  <c r="H131" i="55" s="1"/>
  <c r="L131" i="55" s="1"/>
  <c r="H74" i="55" a="1"/>
  <c r="H74" i="55" s="1"/>
  <c r="L74" i="55" s="1"/>
  <c r="H186" i="55" a="1"/>
  <c r="H186" i="55" s="1"/>
  <c r="H41" i="55" a="1"/>
  <c r="H41" i="55" s="1"/>
  <c r="L41" i="55" s="1"/>
  <c r="H158" i="55" a="1"/>
  <c r="H158" i="55" s="1"/>
  <c r="H197" i="55" a="1"/>
  <c r="H197" i="55" s="1"/>
  <c r="L197" i="55" s="1"/>
  <c r="H263" i="55" a="1"/>
  <c r="H263" i="55" s="1"/>
  <c r="J201" i="55" a="1"/>
  <c r="J201" i="55" s="1"/>
  <c r="J56" i="55" a="1"/>
  <c r="J56" i="55" s="1"/>
  <c r="J169" i="55" a="1"/>
  <c r="J169" i="55" s="1"/>
  <c r="J61" i="55" a="1"/>
  <c r="J61" i="55" s="1"/>
  <c r="J102" i="55" a="1"/>
  <c r="J102" i="55" s="1"/>
  <c r="H201" i="55" a="1"/>
  <c r="H201" i="55" s="1"/>
  <c r="H56" i="55" a="1"/>
  <c r="H56" i="55" s="1"/>
  <c r="H48" i="55" a="1"/>
  <c r="H48" i="55" s="1"/>
  <c r="L48" i="55" s="1"/>
  <c r="J137" i="55" a="1"/>
  <c r="J137" i="55" s="1"/>
  <c r="H127" i="55" a="1"/>
  <c r="H127" i="55" s="1"/>
  <c r="J62" i="55" a="1"/>
  <c r="J62" i="55" s="1"/>
  <c r="H153" i="55" a="1"/>
  <c r="H153" i="55" s="1"/>
  <c r="J246" i="55" a="1"/>
  <c r="J246" i="55" s="1"/>
  <c r="H129" i="55" a="1"/>
  <c r="H129" i="55" s="1"/>
  <c r="L129" i="55" s="1"/>
  <c r="J267" i="55" a="1"/>
  <c r="J267" i="55" s="1"/>
  <c r="H69" i="55" a="1"/>
  <c r="H69" i="55" s="1"/>
  <c r="H109" i="55" a="1"/>
  <c r="H109" i="55" s="1"/>
  <c r="J119" i="55" a="1"/>
  <c r="J119" i="55" s="1"/>
  <c r="J175" i="55" a="1"/>
  <c r="J175" i="55" s="1"/>
  <c r="J184" i="55" a="1"/>
  <c r="J184" i="55" s="1"/>
  <c r="J263" i="55" a="1"/>
  <c r="J263" i="55" s="1"/>
  <c r="J189" i="55" a="1"/>
  <c r="J189" i="55" s="1"/>
  <c r="J159" i="55" a="1"/>
  <c r="J159" i="55" s="1"/>
  <c r="J200" i="55" a="1"/>
  <c r="J200" i="55" s="1"/>
  <c r="H46" i="55" a="1"/>
  <c r="H46" i="55" s="1"/>
  <c r="L46" i="55" s="1"/>
  <c r="H178" i="55" a="1"/>
  <c r="H178" i="55" s="1"/>
  <c r="L178" i="55" s="1"/>
  <c r="H104" i="55" a="1"/>
  <c r="H104" i="55" s="1"/>
  <c r="L104" i="55" s="1"/>
  <c r="H40" i="55" a="1"/>
  <c r="H40" i="55" s="1"/>
  <c r="L40" i="55" s="1"/>
  <c r="H226" i="55" a="1"/>
  <c r="H226" i="55" s="1"/>
  <c r="H198" i="55" a="1"/>
  <c r="H198" i="55" s="1"/>
  <c r="L198" i="55" s="1"/>
  <c r="J268" i="55" a="1"/>
  <c r="J268" i="55" s="1"/>
  <c r="J122" i="55" a="1"/>
  <c r="J122" i="55" s="1"/>
  <c r="J57" i="55" a="1"/>
  <c r="J57" i="55" s="1"/>
  <c r="J140" i="55" a="1"/>
  <c r="J140" i="55" s="1"/>
  <c r="J35" i="55" a="1"/>
  <c r="J35" i="55" s="1"/>
  <c r="J262" i="55" a="1"/>
  <c r="J262" i="55" s="1"/>
  <c r="H122" i="55" a="1"/>
  <c r="H122" i="55" s="1"/>
  <c r="L122" i="55" s="1"/>
  <c r="H57" i="55" a="1"/>
  <c r="H57" i="55" s="1"/>
  <c r="H169" i="55" a="1"/>
  <c r="H169" i="55" s="1"/>
  <c r="L169" i="55" s="1"/>
  <c r="J157" i="55" a="1"/>
  <c r="J157" i="55" s="1"/>
  <c r="H128" i="55" a="1"/>
  <c r="H128" i="55" s="1"/>
  <c r="L128" i="55" s="1"/>
  <c r="J69" i="55" a="1"/>
  <c r="J69" i="55" s="1"/>
  <c r="H118" i="55" a="1"/>
  <c r="H118" i="55" s="1"/>
  <c r="L118" i="55" s="1"/>
  <c r="H117" i="55" a="1"/>
  <c r="H117" i="55" s="1"/>
  <c r="L117" i="55" s="1"/>
  <c r="H130" i="55" a="1"/>
  <c r="H130" i="55" s="1"/>
  <c r="L130" i="55" s="1"/>
  <c r="J270" i="55" a="1"/>
  <c r="J270" i="55" s="1"/>
  <c r="H77" i="55" a="1"/>
  <c r="H77" i="55" s="1"/>
  <c r="L77" i="55" s="1"/>
  <c r="H152" i="55" a="1"/>
  <c r="H152" i="55" s="1"/>
  <c r="L152" i="55" s="1"/>
  <c r="J154" i="55" a="1"/>
  <c r="J154" i="55" s="1"/>
  <c r="J150" i="55" a="1"/>
  <c r="J150" i="55" s="1"/>
  <c r="J177" i="55" a="1"/>
  <c r="J177" i="55" s="1"/>
  <c r="J197" i="55" a="1"/>
  <c r="J197" i="55" s="1"/>
  <c r="H165" i="55" a="1"/>
  <c r="H165" i="55" s="1"/>
  <c r="H43" i="55" a="1"/>
  <c r="H43" i="55" s="1"/>
  <c r="L43" i="55" s="1"/>
  <c r="H160" i="55" a="1"/>
  <c r="H160" i="55" s="1"/>
  <c r="L160" i="55" s="1"/>
  <c r="H199" i="55" a="1"/>
  <c r="H199" i="55" s="1"/>
  <c r="J271" i="55" a="1"/>
  <c r="J271" i="55" s="1"/>
  <c r="J208" i="55" a="1"/>
  <c r="J208" i="55" s="1"/>
  <c r="J54" i="55" a="1"/>
  <c r="J54" i="55" s="1"/>
  <c r="H135" i="55" a="1"/>
  <c r="H135" i="55" s="1"/>
  <c r="J127" i="55" a="1"/>
  <c r="J127" i="55" s="1"/>
  <c r="H278" i="55" a="1"/>
  <c r="H278" i="55" s="1"/>
  <c r="L278" i="55" s="1"/>
  <c r="H208" i="55" a="1"/>
  <c r="H208" i="55" s="1"/>
  <c r="H54" i="55" a="1"/>
  <c r="H54" i="55" s="1"/>
  <c r="H78" i="55" a="1"/>
  <c r="H78" i="55" s="1"/>
  <c r="L78" i="55" s="1"/>
  <c r="J125" i="55" a="1"/>
  <c r="J125" i="55" s="1"/>
  <c r="H45" i="55" a="1"/>
  <c r="H45" i="55" s="1"/>
  <c r="J265" i="55" a="1"/>
  <c r="J265" i="55" s="1"/>
  <c r="H34" i="55" a="1"/>
  <c r="H34" i="55" s="1"/>
  <c r="L34" i="55" s="1"/>
  <c r="H251" i="55" a="1"/>
  <c r="H251" i="55" s="1"/>
  <c r="H38" i="55" a="1"/>
  <c r="H38" i="55" s="1"/>
  <c r="J274" i="55" a="1"/>
  <c r="J274" i="55" s="1"/>
  <c r="H262" i="55" a="1"/>
  <c r="H262" i="55" s="1"/>
  <c r="L262" i="55" s="1"/>
  <c r="H167" i="55" a="1"/>
  <c r="H167" i="55" s="1"/>
  <c r="L167" i="55" s="1"/>
  <c r="J221" i="55" a="1"/>
  <c r="J221" i="55" s="1"/>
  <c r="J67" i="55" a="1"/>
  <c r="J67" i="55" s="1"/>
  <c r="J165" i="55" a="1"/>
  <c r="J165" i="55" s="1"/>
  <c r="J158" i="55" a="1"/>
  <c r="J158" i="55" s="1"/>
  <c r="H71" i="55" a="1"/>
  <c r="H71" i="55" s="1"/>
  <c r="L71" i="55" s="1"/>
  <c r="J151" i="55" a="1"/>
  <c r="J151" i="55" s="1"/>
  <c r="J161" i="55" a="1"/>
  <c r="J161" i="55" s="1"/>
  <c r="J37" i="55" a="1"/>
  <c r="J37" i="55" s="1"/>
  <c r="H182" i="55" a="1"/>
  <c r="H182" i="55" s="1"/>
  <c r="H187" i="55" a="1"/>
  <c r="H187" i="55" s="1"/>
  <c r="H33" i="55" a="1"/>
  <c r="H33" i="55" s="1"/>
  <c r="H148" i="55" a="1"/>
  <c r="H148" i="55" s="1"/>
  <c r="H241" i="55" a="1"/>
  <c r="H241" i="55" s="1"/>
  <c r="J53" i="55" a="1"/>
  <c r="J53" i="55" s="1"/>
  <c r="J101" i="55" a="1"/>
  <c r="J101" i="55" s="1"/>
  <c r="J216" i="55" a="1"/>
  <c r="J216" i="55" s="1"/>
  <c r="H279" i="55" a="1"/>
  <c r="H279" i="55" s="1"/>
  <c r="J231" i="55" a="1"/>
  <c r="J231" i="55" s="1"/>
  <c r="H53" i="55" a="1"/>
  <c r="H53" i="55" s="1"/>
  <c r="L53" i="55" s="1"/>
  <c r="H101" i="55" a="1"/>
  <c r="H101" i="55" s="1"/>
  <c r="L101" i="55" s="1"/>
  <c r="H216" i="55" a="1"/>
  <c r="H216" i="55" s="1"/>
  <c r="J77" i="55" a="1"/>
  <c r="J77" i="55" s="1"/>
  <c r="H108" i="55" a="1"/>
  <c r="H108" i="55" s="1"/>
  <c r="L108" i="55" s="1"/>
  <c r="H217" i="55" a="1"/>
  <c r="H217" i="55" s="1"/>
  <c r="L217" i="55" s="1"/>
  <c r="H274" i="55" a="1"/>
  <c r="H274" i="55" s="1"/>
  <c r="L274" i="55" s="1"/>
  <c r="J164" i="55" a="1"/>
  <c r="J164" i="55" s="1"/>
  <c r="H119" i="55" a="1"/>
  <c r="H119" i="55" s="1"/>
  <c r="L119" i="55" s="1"/>
  <c r="H175" i="55" a="1"/>
  <c r="H175" i="55" s="1"/>
  <c r="L175" i="55" s="1"/>
  <c r="H143" i="55" a="1"/>
  <c r="H143" i="55" s="1"/>
  <c r="L143" i="55" s="1"/>
  <c r="J278" i="55" a="1"/>
  <c r="J278" i="55" s="1"/>
  <c r="H232" i="55" a="1"/>
  <c r="H232" i="55" s="1"/>
  <c r="L232" i="55" s="1"/>
  <c r="J97" i="55" a="1"/>
  <c r="J97" i="55" s="1"/>
  <c r="J257" i="55" a="1"/>
  <c r="J257" i="55" s="1"/>
  <c r="J282" i="55" a="1"/>
  <c r="J282" i="55" s="1"/>
  <c r="J193" i="55" a="1"/>
  <c r="J193" i="55" s="1"/>
  <c r="H254" i="55" a="1"/>
  <c r="H254" i="55" s="1"/>
  <c r="L254" i="55" s="1"/>
  <c r="J181" i="55" a="1"/>
  <c r="J181" i="55" s="1"/>
  <c r="J256" i="55" a="1"/>
  <c r="J256" i="55" s="1"/>
  <c r="J226" i="55" a="1"/>
  <c r="J226" i="55" s="1"/>
  <c r="J49" i="55" a="1"/>
  <c r="J49" i="55" s="1"/>
  <c r="J72" i="55" a="1"/>
  <c r="J72" i="55" s="1"/>
  <c r="J180" i="55" a="1"/>
  <c r="J180" i="55" s="1"/>
  <c r="J260" i="55" a="1"/>
  <c r="J260" i="55" s="1"/>
  <c r="J89" i="55" a="1"/>
  <c r="J89" i="55" s="1"/>
  <c r="J147" i="55" a="1"/>
  <c r="J147" i="55" s="1"/>
  <c r="J242" i="55" a="1"/>
  <c r="J242" i="55" s="1"/>
  <c r="H107" i="55" a="1"/>
  <c r="H107" i="55" s="1"/>
  <c r="L107" i="55" s="1"/>
  <c r="H227" i="55" a="1"/>
  <c r="H227" i="55" s="1"/>
  <c r="L227" i="55" s="1"/>
  <c r="H70" i="55" a="1"/>
  <c r="H70" i="55" s="1"/>
  <c r="L70" i="55" s="1"/>
  <c r="H190" i="55" a="1"/>
  <c r="H190" i="55" s="1"/>
  <c r="L190" i="55" s="1"/>
  <c r="H50" i="55" a="1"/>
  <c r="H50" i="55" s="1"/>
  <c r="L50" i="55" s="1"/>
  <c r="H205" i="55" a="1"/>
  <c r="H205" i="55" s="1"/>
  <c r="L205" i="55" s="1"/>
  <c r="J248" i="55" a="1"/>
  <c r="J248" i="55" s="1"/>
  <c r="J230" i="55" a="1"/>
  <c r="J230" i="55" s="1"/>
  <c r="J52" i="55" a="1"/>
  <c r="J52" i="55" s="1"/>
  <c r="H102" i="55" a="1"/>
  <c r="H102" i="55" s="1"/>
  <c r="L102" i="55" s="1"/>
  <c r="J45" i="55" a="1"/>
  <c r="J45" i="55" s="1"/>
  <c r="H248" i="55" a="1"/>
  <c r="H248" i="55" s="1"/>
  <c r="H230" i="55" a="1"/>
  <c r="H230" i="55" s="1"/>
  <c r="L230" i="55" s="1"/>
  <c r="H52" i="55" a="1"/>
  <c r="H52" i="55" s="1"/>
  <c r="L52" i="55" s="1"/>
  <c r="H93" i="55" a="1"/>
  <c r="H93" i="55" s="1"/>
  <c r="L93" i="55" s="1"/>
  <c r="J44" i="55" a="1"/>
  <c r="J44" i="55" s="1"/>
  <c r="H214" i="55" a="1"/>
  <c r="H214" i="55" s="1"/>
  <c r="L214" i="55" s="1"/>
  <c r="H215" i="55" a="1"/>
  <c r="H215" i="55" s="1"/>
  <c r="L215" i="55" s="1"/>
  <c r="H220" i="55" a="1"/>
  <c r="H220" i="55" s="1"/>
  <c r="L220" i="55" s="1"/>
  <c r="H145" i="55" a="1"/>
  <c r="H145" i="55" s="1"/>
  <c r="L145" i="55" s="1"/>
  <c r="H213" i="55" a="1"/>
  <c r="H213" i="55" s="1"/>
  <c r="L213" i="55" s="1"/>
  <c r="J103" i="55" a="1"/>
  <c r="J103" i="55" s="1"/>
  <c r="J82" i="55" a="1"/>
  <c r="J82" i="55" s="1"/>
  <c r="L82" i="55" s="1"/>
  <c r="H81" i="55" a="1"/>
  <c r="H81" i="55" s="1"/>
  <c r="L81" i="55" s="1"/>
  <c r="J134" i="55" a="1"/>
  <c r="J134" i="55" s="1"/>
  <c r="J237" i="55" a="1"/>
  <c r="J237" i="55" s="1"/>
  <c r="J233" i="55" a="1"/>
  <c r="J233" i="55" s="1"/>
  <c r="J187" i="55" a="1"/>
  <c r="J187" i="55" s="1"/>
  <c r="J33" i="55" a="1"/>
  <c r="J33" i="55" s="1"/>
  <c r="J148" i="55" a="1"/>
  <c r="J148" i="55" s="1"/>
  <c r="J241" i="55" a="1"/>
  <c r="J241" i="55" s="1"/>
  <c r="J51" i="55" a="1"/>
  <c r="J51" i="55" s="1"/>
  <c r="H233" i="55" a="1"/>
  <c r="H233" i="55" s="1"/>
  <c r="H256" i="55" a="1"/>
  <c r="H256" i="55" s="1"/>
  <c r="L256" i="55" s="1"/>
  <c r="H191" i="55" a="1"/>
  <c r="H191" i="55" s="1"/>
  <c r="L191" i="55" s="1"/>
  <c r="H47" i="55" a="1"/>
  <c r="H47" i="55" s="1"/>
  <c r="H166" i="55" a="1"/>
  <c r="H166" i="55" s="1"/>
  <c r="L166" i="55" s="1"/>
  <c r="J138" i="55" a="1"/>
  <c r="J138" i="55" s="1"/>
  <c r="J171" i="55" a="1"/>
  <c r="J171" i="55" s="1"/>
  <c r="J58" i="55" a="1"/>
  <c r="J58" i="55" s="1"/>
  <c r="J31" i="55" a="1"/>
  <c r="J31" i="55" s="1"/>
  <c r="J209" i="55" a="1"/>
  <c r="J209" i="55" s="1"/>
  <c r="H138" i="55" a="1"/>
  <c r="H138" i="55" s="1"/>
  <c r="H171" i="55" a="1"/>
  <c r="H171" i="55" s="1"/>
  <c r="H58" i="55" a="1"/>
  <c r="H58" i="55" s="1"/>
  <c r="L58" i="55" s="1"/>
  <c r="J30" i="55" a="1"/>
  <c r="J30" i="55" s="1"/>
  <c r="J229" i="55" a="1"/>
  <c r="J229" i="55" s="1"/>
  <c r="H231" i="55" a="1"/>
  <c r="H231" i="55" s="1"/>
  <c r="L231" i="55" s="1"/>
  <c r="H111" i="55" a="1"/>
  <c r="H111" i="55" s="1"/>
  <c r="L111" i="55" s="1"/>
  <c r="H250" i="55" a="1"/>
  <c r="H250" i="55" s="1"/>
  <c r="L250" i="55" s="1"/>
  <c r="H110" i="55" a="1"/>
  <c r="H110" i="55" s="1"/>
  <c r="L110" i="55" s="1"/>
  <c r="H218" i="55" a="1"/>
  <c r="H218" i="55" s="1"/>
  <c r="L218" i="55" s="1"/>
  <c r="H124" i="55" a="1"/>
  <c r="H124" i="55" s="1"/>
  <c r="J123" i="55" a="1"/>
  <c r="J123" i="55" s="1"/>
  <c r="H79" i="55" a="1"/>
  <c r="H79" i="55" s="1"/>
  <c r="L79" i="55" s="1"/>
  <c r="J132" i="55" a="1"/>
  <c r="J132" i="55" s="1"/>
  <c r="J253" i="55" a="1"/>
  <c r="J253" i="55" s="1"/>
  <c r="H271" i="55" a="1"/>
  <c r="H271" i="55" s="1"/>
  <c r="L271" i="55" s="1"/>
  <c r="J280" i="55" a="1"/>
  <c r="J280" i="55" s="1"/>
  <c r="H260" i="55" a="1"/>
  <c r="H260" i="55" s="1"/>
  <c r="H89" i="55" a="1"/>
  <c r="H89" i="55" s="1"/>
  <c r="L89" i="55" s="1"/>
  <c r="H147" i="55" a="1"/>
  <c r="H147" i="55" s="1"/>
  <c r="L147" i="55" s="1"/>
  <c r="H242" i="55" a="1"/>
  <c r="H242" i="55" s="1"/>
  <c r="L242" i="55" s="1"/>
  <c r="J59" i="55" a="1"/>
  <c r="J59" i="55" s="1"/>
  <c r="J115" i="55" a="1"/>
  <c r="J115" i="55" s="1"/>
  <c r="J212" i="55" a="1"/>
  <c r="J212" i="55" s="1"/>
  <c r="H267" i="55" a="1"/>
  <c r="H267" i="55" s="1"/>
  <c r="L267" i="55" s="1"/>
  <c r="J214" i="55" a="1"/>
  <c r="J214" i="55" s="1"/>
  <c r="H59" i="55" a="1"/>
  <c r="H59" i="55" s="1"/>
  <c r="L59" i="55" s="1"/>
  <c r="H115" i="55" a="1"/>
  <c r="H115" i="55" s="1"/>
  <c r="L115" i="55" s="1"/>
  <c r="H212" i="55" a="1"/>
  <c r="H212" i="55" s="1"/>
  <c r="H62" i="55" a="1"/>
  <c r="H62" i="55" s="1"/>
  <c r="L62" i="55" s="1"/>
  <c r="J87" i="55" a="1"/>
  <c r="J87" i="55" s="1"/>
  <c r="H243" i="55" a="1"/>
  <c r="H243" i="55" s="1"/>
  <c r="H270" i="55" a="1"/>
  <c r="H270" i="55" s="1"/>
  <c r="J32" i="55" a="1"/>
  <c r="J32" i="55" s="1"/>
  <c r="L32" i="55" s="1"/>
  <c r="H120" i="55" a="1"/>
  <c r="H120" i="55" s="1"/>
  <c r="L120" i="55" s="1"/>
  <c r="H174" i="55" a="1"/>
  <c r="H174" i="55" s="1"/>
  <c r="L174" i="55" s="1"/>
  <c r="H142" i="55" a="1"/>
  <c r="H142" i="55" s="1"/>
  <c r="L142" i="55" s="1"/>
  <c r="J279" i="55" a="1"/>
  <c r="J279" i="55" s="1"/>
  <c r="H211" i="55" a="1"/>
  <c r="H211" i="55" s="1"/>
  <c r="L211" i="55" s="1"/>
  <c r="J162" i="55" a="1"/>
  <c r="J162" i="55" s="1"/>
  <c r="J236" i="55" a="1"/>
  <c r="J236" i="55" s="1"/>
  <c r="J202" i="55" a="1"/>
  <c r="J202" i="55" s="1"/>
  <c r="J235" i="55" a="1"/>
  <c r="J235" i="55" s="1"/>
  <c r="H184" i="55" a="1"/>
  <c r="H184" i="55" s="1"/>
  <c r="L184" i="55" s="1"/>
  <c r="J90" i="55" a="1"/>
  <c r="J90" i="55" s="1"/>
  <c r="J47" i="55" a="1"/>
  <c r="J47" i="55" s="1"/>
  <c r="J163" i="55" a="1"/>
  <c r="J163" i="55" s="1"/>
  <c r="H252" i="55" a="1"/>
  <c r="H252" i="55" s="1"/>
  <c r="L252" i="55" s="1"/>
  <c r="H96" i="55" a="1"/>
  <c r="H96" i="55" s="1"/>
  <c r="L96" i="55" s="1"/>
  <c r="H192" i="55" a="1"/>
  <c r="H192" i="55" s="1"/>
  <c r="L192" i="55" s="1"/>
  <c r="H195" i="55" a="1"/>
  <c r="H195" i="55" s="1"/>
  <c r="L195" i="55" s="1"/>
  <c r="H157" i="55" a="1"/>
  <c r="H157" i="55" s="1"/>
  <c r="L157" i="55" s="1"/>
  <c r="J172" i="55" a="1"/>
  <c r="J172" i="55" s="1"/>
  <c r="J266" i="55" a="1"/>
  <c r="J266" i="55" s="1"/>
  <c r="H66" i="55" a="1"/>
  <c r="H66" i="55" s="1"/>
  <c r="L66" i="55" s="1"/>
  <c r="J29" i="55" a="1"/>
  <c r="J29" i="55" s="1"/>
  <c r="J86" i="55" a="1"/>
  <c r="J86" i="55" s="1"/>
  <c r="H172" i="55" a="1"/>
  <c r="H172" i="55" s="1"/>
  <c r="H266" i="55" a="1"/>
  <c r="H266" i="55" s="1"/>
  <c r="L266" i="55" s="1"/>
  <c r="J92" i="55" a="1"/>
  <c r="J92" i="55" s="1"/>
  <c r="H281" i="55" a="1"/>
  <c r="H281" i="55" s="1"/>
  <c r="L281" i="55" s="1"/>
  <c r="H206" i="55" a="1"/>
  <c r="H206" i="55" s="1"/>
  <c r="L206" i="55" s="1"/>
  <c r="H140" i="55" a="1"/>
  <c r="H140" i="55" s="1"/>
  <c r="L140" i="55" s="1"/>
  <c r="J124" i="55" a="1"/>
  <c r="J124" i="55" s="1"/>
  <c r="J100" i="55" a="1"/>
  <c r="J100" i="55" s="1"/>
  <c r="H134" i="55" a="1"/>
  <c r="H134" i="55" s="1"/>
  <c r="H237" i="55" a="1"/>
  <c r="H237" i="55" s="1"/>
  <c r="L237" i="55" s="1"/>
  <c r="J153" i="55" a="1"/>
  <c r="J153" i="55" s="1"/>
  <c r="J173" i="55" a="1"/>
  <c r="J173" i="55" s="1"/>
  <c r="J251" i="55" a="1"/>
  <c r="J251" i="55" s="1"/>
  <c r="J38" i="55" a="1"/>
  <c r="J38" i="55" s="1"/>
  <c r="J182" i="55" a="1"/>
  <c r="J182" i="55" s="1"/>
  <c r="H49" i="55" a="1"/>
  <c r="H49" i="55" s="1"/>
  <c r="L49" i="55" s="1"/>
  <c r="J64" i="55" a="1"/>
  <c r="J64" i="55" s="1"/>
  <c r="H179" i="55" a="1"/>
  <c r="H179" i="55" s="1"/>
  <c r="L179" i="55" s="1"/>
  <c r="J88" i="55" a="1"/>
  <c r="J88" i="55" s="1"/>
  <c r="J94" i="55" a="1"/>
  <c r="J94" i="55" s="1"/>
  <c r="J255" i="55" a="1"/>
  <c r="J255" i="55" s="1"/>
  <c r="H87" i="55" a="1"/>
  <c r="H87" i="55" s="1"/>
  <c r="L87" i="55" s="1"/>
  <c r="J234" i="55" a="1"/>
  <c r="J234" i="55" s="1"/>
  <c r="J186" i="55" a="1"/>
  <c r="J186" i="55" s="1"/>
  <c r="J113" i="55" a="1"/>
  <c r="J113" i="55" s="1"/>
  <c r="J39" i="55" a="1"/>
  <c r="J39" i="55" s="1"/>
  <c r="J194" i="55" a="1"/>
  <c r="J194" i="55" s="1"/>
  <c r="H259" i="55" a="1"/>
  <c r="H259" i="55" s="1"/>
  <c r="L259" i="55" s="1"/>
  <c r="H268" i="55" a="1"/>
  <c r="H268" i="55" s="1"/>
  <c r="L268" i="55" s="1"/>
  <c r="H202" i="55" a="1"/>
  <c r="H202" i="55" s="1"/>
  <c r="L202" i="55" s="1"/>
  <c r="H188" i="55" a="1"/>
  <c r="H188" i="55" s="1"/>
  <c r="L188" i="55" s="1"/>
  <c r="H258" i="55" a="1"/>
  <c r="H258" i="55" s="1"/>
  <c r="L258" i="55" s="1"/>
  <c r="H64" i="55" a="1"/>
  <c r="H64" i="55" s="1"/>
  <c r="L64" i="55" s="1"/>
  <c r="H283" i="55" a="1"/>
  <c r="H283" i="55" s="1"/>
  <c r="L283" i="55" s="1"/>
  <c r="J156" i="55" a="1"/>
  <c r="J156" i="55" s="1"/>
  <c r="J83" i="55" a="1"/>
  <c r="J83" i="55" s="1"/>
  <c r="J60" i="55" a="1"/>
  <c r="J60" i="55" s="1"/>
  <c r="H219" i="55" a="1"/>
  <c r="H219" i="55" s="1"/>
  <c r="L219" i="55" s="1"/>
  <c r="J243" i="55" a="1"/>
  <c r="J243" i="55" s="1"/>
  <c r="H156" i="55" a="1"/>
  <c r="H156" i="55" s="1"/>
  <c r="H83" i="55" a="1"/>
  <c r="H83" i="55" s="1"/>
  <c r="H60" i="55" a="1"/>
  <c r="H60" i="55" s="1"/>
  <c r="L60" i="55" s="1"/>
  <c r="H210" i="55" a="1"/>
  <c r="H210" i="55" s="1"/>
  <c r="J106" i="55" a="1"/>
  <c r="J106" i="55" s="1"/>
  <c r="H80" i="55" a="1"/>
  <c r="H80" i="55" s="1"/>
  <c r="L80" i="55" s="1"/>
  <c r="H121" i="55" a="1"/>
  <c r="H121" i="55" s="1"/>
  <c r="J109" i="55" a="1"/>
  <c r="J109" i="55" s="1"/>
  <c r="H154" i="55" a="1"/>
  <c r="H154" i="55" s="1"/>
  <c r="L154" i="55" s="1"/>
  <c r="H150" i="55" a="1"/>
  <c r="H150" i="55" s="1"/>
  <c r="L150" i="55" s="1"/>
  <c r="H136" i="55" a="1"/>
  <c r="H136" i="55" s="1"/>
  <c r="L136" i="55" s="1"/>
  <c r="J210" i="55" a="1"/>
  <c r="J210" i="55" s="1"/>
  <c r="H246" i="55" a="1"/>
  <c r="H246" i="55" s="1"/>
  <c r="L246" i="55" s="1"/>
  <c r="J105" i="55" a="1"/>
  <c r="J105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98" i="55" l="1"/>
  <c r="L228" i="55"/>
  <c r="L57" i="55"/>
  <c r="L201" i="55"/>
  <c r="L276" i="55"/>
  <c r="L245" i="55"/>
  <c r="L168" i="55"/>
  <c r="L135" i="55"/>
  <c r="L183" i="55"/>
  <c r="L99" i="55"/>
  <c r="L264" i="55"/>
  <c r="L247" i="55"/>
  <c r="L233" i="55"/>
  <c r="L199" i="55"/>
  <c r="L156" i="55"/>
  <c r="L212" i="55"/>
  <c r="L138" i="55"/>
  <c r="L216" i="55"/>
  <c r="L279" i="55"/>
  <c r="L241" i="55"/>
  <c r="L182" i="55"/>
  <c r="L38" i="55"/>
  <c r="L45" i="55"/>
  <c r="L208" i="55"/>
  <c r="L56" i="55"/>
  <c r="L51" i="55"/>
  <c r="L209" i="55"/>
  <c r="L76" i="55"/>
  <c r="L159" i="55"/>
  <c r="L236" i="55"/>
  <c r="L141" i="55"/>
  <c r="L273" i="55"/>
  <c r="L72" i="55"/>
  <c r="L280" i="55"/>
  <c r="L185" i="55"/>
  <c r="L238" i="55"/>
  <c r="L139" i="55"/>
  <c r="L149" i="55"/>
  <c r="L194" i="55"/>
  <c r="L170" i="55"/>
  <c r="L85" i="55"/>
  <c r="L210" i="55"/>
  <c r="L243" i="55"/>
  <c r="L148" i="55"/>
  <c r="L251" i="55"/>
  <c r="L270" i="55"/>
  <c r="L127" i="55"/>
  <c r="L158" i="55"/>
  <c r="L100" i="55"/>
  <c r="L173" i="55"/>
  <c r="L189" i="55"/>
  <c r="L90" i="55"/>
  <c r="L234" i="55"/>
  <c r="L162" i="55"/>
  <c r="L161" i="55"/>
  <c r="L44" i="55"/>
  <c r="L229" i="55"/>
  <c r="L151" i="55"/>
  <c r="L177" i="55"/>
  <c r="L181" i="55"/>
  <c r="L31" i="55"/>
  <c r="L207" i="55"/>
  <c r="L73" i="55"/>
  <c r="L146" i="55"/>
  <c r="L92" i="55"/>
  <c r="L39" i="55"/>
  <c r="L249" i="55"/>
  <c r="L103" i="55"/>
  <c r="L133" i="55"/>
  <c r="L75" i="55"/>
  <c r="L124" i="55"/>
  <c r="L33" i="55"/>
  <c r="L165" i="55"/>
  <c r="L226" i="55"/>
  <c r="L109" i="55"/>
  <c r="L37" i="55"/>
  <c r="L265" i="55"/>
  <c r="L63" i="55"/>
  <c r="L257" i="55"/>
  <c r="L225" i="55"/>
  <c r="L94" i="55"/>
  <c r="L253" i="55"/>
  <c r="L223" i="55"/>
  <c r="L235" i="55"/>
  <c r="L88" i="55"/>
  <c r="L105" i="55"/>
  <c r="L35" i="55"/>
  <c r="L114" i="55"/>
  <c r="L282" i="55"/>
  <c r="L113" i="55"/>
  <c r="L67" i="55"/>
  <c r="L86" i="55"/>
  <c r="L106" i="55"/>
  <c r="L255" i="55"/>
  <c r="L275" i="55"/>
  <c r="L83" i="55"/>
  <c r="L134" i="55"/>
  <c r="L172" i="55"/>
  <c r="L260" i="55"/>
  <c r="L171" i="55"/>
  <c r="L47" i="55"/>
  <c r="L248" i="55"/>
  <c r="L187" i="55"/>
  <c r="L54" i="55"/>
  <c r="L69" i="55"/>
  <c r="L153" i="55"/>
  <c r="L263" i="55"/>
  <c r="L186" i="55"/>
  <c r="L121" i="55"/>
  <c r="L123" i="55"/>
  <c r="L55" i="55"/>
  <c r="L200" i="55"/>
  <c r="L180" i="55"/>
  <c r="L125" i="55"/>
  <c r="L97" i="55"/>
  <c r="L61" i="55"/>
  <c r="L91" i="55"/>
  <c r="L132" i="55"/>
  <c r="L222" i="55"/>
  <c r="L272" i="55"/>
  <c r="L193" i="55"/>
  <c r="L163" i="55"/>
  <c r="L137" i="55"/>
  <c r="L164" i="55"/>
  <c r="L30" i="55"/>
  <c r="L42" i="55"/>
  <c r="L84" i="55"/>
  <c r="L203" i="55"/>
  <c r="L221" i="55"/>
  <c r="L29" i="55"/>
  <c r="L240" i="55"/>
  <c r="L126" i="55"/>
  <c r="A6" i="42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s="1"/>
  <c r="I50" i="47" l="1"/>
  <c r="I51" i="47" s="1"/>
  <c r="H51" i="47" l="1"/>
  <c r="H52" i="47" s="1"/>
  <c r="I52" i="47" l="1"/>
  <c r="I53" i="47" s="1"/>
  <c r="H53" i="47" l="1"/>
  <c r="H54" i="47" s="1"/>
  <c r="B19" i="55"/>
  <c r="A19" i="55" l="1"/>
  <c r="B20" i="55"/>
  <c r="B21" i="55" s="1"/>
  <c r="B22" i="55" s="1"/>
  <c r="B23" i="55" s="1"/>
  <c r="B24" i="55" s="1"/>
  <c r="I54" i="47"/>
  <c r="I55" i="47" s="1"/>
  <c r="A24" i="55" l="1"/>
  <c r="A20" i="55"/>
  <c r="H55" i="47"/>
  <c r="H56" i="47" s="1"/>
  <c r="I56" i="47" l="1"/>
  <c r="I57" i="47" s="1"/>
  <c r="A21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D13" i="39" l="1"/>
  <c r="F52" i="15" a="1"/>
  <c r="F52" i="15" s="1"/>
  <c r="F54" i="15" a="1"/>
  <c r="F54" i="15" s="1"/>
  <c r="J19" i="55" a="1"/>
  <c r="J19" i="55" s="1"/>
  <c r="J13" i="55" a="1"/>
  <c r="J13" i="55" s="1"/>
  <c r="F49" i="15" a="1"/>
  <c r="F49" i="15" s="1"/>
  <c r="J22" i="55" a="1"/>
  <c r="J22" i="55" s="1"/>
  <c r="J14" i="55" a="1"/>
  <c r="J14" i="55" s="1"/>
  <c r="J68" i="55" a="1"/>
  <c r="J68" i="55" s="1"/>
  <c r="J36" i="55" a="1"/>
  <c r="J36" i="55" s="1"/>
  <c r="E51" i="15" a="1"/>
  <c r="E51" i="15" s="1"/>
  <c r="E52" i="15" a="1"/>
  <c r="E52" i="15" s="1"/>
  <c r="F44" i="15" a="1"/>
  <c r="F44" i="15" s="1"/>
  <c r="F45" i="15" s="1"/>
  <c r="E48" i="15" a="1"/>
  <c r="E48" i="15" s="1"/>
  <c r="H21" i="55" a="1"/>
  <c r="H21" i="55" s="1"/>
  <c r="E50" i="15" a="1"/>
  <c r="E50" i="15" s="1"/>
  <c r="H20" i="55" a="1"/>
  <c r="H20" i="55" s="1"/>
  <c r="H65" i="55" a="1"/>
  <c r="H65" i="55" s="1"/>
  <c r="H22" i="55" a="1"/>
  <c r="H22" i="55" s="1"/>
  <c r="H68" i="55" a="1"/>
  <c r="H68" i="55" s="1"/>
  <c r="E49" i="15" a="1"/>
  <c r="E49" i="1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8" i="12" a="1"/>
  <c r="F8" i="12" s="1"/>
  <c r="F22" i="15" a="1"/>
  <c r="F22" i="15" s="1"/>
  <c r="E31" i="15" a="1"/>
  <c r="E31" i="15" s="1"/>
  <c r="F37" i="15" a="1"/>
  <c r="F37" i="15" s="1"/>
  <c r="E9" i="12" a="1"/>
  <c r="E9" i="12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4" i="55" a="1"/>
  <c r="J2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8" i="12" a="1"/>
  <c r="E8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36" i="55" a="1"/>
  <c r="H36" i="55" s="1"/>
  <c r="E29" i="15" a="1"/>
  <c r="E29" i="15" s="1"/>
  <c r="F15" i="15" a="1"/>
  <c r="F15" i="15" s="1"/>
  <c r="E17" i="15" a="1"/>
  <c r="E17" i="15" s="1"/>
  <c r="E37" i="15" a="1"/>
  <c r="E37" i="1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4" i="55" a="1"/>
  <c r="H24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9" i="70" l="1" a="1"/>
  <c r="F39" i="70" s="1"/>
  <c r="E41" i="70" a="1"/>
  <c r="E41" i="70" s="1"/>
  <c r="F44" i="70" a="1"/>
  <c r="F44" i="70" s="1"/>
  <c r="F43" i="70" a="1"/>
  <c r="F43" i="70" s="1"/>
  <c r="E40" i="70" a="1"/>
  <c r="E40" i="70" s="1"/>
  <c r="E44" i="70" a="1"/>
  <c r="E44" i="70" s="1"/>
  <c r="E39" i="70" a="1"/>
  <c r="E39" i="70" s="1"/>
  <c r="E43" i="70" a="1"/>
  <c r="E43" i="70" s="1"/>
  <c r="G43" i="70" s="1"/>
  <c r="F42" i="70" a="1"/>
  <c r="F42" i="70" s="1"/>
  <c r="F40" i="70" a="1"/>
  <c r="F40" i="70" s="1"/>
  <c r="F41" i="70" a="1"/>
  <c r="F41" i="70" s="1"/>
  <c r="E42" i="70" a="1"/>
  <c r="E42" i="70" s="1"/>
  <c r="F51" i="15" a="1"/>
  <c r="F51" i="15" s="1"/>
  <c r="I51" i="15" s="1"/>
  <c r="E33" i="70" a="1"/>
  <c r="E33" i="70" s="1"/>
  <c r="E35" i="70" a="1"/>
  <c r="E35" i="70" s="1"/>
  <c r="E38" i="70" a="1"/>
  <c r="E38" i="70" s="1"/>
  <c r="F33" i="70" a="1"/>
  <c r="F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E37" i="70" a="1"/>
  <c r="E37" i="70" s="1"/>
  <c r="F38" i="70" a="1"/>
  <c r="F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I52" i="15"/>
  <c r="L14" i="55"/>
  <c r="L13" i="55"/>
  <c r="L22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F25" i="15"/>
  <c r="I49" i="15"/>
  <c r="J23" i="55" a="1"/>
  <c r="J23" i="55" s="1"/>
  <c r="L23" i="55" s="1"/>
  <c r="L68" i="55"/>
  <c r="L36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H7" i="12"/>
  <c r="G8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20" i="55" a="1"/>
  <c r="J20" i="55" s="1"/>
  <c r="L20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21" i="55" a="1"/>
  <c r="J21" i="55" s="1"/>
  <c r="L21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J12" i="55" a="1"/>
  <c r="J12" i="55" s="1"/>
  <c r="J17" i="55" s="1"/>
  <c r="J18" i="55" s="1"/>
  <c r="H19" i="55" a="1"/>
  <c r="H19" i="55" s="1"/>
  <c r="J65" i="55" a="1"/>
  <c r="J65" i="55" s="1"/>
  <c r="L65" i="55" s="1"/>
  <c r="G44" i="70" l="1"/>
  <c r="H41" i="70"/>
  <c r="G39" i="70"/>
  <c r="H40" i="70"/>
  <c r="G42" i="70"/>
  <c r="H44" i="70"/>
  <c r="G41" i="70"/>
  <c r="H42" i="70"/>
  <c r="G40" i="70"/>
  <c r="H39" i="70"/>
  <c r="H43" i="70"/>
  <c r="G13" i="12"/>
  <c r="H38" i="70"/>
  <c r="H34" i="70"/>
  <c r="G37" i="70"/>
  <c r="H33" i="70"/>
  <c r="H35" i="70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H19" i="70"/>
  <c r="G19" i="70"/>
  <c r="I10" i="79"/>
  <c r="H17" i="55"/>
  <c r="H18" i="55" s="1"/>
  <c r="H7" i="79"/>
  <c r="I8" i="79"/>
  <c r="E15" i="12"/>
  <c r="E16" i="12" s="1"/>
  <c r="H9" i="79"/>
  <c r="H5" i="79"/>
  <c r="L15" i="55"/>
  <c r="H6" i="79"/>
  <c r="I7" i="79"/>
  <c r="I6" i="79"/>
  <c r="H8" i="79"/>
  <c r="H10" i="79"/>
  <c r="I9" i="79"/>
  <c r="I5" i="79"/>
  <c r="I4" i="79"/>
  <c r="G12" i="79"/>
  <c r="H4" i="79"/>
  <c r="F12" i="79"/>
  <c r="E55" i="15"/>
  <c r="F55" i="15"/>
  <c r="G25" i="15"/>
  <c r="H25" i="15"/>
  <c r="F15" i="12"/>
  <c r="F16" i="12" s="1"/>
  <c r="G10" i="70"/>
  <c r="H285" i="55"/>
  <c r="H286" i="55" s="1"/>
  <c r="G12" i="70"/>
  <c r="H9" i="70"/>
  <c r="J285" i="55"/>
  <c r="J286" i="55" s="1"/>
  <c r="L19" i="55"/>
  <c r="H26" i="55"/>
  <c r="H27" i="55" s="1"/>
  <c r="J26" i="55"/>
  <c r="J27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6" i="70"/>
  <c r="E47" i="70" s="1"/>
  <c r="G18" i="15"/>
  <c r="G34" i="15"/>
  <c r="G21" i="15"/>
  <c r="F46" i="70"/>
  <c r="F47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285" i="55"/>
  <c r="L286" i="55" s="1"/>
  <c r="H15" i="12"/>
  <c r="G15" i="12"/>
  <c r="L26" i="55"/>
  <c r="L27" i="55" s="1"/>
  <c r="G46" i="70"/>
  <c r="H46" i="70"/>
  <c r="G47" i="70" l="1"/>
  <c r="H16" i="12"/>
  <c r="H57" i="15"/>
  <c r="A23" i="55"/>
  <c r="A22" i="55"/>
  <c r="B28" i="55" l="1"/>
  <c r="A28" i="55" l="1"/>
  <c r="B29" i="55"/>
  <c r="A29" i="55" l="1"/>
  <c r="B30" i="55" l="1"/>
  <c r="A30" i="55" l="1"/>
  <c r="B31" i="55" l="1"/>
  <c r="A31" i="55" l="1"/>
  <c r="B32" i="55" l="1"/>
  <c r="A32" i="55" l="1"/>
  <c r="B33" i="55" l="1"/>
  <c r="B34" i="55" s="1"/>
  <c r="B35" i="55" l="1"/>
  <c r="A34" i="55"/>
  <c r="A33" i="55"/>
  <c r="B36" i="55" l="1"/>
  <c r="A35" i="55"/>
  <c r="A36" i="55" l="1"/>
  <c r="B37" i="55" l="1"/>
  <c r="B38" i="55" s="1"/>
  <c r="A38" i="55" l="1"/>
  <c r="B39" i="55"/>
  <c r="A37" i="55"/>
  <c r="B40" i="55" l="1"/>
  <c r="A39" i="55"/>
  <c r="B41" i="55" l="1"/>
  <c r="A40" i="55"/>
  <c r="B42" i="55" l="1"/>
  <c r="A41" i="55"/>
  <c r="A42" i="55" l="1"/>
  <c r="B43" i="55"/>
  <c r="B44" i="55" l="1"/>
  <c r="A43" i="55"/>
  <c r="A44" i="55" l="1"/>
  <c r="B45" i="55"/>
  <c r="A45" i="55" l="1"/>
  <c r="B46" i="55"/>
  <c r="A46" i="55" l="1"/>
  <c r="B47" i="55"/>
  <c r="B48" i="55" l="1"/>
  <c r="A47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B59" i="55" l="1"/>
  <c r="A58" i="55"/>
  <c r="A59" i="55" l="1"/>
  <c r="B60" i="55"/>
  <c r="A60" i="55" l="1"/>
  <c r="B61" i="55"/>
  <c r="A61" i="55" l="1"/>
  <c r="B62" i="55"/>
  <c r="A62" i="55" l="1"/>
  <c r="B63" i="55"/>
  <c r="A63" i="55" l="1"/>
  <c r="B64" i="55"/>
  <c r="A64" i="55" s="1"/>
  <c r="B65" i="55"/>
  <c r="B66" i="55"/>
  <c r="B67" i="55"/>
  <c r="B68" i="55"/>
  <c r="B69" i="55"/>
  <c r="B70" i="55"/>
  <c r="B71" i="55"/>
  <c r="B72" i="55"/>
  <c r="B73" i="55"/>
  <c r="B74" i="55"/>
  <c r="B75" i="55"/>
  <c r="B76" i="55"/>
  <c r="B77" i="55"/>
  <c r="B78" i="55"/>
  <c r="B79" i="55"/>
  <c r="B80" i="55"/>
  <c r="B81" i="55"/>
  <c r="B82" i="55"/>
  <c r="B83" i="55"/>
  <c r="B84" i="55"/>
  <c r="B85" i="55"/>
  <c r="B86" i="55"/>
  <c r="B87" i="55"/>
  <c r="B88" i="55"/>
  <c r="B89" i="55"/>
  <c r="B90" i="55"/>
  <c r="B91" i="55"/>
  <c r="B92" i="55"/>
  <c r="B93" i="55"/>
  <c r="B94" i="55"/>
  <c r="B95" i="55"/>
  <c r="B96" i="55"/>
  <c r="B97" i="55"/>
  <c r="B98" i="55"/>
  <c r="B99" i="55"/>
  <c r="B100" i="55"/>
  <c r="B101" i="55"/>
  <c r="B102" i="55"/>
  <c r="B103" i="55"/>
  <c r="B104" i="55"/>
  <c r="B105" i="55"/>
  <c r="B106" i="55"/>
  <c r="B107" i="55"/>
  <c r="B108" i="55"/>
  <c r="B109" i="55"/>
  <c r="B110" i="55"/>
  <c r="B111" i="55"/>
  <c r="B112" i="55"/>
  <c r="B113" i="55"/>
  <c r="B114" i="55"/>
  <c r="B115" i="55"/>
  <c r="B116" i="55"/>
  <c r="B117" i="55"/>
  <c r="B118" i="55"/>
  <c r="B119" i="55"/>
  <c r="B120" i="55"/>
  <c r="B121" i="55"/>
  <c r="B122" i="55"/>
  <c r="B123" i="55"/>
  <c r="B124" i="55"/>
  <c r="B125" i="55"/>
  <c r="B126" i="55"/>
  <c r="B127" i="55"/>
  <c r="B128" i="55"/>
  <c r="B129" i="55"/>
  <c r="B130" i="55"/>
  <c r="B131" i="55"/>
  <c r="B132" i="55"/>
  <c r="B133" i="55"/>
  <c r="B134" i="55"/>
  <c r="B135" i="55"/>
  <c r="B136" i="55"/>
  <c r="B137" i="55"/>
  <c r="B138" i="55"/>
  <c r="B139" i="55"/>
  <c r="B140" i="55"/>
  <c r="B141" i="55"/>
  <c r="B142" i="55"/>
  <c r="B143" i="55"/>
  <c r="B144" i="55"/>
  <c r="B145" i="55"/>
  <c r="B146" i="55"/>
  <c r="B147" i="55"/>
  <c r="B148" i="55"/>
  <c r="B149" i="55"/>
  <c r="B150" i="55"/>
  <c r="B151" i="55"/>
  <c r="B152" i="55"/>
  <c r="B153" i="55"/>
  <c r="B154" i="55"/>
  <c r="B155" i="55"/>
  <c r="B156" i="55"/>
  <c r="B157" i="55"/>
  <c r="B158" i="55"/>
  <c r="B159" i="55"/>
  <c r="B160" i="55"/>
  <c r="B161" i="55"/>
  <c r="B162" i="55"/>
  <c r="B163" i="55"/>
  <c r="B164" i="55"/>
  <c r="B165" i="55"/>
  <c r="B166" i="55"/>
  <c r="B167" i="55"/>
  <c r="B168" i="55"/>
  <c r="B169" i="55"/>
  <c r="B170" i="55"/>
  <c r="B171" i="55"/>
  <c r="B172" i="55"/>
  <c r="B173" i="55"/>
  <c r="B174" i="55"/>
  <c r="B175" i="55"/>
  <c r="B176" i="55"/>
  <c r="B177" i="55"/>
  <c r="B178" i="55"/>
  <c r="B179" i="55"/>
  <c r="B180" i="55"/>
  <c r="B181" i="55"/>
  <c r="B182" i="55"/>
  <c r="B183" i="55"/>
  <c r="B184" i="55"/>
  <c r="B185" i="55"/>
  <c r="B186" i="55"/>
  <c r="B187" i="55"/>
  <c r="B188" i="55"/>
  <c r="B189" i="55"/>
  <c r="B190" i="55"/>
  <c r="B191" i="55"/>
  <c r="B192" i="55"/>
  <c r="B193" i="55"/>
  <c r="B194" i="55"/>
  <c r="B195" i="55"/>
  <c r="B196" i="55"/>
  <c r="B197" i="55"/>
  <c r="B198" i="55"/>
  <c r="B199" i="55"/>
  <c r="B200" i="55"/>
  <c r="B201" i="55"/>
  <c r="B202" i="55"/>
  <c r="B203" i="55"/>
  <c r="B204" i="55"/>
  <c r="B205" i="55"/>
  <c r="B206" i="55"/>
  <c r="B207" i="55"/>
  <c r="B208" i="55"/>
  <c r="B209" i="55"/>
  <c r="B210" i="55"/>
  <c r="B211" i="55"/>
  <c r="B212" i="55"/>
  <c r="B213" i="55"/>
  <c r="B214" i="55"/>
  <c r="B215" i="55"/>
  <c r="B216" i="55"/>
  <c r="B217" i="55"/>
  <c r="B218" i="55"/>
  <c r="B219" i="55"/>
  <c r="B220" i="55"/>
  <c r="B221" i="55"/>
  <c r="B222" i="55"/>
  <c r="B223" i="55"/>
  <c r="B224" i="55"/>
  <c r="B225" i="55"/>
  <c r="B226" i="55"/>
  <c r="B227" i="55"/>
  <c r="B228" i="55"/>
  <c r="B229" i="55"/>
  <c r="B230" i="55"/>
  <c r="B231" i="55"/>
  <c r="B232" i="55"/>
  <c r="B233" i="55"/>
  <c r="B234" i="55"/>
  <c r="B235" i="55"/>
  <c r="B236" i="55"/>
  <c r="B237" i="55"/>
  <c r="B238" i="55"/>
  <c r="B239" i="55"/>
  <c r="B240" i="55"/>
  <c r="B241" i="55"/>
  <c r="B242" i="55"/>
  <c r="B243" i="55"/>
  <c r="B244" i="55"/>
  <c r="B245" i="55"/>
  <c r="B246" i="55"/>
  <c r="B247" i="55"/>
  <c r="B248" i="55"/>
  <c r="B249" i="55"/>
  <c r="B250" i="55"/>
  <c r="B251" i="55"/>
  <c r="B252" i="55"/>
  <c r="B253" i="55"/>
  <c r="B254" i="55"/>
  <c r="B255" i="55"/>
  <c r="B256" i="55"/>
  <c r="B257" i="55"/>
  <c r="B258" i="55"/>
  <c r="B259" i="55"/>
  <c r="B260" i="55"/>
  <c r="B261" i="55"/>
  <c r="B262" i="55"/>
  <c r="B263" i="55"/>
  <c r="B264" i="55"/>
  <c r="B265" i="55"/>
  <c r="B266" i="55"/>
  <c r="B267" i="55"/>
  <c r="B268" i="55"/>
  <c r="B269" i="55"/>
  <c r="B270" i="55"/>
  <c r="B271" i="55"/>
  <c r="B272" i="55"/>
  <c r="B273" i="55"/>
  <c r="B274" i="55"/>
  <c r="B275" i="55"/>
  <c r="B276" i="55"/>
  <c r="B277" i="55"/>
  <c r="B278" i="55"/>
  <c r="B279" i="55"/>
  <c r="B280" i="55"/>
  <c r="A280" i="55"/>
  <c r="B281" i="55"/>
  <c r="A281" i="55"/>
  <c r="B282" i="55"/>
  <c r="B283" i="55"/>
  <c r="A283" i="55"/>
  <c r="A282" i="55"/>
  <c r="A241" i="55"/>
  <c r="A199" i="55"/>
  <c r="A198" i="55"/>
  <c r="A197" i="55"/>
  <c r="A196" i="55"/>
  <c r="A195" i="55"/>
  <c r="A194" i="55"/>
  <c r="A147" i="55"/>
  <c r="A159" i="55"/>
  <c r="A158" i="55"/>
  <c r="A160" i="55"/>
  <c r="A193" i="55"/>
  <c r="A192" i="55"/>
  <c r="A240" i="55"/>
  <c r="A191" i="55"/>
  <c r="A190" i="55"/>
  <c r="A189" i="55"/>
  <c r="A94" i="55"/>
  <c r="A95" i="55"/>
  <c r="A113" i="55"/>
  <c r="A188" i="55"/>
  <c r="A84" i="55"/>
  <c r="A187" i="55"/>
  <c r="A255" i="55"/>
  <c r="A165" i="55"/>
  <c r="A186" i="55"/>
  <c r="A185" i="55"/>
  <c r="A184" i="55"/>
  <c r="A183" i="55"/>
  <c r="A234" i="55"/>
  <c r="A182" i="55"/>
  <c r="A181" i="55"/>
  <c r="A233" i="55"/>
  <c r="A227" i="55"/>
  <c r="A226" i="55"/>
  <c r="A180" i="55"/>
  <c r="A179" i="55"/>
  <c r="A178" i="55"/>
  <c r="A74" i="55"/>
  <c r="A73" i="55"/>
  <c r="A70" i="55"/>
  <c r="A72" i="55"/>
  <c r="A71" i="55"/>
  <c r="A88" i="55"/>
  <c r="A177" i="55"/>
  <c r="A176" i="55"/>
  <c r="A202" i="55"/>
  <c r="A257" i="55"/>
  <c r="A256" i="55"/>
  <c r="A235" i="55"/>
  <c r="A252" i="55"/>
  <c r="A236" i="55"/>
  <c r="A67" i="55"/>
  <c r="A237" i="55"/>
  <c r="A150" i="55"/>
  <c r="A175" i="55"/>
  <c r="A174" i="55"/>
  <c r="A239" i="55"/>
  <c r="A238" i="55"/>
  <c r="A130" i="55"/>
  <c r="A129" i="55"/>
  <c r="A104" i="55"/>
  <c r="A97" i="55"/>
  <c r="A96" i="55"/>
  <c r="A161" i="55"/>
  <c r="A131" i="55"/>
  <c r="A146" i="55"/>
  <c r="A154" i="55"/>
  <c r="A119" i="55"/>
  <c r="A145" i="55"/>
  <c r="A144" i="55"/>
  <c r="A251" i="55"/>
  <c r="A250" i="55"/>
  <c r="A220" i="55"/>
  <c r="A118" i="55"/>
  <c r="A153" i="55"/>
  <c r="A117" i="55"/>
  <c r="A246" i="55"/>
  <c r="A232" i="55"/>
  <c r="A166" i="55"/>
  <c r="A152" i="55"/>
  <c r="A151" i="55"/>
  <c r="A109" i="55"/>
  <c r="A164" i="55"/>
  <c r="A249" i="55"/>
  <c r="A143" i="55"/>
  <c r="A142" i="55"/>
  <c r="A133" i="55"/>
  <c r="A132" i="55"/>
  <c r="A110" i="55"/>
  <c r="A173" i="55"/>
  <c r="A219" i="55"/>
  <c r="A218" i="55"/>
  <c r="A210" i="55"/>
  <c r="A279" i="55"/>
  <c r="A278" i="55"/>
  <c r="A123" i="55"/>
  <c r="A81" i="55"/>
  <c r="A103" i="55"/>
  <c r="A120" i="55"/>
  <c r="A69" i="55"/>
  <c r="A102" i="55"/>
  <c r="A93" i="55"/>
  <c r="A141" i="55"/>
  <c r="A135" i="55"/>
  <c r="A134" i="55"/>
  <c r="A225" i="55"/>
  <c r="A78" i="55"/>
  <c r="A77" i="55"/>
  <c r="A140" i="55"/>
  <c r="A139" i="55"/>
  <c r="A85" i="55"/>
  <c r="A80" i="55"/>
  <c r="A79" i="55"/>
  <c r="A217" i="55"/>
  <c r="A242" i="55"/>
  <c r="A231" i="55"/>
  <c r="A214" i="55"/>
  <c r="A213" i="55"/>
  <c r="A209" i="55"/>
  <c r="A128" i="55"/>
  <c r="A127" i="55"/>
  <c r="A116" i="55"/>
  <c r="A221" i="55"/>
  <c r="A206" i="55"/>
  <c r="A205" i="55"/>
  <c r="A169" i="55"/>
  <c r="A204" i="55"/>
  <c r="A203" i="55"/>
  <c r="A224" i="55"/>
  <c r="A223" i="55"/>
  <c r="A222" i="55"/>
  <c r="A66" i="55"/>
  <c r="A149" i="55"/>
  <c r="A148" i="55"/>
  <c r="A92" i="55"/>
  <c r="A105" i="55"/>
  <c r="A108" i="55"/>
  <c r="A216" i="55"/>
  <c r="A215" i="55"/>
  <c r="A212" i="55"/>
  <c r="A211" i="55"/>
  <c r="A245" i="55"/>
  <c r="A277" i="55"/>
  <c r="A273" i="55"/>
  <c r="A269" i="55"/>
  <c r="A266" i="55"/>
  <c r="A265" i="55"/>
  <c r="A264" i="55"/>
  <c r="A244" i="55"/>
  <c r="A243" i="55"/>
  <c r="A83" i="55"/>
  <c r="A101" i="55"/>
  <c r="A82" i="55"/>
  <c r="A100" i="55"/>
  <c r="A115" i="55"/>
  <c r="A114" i="55"/>
  <c r="A170" i="55"/>
  <c r="A230" i="55"/>
  <c r="A76" i="55"/>
  <c r="A75" i="55"/>
  <c r="A208" i="55"/>
  <c r="A122" i="55"/>
  <c r="A207" i="55"/>
  <c r="A121" i="55"/>
  <c r="A201" i="55"/>
  <c r="A112" i="55"/>
  <c r="A200" i="55"/>
  <c r="A111" i="55"/>
  <c r="A91" i="55"/>
  <c r="A276" i="55"/>
  <c r="A272" i="55"/>
  <c r="A172" i="55"/>
  <c r="A171" i="55"/>
  <c r="A168" i="55"/>
  <c r="A99" i="55"/>
  <c r="A167" i="55"/>
  <c r="A98" i="55"/>
  <c r="A155" i="55"/>
  <c r="A138" i="55"/>
  <c r="A248" i="55"/>
  <c r="A275" i="55"/>
  <c r="A247" i="55"/>
  <c r="A274" i="55"/>
  <c r="A271" i="55"/>
  <c r="A268" i="55"/>
  <c r="A270" i="55"/>
  <c r="A267" i="55"/>
  <c r="A263" i="55"/>
  <c r="A261" i="55"/>
  <c r="A262" i="55"/>
  <c r="A260" i="55"/>
  <c r="A163" i="55"/>
  <c r="A254" i="55"/>
  <c r="A162" i="55"/>
  <c r="A253" i="55"/>
  <c r="A90" i="55"/>
  <c r="A89" i="55"/>
  <c r="A107" i="55"/>
  <c r="A106" i="55"/>
  <c r="A87" i="55"/>
  <c r="A229" i="55"/>
  <c r="A86" i="55"/>
  <c r="A228" i="55"/>
  <c r="A126" i="55"/>
  <c r="A125" i="55"/>
  <c r="A157" i="55"/>
  <c r="A124" i="55"/>
  <c r="A156" i="55"/>
  <c r="A137" i="55"/>
  <c r="A259" i="55"/>
  <c r="A136" i="55"/>
  <c r="A258" i="55"/>
  <c r="A68" i="55"/>
  <c r="A65" i="55"/>
</calcChain>
</file>

<file path=xl/sharedStrings.xml><?xml version="1.0" encoding="utf-8"?>
<sst xmlns="http://schemas.openxmlformats.org/spreadsheetml/2006/main" count="6693" uniqueCount="1041">
  <si>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</si>
  <si>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</si>
  <si>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</si>
  <si>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</si>
  <si>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</si>
  <si>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</si>
  <si>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</si>
  <si>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</si>
  <si>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</si>
  <si>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</si>
  <si>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</si>
  <si>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</si>
  <si>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</si>
  <si>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</si>
  <si>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</si>
  <si>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</si>
  <si>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</si>
  <si>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</si>
  <si>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</si>
  <si>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</si>
  <si>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</si>
  <si>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</si>
  <si>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</si>
  <si>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</si>
  <si>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</si>
  <si>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</si>
  <si>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</si>
  <si>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</si>
  <si>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</si>
  <si>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</si>
  <si>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</si>
  <si>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</si>
  <si>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</si>
  <si>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</si>
  <si>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</si>
  <si>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</si>
  <si>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</si>
  <si>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</si>
  <si>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</si>
  <si>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</si>
  <si>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</si>
  <si>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</si>
  <si>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</si>
  <si>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</si>
  <si>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</si>
  <si>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</si>
  <si>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</si>
  <si>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</si>
  <si>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</si>
  <si>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</si>
  <si>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</si>
  <si>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</si>
  <si>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</si>
  <si>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</si>
  <si>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</si>
  <si>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</si>
  <si>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</si>
  <si>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</si>
  <si>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</si>
  <si>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</si>
  <si>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</si>
  <si>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</si>
  <si>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</si>
  <si>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</si>
  <si>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</si>
  <si>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</si>
  <si>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</si>
  <si>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</si>
  <si>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</si>
  <si>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</si>
  <si>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</si>
  <si>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</si>
  <si>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</si>
  <si>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</si>
  <si>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</si>
  <si>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</si>
  <si>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</si>
  <si>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</si>
  <si>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</si>
  <si>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</si>
  <si>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</si>
  <si>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</si>
  <si>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</si>
  <si>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</si>
  <si>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</si>
  <si>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</si>
  <si>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</si>
  <si>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</si>
  <si>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</si>
  <si>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</si>
  <si>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</si>
  <si>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</si>
  <si>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</si>
  <si>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</si>
  <si>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</si>
  <si>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</si>
  <si>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</si>
  <si>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</si>
  <si>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</si>
  <si>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</si>
  <si>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</si>
  <si>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</si>
  <si>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</si>
  <si>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</si>
  <si>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</si>
  <si>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</si>
  <si>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</si>
  <si>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</si>
  <si>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</si>
  <si>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</si>
  <si>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</si>
  <si>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</si>
  <si>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</si>
  <si>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</si>
  <si>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</si>
  <si>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</si>
  <si>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</si>
  <si>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</si>
  <si>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</si>
  <si>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</si>
  <si>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</si>
  <si>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</si>
  <si>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</si>
  <si>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</si>
  <si>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</si>
  <si>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</si>
  <si>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</si>
  <si>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</si>
  <si>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</si>
  <si>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</si>
  <si>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</si>
  <si>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</si>
  <si>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</si>
  <si>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</si>
  <si>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</si>
  <si>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</si>
  <si>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</si>
  <si>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</si>
  <si>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</si>
  <si>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</si>
  <si>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</si>
  <si>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</si>
  <si>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</si>
  <si>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</si>
  <si>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</si>
  <si>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</si>
  <si>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</si>
  <si>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</si>
  <si>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</si>
  <si>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</si>
  <si>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</si>
  <si>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</si>
  <si>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</si>
  <si>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</si>
  <si>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</si>
  <si>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</si>
  <si>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</si>
  <si>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</si>
  <si>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</si>
  <si>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</si>
  <si>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</si>
  <si>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</si>
  <si>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</si>
  <si>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</si>
  <si>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</si>
  <si>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</si>
  <si>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</si>
  <si>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</si>
  <si>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</si>
  <si>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</si>
  <si>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</si>
  <si>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</si>
  <si>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</si>
  <si>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</si>
  <si>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</si>
  <si>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</si>
  <si>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</si>
  <si>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</si>
  <si>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</si>
  <si>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</si>
  <si>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</si>
  <si>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</si>
  <si>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</si>
  <si>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</si>
  <si>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</si>
  <si>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</si>
  <si>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</si>
  <si>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</si>
  <si>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</si>
  <si>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</si>
  <si>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</si>
  <si>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</si>
  <si>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</si>
  <si>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</si>
  <si>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</si>
  <si>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</si>
  <si>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</si>
  <si>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</si>
  <si>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</si>
  <si>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</si>
  <si>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</si>
  <si>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</si>
  <si>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</si>
  <si>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</si>
  <si>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</si>
  <si>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</si>
  <si>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</si>
  <si>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</si>
  <si>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</si>
  <si>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</si>
  <si>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</si>
  <si>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</si>
  <si>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</si>
  <si>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</si>
  <si>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</si>
  <si>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</si>
  <si>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</si>
  <si>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</si>
  <si>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</si>
  <si>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</si>
  <si>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</si>
  <si>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</si>
  <si>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</si>
  <si>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</si>
  <si>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</si>
  <si>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</si>
  <si>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</si>
  <si>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</si>
  <si>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</si>
  <si>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</si>
  <si>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</si>
  <si>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</si>
  <si>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</si>
  <si>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</si>
  <si>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</si>
  <si>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</si>
  <si>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</si>
  <si>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</si>
  <si>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</si>
  <si>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</si>
  <si>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</si>
  <si>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</si>
  <si>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</si>
  <si>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</si>
  <si>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</si>
  <si>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</si>
  <si>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</si>
  <si>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</si>
  <si>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</si>
  <si>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</si>
  <si>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</si>
  <si>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</si>
  <si>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</si>
  <si>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</si>
  <si>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</si>
  <si>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</si>
  <si>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</si>
  <si>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</si>
  <si>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</si>
  <si>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</si>
  <si>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</si>
  <si>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</si>
  <si>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</si>
  <si>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</si>
  <si>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</si>
  <si>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</si>
  <si>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</si>
  <si>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</si>
  <si>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</si>
  <si>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</si>
  <si>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</si>
  <si>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</si>
  <si>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</si>
  <si>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</si>
  <si>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</si>
  <si>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</si>
  <si>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</si>
  <si>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</si>
  <si>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</si>
  <si>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</si>
  <si>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</si>
  <si>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</si>
  <si>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</si>
  <si>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</si>
  <si>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</si>
  <si>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</si>
  <si>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</si>
  <si>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</si>
  <si>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</si>
  <si>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</si>
  <si>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</si>
  <si>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</si>
  <si>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</si>
  <si>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</si>
  <si>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</si>
  <si>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</si>
  <si>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</si>
  <si>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</si>
  <si>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</si>
  <si>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</si>
  <si>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</si>
  <si>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</si>
  <si>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</si>
  <si>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</si>
  <si>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</si>
  <si>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</si>
  <si>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</si>
  <si>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</si>
  <si>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</si>
  <si>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</si>
  <si>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</si>
  <si>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</si>
  <si>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</si>
  <si>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</si>
  <si>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</si>
  <si>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</si>
  <si>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</si>
  <si>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</si>
  <si>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</si>
  <si>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</si>
  <si>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</si>
  <si>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</si>
  <si>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</si>
  <si>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</si>
  <si>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</si>
  <si>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</si>
  <si>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</si>
  <si>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</si>
  <si>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</si>
  <si>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</si>
  <si>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</si>
  <si>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</si>
  <si>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</si>
  <si>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</si>
  <si>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</si>
  <si>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</si>
  <si>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</si>
  <si>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</si>
  <si>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</si>
  <si>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</si>
  <si>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</si>
  <si>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</si>
  <si>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</si>
  <si>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</si>
  <si>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</si>
  <si>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</si>
  <si>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</si>
  <si>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</si>
  <si>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</si>
  <si>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</si>
  <si>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</si>
  <si>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</si>
  <si>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</si>
  <si>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</si>
  <si>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</si>
  <si>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</si>
  <si>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</si>
  <si>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</si>
  <si>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</si>
  <si>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</si>
  <si>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</si>
  <si>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</si>
  <si>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</si>
  <si>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</si>
  <si>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</si>
  <si>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</si>
  <si>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</si>
  <si>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</si>
  <si>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</si>
  <si>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</si>
  <si>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</si>
  <si>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</si>
  <si>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</si>
  <si>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</si>
  <si>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</si>
  <si>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</si>
  <si>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</si>
  <si>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</si>
  <si>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</si>
  <si>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</si>
  <si>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</si>
  <si>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</si>
  <si>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</si>
  <si>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</si>
  <si>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</si>
  <si>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</si>
  <si>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</si>
  <si>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</si>
  <si>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</si>
  <si>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</si>
  <si>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</si>
  <si>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</si>
  <si>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</si>
  <si>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</si>
  <si>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</si>
  <si>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</si>
  <si>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</si>
  <si>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</si>
  <si>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</si>
  <si>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</si>
  <si>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</si>
  <si>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</si>
  <si>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</si>
  <si>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</si>
  <si>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</si>
  <si>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</si>
  <si>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</si>
  <si>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</si>
  <si>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</si>
  <si>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</si>
  <si>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</si>
  <si>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</si>
  <si>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</si>
  <si>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</si>
  <si>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</si>
  <si>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</si>
  <si>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</si>
  <si>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</si>
  <si>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</si>
  <si>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</si>
  <si>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</si>
  <si>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</si>
  <si>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</si>
  <si>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</si>
  <si>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</si>
  <si>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</si>
  <si>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</si>
  <si>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</si>
  <si>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</si>
  <si>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</si>
  <si>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</si>
  <si>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</si>
  <si>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</si>
  <si>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</si>
  <si>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</si>
  <si>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</si>
  <si>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</si>
  <si>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</si>
  <si>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</si>
  <si>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</si>
  <si>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</si>
  <si>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</si>
  <si>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</si>
  <si>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</si>
  <si>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</si>
  <si>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</si>
  <si>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</si>
  <si>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</si>
  <si>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</si>
  <si>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</si>
  <si>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</si>
  <si>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</si>
  <si>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</si>
  <si>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</si>
  <si>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</si>
  <si>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</si>
  <si>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</si>
  <si>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</si>
  <si>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</si>
  <si>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</si>
  <si>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</si>
  <si>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</si>
  <si>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</si>
  <si>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</si>
  <si>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</si>
  <si>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</si>
  <si>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</si>
  <si>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</si>
  <si>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</si>
  <si>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</si>
  <si>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</si>
  <si>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</si>
  <si>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</si>
  <si>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</si>
  <si>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</si>
  <si>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</si>
  <si>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</si>
  <si>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</si>
  <si>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</si>
  <si>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</si>
  <si>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</si>
  <si>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</si>
  <si>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</si>
  <si>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</si>
  <si>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</si>
  <si>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</si>
  <si>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</si>
  <si>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</si>
  <si>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</si>
  <si>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</si>
  <si>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</si>
  <si>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</si>
  <si>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</si>
  <si>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</si>
  <si>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</si>
  <si>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</si>
  <si>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</si>
  <si>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</si>
  <si>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</si>
  <si>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</si>
  <si>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</si>
  <si>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</si>
  <si>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</si>
  <si>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</si>
  <si>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</si>
  <si>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</si>
  <si>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</si>
  <si>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</si>
  <si>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</si>
  <si>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</si>
  <si>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</si>
  <si>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</si>
  <si>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</si>
  <si>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</si>
  <si>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</si>
  <si>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</si>
  <si>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</si>
  <si>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</si>
  <si>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</si>
  <si>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</si>
  <si>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</si>
  <si>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</si>
  <si>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</si>
  <si>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</si>
  <si>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</si>
  <si>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</si>
  <si>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</si>
  <si>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</si>
  <si>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</si>
  <si>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</si>
  <si>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</si>
  <si>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</si>
  <si>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</si>
  <si>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</si>
  <si>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</si>
  <si>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</si>
  <si>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</si>
  <si>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</si>
  <si>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</si>
  <si>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</si>
  <si>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</si>
  <si>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</si>
  <si>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</si>
  <si>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</si>
  <si>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</si>
  <si>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</si>
  <si>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</si>
  <si>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</si>
  <si>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</si>
  <si>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</si>
  <si>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</si>
  <si>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</si>
  <si>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</si>
  <si>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</si>
  <si>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</si>
  <si>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</si>
  <si>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</si>
  <si>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</si>
  <si>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</si>
  <si>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</si>
  <si>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</si>
  <si>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</si>
  <si>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</si>
  <si>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</si>
  <si>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</si>
  <si>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</si>
  <si>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</si>
  <si>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</si>
  <si>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</si>
  <si>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</si>
  <si>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</si>
  <si>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</si>
  <si>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</si>
  <si>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</si>
  <si>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</si>
  <si>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</si>
  <si>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</si>
  <si>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</si>
  <si>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</si>
  <si>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</si>
  <si>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</si>
  <si>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</si>
  <si>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</si>
  <si>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</si>
  <si>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</si>
  <si>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</si>
  <si>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</si>
  <si>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</si>
  <si>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</si>
  <si>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</si>
  <si>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</si>
  <si>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</si>
  <si>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</si>
  <si>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</si>
  <si>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</si>
  <si>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</si>
  <si>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</si>
  <si>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</si>
  <si>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</si>
  <si>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</si>
  <si>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</si>
  <si>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</si>
  <si>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</si>
  <si>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</si>
  <si>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</si>
  <si>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</si>
  <si>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</si>
  <si>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</si>
  <si>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</si>
  <si>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</si>
  <si>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</si>
  <si>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</si>
  <si>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</si>
  <si>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</si>
  <si>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</si>
  <si>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</si>
  <si>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</si>
  <si>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</si>
  <si>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</si>
  <si>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</si>
  <si>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</si>
  <si>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</si>
  <si>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</si>
  <si>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</si>
  <si>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</si>
  <si>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</si>
  <si>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</si>
  <si>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</si>
  <si>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</si>
  <si>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</si>
  <si>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</si>
  <si>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</si>
  <si>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</si>
  <si>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</si>
  <si>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</si>
  <si>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</si>
  <si>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</si>
  <si>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</si>
  <si>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</si>
  <si>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</si>
  <si>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</si>
  <si>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</si>
  <si>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</si>
  <si>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</si>
  <si>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</si>
  <si>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</si>
  <si>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</si>
  <si>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</si>
  <si>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</si>
  <si>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</si>
  <si>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</si>
  <si>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</si>
  <si>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</si>
  <si>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</si>
  <si>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</si>
  <si>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</si>
  <si>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</si>
  <si>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</si>
  <si>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</si>
  <si>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</si>
  <si>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</si>
  <si>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</si>
  <si>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</si>
  <si>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</si>
  <si>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</si>
  <si>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</si>
  <si>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</si>
  <si>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</si>
  <si>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</si>
  <si>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</si>
  <si>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</si>
  <si>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</si>
  <si>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</si>
  <si>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</si>
  <si>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</si>
  <si>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</si>
  <si>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</si>
  <si>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</si>
  <si>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</si>
  <si>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</si>
  <si>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</si>
  <si>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</si>
  <si>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</si>
  <si>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</si>
  <si>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</si>
  <si>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</si>
  <si>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</si>
  <si>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</si>
  <si>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</si>
  <si>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</si>
  <si>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</si>
  <si>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</si>
  <si>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</si>
  <si>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</si>
  <si>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</si>
  <si>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</si>
  <si>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</si>
  <si>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</si>
  <si>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</si>
  <si>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</si>
  <si>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</si>
  <si>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</si>
  <si>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</si>
  <si>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</si>
  <si>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</si>
  <si>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</si>
  <si>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</si>
  <si>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</si>
  <si>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</si>
  <si>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</si>
  <si>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</si>
  <si>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</si>
  <si>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</si>
  <si>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</si>
  <si>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</si>
  <si>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</si>
  <si>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</si>
  <si>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</si>
  <si>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</si>
  <si>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</si>
  <si>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</si>
  <si>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</si>
  <si>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</si>
  <si>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</si>
  <si>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</si>
  <si>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</si>
  <si>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</si>
  <si>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</si>
  <si>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</si>
  <si>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</si>
  <si>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</si>
  <si>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</si>
  <si>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</si>
  <si>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</si>
  <si>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</si>
  <si>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</si>
  <si>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</si>
  <si>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</si>
  <si>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</si>
  <si>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</si>
  <si>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</si>
  <si>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</si>
  <si>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</si>
  <si>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</si>
  <si>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</si>
  <si>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</si>
  <si>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</si>
  <si>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</si>
  <si>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</si>
  <si>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</si>
  <si>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</si>
  <si>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</si>
  <si>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</si>
  <si>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</si>
  <si>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</si>
  <si>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</si>
  <si>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</si>
  <si>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</si>
  <si>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</si>
  <si>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</si>
  <si>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</si>
  <si>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</si>
  <si>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</si>
  <si>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</si>
  <si>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</si>
  <si>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</si>
  <si>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</si>
  <si>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</si>
  <si>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</si>
  <si>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</si>
  <si>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</si>
  <si>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</si>
  <si>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</si>
  <si>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</si>
  <si>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</si>
  <si>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</si>
  <si>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</si>
  <si>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</si>
  <si>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</si>
  <si>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</si>
  <si>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</si>
  <si>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</si>
  <si>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</si>
  <si>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</si>
  <si>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</si>
  <si>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</si>
  <si>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</si>
  <si>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</si>
  <si>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</si>
  <si>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</si>
  <si>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</si>
  <si>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</si>
  <si>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</si>
  <si>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</si>
  <si>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</si>
  <si>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</si>
  <si>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</si>
  <si>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</si>
  <si>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</si>
  <si>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</si>
  <si>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</si>
  <si>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</si>
  <si>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</si>
  <si>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</si>
  <si>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</si>
  <si>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</si>
  <si>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</si>
  <si>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</si>
  <si>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</si>
  <si>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</si>
  <si>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</si>
  <si>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</si>
  <si>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</si>
  <si>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</si>
  <si>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</si>
  <si>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</si>
  <si>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</si>
  <si>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</si>
  <si>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</si>
  <si>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</si>
  <si>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</si>
  <si>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</si>
  <si>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</si>
  <si>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</si>
  <si>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</si>
  <si>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</si>
  <si>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</si>
  <si>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</si>
  <si>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</si>
  <si>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</si>
  <si>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</si>
  <si>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</si>
  <si>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</si>
  <si>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</si>
  <si>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</si>
  <si>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</si>
  <si>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</si>
  <si>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</si>
  <si>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</si>
  <si>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</si>
  <si>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</si>
  <si>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</si>
  <si>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</si>
  <si>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</si>
  <si>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</si>
  <si>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</si>
  <si>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</si>
  <si>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</si>
  <si>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</si>
  <si>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</si>
  <si>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</si>
  <si>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</si>
  <si>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</si>
  <si>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</si>
  <si>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</si>
  <si>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</si>
  <si>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</si>
  <si>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</si>
  <si>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</si>
  <si>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</si>
  <si>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</si>
  <si>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</si>
  <si>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</si>
  <si>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</si>
  <si>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T06/2016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</si>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</sst>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0" applyFont="1" applyFill="1" applyBorder="1" applyAlignment="1">
      <alignment horizont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T-KD-KN/SO%20SACH/0310686815/2016/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7">
          <cell r="W7" t="str">
            <v>642</v>
          </cell>
        </row>
        <row r="24">
          <cell r="D24" t="str">
            <v>CTGS</v>
          </cell>
          <cell r="L24" t="str">
            <v>154</v>
          </cell>
          <cell r="M24" t="str">
            <v>2141</v>
          </cell>
        </row>
        <row r="25">
          <cell r="D25" t="str">
            <v>CTGS</v>
          </cell>
          <cell r="L25" t="str">
            <v>154</v>
          </cell>
          <cell r="M25" t="str">
            <v>2141</v>
          </cell>
        </row>
        <row r="26">
          <cell r="D26" t="str">
            <v>CTGS</v>
          </cell>
          <cell r="L26" t="str">
            <v>154</v>
          </cell>
          <cell r="M26" t="str">
            <v>2141</v>
          </cell>
        </row>
        <row r="27">
          <cell r="D27" t="str">
            <v>CTGS</v>
          </cell>
          <cell r="L27" t="str">
            <v>642</v>
          </cell>
          <cell r="M27" t="str">
            <v>3341</v>
          </cell>
        </row>
        <row r="28">
          <cell r="D28" t="str">
            <v>CTGS</v>
          </cell>
          <cell r="L28" t="str">
            <v>154</v>
          </cell>
          <cell r="M28" t="str">
            <v>3341</v>
          </cell>
        </row>
        <row r="29">
          <cell r="D29" t="str">
            <v>CTGS</v>
          </cell>
          <cell r="L29" t="str">
            <v>3341</v>
          </cell>
          <cell r="M29" t="str">
            <v>1111</v>
          </cell>
        </row>
        <row r="30">
          <cell r="D30" t="str">
            <v>CTGS</v>
          </cell>
          <cell r="L30" t="str">
            <v>642</v>
          </cell>
          <cell r="M30" t="str">
            <v>3341</v>
          </cell>
        </row>
        <row r="31">
          <cell r="D31" t="str">
            <v>CTGS</v>
          </cell>
          <cell r="L31" t="str">
            <v>154</v>
          </cell>
          <cell r="M31" t="str">
            <v>3341</v>
          </cell>
        </row>
        <row r="32">
          <cell r="D32" t="str">
            <v>CTGS</v>
          </cell>
          <cell r="L32" t="str">
            <v>3341</v>
          </cell>
          <cell r="M32" t="str">
            <v>1111</v>
          </cell>
        </row>
        <row r="33">
          <cell r="D33" t="str">
            <v>CTGS</v>
          </cell>
          <cell r="L33" t="str">
            <v>642</v>
          </cell>
          <cell r="M33" t="str">
            <v>3341</v>
          </cell>
        </row>
        <row r="34">
          <cell r="D34" t="str">
            <v>CTGS</v>
          </cell>
          <cell r="L34" t="str">
            <v>154</v>
          </cell>
          <cell r="M34" t="str">
            <v>3341</v>
          </cell>
        </row>
        <row r="35">
          <cell r="D35" t="str">
            <v>CTGS</v>
          </cell>
          <cell r="L35" t="str">
            <v>3341</v>
          </cell>
          <cell r="M35" t="str">
            <v>1111</v>
          </cell>
        </row>
        <row r="36">
          <cell r="D36" t="str">
            <v>CTGS</v>
          </cell>
          <cell r="L36" t="str">
            <v>642</v>
          </cell>
          <cell r="M36" t="str">
            <v>3341</v>
          </cell>
        </row>
        <row r="37">
          <cell r="D37" t="str">
            <v>CTGS</v>
          </cell>
          <cell r="L37" t="str">
            <v>154</v>
          </cell>
          <cell r="M37" t="str">
            <v>3341</v>
          </cell>
        </row>
        <row r="38">
          <cell r="D38" t="str">
            <v>CTGS</v>
          </cell>
          <cell r="L38" t="str">
            <v>3341</v>
          </cell>
          <cell r="M38" t="str">
            <v>1111</v>
          </cell>
        </row>
        <row r="39">
          <cell r="D39" t="str">
            <v>CTGS</v>
          </cell>
          <cell r="L39" t="str">
            <v>642</v>
          </cell>
          <cell r="M39" t="str">
            <v>3341</v>
          </cell>
        </row>
        <row r="40">
          <cell r="D40" t="str">
            <v>CTGS</v>
          </cell>
          <cell r="L40" t="str">
            <v>154</v>
          </cell>
          <cell r="M40" t="str">
            <v>3341</v>
          </cell>
        </row>
        <row r="41">
          <cell r="D41" t="str">
            <v>CTGS</v>
          </cell>
          <cell r="L41" t="str">
            <v>3341</v>
          </cell>
          <cell r="M41" t="str">
            <v>1111</v>
          </cell>
        </row>
        <row r="42">
          <cell r="D42" t="str">
            <v>CTGS</v>
          </cell>
          <cell r="L42" t="str">
            <v>642</v>
          </cell>
          <cell r="M42" t="str">
            <v>3341</v>
          </cell>
        </row>
        <row r="43">
          <cell r="D43" t="str">
            <v>CTGS</v>
          </cell>
          <cell r="L43" t="str">
            <v>154</v>
          </cell>
          <cell r="M43" t="str">
            <v>3341</v>
          </cell>
        </row>
      </sheetData>
      <sheetData sheetId="2">
        <row r="8">
          <cell r="M8">
            <v>7</v>
          </cell>
        </row>
      </sheetData>
      <sheetData sheetId="3"/>
      <sheetData sheetId="4">
        <row r="11">
          <cell r="N11">
            <v>7</v>
          </cell>
        </row>
      </sheetData>
      <sheetData sheetId="5"/>
      <sheetData sheetId="6">
        <row r="6">
          <cell r="I6" t="str">
            <v>1121</v>
          </cell>
        </row>
      </sheetData>
      <sheetData sheetId="7"/>
      <sheetData sheetId="8">
        <row r="7">
          <cell r="E7" t="str">
            <v>Cty Cổ Phần Đất Sắt</v>
          </cell>
        </row>
      </sheetData>
      <sheetData sheetId="9"/>
      <sheetData sheetId="10">
        <row r="7">
          <cell r="E7" t="str">
            <v>Cty CP Hợp Tác Kinh Tế &amp; Xuất Nhập Khẩu</v>
          </cell>
        </row>
      </sheetData>
      <sheetData sheetId="11"/>
      <sheetData sheetId="12">
        <row r="9">
          <cell r="E9" t="str">
            <v>KU 6360LDS201402161</v>
          </cell>
        </row>
      </sheetData>
      <sheetData sheetId="13"/>
      <sheetData sheetId="14"/>
      <sheetData sheetId="15">
        <row r="3">
          <cell r="P3">
            <v>10</v>
          </cell>
        </row>
      </sheetData>
      <sheetData sheetId="16">
        <row r="8">
          <cell r="J8" t="str">
            <v>Giấy tấm 1V+2X ( 1460x444)</v>
          </cell>
        </row>
      </sheetData>
      <sheetData sheetId="17">
        <row r="7">
          <cell r="E7" t="str">
            <v>Kẽm đóng bao bì</v>
          </cell>
        </row>
      </sheetData>
      <sheetData sheetId="18"/>
      <sheetData sheetId="19"/>
      <sheetData sheetId="20"/>
      <sheetData sheetId="21"/>
      <sheetData sheetId="22">
        <row r="5">
          <cell r="O5">
            <v>4</v>
          </cell>
        </row>
      </sheetData>
      <sheetData sheetId="23">
        <row r="5">
          <cell r="L5">
            <v>4</v>
          </cell>
        </row>
      </sheetData>
      <sheetData sheetId="24">
        <row r="5">
          <cell r="N5">
            <v>4</v>
          </cell>
        </row>
      </sheetData>
      <sheetData sheetId="25">
        <row r="5">
          <cell r="N5">
            <v>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0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459</v>
      </c>
      <c r="E6" s="633"/>
      <c r="F6" s="633"/>
      <c r="G6" s="633"/>
      <c r="H6" s="633"/>
    </row>
    <row r="7" spans="1:16" ht="6.75" customHeight="1"/>
    <row r="8" spans="1:16" ht="21.75" customHeight="1">
      <c r="A8" s="937" t="s">
        <v>403</v>
      </c>
      <c r="B8" s="937" t="s">
        <v>350</v>
      </c>
      <c r="C8" s="933" t="s">
        <v>37</v>
      </c>
      <c r="D8" s="934"/>
      <c r="E8" s="933" t="s">
        <v>38</v>
      </c>
      <c r="F8" s="934"/>
      <c r="G8" s="933" t="s">
        <v>351</v>
      </c>
      <c r="H8" s="934"/>
    </row>
    <row r="9" spans="1:16" ht="21.75" customHeight="1">
      <c r="A9" s="938"/>
      <c r="B9" s="938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2773337452</v>
      </c>
      <c r="F10" s="638">
        <f t="array" ref="F10">SUM(IF(A10=KHC,TH))</f>
        <v>698334700.4545455</v>
      </c>
      <c r="G10" s="639">
        <f>MAX(C10+E10-D10-F10,0)</f>
        <v>2075002751.5454545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2773337452</v>
      </c>
      <c r="F11" s="642">
        <f t="shared" si="0"/>
        <v>698334700.4545455</v>
      </c>
      <c r="G11" s="642">
        <f t="shared" si="0"/>
        <v>2075002751.5454545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1206463158</v>
      </c>
      <c r="F12" s="638">
        <f t="array" ref="F12">SUM(IF(A12=KHC,TH))</f>
        <v>1190333221</v>
      </c>
      <c r="G12" s="639">
        <f>MAX(C12+E12-D12-F12,0)</f>
        <v>16129937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1206463158</v>
      </c>
      <c r="F13" s="642">
        <f t="shared" si="1"/>
        <v>1190333221</v>
      </c>
      <c r="G13" s="642">
        <f t="shared" si="1"/>
        <v>16129937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1863372099</v>
      </c>
      <c r="F14" s="643">
        <f t="array" ref="F14">SUM(IF(A14=KHC,TH))</f>
        <v>1263497849</v>
      </c>
      <c r="G14" s="642">
        <f>MAX(C14+E14-D14-F14,0)</f>
        <v>599874250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262219990</v>
      </c>
      <c r="F15" s="638">
        <f t="array" ref="F15">SUM(IF(A15=KHC,TH))</f>
        <v>169397462</v>
      </c>
      <c r="G15" s="639">
        <f>MAX(C15+E15-D15-F15,0)</f>
        <v>92822528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262219990</v>
      </c>
      <c r="F16" s="642">
        <f t="shared" si="2"/>
        <v>169397462</v>
      </c>
      <c r="G16" s="642">
        <f t="shared" si="2"/>
        <v>92822528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11286770</v>
      </c>
      <c r="F17" s="638">
        <f t="array" ref="F17">SUM(IF(A17=KHC,TH))</f>
        <v>11286770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11286770</v>
      </c>
      <c r="F18" s="642">
        <f>F17</f>
        <v>11286770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1353942800</v>
      </c>
      <c r="F19" s="638">
        <f t="array" ref="F19">SUM(IF(A19=KHC,TH))</f>
        <v>12308700</v>
      </c>
      <c r="G19" s="639">
        <f t="shared" si="3"/>
        <v>1341634100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199405100</v>
      </c>
      <c r="F20" s="638">
        <f t="array" ref="F20">SUM(IF(A20=KHC,TH))</f>
        <v>0</v>
      </c>
      <c r="G20" s="638">
        <f t="shared" si="3"/>
        <v>199405100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1553347900</v>
      </c>
      <c r="F21" s="642">
        <f>F19+F20</f>
        <v>12308700</v>
      </c>
      <c r="G21" s="642">
        <f t="shared" si="3"/>
        <v>1541039200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40350000</v>
      </c>
      <c r="F22" s="643">
        <f t="array" ref="F22">SUM(IF(A22=KHC,TH))</f>
        <v>0</v>
      </c>
      <c r="G22" s="642">
        <f t="shared" si="3"/>
        <v>40350000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419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902226410</v>
      </c>
      <c r="F28" s="643">
        <f t="array" ref="F28">SUM(IF(A28=KHC,TH))</f>
        <v>2814304240</v>
      </c>
      <c r="G28" s="642">
        <f t="shared" si="3"/>
        <v>0</v>
      </c>
      <c r="H28" s="642">
        <f t="shared" si="4"/>
        <v>1912077830</v>
      </c>
    </row>
    <row r="29" spans="1:8" s="161" customFormat="1" ht="17.25" customHeight="1">
      <c r="A29" s="648" t="s">
        <v>364</v>
      </c>
      <c r="B29" s="637" t="s">
        <v>363</v>
      </c>
      <c r="C29" s="638"/>
      <c r="D29" s="638"/>
      <c r="E29" s="638">
        <f t="array" ref="E29">SUM(IF(A29=KHN,TH))</f>
        <v>169397462</v>
      </c>
      <c r="F29" s="638">
        <f t="array" ref="F29">SUM(IF(A29=KHC,TH))</f>
        <v>169397462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169397462</v>
      </c>
      <c r="F34" s="642">
        <f t="shared" si="10"/>
        <v>169397462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SUM(IF(A42=TH!$L$10:$L$1266,TH!$K$10:$K$1266))</f>
        <v>0</v>
      </c>
      <c r="F42" s="638">
        <f t="array" ref="F42">SUM(IF(A42=TH!$M$10:$M$1266,TH!$K$10:$K$1266))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1693974637</v>
      </c>
      <c r="F44" s="638">
        <f t="array" ref="F44">SUM(IF(A44=KHC,TH))</f>
        <v>1693974637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1693974637</v>
      </c>
      <c r="F45" s="642">
        <f>F44</f>
        <v>1693974637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20851</v>
      </c>
      <c r="F46" s="643">
        <f t="array" ref="F46">SUM(IF(A46=KHC,TH))</f>
        <v>20851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12308700</v>
      </c>
      <c r="F47" s="643">
        <f t="array" ref="F47">SUM(IF(A47=KHC,TH))</f>
        <v>12308700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25408796</v>
      </c>
      <c r="F49" s="643">
        <f t="array" ref="F49">SUM(IF(A49=KHC,TH))</f>
        <v>25408796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189637155.45454547</v>
      </c>
      <c r="F50" s="643">
        <f t="array" ref="F50">SUM(IF(A50=KHC,TH))</f>
        <v>189637155.45454547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227354651.45454547</v>
      </c>
      <c r="F54" s="651">
        <f t="array" ref="F54">SUM(IF(A54=TH!$M$10:$M$1266,TH!$K$10:$K$1266))</f>
        <v>1693995488</v>
      </c>
      <c r="G54" s="642"/>
      <c r="H54" s="642"/>
      <c r="I54" s="161">
        <f t="shared" si="15"/>
        <v>-1466640836.5454545</v>
      </c>
    </row>
    <row r="55" spans="1:9" s="161" customFormat="1" ht="17.25" customHeight="1">
      <c r="A55" s="935" t="s">
        <v>39</v>
      </c>
      <c r="B55" s="936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11770706031.909092</v>
      </c>
      <c r="F55" s="652">
        <f t="shared" si="16"/>
        <v>11770706031.909092</v>
      </c>
      <c r="G55" s="652">
        <f t="shared" si="16"/>
        <v>5205218666.545454</v>
      </c>
      <c r="H55" s="652">
        <f t="shared" si="16"/>
        <v>3738577830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1466640836.545454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270"/>
  <sheetViews>
    <sheetView tabSelected="1" topLeftCell="A7" workbookViewId="0">
      <pane ySplit="3" topLeftCell="A70" activePane="bottomLeft" state="frozen"/>
      <selection activeCell="A7" sqref="A7"/>
      <selection pane="bottomLeft" activeCell="G130" sqref="G130:G132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701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700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57" t="s">
        <v>93</v>
      </c>
      <c r="D4" s="957"/>
      <c r="E4" s="957"/>
      <c r="F4" s="957"/>
      <c r="G4" s="957"/>
      <c r="H4" s="957"/>
      <c r="I4" s="957"/>
      <c r="J4" s="957"/>
      <c r="K4" s="957"/>
      <c r="L4" s="957"/>
      <c r="M4" s="957"/>
    </row>
    <row r="5" spans="1:28" ht="14.25">
      <c r="B5" s="41"/>
      <c r="C5" s="958"/>
      <c r="D5" s="958"/>
      <c r="E5" s="958"/>
      <c r="F5" s="958"/>
      <c r="G5" s="958"/>
      <c r="H5" s="958"/>
      <c r="I5" s="958"/>
      <c r="J5" s="958"/>
      <c r="K5" s="958"/>
      <c r="L5" s="958"/>
      <c r="M5" s="958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39" t="s">
        <v>117</v>
      </c>
      <c r="B7" s="941" t="s">
        <v>101</v>
      </c>
      <c r="C7" s="959" t="s">
        <v>20</v>
      </c>
      <c r="D7" s="960" t="s">
        <v>1</v>
      </c>
      <c r="E7" s="961"/>
      <c r="F7" s="959" t="s">
        <v>0</v>
      </c>
      <c r="G7" s="963" t="s">
        <v>116</v>
      </c>
      <c r="H7" s="943" t="s">
        <v>44</v>
      </c>
      <c r="I7" s="954" t="s">
        <v>258</v>
      </c>
      <c r="J7" s="955"/>
      <c r="K7" s="959" t="s">
        <v>157</v>
      </c>
      <c r="L7" s="962" t="s">
        <v>94</v>
      </c>
      <c r="M7" s="962"/>
      <c r="N7" s="946" t="s">
        <v>393</v>
      </c>
      <c r="O7" s="965" t="s">
        <v>454</v>
      </c>
      <c r="P7" s="948" t="s">
        <v>47</v>
      </c>
      <c r="Q7" s="949"/>
      <c r="R7" s="950"/>
      <c r="S7" s="948" t="s">
        <v>51</v>
      </c>
      <c r="T7" s="949"/>
      <c r="U7" s="950"/>
      <c r="V7" s="946" t="s">
        <v>392</v>
      </c>
      <c r="W7" s="944" t="str">
        <f>CTTK!$E$7</f>
        <v>642</v>
      </c>
      <c r="X7" s="956" t="s">
        <v>163</v>
      </c>
      <c r="Y7" s="956"/>
      <c r="Z7" s="956"/>
      <c r="AA7" s="956" t="s">
        <v>349</v>
      </c>
      <c r="AB7" s="794"/>
    </row>
    <row r="8" spans="1:28" ht="24.75" customHeight="1">
      <c r="A8" s="940"/>
      <c r="B8" s="942"/>
      <c r="C8" s="959"/>
      <c r="D8" s="201" t="s">
        <v>15</v>
      </c>
      <c r="E8" s="200" t="s">
        <v>32</v>
      </c>
      <c r="F8" s="959"/>
      <c r="G8" s="964"/>
      <c r="H8" s="943"/>
      <c r="I8" s="261" t="s">
        <v>203</v>
      </c>
      <c r="J8" s="261" t="s">
        <v>204</v>
      </c>
      <c r="K8" s="959"/>
      <c r="L8" s="202" t="s">
        <v>22</v>
      </c>
      <c r="M8" s="202" t="s">
        <v>23</v>
      </c>
      <c r="N8" s="947"/>
      <c r="O8" s="966"/>
      <c r="P8" s="951"/>
      <c r="Q8" s="952"/>
      <c r="R8" s="953"/>
      <c r="S8" s="951"/>
      <c r="T8" s="952"/>
      <c r="U8" s="953"/>
      <c r="V8" s="947"/>
      <c r="W8" s="945"/>
      <c r="X8" s="956"/>
      <c r="Y8" s="956"/>
      <c r="Z8" s="956"/>
      <c r="AA8" s="956"/>
      <c r="AB8" s="794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5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6" si="0">IF(C10&lt;&gt;"",MONTH(C10),"")</f>
        <v>12</v>
      </c>
      <c r="C10" s="47">
        <f t="shared" ref="C10:C26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7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6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169397462</v>
      </c>
      <c r="L11" s="52" t="s">
        <v>364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7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6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12308700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7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6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7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6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402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7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6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25408796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7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6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189637155.45454547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7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6"/>
    </row>
    <row r="17" spans="1:28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20851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7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6"/>
    </row>
    <row r="18" spans="1:28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1693974637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7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6"/>
    </row>
    <row r="19" spans="1:28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7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6"/>
    </row>
    <row r="20" spans="1:28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7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6"/>
    </row>
    <row r="21" spans="1:28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401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7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6"/>
    </row>
    <row r="22" spans="1:28" s="930" customFormat="1" ht="15.75" customHeight="1">
      <c r="A22" s="203" t="str">
        <f>IF(B22&lt;&gt;"",IF(AND(B22&gt;=_TM1,B22&lt;=_TM2,OR([2]TH!L24="1111",[2]TH!M24="1111")),[2]TH!D24,""),"")</f>
        <v/>
      </c>
      <c r="B22" s="36">
        <f t="shared" si="0"/>
        <v>7</v>
      </c>
      <c r="C22" s="898">
        <f t="shared" si="1"/>
        <v>42552</v>
      </c>
      <c r="D22" s="898" t="s">
        <v>333</v>
      </c>
      <c r="E22" s="898">
        <v>42552</v>
      </c>
      <c r="F22" s="904" t="s">
        <v>885</v>
      </c>
      <c r="G22" s="900"/>
      <c r="H22" s="928"/>
      <c r="I22" s="901"/>
      <c r="J22" s="901"/>
      <c r="K22" s="908">
        <v>13250000</v>
      </c>
      <c r="L22" s="929" t="s">
        <v>165</v>
      </c>
      <c r="M22" s="929" t="s">
        <v>260</v>
      </c>
      <c r="N22" s="51" t="str">
        <f>IF(AND('331-CT'!$E$7=TH!H22,OR(L22="331",M22="331")),"331",IF(AND(OR(L22="131",M22="131"),H22='131-CT'!$E$7),"131",""))</f>
        <v/>
      </c>
      <c r="O22" s="887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28" s="930" customFormat="1" ht="15.75" customHeight="1">
      <c r="A23" s="203" t="str">
        <f>IF(B23&lt;&gt;"",IF(AND(B23&gt;=_TM1,B23&lt;=_TM2,OR([2]TH!L25="1111",[2]TH!M25="1111")),[2]TH!D25,""),"")</f>
        <v/>
      </c>
      <c r="B23" s="36">
        <f t="shared" si="0"/>
        <v>10</v>
      </c>
      <c r="C23" s="898">
        <f t="shared" si="1"/>
        <v>42644</v>
      </c>
      <c r="D23" s="898" t="s">
        <v>333</v>
      </c>
      <c r="E23" s="898">
        <v>42644</v>
      </c>
      <c r="F23" s="904" t="s">
        <v>885</v>
      </c>
      <c r="G23" s="900"/>
      <c r="H23" s="928"/>
      <c r="I23" s="901"/>
      <c r="J23" s="901"/>
      <c r="K23" s="908">
        <v>13250000</v>
      </c>
      <c r="L23" s="929" t="s">
        <v>165</v>
      </c>
      <c r="M23" s="929" t="s">
        <v>260</v>
      </c>
      <c r="N23" s="51" t="str">
        <f>IF(AND('331-CT'!$E$7=TH!H23,OR(L23="331",M23="331")),"331",IF(AND(OR(L23="131",M23="131"),H23='131-CT'!$E$7),"131",""))</f>
        <v/>
      </c>
      <c r="O23" s="887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28" s="930" customFormat="1" ht="15.75" customHeight="1">
      <c r="A24" s="203" t="str">
        <f>IF(B24&lt;&gt;"",IF(AND(B24&gt;=_TM1,B24&lt;=_TM2,OR([2]TH!L26="1111",[2]TH!M26="1111")),[2]TH!D26,""),"")</f>
        <v/>
      </c>
      <c r="B24" s="931">
        <f t="shared" si="0"/>
        <v>7</v>
      </c>
      <c r="C24" s="898">
        <f t="shared" si="1"/>
        <v>42582</v>
      </c>
      <c r="D24" s="898" t="s">
        <v>333</v>
      </c>
      <c r="E24" s="898">
        <v>42582</v>
      </c>
      <c r="F24" s="904" t="s">
        <v>886</v>
      </c>
      <c r="G24" s="927"/>
      <c r="H24" s="928"/>
      <c r="I24" s="901"/>
      <c r="J24" s="901"/>
      <c r="K24" s="908"/>
      <c r="L24" s="929" t="s">
        <v>83</v>
      </c>
      <c r="M24" s="929" t="s">
        <v>262</v>
      </c>
      <c r="N24" s="51" t="str">
        <f>IF(AND('331-CT'!$E$7=TH!H24,OR(L24="331",M24="331")),"331",IF(AND(OR(L24="131",M24="131"),H24='131-CT'!$E$7),"131",""))</f>
        <v/>
      </c>
      <c r="O24" s="887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>x</v>
      </c>
    </row>
    <row r="25" spans="1:28" s="930" customFormat="1" ht="15.75" customHeight="1">
      <c r="A25" s="203" t="str">
        <f>IF(B25&lt;&gt;"",IF(AND(B25&gt;=_TM1,B25&lt;=_TM2,OR([2]TH!L27="1111",[2]TH!M27="1111")),[2]TH!D27,""),"")</f>
        <v/>
      </c>
      <c r="B25" s="931">
        <f t="shared" si="0"/>
        <v>7</v>
      </c>
      <c r="C25" s="898">
        <f t="shared" si="1"/>
        <v>42582</v>
      </c>
      <c r="D25" s="898" t="s">
        <v>333</v>
      </c>
      <c r="E25" s="898">
        <v>42582</v>
      </c>
      <c r="F25" s="904" t="s">
        <v>887</v>
      </c>
      <c r="G25" s="927"/>
      <c r="H25" s="928"/>
      <c r="I25" s="901"/>
      <c r="J25" s="901"/>
      <c r="K25" s="908"/>
      <c r="L25" s="929" t="s">
        <v>165</v>
      </c>
      <c r="M25" s="929" t="s">
        <v>262</v>
      </c>
      <c r="N25" s="51" t="str">
        <f>IF(AND('331-CT'!$E$7=TH!H25,OR(L25="331",M25="331")),"331",IF(AND(OR(L25="131",M25="131"),H25='131-CT'!$E$7),"131",""))</f>
        <v/>
      </c>
      <c r="O25" s="887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>x</v>
      </c>
    </row>
    <row r="26" spans="1:28" s="930" customFormat="1" ht="15.75" customHeight="1">
      <c r="A26" s="203" t="str">
        <f>IF(B26&lt;&gt;"",IF(AND(B26&gt;=_TM1,B26&lt;=_TM2,OR([2]TH!L28="1111",[2]TH!M28="1111")),[2]TH!D28,""),"")</f>
        <v/>
      </c>
      <c r="B26" s="931">
        <f t="shared" si="0"/>
        <v>7</v>
      </c>
      <c r="C26" s="898">
        <f t="shared" si="1"/>
        <v>42582</v>
      </c>
      <c r="D26" s="898" t="s">
        <v>333</v>
      </c>
      <c r="E26" s="898">
        <v>42582</v>
      </c>
      <c r="F26" s="904" t="str">
        <f>"Thanh toán tiền lương tháng "&amp;MONTH(E26)&amp;"/"&amp;YEAR(E26)</f>
        <v>Thanh toán tiền lương tháng 7/2016</v>
      </c>
      <c r="G26" s="927"/>
      <c r="H26" s="928"/>
      <c r="I26" s="901"/>
      <c r="J26" s="901"/>
      <c r="K26" s="908">
        <f>K24+K25</f>
        <v>0</v>
      </c>
      <c r="L26" s="929" t="s">
        <v>262</v>
      </c>
      <c r="M26" s="929" t="s">
        <v>47</v>
      </c>
      <c r="N26" s="51" t="str">
        <f>IF(AND('331-CT'!$E$7=TH!H26,OR(L26="331",M26="331")),"331",IF(AND(OR(L26="131",M26="131"),H26='131-CT'!$E$7),"131",""))</f>
        <v/>
      </c>
      <c r="O26" s="887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>x</v>
      </c>
    </row>
    <row r="27" spans="1:28" s="930" customFormat="1" ht="15.75" customHeight="1">
      <c r="A27" s="203" t="str">
        <f>IF(B27&lt;&gt;"",IF(AND(B27&gt;=_TM1,B27&lt;=_TM2,OR([2]TH!L29="1111",[2]TH!M29="1111")),[2]TH!D29,""),"")</f>
        <v>CTGS</v>
      </c>
      <c r="B27" s="931">
        <f t="shared" ref="B27:B32" si="3">IF(C27&lt;&gt;"",MONTH(C27),"")</f>
        <v>8</v>
      </c>
      <c r="C27" s="898">
        <f t="shared" ref="C27:C32" si="4">E27</f>
        <v>42613</v>
      </c>
      <c r="D27" s="898" t="s">
        <v>333</v>
      </c>
      <c r="E27" s="898">
        <v>42613</v>
      </c>
      <c r="F27" s="904" t="s">
        <v>886</v>
      </c>
      <c r="G27" s="927"/>
      <c r="H27" s="928"/>
      <c r="I27" s="901"/>
      <c r="J27" s="901"/>
      <c r="K27" s="908"/>
      <c r="L27" s="929" t="s">
        <v>83</v>
      </c>
      <c r="M27" s="929" t="s">
        <v>262</v>
      </c>
      <c r="N27" s="51" t="str">
        <f>IF(AND('331-CT'!$E$7=TH!H27,OR(L27="331",M27="331")),"331",IF(AND(OR(L27="131",M27="131"),H27='131-CT'!$E$7),"131",""))</f>
        <v/>
      </c>
      <c r="O27" s="887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>x</v>
      </c>
    </row>
    <row r="28" spans="1:28" s="930" customFormat="1" ht="15.75" customHeight="1">
      <c r="A28" s="203" t="str">
        <f>IF(B28&lt;&gt;"",IF(AND(B28&gt;=_TM1,B28&lt;=_TM2,OR([2]TH!L30="1111",[2]TH!M30="1111")),[2]TH!D30,""),"")</f>
        <v/>
      </c>
      <c r="B28" s="931">
        <f t="shared" si="3"/>
        <v>8</v>
      </c>
      <c r="C28" s="898">
        <f t="shared" si="4"/>
        <v>42613</v>
      </c>
      <c r="D28" s="898" t="s">
        <v>333</v>
      </c>
      <c r="E28" s="898">
        <v>42613</v>
      </c>
      <c r="F28" s="904" t="s">
        <v>887</v>
      </c>
      <c r="G28" s="927"/>
      <c r="H28" s="928"/>
      <c r="I28" s="901"/>
      <c r="J28" s="901"/>
      <c r="K28" s="908"/>
      <c r="L28" s="929" t="s">
        <v>165</v>
      </c>
      <c r="M28" s="929" t="s">
        <v>262</v>
      </c>
      <c r="N28" s="51" t="str">
        <f>IF(AND('331-CT'!$E$7=TH!H28,OR(L28="331",M28="331")),"331",IF(AND(OR(L28="131",M28="131"),H28='131-CT'!$E$7),"131",""))</f>
        <v/>
      </c>
      <c r="O28" s="887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>x</v>
      </c>
    </row>
    <row r="29" spans="1:28" s="930" customFormat="1" ht="15.75" customHeight="1">
      <c r="A29" s="203" t="str">
        <f>IF(B29&lt;&gt;"",IF(AND(B29&gt;=_TM1,B29&lt;=_TM2,OR([2]TH!L31="1111",[2]TH!M31="1111")),[2]TH!D31,""),"")</f>
        <v/>
      </c>
      <c r="B29" s="931">
        <f t="shared" si="3"/>
        <v>8</v>
      </c>
      <c r="C29" s="898">
        <f t="shared" si="4"/>
        <v>42613</v>
      </c>
      <c r="D29" s="898" t="s">
        <v>333</v>
      </c>
      <c r="E29" s="898">
        <v>42613</v>
      </c>
      <c r="F29" s="904" t="str">
        <f>"Thanh toán tiền lương tháng "&amp;MONTH(E29)&amp;"/"&amp;YEAR(E29)</f>
        <v>Thanh toán tiền lương tháng 8/2016</v>
      </c>
      <c r="G29" s="927"/>
      <c r="H29" s="928"/>
      <c r="I29" s="901"/>
      <c r="J29" s="901"/>
      <c r="K29" s="908">
        <f>K27+K28</f>
        <v>0</v>
      </c>
      <c r="L29" s="929" t="s">
        <v>262</v>
      </c>
      <c r="M29" s="929" t="s">
        <v>47</v>
      </c>
      <c r="N29" s="51" t="str">
        <f>IF(AND('331-CT'!$E$7=TH!H29,OR(L29="331",M29="331")),"331",IF(AND(OR(L29="131",M29="131"),H29='131-CT'!$E$7),"131",""))</f>
        <v/>
      </c>
      <c r="O29" s="887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>x</v>
      </c>
    </row>
    <row r="30" spans="1:28" s="930" customFormat="1" ht="15.75" customHeight="1">
      <c r="A30" s="203" t="str">
        <f>IF(B30&lt;&gt;"",IF(AND(B30&gt;=_TM1,B30&lt;=_TM2,OR([2]TH!L32="1111",[2]TH!M32="1111")),[2]TH!D32,""),"")</f>
        <v>CTGS</v>
      </c>
      <c r="B30" s="931">
        <f t="shared" si="3"/>
        <v>9</v>
      </c>
      <c r="C30" s="898">
        <f t="shared" si="4"/>
        <v>42643</v>
      </c>
      <c r="D30" s="898" t="s">
        <v>333</v>
      </c>
      <c r="E30" s="898">
        <v>42643</v>
      </c>
      <c r="F30" s="904" t="s">
        <v>886</v>
      </c>
      <c r="G30" s="927"/>
      <c r="H30" s="928"/>
      <c r="I30" s="901"/>
      <c r="J30" s="901"/>
      <c r="K30" s="908"/>
      <c r="L30" s="929" t="s">
        <v>83</v>
      </c>
      <c r="M30" s="929" t="s">
        <v>262</v>
      </c>
      <c r="N30" s="51" t="str">
        <f>IF(AND('331-CT'!$E$7=TH!H30,OR(L30="331",M30="331")),"331",IF(AND(OR(L30="131",M30="131"),H30='131-CT'!$E$7),"131",""))</f>
        <v/>
      </c>
      <c r="O30" s="887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>x</v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>x</v>
      </c>
    </row>
    <row r="31" spans="1:28" s="930" customFormat="1" ht="15.75" customHeight="1">
      <c r="A31" s="203" t="str">
        <f>IF(B31&lt;&gt;"",IF(AND(B31&gt;=_TM1,B31&lt;=_TM2,OR([2]TH!L33="1111",[2]TH!M33="1111")),[2]TH!D33,""),"")</f>
        <v/>
      </c>
      <c r="B31" s="931">
        <f t="shared" si="3"/>
        <v>9</v>
      </c>
      <c r="C31" s="898">
        <f t="shared" si="4"/>
        <v>42643</v>
      </c>
      <c r="D31" s="898" t="s">
        <v>333</v>
      </c>
      <c r="E31" s="898">
        <v>42643</v>
      </c>
      <c r="F31" s="904" t="s">
        <v>887</v>
      </c>
      <c r="G31" s="927"/>
      <c r="H31" s="928"/>
      <c r="I31" s="901"/>
      <c r="J31" s="901"/>
      <c r="K31" s="908"/>
      <c r="L31" s="929" t="s">
        <v>165</v>
      </c>
      <c r="M31" s="929" t="s">
        <v>262</v>
      </c>
      <c r="N31" s="51" t="str">
        <f>IF(AND('331-CT'!$E$7=TH!H31,OR(L31="331",M31="331")),"331",IF(AND(OR(L31="131",M31="131"),H31='131-CT'!$E$7),"131",""))</f>
        <v/>
      </c>
      <c r="O31" s="887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>x</v>
      </c>
    </row>
    <row r="32" spans="1:28" s="930" customFormat="1" ht="15.75" customHeight="1">
      <c r="A32" s="203" t="str">
        <f>IF(B32&lt;&gt;"",IF(AND(B32&gt;=_TM1,B32&lt;=_TM2,OR([2]TH!L34="1111",[2]TH!M34="1111")),[2]TH!D34,""),"")</f>
        <v/>
      </c>
      <c r="B32" s="931">
        <f t="shared" si="3"/>
        <v>9</v>
      </c>
      <c r="C32" s="898">
        <f t="shared" si="4"/>
        <v>42643</v>
      </c>
      <c r="D32" s="898" t="s">
        <v>333</v>
      </c>
      <c r="E32" s="898">
        <v>42643</v>
      </c>
      <c r="F32" s="904" t="str">
        <f>"Thanh toán tiền lương tháng "&amp;MONTH(E32)&amp;"/"&amp;YEAR(E32)</f>
        <v>Thanh toán tiền lương tháng 9/2016</v>
      </c>
      <c r="G32" s="927"/>
      <c r="H32" s="928"/>
      <c r="I32" s="901"/>
      <c r="J32" s="901"/>
      <c r="K32" s="908">
        <f>K30+K31</f>
        <v>0</v>
      </c>
      <c r="L32" s="929" t="s">
        <v>262</v>
      </c>
      <c r="M32" s="929" t="s">
        <v>47</v>
      </c>
      <c r="N32" s="51" t="str">
        <f>IF(AND('331-CT'!$E$7=TH!H32,OR(L32="331",M32="331")),"331",IF(AND(OR(L32="131",M32="131"),H32='131-CT'!$E$7),"131",""))</f>
        <v/>
      </c>
      <c r="O32" s="887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>x</v>
      </c>
    </row>
    <row r="33" spans="1:33" s="930" customFormat="1" ht="15.75" customHeight="1">
      <c r="A33" s="203" t="str">
        <f>IF(B33&lt;&gt;"",IF(AND(B33&gt;=_TM1,B33&lt;=_TM2,OR([2]TH!L35="1111",[2]TH!M35="1111")),[2]TH!D35,""),"")</f>
        <v/>
      </c>
      <c r="B33" s="931">
        <f t="shared" ref="B33:B38" si="5">IF(C33&lt;&gt;"",MONTH(C33),"")</f>
        <v>10</v>
      </c>
      <c r="C33" s="898">
        <f t="shared" ref="C33:C38" si="6">E33</f>
        <v>42674</v>
      </c>
      <c r="D33" s="898" t="s">
        <v>333</v>
      </c>
      <c r="E33" s="898">
        <v>42674</v>
      </c>
      <c r="F33" s="904" t="s">
        <v>886</v>
      </c>
      <c r="G33" s="927"/>
      <c r="H33" s="928"/>
      <c r="I33" s="901"/>
      <c r="J33" s="901"/>
      <c r="K33" s="908"/>
      <c r="L33" s="929" t="s">
        <v>83</v>
      </c>
      <c r="M33" s="929" t="s">
        <v>262</v>
      </c>
      <c r="N33" s="51" t="str">
        <f>IF(AND('331-CT'!$E$7=TH!H33,OR(L33="331",M33="331")),"331",IF(AND(OR(L33="131",M33="131"),H33='131-CT'!$E$7),"131",""))</f>
        <v/>
      </c>
      <c r="O33" s="887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</row>
    <row r="34" spans="1:33" s="930" customFormat="1" ht="15.75" customHeight="1">
      <c r="A34" s="203" t="str">
        <f>IF(B34&lt;&gt;"",IF(AND(B34&gt;=_TM1,B34&lt;=_TM2,OR([2]TH!L36="1111",[2]TH!M36="1111")),[2]TH!D36,""),"")</f>
        <v/>
      </c>
      <c r="B34" s="931">
        <f t="shared" si="5"/>
        <v>10</v>
      </c>
      <c r="C34" s="898">
        <f t="shared" si="6"/>
        <v>42674</v>
      </c>
      <c r="D34" s="898" t="s">
        <v>333</v>
      </c>
      <c r="E34" s="898">
        <v>42674</v>
      </c>
      <c r="F34" s="904" t="s">
        <v>887</v>
      </c>
      <c r="G34" s="927"/>
      <c r="H34" s="928"/>
      <c r="I34" s="901"/>
      <c r="J34" s="901"/>
      <c r="K34" s="908"/>
      <c r="L34" s="929" t="s">
        <v>165</v>
      </c>
      <c r="M34" s="929" t="s">
        <v>262</v>
      </c>
      <c r="N34" s="51" t="str">
        <f>IF(AND('331-CT'!$E$7=TH!H34,OR(L34="331",M34="331")),"331",IF(AND(OR(L34="131",M34="131"),H34='131-CT'!$E$7),"131",""))</f>
        <v/>
      </c>
      <c r="O34" s="887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</row>
    <row r="35" spans="1:33" s="930" customFormat="1" ht="15.75" customHeight="1">
      <c r="A35" s="203" t="str">
        <f>IF(B35&lt;&gt;"",IF(AND(B35&gt;=_TM1,B35&lt;=_TM2,OR([2]TH!L37="1111",[2]TH!M37="1111")),[2]TH!D37,""),"")</f>
        <v/>
      </c>
      <c r="B35" s="931">
        <f t="shared" si="5"/>
        <v>10</v>
      </c>
      <c r="C35" s="898">
        <f t="shared" si="6"/>
        <v>42674</v>
      </c>
      <c r="D35" s="898" t="s">
        <v>333</v>
      </c>
      <c r="E35" s="898">
        <v>42674</v>
      </c>
      <c r="F35" s="904" t="str">
        <f>"Thanh toán tiền lương tháng "&amp;MONTH(E35)&amp;"/"&amp;YEAR(E35)</f>
        <v>Thanh toán tiền lương tháng 10/2016</v>
      </c>
      <c r="G35" s="927"/>
      <c r="H35" s="928"/>
      <c r="I35" s="901"/>
      <c r="J35" s="901"/>
      <c r="K35" s="908">
        <f>K33+K34</f>
        <v>0</v>
      </c>
      <c r="L35" s="929" t="s">
        <v>262</v>
      </c>
      <c r="M35" s="929" t="s">
        <v>47</v>
      </c>
      <c r="N35" s="51" t="str">
        <f>IF(AND('331-CT'!$E$7=TH!H35,OR(L35="331",M35="331")),"331",IF(AND(OR(L35="131",M35="131"),H35='131-CT'!$E$7),"131",""))</f>
        <v/>
      </c>
      <c r="O35" s="887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</row>
    <row r="36" spans="1:33" s="930" customFormat="1" ht="15.75" customHeight="1">
      <c r="A36" s="203" t="str">
        <f>IF(B36&lt;&gt;"",IF(AND(B36&gt;=_TM1,B36&lt;=_TM2,OR([2]TH!L38="1111",[2]TH!M38="1111")),[2]TH!D38,""),"")</f>
        <v/>
      </c>
      <c r="B36" s="931">
        <f t="shared" si="5"/>
        <v>11</v>
      </c>
      <c r="C36" s="898">
        <f t="shared" si="6"/>
        <v>42704</v>
      </c>
      <c r="D36" s="898" t="s">
        <v>333</v>
      </c>
      <c r="E36" s="898">
        <v>42704</v>
      </c>
      <c r="F36" s="904" t="s">
        <v>886</v>
      </c>
      <c r="G36" s="927"/>
      <c r="H36" s="928"/>
      <c r="I36" s="901"/>
      <c r="J36" s="901"/>
      <c r="K36" s="908"/>
      <c r="L36" s="929" t="s">
        <v>83</v>
      </c>
      <c r="M36" s="929" t="s">
        <v>262</v>
      </c>
      <c r="N36" s="51" t="str">
        <f>IF(AND('331-CT'!$E$7=TH!H36,OR(L36="331",M36="331")),"331",IF(AND(OR(L36="131",M36="131"),H36='131-CT'!$E$7),"131",""))</f>
        <v/>
      </c>
      <c r="O36" s="887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</row>
    <row r="37" spans="1:33" s="930" customFormat="1" ht="15.75" customHeight="1">
      <c r="A37" s="203" t="str">
        <f>IF(B37&lt;&gt;"",IF(AND(B37&gt;=_TM1,B37&lt;=_TM2,OR([2]TH!L39="1111",[2]TH!M39="1111")),[2]TH!D39,""),"")</f>
        <v/>
      </c>
      <c r="B37" s="931">
        <f t="shared" si="5"/>
        <v>11</v>
      </c>
      <c r="C37" s="898">
        <f t="shared" si="6"/>
        <v>42704</v>
      </c>
      <c r="D37" s="898" t="s">
        <v>333</v>
      </c>
      <c r="E37" s="898">
        <v>42704</v>
      </c>
      <c r="F37" s="904" t="s">
        <v>887</v>
      </c>
      <c r="G37" s="927"/>
      <c r="H37" s="928"/>
      <c r="I37" s="901"/>
      <c r="J37" s="901"/>
      <c r="K37" s="908"/>
      <c r="L37" s="929" t="s">
        <v>165</v>
      </c>
      <c r="M37" s="929" t="s">
        <v>262</v>
      </c>
      <c r="N37" s="51" t="str">
        <f>IF(AND('331-CT'!$E$7=TH!H37,OR(L37="331",M37="331")),"331",IF(AND(OR(L37="131",M37="131"),H37='131-CT'!$E$7),"131",""))</f>
        <v/>
      </c>
      <c r="O37" s="887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</row>
    <row r="38" spans="1:33" s="930" customFormat="1" ht="15.75" customHeight="1">
      <c r="A38" s="203" t="str">
        <f>IF(B38&lt;&gt;"",IF(AND(B38&gt;=_TM1,B38&lt;=_TM2,OR([2]TH!L40="1111",[2]TH!M40="1111")),[2]TH!D40,""),"")</f>
        <v/>
      </c>
      <c r="B38" s="931">
        <f t="shared" si="5"/>
        <v>11</v>
      </c>
      <c r="C38" s="898">
        <f t="shared" si="6"/>
        <v>42704</v>
      </c>
      <c r="D38" s="898" t="s">
        <v>333</v>
      </c>
      <c r="E38" s="898">
        <v>42704</v>
      </c>
      <c r="F38" s="904" t="str">
        <f>"Thanh toán tiền lương tháng "&amp;MONTH(E38)&amp;"/"&amp;YEAR(E38)</f>
        <v>Thanh toán tiền lương tháng 11/2016</v>
      </c>
      <c r="G38" s="927"/>
      <c r="H38" s="928"/>
      <c r="I38" s="901"/>
      <c r="J38" s="901"/>
      <c r="K38" s="908">
        <f>K36+K37</f>
        <v>0</v>
      </c>
      <c r="L38" s="929" t="s">
        <v>262</v>
      </c>
      <c r="M38" s="929" t="s">
        <v>47</v>
      </c>
      <c r="N38" s="51" t="str">
        <f>IF(AND('331-CT'!$E$7=TH!H38,OR(L38="331",M38="331")),"331",IF(AND(OR(L38="131",M38="131"),H38='131-CT'!$E$7),"131",""))</f>
        <v/>
      </c>
      <c r="O38" s="887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</row>
    <row r="39" spans="1:33" s="930" customFormat="1" ht="15.75" customHeight="1">
      <c r="A39" s="203" t="str">
        <f>IF(B39&lt;&gt;"",IF(AND(B39&gt;=_TM1,B39&lt;=_TM2,OR([2]TH!L41="1111",[2]TH!M41="1111")),[2]TH!D41,""),"")</f>
        <v/>
      </c>
      <c r="B39" s="931">
        <f t="shared" ref="B39:B41" si="7">IF(C39&lt;&gt;"",MONTH(C39),"")</f>
        <v>12</v>
      </c>
      <c r="C39" s="898">
        <f t="shared" ref="C39:C41" si="8">E39</f>
        <v>42735</v>
      </c>
      <c r="D39" s="898" t="s">
        <v>333</v>
      </c>
      <c r="E39" s="898">
        <v>42735</v>
      </c>
      <c r="F39" s="904" t="s">
        <v>886</v>
      </c>
      <c r="G39" s="927"/>
      <c r="H39" s="928"/>
      <c r="I39" s="901"/>
      <c r="J39" s="901"/>
      <c r="K39" s="908"/>
      <c r="L39" s="929" t="s">
        <v>83</v>
      </c>
      <c r="M39" s="929" t="s">
        <v>262</v>
      </c>
      <c r="N39" s="51" t="str">
        <f>IF(AND('331-CT'!$E$7=TH!H39,OR(L39="331",M39="331")),"331",IF(AND(OR(L39="131",M39="131"),H39='131-CT'!$E$7),"131",""))</f>
        <v/>
      </c>
      <c r="O39" s="887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</row>
    <row r="40" spans="1:33" s="930" customFormat="1" ht="15.75" customHeight="1">
      <c r="A40" s="203" t="str">
        <f>IF(B40&lt;&gt;"",IF(AND(B40&gt;=_TM1,B40&lt;=_TM2,OR([2]TH!L42="1111",[2]TH!M42="1111")),[2]TH!D42,""),"")</f>
        <v/>
      </c>
      <c r="B40" s="931">
        <f t="shared" si="7"/>
        <v>12</v>
      </c>
      <c r="C40" s="898">
        <f t="shared" si="8"/>
        <v>42735</v>
      </c>
      <c r="D40" s="898" t="s">
        <v>333</v>
      </c>
      <c r="E40" s="898">
        <v>42735</v>
      </c>
      <c r="F40" s="904" t="s">
        <v>887</v>
      </c>
      <c r="G40" s="927"/>
      <c r="H40" s="928"/>
      <c r="I40" s="901"/>
      <c r="J40" s="901"/>
      <c r="K40" s="908"/>
      <c r="L40" s="929" t="s">
        <v>165</v>
      </c>
      <c r="M40" s="929" t="s">
        <v>262</v>
      </c>
      <c r="N40" s="51" t="str">
        <f>IF(AND('331-CT'!$E$7=TH!H40,OR(L40="331",M40="331")),"331",IF(AND(OR(L40="131",M40="131"),H40='131-CT'!$E$7),"131",""))</f>
        <v/>
      </c>
      <c r="O40" s="887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</row>
    <row r="41" spans="1:33" s="930" customFormat="1" ht="15.75" customHeight="1">
      <c r="A41" s="203" t="str">
        <f>IF(B41&lt;&gt;"",IF(AND(B41&gt;=_TM1,B41&lt;=_TM2,OR([2]TH!L43="1111",[2]TH!M43="1111")),[2]TH!D43,""),"")</f>
        <v/>
      </c>
      <c r="B41" s="931">
        <f t="shared" si="7"/>
        <v>12</v>
      </c>
      <c r="C41" s="898">
        <f t="shared" si="8"/>
        <v>42735</v>
      </c>
      <c r="D41" s="898" t="s">
        <v>333</v>
      </c>
      <c r="E41" s="898">
        <v>42735</v>
      </c>
      <c r="F41" s="904" t="str">
        <f>"Thanh toán tiền lương tháng "&amp;MONTH(E41)&amp;"/"&amp;YEAR(E41)</f>
        <v>Thanh toán tiền lương tháng 12/2016</v>
      </c>
      <c r="G41" s="927"/>
      <c r="H41" s="928"/>
      <c r="I41" s="901"/>
      <c r="J41" s="901"/>
      <c r="K41" s="908">
        <f>K39+K40</f>
        <v>0</v>
      </c>
      <c r="L41" s="929" t="s">
        <v>262</v>
      </c>
      <c r="M41" s="929" t="s">
        <v>47</v>
      </c>
      <c r="N41" s="51" t="str">
        <f>IF(AND('331-CT'!$E$7=TH!H41,OR(L41="331",M41="331")),"331",IF(AND(OR(L41="131",M41="131"),H41='131-CT'!$E$7),"131",""))</f>
        <v/>
      </c>
      <c r="O41" s="887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</row>
    <row r="42" spans="1:33" s="588" customFormat="1" ht="15.75" customHeight="1">
      <c r="A42" s="203" t="str">
        <f>IF(B42&lt;&gt;"",IF(AND(B42&gt;=_TM1,B42&lt;=_TM2,OR(TH!L44="1111",TH!M44="1111")),TH!D44,""),"")</f>
        <v/>
      </c>
      <c r="B42" s="36">
        <f t="shared" ref="B42:B105" si="9">IF(C42&lt;&gt;"",MONTH(C42),"")</f>
        <v>5</v>
      </c>
      <c r="C42" s="183">
        <f>E42</f>
        <v>42516</v>
      </c>
      <c r="D42" s="183" t="s">
        <v>355</v>
      </c>
      <c r="E42" s="183">
        <v>42516</v>
      </c>
      <c r="F42" s="188" t="s">
        <v>706</v>
      </c>
      <c r="G42" s="479"/>
      <c r="H42" s="7" t="s">
        <v>707</v>
      </c>
      <c r="I42" s="255"/>
      <c r="J42" s="255"/>
      <c r="K42" s="37">
        <v>1800000000</v>
      </c>
      <c r="L42" s="193" t="s">
        <v>47</v>
      </c>
      <c r="M42" s="193" t="s">
        <v>25</v>
      </c>
      <c r="N42" s="51" t="str">
        <f>IF(AND('331-CT'!$E$7=TH!H44,OR(L42="331",M42="331")),"331",IF(AND(OR(L42="131",M42="131"),H42='131-CT'!$E$7),"131",""))</f>
        <v/>
      </c>
      <c r="O42" s="887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IF(OR(TH!L44=TH!$W$7,M42=TH!$W$7),"x","")</f>
        <v>x</v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IF(AND(OR(LEFT(TH!L44,2)="15",LEFT(TH!M44,2)="15"),'152-CT'!$J$8=TH!F44),"x","")</f>
        <v/>
      </c>
      <c r="Z42" s="51" t="str">
        <f>IF(AND(OR(LEFT(TH!L44,2)="15",LEFT(TH!M44,2)="15"),TK!$E$7=TH!F44),"x","")</f>
        <v/>
      </c>
      <c r="AA42" s="51" t="str">
        <f>IF(AND(B42&lt;=NKC!$N$8,B42&gt;=NKC!$M$8),"x","")</f>
        <v/>
      </c>
      <c r="AB42" s="909"/>
    </row>
    <row r="43" spans="1:33" s="588" customFormat="1" ht="15.75" customHeight="1">
      <c r="A43" s="203" t="str">
        <f>IF(B43&lt;&gt;"",IF(AND(B43&gt;=_TM1,B43&lt;=_TM2,OR(TH!L45="1111",TH!M45="1111")),TH!D45,""),"")</f>
        <v/>
      </c>
      <c r="B43" s="36">
        <f t="shared" si="9"/>
        <v>5</v>
      </c>
      <c r="C43" s="183">
        <f>E43</f>
        <v>42516</v>
      </c>
      <c r="D43" s="183" t="s">
        <v>511</v>
      </c>
      <c r="E43" s="183">
        <v>42516</v>
      </c>
      <c r="F43" s="188" t="s">
        <v>530</v>
      </c>
      <c r="G43" s="479" t="s">
        <v>533</v>
      </c>
      <c r="H43" s="7" t="s">
        <v>534</v>
      </c>
      <c r="I43" s="255"/>
      <c r="J43" s="255"/>
      <c r="K43" s="37">
        <v>2200000</v>
      </c>
      <c r="L43" s="193" t="s">
        <v>24</v>
      </c>
      <c r="M43" s="193" t="s">
        <v>47</v>
      </c>
      <c r="N43" s="51" t="str">
        <f>IF(AND('331-CT'!$E$7=TH!H45,OR(L43="331",M43="331")),"331",IF(AND(OR(L43="131",M43="131"),H43='131-CT'!$E$7),"131",""))</f>
        <v/>
      </c>
      <c r="O43" s="887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IF(OR(TH!L45=TH!$W$7,M43=TH!$W$7),"x","")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IF(AND(OR(LEFT(TH!L45,2)="15",LEFT(TH!M45,2)="15"),'152-CT'!$J$8=TH!F45),"x","")</f>
        <v/>
      </c>
      <c r="Z43" s="51" t="str">
        <f>IF(AND(OR(LEFT(TH!L45,2)="15",LEFT(TH!M45,2)="15"),TK!$E$7=TH!F45),"x","")</f>
        <v/>
      </c>
      <c r="AA43" s="51" t="str">
        <f>IF(AND(B43&lt;=NKC!$N$8,B43&gt;=NKC!$M$8),"x","")</f>
        <v/>
      </c>
      <c r="AB43" s="909"/>
    </row>
    <row r="44" spans="1:33" s="588" customFormat="1" ht="15.75" customHeight="1">
      <c r="A44" s="203" t="str">
        <f>IF(B44&lt;&gt;"",IF(AND(B44&gt;=_TM1,B44&lt;=_TM2,OR(TH!L59="1111",TH!M59="1111")),TH!D59,""),"")</f>
        <v/>
      </c>
      <c r="B44" s="36">
        <f t="shared" si="9"/>
        <v>5</v>
      </c>
      <c r="C44" s="183">
        <v>42516</v>
      </c>
      <c r="D44" s="183" t="s">
        <v>512</v>
      </c>
      <c r="E44" s="183">
        <v>42508</v>
      </c>
      <c r="F44" s="188" t="s">
        <v>476</v>
      </c>
      <c r="G44" s="479" t="s">
        <v>475</v>
      </c>
      <c r="H44" s="192" t="s">
        <v>474</v>
      </c>
      <c r="I44" s="255"/>
      <c r="J44" s="255"/>
      <c r="K44" s="596">
        <v>2160000</v>
      </c>
      <c r="L44" s="597" t="s">
        <v>83</v>
      </c>
      <c r="M44" s="597" t="s">
        <v>47</v>
      </c>
      <c r="N44" s="51" t="str">
        <f>IF(AND('331-CT'!$E$7=TH!H59,OR(L44="331",M44="331")),"331",IF(AND(OR(L44="131",M44="131"),H44='131-CT'!$E$7),"131",""))</f>
        <v/>
      </c>
      <c r="O44" s="887" t="str">
        <f>IF(AND('341-CT'!$E$9=H44,OR(LEFT(L44,3)=$O$7,LEFT(M44,3)=$O$7)),"x","")</f>
        <v/>
      </c>
      <c r="P44" s="51" t="str">
        <f>IF(AND($B44&gt;='111'!$N$11,$B44&lt;='111'!$O$11,OR($L44=$P$7,$M44=$P$7)),"x","")</f>
        <v>x</v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>642</v>
      </c>
      <c r="W44" s="51" t="str">
        <f>IF(OR(TH!L59=TH!$W$7,M44=TH!$W$7),"x","")</f>
        <v/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IF(AND(OR(LEFT(TH!L59,2)="15",LEFT(TH!M59,2)="15"),'152-CT'!$J$8=TH!F59),"x","")</f>
        <v/>
      </c>
      <c r="Z44" s="51" t="str">
        <f>IF(AND(OR(LEFT(TH!L59,2)="15",LEFT(TH!M59,2)="15"),TK!$E$7=TH!F59),"x","")</f>
        <v/>
      </c>
      <c r="AA44" s="51" t="str">
        <f>IF(AND(B44&lt;=NKC!$N$8,B44&gt;=NKC!$M$8),"x","")</f>
        <v/>
      </c>
      <c r="AB44" s="909">
        <v>3</v>
      </c>
    </row>
    <row r="45" spans="1:33" s="588" customFormat="1" ht="15.75" customHeight="1">
      <c r="A45" s="203" t="str">
        <f>IF(B45&lt;&gt;"",IF(AND(B45&gt;=_TM1,B45&lt;=_TM2,OR(TH!L60="1111",TH!M60="1111")),TH!D60,""),"")</f>
        <v/>
      </c>
      <c r="B45" s="36">
        <f t="shared" si="9"/>
        <v>5</v>
      </c>
      <c r="C45" s="183">
        <v>42516</v>
      </c>
      <c r="D45" s="183" t="s">
        <v>512</v>
      </c>
      <c r="E45" s="183">
        <v>42508</v>
      </c>
      <c r="F45" s="188" t="s">
        <v>477</v>
      </c>
      <c r="G45" s="479" t="s">
        <v>475</v>
      </c>
      <c r="H45" s="192" t="s">
        <v>474</v>
      </c>
      <c r="I45" s="255"/>
      <c r="J45" s="255"/>
      <c r="K45" s="596">
        <v>216000</v>
      </c>
      <c r="L45" s="597" t="s">
        <v>9</v>
      </c>
      <c r="M45" s="597" t="s">
        <v>47</v>
      </c>
      <c r="N45" s="51" t="str">
        <f>IF(AND('331-CT'!$E$7=TH!H60,OR(L45="331",M45="331")),"331",IF(AND(OR(L45="131",M45="131"),H45='131-CT'!$E$7),"131",""))</f>
        <v/>
      </c>
      <c r="O45" s="887" t="str">
        <f>IF(AND('341-CT'!$E$9=H45,OR(LEFT(L45,3)=$O$7,LEFT(M45,3)=$O$7)),"x","")</f>
        <v/>
      </c>
      <c r="P45" s="51" t="str">
        <f>IF(AND($B45&gt;='111'!$N$11,$B45&lt;='111'!$O$11,OR($L45=$P$7,$M45=$P$7)),"x","")</f>
        <v>x</v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IF(OR(TH!L60=TH!$W$7,M45=TH!$W$7),"x","")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IF(AND(OR(LEFT(TH!L60,2)="15",LEFT(TH!M60,2)="15"),'152-CT'!$J$8=TH!F60),"x","")</f>
        <v>x</v>
      </c>
      <c r="Z45" s="51" t="str">
        <f>IF(AND(OR(LEFT(TH!L60,2)="15",LEFT(TH!M60,2)="15"),TK!$E$7=TH!F60),"x","")</f>
        <v/>
      </c>
      <c r="AA45" s="51" t="str">
        <f>IF(AND(B45&lt;=NKC!$N$8,B45&gt;=NKC!$M$8),"x","")</f>
        <v/>
      </c>
      <c r="AB45" s="909">
        <v>3</v>
      </c>
    </row>
    <row r="46" spans="1:33" s="210" customFormat="1" ht="15.75" customHeight="1">
      <c r="A46" s="203" t="str">
        <f>IF(B46&lt;&gt;"",IF(AND(B46&gt;=_TM1,B46&lt;=_TM2,OR(TH!L42="1111",TH!M42="1111")),TH!D42,""),"")</f>
        <v/>
      </c>
      <c r="B46" s="36">
        <f t="shared" si="9"/>
        <v>5</v>
      </c>
      <c r="C46" s="183">
        <f t="shared" ref="C46:C77" si="10">E46</f>
        <v>42516</v>
      </c>
      <c r="D46" s="183" t="s">
        <v>529</v>
      </c>
      <c r="E46" s="183">
        <v>42516</v>
      </c>
      <c r="F46" s="188" t="s">
        <v>531</v>
      </c>
      <c r="G46" s="479" t="s">
        <v>533</v>
      </c>
      <c r="H46" s="7"/>
      <c r="I46" s="255"/>
      <c r="J46" s="255"/>
      <c r="K46" s="37">
        <v>20000</v>
      </c>
      <c r="L46" s="193" t="s">
        <v>83</v>
      </c>
      <c r="M46" s="193" t="s">
        <v>24</v>
      </c>
      <c r="N46" s="51" t="str">
        <f>IF(AND('331-CT'!$E$7=TH!H42,OR(L46="331",M46="331")),"331",IF(AND(OR(L46="131",M46="131"),H46='131-CT'!$E$7),"131",""))</f>
        <v/>
      </c>
      <c r="O46" s="887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>642</v>
      </c>
      <c r="W46" s="51" t="str">
        <f>IF(OR(TH!L42=TH!$W$7,M46=TH!$W$7),"x","")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IF(AND(OR(LEFT(TH!L42,2)="15",LEFT(TH!M42,2)="15"),'152-CT'!$J$8=TH!F42),"x","")</f>
        <v/>
      </c>
      <c r="Z46" s="51" t="str">
        <f>IF(AND(OR(LEFT(TH!L42,2)="15",LEFT(TH!M42,2)="15"),TK!$E$7=TH!F42),"x","")</f>
        <v/>
      </c>
      <c r="AA46" s="51" t="str">
        <f>IF(AND(B46&lt;=NKC!$N$8,B46&gt;=NKC!$M$8),"x","")</f>
        <v/>
      </c>
      <c r="AB46" s="909">
        <v>3</v>
      </c>
      <c r="AC46" s="588"/>
      <c r="AD46" s="588"/>
      <c r="AE46" s="588"/>
      <c r="AF46" s="588"/>
      <c r="AG46" s="588"/>
    </row>
    <row r="47" spans="1:33" s="210" customFormat="1" ht="15.75" customHeight="1">
      <c r="A47" s="203" t="str">
        <f>IF(B47&lt;&gt;"",IF(AND(B47&gt;=_TM1,B47&lt;=_TM2,OR(TH!L43="1111",TH!M43="1111")),TH!D43,""),"")</f>
        <v/>
      </c>
      <c r="B47" s="36">
        <f t="shared" si="9"/>
        <v>5</v>
      </c>
      <c r="C47" s="183">
        <f t="shared" si="10"/>
        <v>42516</v>
      </c>
      <c r="D47" s="183" t="s">
        <v>529</v>
      </c>
      <c r="E47" s="183">
        <v>42516</v>
      </c>
      <c r="F47" s="188" t="s">
        <v>532</v>
      </c>
      <c r="G47" s="479" t="s">
        <v>533</v>
      </c>
      <c r="H47" s="7"/>
      <c r="I47" s="255"/>
      <c r="J47" s="255"/>
      <c r="K47" s="37">
        <v>2000</v>
      </c>
      <c r="L47" s="193" t="s">
        <v>9</v>
      </c>
      <c r="M47" s="193" t="s">
        <v>24</v>
      </c>
      <c r="N47" s="51" t="str">
        <f>IF(AND('331-CT'!$E$7=TH!H43,OR(L47="331",M47="331")),"331",IF(AND(OR(L47="131",M47="131"),H47='131-CT'!$E$7),"131",""))</f>
        <v/>
      </c>
      <c r="O47" s="887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IF(OR(TH!L43=TH!$W$7,M47=TH!$W$7),"x","")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IF(AND(OR(LEFT(TH!L43,2)="15",LEFT(TH!M43,2)="15"),'152-CT'!$J$8=TH!F43),"x","")</f>
        <v/>
      </c>
      <c r="Z47" s="51" t="str">
        <f>IF(AND(OR(LEFT(TH!L43,2)="15",LEFT(TH!M43,2)="15"),TK!$E$7=TH!F43),"x","")</f>
        <v/>
      </c>
      <c r="AA47" s="51" t="str">
        <f>IF(AND(B47&lt;=NKC!$N$8,B47&gt;=NKC!$M$8),"x","")</f>
        <v/>
      </c>
      <c r="AB47" s="909">
        <v>3</v>
      </c>
      <c r="AC47" s="588"/>
      <c r="AD47" s="588"/>
      <c r="AE47" s="588"/>
      <c r="AF47" s="588"/>
      <c r="AG47" s="588"/>
    </row>
    <row r="48" spans="1:33" s="588" customFormat="1" ht="15.75" customHeight="1">
      <c r="A48" s="203" t="str">
        <f>IF(B48&lt;&gt;"",IF(AND(B48&gt;=_TM1,B48&lt;=_TM2,OR(TH!L46="1111",TH!M46="1111")),TH!D46,""),"")</f>
        <v/>
      </c>
      <c r="B48" s="36">
        <f t="shared" si="9"/>
        <v>6</v>
      </c>
      <c r="C48" s="183">
        <f t="shared" si="10"/>
        <v>42529</v>
      </c>
      <c r="D48" s="190" t="s">
        <v>460</v>
      </c>
      <c r="E48" s="183">
        <v>42529</v>
      </c>
      <c r="F48" s="188" t="s">
        <v>463</v>
      </c>
      <c r="G48" s="481" t="s">
        <v>416</v>
      </c>
      <c r="H48" s="7" t="s">
        <v>456</v>
      </c>
      <c r="I48" s="255">
        <v>10288</v>
      </c>
      <c r="J48" s="255">
        <v>7500</v>
      </c>
      <c r="K48" s="37">
        <f>ROUND(I48*J48,0)</f>
        <v>77160000</v>
      </c>
      <c r="L48" s="193" t="s">
        <v>159</v>
      </c>
      <c r="M48" s="193" t="s">
        <v>8</v>
      </c>
      <c r="N48" s="51" t="str">
        <f>IF(AND('331-CT'!$E$7=TH!H46,OR(L48="331",M48="331")),"331",IF(AND(OR(L48="131",M48="131"),H48='131-CT'!$E$7),"131",""))</f>
        <v/>
      </c>
      <c r="O48" s="887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IF(OR(TH!L46=TH!$W$7,M48=TH!$W$7),"x","")</f>
        <v>x</v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IF(AND(OR(LEFT(TH!L46,2)="15",LEFT(TH!M46,2)="15"),'152-CT'!$J$8=TH!F46),"x","")</f>
        <v/>
      </c>
      <c r="Z48" s="51" t="str">
        <f>IF(AND(OR(LEFT(TH!L46,2)="15",LEFT(TH!M46,2)="15"),TK!$E$7=TH!F46),"x","")</f>
        <v/>
      </c>
      <c r="AA48" s="51" t="str">
        <f>IF(AND(B48&lt;=NKC!$N$8,B48&gt;=NKC!$M$8),"x","")</f>
        <v/>
      </c>
      <c r="AB48" s="909">
        <v>3</v>
      </c>
    </row>
    <row r="49" spans="1:33" s="588" customFormat="1" ht="15.75" customHeight="1">
      <c r="A49" s="203" t="str">
        <f>IF(B49&lt;&gt;"",IF(AND(B49&gt;=_TM1,B49&lt;=_TM2,OR(TH!L47="1111",TH!M47="1111")),TH!D47,""),"")</f>
        <v/>
      </c>
      <c r="B49" s="36">
        <f t="shared" si="9"/>
        <v>6</v>
      </c>
      <c r="C49" s="183">
        <f t="shared" si="10"/>
        <v>42529</v>
      </c>
      <c r="D49" s="190" t="s">
        <v>460</v>
      </c>
      <c r="E49" s="183">
        <v>42529</v>
      </c>
      <c r="F49" s="191" t="s">
        <v>417</v>
      </c>
      <c r="G49" s="481" t="s">
        <v>416</v>
      </c>
      <c r="H49" s="7" t="s">
        <v>456</v>
      </c>
      <c r="I49" s="255"/>
      <c r="J49" s="255"/>
      <c r="K49" s="596">
        <v>7716000</v>
      </c>
      <c r="L49" s="193" t="s">
        <v>9</v>
      </c>
      <c r="M49" s="193" t="s">
        <v>8</v>
      </c>
      <c r="N49" s="51" t="str">
        <f>IF(AND('331-CT'!$E$7=TH!H47,OR(L49="331",M49="331")),"331",IF(AND(OR(L49="131",M49="131"),H49='131-CT'!$E$7),"131",""))</f>
        <v/>
      </c>
      <c r="O49" s="887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IF(OR(TH!L47=TH!$W$7,M49=TH!$W$7),"x","")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IF(AND(OR(LEFT(TH!L47,2)="15",LEFT(TH!M47,2)="15"),'152-CT'!$J$8=TH!F47),"x","")</f>
        <v/>
      </c>
      <c r="Z49" s="51" t="str">
        <f>IF(AND(OR(LEFT(TH!L47,2)="15",LEFT(TH!M47,2)="15"),TK!$E$7=TH!F47),"x","")</f>
        <v/>
      </c>
      <c r="AA49" s="51" t="str">
        <f>IF(AND(B49&lt;=NKC!$N$8,B49&gt;=NKC!$M$8),"x","")</f>
        <v/>
      </c>
      <c r="AB49" s="909">
        <v>3</v>
      </c>
    </row>
    <row r="50" spans="1:33" s="588" customFormat="1" ht="15.75" customHeight="1">
      <c r="A50" s="203" t="str">
        <f>IF(B50&lt;&gt;"",IF(AND(B50&gt;=_TM1,B50&lt;=_TM2,OR(TH!L61="1111",TH!M61="1111")),TH!D61,""),"")</f>
        <v/>
      </c>
      <c r="B50" s="36">
        <f t="shared" si="9"/>
        <v>6</v>
      </c>
      <c r="C50" s="183">
        <f t="shared" si="10"/>
        <v>42532</v>
      </c>
      <c r="D50" s="183" t="s">
        <v>513</v>
      </c>
      <c r="E50" s="183">
        <v>42532</v>
      </c>
      <c r="F50" s="188" t="s">
        <v>480</v>
      </c>
      <c r="G50" s="479" t="s">
        <v>479</v>
      </c>
      <c r="H50" s="192" t="s">
        <v>478</v>
      </c>
      <c r="I50" s="255"/>
      <c r="J50" s="255"/>
      <c r="K50" s="596">
        <v>3800000</v>
      </c>
      <c r="L50" s="597" t="s">
        <v>83</v>
      </c>
      <c r="M50" s="597" t="s">
        <v>47</v>
      </c>
      <c r="N50" s="51" t="str">
        <f>IF(AND('331-CT'!$E$7=TH!H61,OR(L50="331",M50="331")),"331",IF(AND(OR(L50="131",M50="131"),H50='131-CT'!$E$7),"131",""))</f>
        <v/>
      </c>
      <c r="O50" s="887" t="str">
        <f>IF(AND('341-CT'!$E$9=H50,OR(LEFT(L50,3)=$O$7,LEFT(M50,3)=$O$7)),"x","")</f>
        <v/>
      </c>
      <c r="P50" s="51" t="str">
        <f>IF(AND($B50&gt;='111'!$N$11,$B50&lt;='111'!$O$11,OR($L50=$P$7,$M50=$P$7)),"x","")</f>
        <v>x</v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>642</v>
      </c>
      <c r="W50" s="51" t="str">
        <f>IF(OR(TH!L61=TH!$W$7,M50=TH!$W$7),"x","")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IF(AND(OR(LEFT(TH!L61,2)="15",LEFT(TH!M61,2)="15"),'152-CT'!$J$8=TH!F61),"x","")</f>
        <v/>
      </c>
      <c r="Z50" s="51" t="str">
        <f>IF(AND(OR(LEFT(TH!L61,2)="15",LEFT(TH!M61,2)="15"),TK!$E$7=TH!F61),"x","")</f>
        <v/>
      </c>
      <c r="AA50" s="51" t="str">
        <f>IF(AND(B50&lt;=NKC!$N$8,B50&gt;=NKC!$M$8),"x","")</f>
        <v/>
      </c>
      <c r="AB50" s="909">
        <v>3</v>
      </c>
    </row>
    <row r="51" spans="1:33" s="588" customFormat="1" ht="15.75" customHeight="1">
      <c r="A51" s="203" t="str">
        <f>IF(B51&lt;&gt;"",IF(AND(B51&gt;=_TM1,B51&lt;=_TM2,OR(TH!L62="1111",TH!M62="1111")),TH!D62,""),"")</f>
        <v/>
      </c>
      <c r="B51" s="36">
        <f t="shared" si="9"/>
        <v>6</v>
      </c>
      <c r="C51" s="183">
        <f t="shared" si="10"/>
        <v>42532</v>
      </c>
      <c r="D51" s="183" t="s">
        <v>513</v>
      </c>
      <c r="E51" s="183">
        <v>42532</v>
      </c>
      <c r="F51" s="188" t="s">
        <v>481</v>
      </c>
      <c r="G51" s="479" t="s">
        <v>479</v>
      </c>
      <c r="H51" s="192" t="s">
        <v>478</v>
      </c>
      <c r="I51" s="255"/>
      <c r="J51" s="255"/>
      <c r="K51" s="37">
        <v>380000</v>
      </c>
      <c r="L51" s="597" t="s">
        <v>9</v>
      </c>
      <c r="M51" s="597" t="s">
        <v>47</v>
      </c>
      <c r="N51" s="51" t="str">
        <f>IF(AND('331-CT'!$E$7=TH!H62,OR(L51="331",M51="331")),"331",IF(AND(OR(L51="131",M51="131"),H51='131-CT'!$E$7),"131",""))</f>
        <v/>
      </c>
      <c r="O51" s="887" t="str">
        <f>IF(AND('341-CT'!$E$9=H51,OR(LEFT(L51,3)=$O$7,LEFT(M51,3)=$O$7)),"x","")</f>
        <v/>
      </c>
      <c r="P51" s="51" t="str">
        <f>IF(AND($B51&gt;='111'!$N$11,$B51&lt;='111'!$O$11,OR($L51=$P$7,$M51=$P$7)),"x","")</f>
        <v>x</v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IF(OR(TH!L62=TH!$W$7,M51=TH!$W$7),"x","")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IF(AND(OR(LEFT(TH!L62,2)="15",LEFT(TH!M62,2)="15"),'152-CT'!$J$8=TH!F62),"x","")</f>
        <v/>
      </c>
      <c r="Z51" s="51" t="str">
        <f>IF(AND(OR(LEFT(TH!L62,2)="15",LEFT(TH!M62,2)="15"),TK!$E$7=TH!F62),"x","")</f>
        <v/>
      </c>
      <c r="AA51" s="51" t="str">
        <f>IF(AND(B51&lt;=NKC!$N$8,B51&gt;=NKC!$M$8),"x","")</f>
        <v/>
      </c>
      <c r="AB51" s="909">
        <v>3</v>
      </c>
    </row>
    <row r="52" spans="1:33" s="588" customFormat="1" ht="15.75" customHeight="1">
      <c r="A52" s="203" t="str">
        <f>IF(B52&lt;&gt;"",IF(AND(B52&gt;=_TM1,B52&lt;=_TM2,OR(TH!L48="1111",TH!M48="1111")),TH!D48,""),"")</f>
        <v/>
      </c>
      <c r="B52" s="36">
        <f t="shared" si="9"/>
        <v>6</v>
      </c>
      <c r="C52" s="183">
        <f t="shared" si="10"/>
        <v>42542</v>
      </c>
      <c r="D52" s="190" t="s">
        <v>461</v>
      </c>
      <c r="E52" s="183">
        <v>42542</v>
      </c>
      <c r="F52" s="188" t="s">
        <v>463</v>
      </c>
      <c r="G52" s="481" t="s">
        <v>464</v>
      </c>
      <c r="H52" s="7" t="s">
        <v>457</v>
      </c>
      <c r="I52" s="255">
        <v>4094</v>
      </c>
      <c r="J52" s="255">
        <v>7600</v>
      </c>
      <c r="K52" s="37">
        <f>ROUND(I52*J52,0)</f>
        <v>31114400</v>
      </c>
      <c r="L52" s="193" t="s">
        <v>159</v>
      </c>
      <c r="M52" s="193" t="s">
        <v>8</v>
      </c>
      <c r="N52" s="51" t="str">
        <f>IF(AND('331-CT'!$E$7=TH!H48,OR(L52="331",M52="331")),"331",IF(AND(OR(L52="131",M52="131"),H52='131-CT'!$E$7),"131",""))</f>
        <v/>
      </c>
      <c r="O52" s="887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IF(OR(TH!L48=TH!$W$7,M52=TH!$W$7),"x","")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IF(AND(OR(LEFT(TH!L48,2)="15",LEFT(TH!M48,2)="15"),'152-CT'!$J$8=TH!F48),"x","")</f>
        <v/>
      </c>
      <c r="Z52" s="51" t="str">
        <f>IF(AND(OR(LEFT(TH!L48,2)="15",LEFT(TH!M48,2)="15"),TK!$E$7=TH!F48),"x","")</f>
        <v/>
      </c>
      <c r="AA52" s="51" t="str">
        <f>IF(AND(B52&lt;=NKC!$N$8,B52&gt;=NKC!$M$8),"x","")</f>
        <v/>
      </c>
      <c r="AB52" s="909">
        <v>3</v>
      </c>
    </row>
    <row r="53" spans="1:33" s="588" customFormat="1" ht="15.75" customHeight="1">
      <c r="A53" s="203" t="str">
        <f>IF(B53&lt;&gt;"",IF(AND(B53&gt;=_TM1,B53&lt;=_TM2,OR(TH!L49="1111",TH!M49="1111")),TH!D49,""),"")</f>
        <v/>
      </c>
      <c r="B53" s="36">
        <f t="shared" si="9"/>
        <v>6</v>
      </c>
      <c r="C53" s="183">
        <f t="shared" si="10"/>
        <v>42542</v>
      </c>
      <c r="D53" s="190" t="s">
        <v>461</v>
      </c>
      <c r="E53" s="183">
        <v>42542</v>
      </c>
      <c r="F53" s="188" t="s">
        <v>465</v>
      </c>
      <c r="G53" s="481" t="s">
        <v>464</v>
      </c>
      <c r="H53" s="7" t="s">
        <v>457</v>
      </c>
      <c r="I53" s="255">
        <v>4522</v>
      </c>
      <c r="J53" s="255">
        <v>8500</v>
      </c>
      <c r="K53" s="37">
        <f>ROUND(I53*J53,0)</f>
        <v>38437000</v>
      </c>
      <c r="L53" s="193" t="s">
        <v>159</v>
      </c>
      <c r="M53" s="193" t="s">
        <v>8</v>
      </c>
      <c r="N53" s="51" t="str">
        <f>IF(AND('331-CT'!$E$7=TH!H49,OR(L53="331",M53="331")),"331",IF(AND(OR(L53="131",M53="131"),H53='131-CT'!$E$7),"131",""))</f>
        <v/>
      </c>
      <c r="O53" s="887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IF(OR(TH!L49=TH!$W$7,M53=TH!$W$7),"x","")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IF(AND(OR(LEFT(TH!L49,2)="15",LEFT(TH!M49,2)="15"),'152-CT'!$J$8=TH!F49),"x","")</f>
        <v/>
      </c>
      <c r="Z53" s="51" t="str">
        <f>IF(AND(OR(LEFT(TH!L49,2)="15",LEFT(TH!M49,2)="15"),TK!$E$7=TH!F49),"x","")</f>
        <v/>
      </c>
      <c r="AA53" s="51" t="str">
        <f>IF(AND(B53&lt;=NKC!$N$8,B53&gt;=NKC!$M$8),"x","")</f>
        <v/>
      </c>
      <c r="AB53" s="909">
        <v>3</v>
      </c>
      <c r="AF53" s="210"/>
      <c r="AG53" s="210"/>
    </row>
    <row r="54" spans="1:33" s="588" customFormat="1" ht="15.75" customHeight="1">
      <c r="A54" s="203" t="str">
        <f>IF(B54&lt;&gt;"",IF(AND(B54&gt;=_TM1,B54&lt;=_TM2,OR(TH!L50="1111",TH!M50="1111")),TH!D50,""),"")</f>
        <v/>
      </c>
      <c r="B54" s="36">
        <f t="shared" si="9"/>
        <v>6</v>
      </c>
      <c r="C54" s="183">
        <f t="shared" si="10"/>
        <v>42542</v>
      </c>
      <c r="D54" s="190" t="s">
        <v>461</v>
      </c>
      <c r="E54" s="183">
        <v>42542</v>
      </c>
      <c r="F54" s="188" t="s">
        <v>509</v>
      </c>
      <c r="G54" s="481" t="s">
        <v>464</v>
      </c>
      <c r="H54" s="7" t="s">
        <v>457</v>
      </c>
      <c r="I54" s="255">
        <v>2633</v>
      </c>
      <c r="J54" s="255">
        <v>8500</v>
      </c>
      <c r="K54" s="37">
        <f>ROUND(I54*J54,0)</f>
        <v>22380500</v>
      </c>
      <c r="L54" s="193" t="s">
        <v>159</v>
      </c>
      <c r="M54" s="193" t="s">
        <v>8</v>
      </c>
      <c r="N54" s="51" t="str">
        <f>IF(AND('331-CT'!$E$7=TH!H50,OR(L54="331",M54="331")),"331",IF(AND(OR(L54="131",M54="131"),H54='131-CT'!$E$7),"131",""))</f>
        <v/>
      </c>
      <c r="O54" s="887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IF(OR(TH!L50=TH!$W$7,M54=TH!$W$7),"x","")</f>
        <v>x</v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IF(AND(OR(LEFT(TH!L50,2)="15",LEFT(TH!M50,2)="15"),'152-CT'!$J$8=TH!F50),"x","")</f>
        <v/>
      </c>
      <c r="Z54" s="51" t="str">
        <f>IF(AND(OR(LEFT(TH!L50,2)="15",LEFT(TH!M50,2)="15"),TK!$E$7=TH!F50),"x","")</f>
        <v/>
      </c>
      <c r="AA54" s="51" t="str">
        <f>IF(AND(B54&lt;=NKC!$N$8,B54&gt;=NKC!$M$8),"x","")</f>
        <v/>
      </c>
      <c r="AB54" s="909">
        <v>3</v>
      </c>
      <c r="AF54" s="210"/>
      <c r="AG54" s="210"/>
    </row>
    <row r="55" spans="1:33" s="588" customFormat="1" ht="15.75" customHeight="1">
      <c r="A55" s="203" t="str">
        <f>IF(B55&lt;&gt;"",IF(AND(B55&gt;=_TM1,B55&lt;=_TM2,OR(TH!L51="1111",TH!M51="1111")),TH!D51,""),"")</f>
        <v/>
      </c>
      <c r="B55" s="36">
        <f t="shared" si="9"/>
        <v>6</v>
      </c>
      <c r="C55" s="183">
        <f t="shared" si="10"/>
        <v>42542</v>
      </c>
      <c r="D55" s="190" t="s">
        <v>461</v>
      </c>
      <c r="E55" s="183">
        <v>42542</v>
      </c>
      <c r="F55" s="188" t="s">
        <v>458</v>
      </c>
      <c r="G55" s="481" t="s">
        <v>464</v>
      </c>
      <c r="H55" s="7" t="s">
        <v>457</v>
      </c>
      <c r="I55" s="255"/>
      <c r="J55" s="255"/>
      <c r="K55" s="596">
        <v>9193190</v>
      </c>
      <c r="L55" s="193" t="s">
        <v>9</v>
      </c>
      <c r="M55" s="193" t="s">
        <v>8</v>
      </c>
      <c r="N55" s="51" t="str">
        <f>IF(AND('331-CT'!$E$7=TH!H51,OR(L55="331",M55="331")),"331",IF(AND(OR(L55="131",M55="131"),H55='131-CT'!$E$7),"131",""))</f>
        <v/>
      </c>
      <c r="O55" s="887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IF(OR(TH!L51=TH!$W$7,M55=TH!$W$7),"x","")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IF(AND(OR(LEFT(TH!L51,2)="15",LEFT(TH!M51,2)="15"),'152-CT'!$J$8=TH!F51),"x","")</f>
        <v/>
      </c>
      <c r="Z55" s="51" t="str">
        <f>IF(AND(OR(LEFT(TH!L51,2)="15",LEFT(TH!M51,2)="15"),TK!$E$7=TH!F51),"x","")</f>
        <v/>
      </c>
      <c r="AA55" s="51" t="str">
        <f>IF(AND(B55&lt;=NKC!$N$8,B55&gt;=NKC!$M$8),"x","")</f>
        <v/>
      </c>
      <c r="AB55" s="909">
        <v>3</v>
      </c>
    </row>
    <row r="56" spans="1:33" s="588" customFormat="1" ht="15.75" customHeight="1">
      <c r="A56" s="203" t="str">
        <f>IF(B56&lt;&gt;"",IF(AND(B56&gt;=_TM1,B56&lt;=_TM2,OR(TH!L52="1111",TH!M52="1111")),TH!D52,""),"")</f>
        <v/>
      </c>
      <c r="B56" s="36">
        <f t="shared" si="9"/>
        <v>6</v>
      </c>
      <c r="C56" s="183">
        <f t="shared" si="10"/>
        <v>42546</v>
      </c>
      <c r="D56" s="183" t="s">
        <v>528</v>
      </c>
      <c r="E56" s="183">
        <v>42546</v>
      </c>
      <c r="F56" s="188" t="s">
        <v>535</v>
      </c>
      <c r="G56" s="479" t="s">
        <v>533</v>
      </c>
      <c r="H56" s="7"/>
      <c r="I56" s="255"/>
      <c r="J56" s="255"/>
      <c r="K56" s="596">
        <v>1500</v>
      </c>
      <c r="L56" s="193" t="s">
        <v>24</v>
      </c>
      <c r="M56" s="193" t="s">
        <v>40</v>
      </c>
      <c r="N56" s="51" t="str">
        <f>IF(AND('331-CT'!$E$7=TH!H52,OR(L56="331",M56="331")),"331",IF(AND(OR(L56="131",M56="131"),H56='131-CT'!$E$7),"131",""))</f>
        <v/>
      </c>
      <c r="O56" s="887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>x</v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IF(OR(TH!L52=TH!$W$7,M56=TH!$W$7),"x","")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IF(AND(OR(LEFT(TH!L52,2)="15",LEFT(TH!M52,2)="15"),'152-CT'!$J$8=TH!F52),"x","")</f>
        <v/>
      </c>
      <c r="Z56" s="51" t="str">
        <f>IF(AND(OR(LEFT(TH!L52,2)="15",LEFT(TH!M52,2)="15"),TK!$E$7=TH!F52),"x","")</f>
        <v/>
      </c>
      <c r="AA56" s="51" t="str">
        <f>IF(AND(B56&lt;=NKC!$N$8,B56&gt;=NKC!$M$8),"x","")</f>
        <v/>
      </c>
      <c r="AB56" s="909"/>
    </row>
    <row r="57" spans="1:33" s="588" customFormat="1" ht="15.75" customHeight="1">
      <c r="A57" s="203" t="str">
        <f>IF(B57&lt;&gt;"",IF(AND(B57&gt;=_TM1,B57&lt;=_TM2,OR(TH!L53="1111",TH!M53="1111")),TH!D53,""),"")</f>
        <v/>
      </c>
      <c r="B57" s="36">
        <f t="shared" si="9"/>
        <v>6</v>
      </c>
      <c r="C57" s="183">
        <f t="shared" si="10"/>
        <v>42546</v>
      </c>
      <c r="D57" s="183" t="s">
        <v>529</v>
      </c>
      <c r="E57" s="183">
        <v>42546</v>
      </c>
      <c r="F57" s="188" t="s">
        <v>536</v>
      </c>
      <c r="G57" s="479" t="s">
        <v>533</v>
      </c>
      <c r="H57" s="7"/>
      <c r="I57" s="255"/>
      <c r="J57" s="255"/>
      <c r="K57" s="37">
        <v>10000</v>
      </c>
      <c r="L57" s="193" t="s">
        <v>83</v>
      </c>
      <c r="M57" s="193" t="s">
        <v>24</v>
      </c>
      <c r="N57" s="51" t="str">
        <f>IF(AND('331-CT'!$E$7=TH!H53,OR(L57="331",M57="331")),"331",IF(AND(OR(L57="131",M57="131"),H57='131-CT'!$E$7),"131",""))</f>
        <v/>
      </c>
      <c r="O57" s="887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>x</v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W57" s="51" t="str">
        <f>IF(OR(TH!L53=TH!$W$7,M57=TH!$W$7),"x","")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IF(AND(OR(LEFT(TH!L53,2)="15",LEFT(TH!M53,2)="15"),'152-CT'!$J$8=TH!F53),"x","")</f>
        <v>x</v>
      </c>
      <c r="Z57" s="51" t="str">
        <f>IF(AND(OR(LEFT(TH!L53,2)="15",LEFT(TH!M53,2)="15"),TK!$E$7=TH!F53),"x","")</f>
        <v/>
      </c>
      <c r="AA57" s="51" t="str">
        <f>IF(AND(B57&lt;=NKC!$N$8,B57&gt;=NKC!$M$8),"x","")</f>
        <v/>
      </c>
      <c r="AB57" s="909">
        <v>3</v>
      </c>
    </row>
    <row r="58" spans="1:33" s="588" customFormat="1" ht="15.75" customHeight="1">
      <c r="A58" s="203" t="str">
        <f>IF(B58&lt;&gt;"",IF(AND(B58&gt;=_TM1,B58&lt;=_TM2,OR(TH!L54="1111",TH!M54="1111")),TH!D54,""),"")</f>
        <v/>
      </c>
      <c r="B58" s="36">
        <f t="shared" si="9"/>
        <v>6</v>
      </c>
      <c r="C58" s="183">
        <f t="shared" si="10"/>
        <v>42546</v>
      </c>
      <c r="D58" s="183" t="s">
        <v>529</v>
      </c>
      <c r="E58" s="183">
        <v>42546</v>
      </c>
      <c r="F58" s="188" t="s">
        <v>537</v>
      </c>
      <c r="G58" s="479" t="s">
        <v>533</v>
      </c>
      <c r="H58" s="7"/>
      <c r="I58" s="255"/>
      <c r="J58" s="255"/>
      <c r="K58" s="37">
        <v>1000</v>
      </c>
      <c r="L58" s="193" t="s">
        <v>9</v>
      </c>
      <c r="M58" s="193" t="s">
        <v>24</v>
      </c>
      <c r="N58" s="51" t="str">
        <f>IF(AND('331-CT'!$E$7=TH!H54,OR(L58="331",M58="331")),"331",IF(AND(OR(L58="131",M58="131"),H58='131-CT'!$E$7),"131",""))</f>
        <v/>
      </c>
      <c r="O58" s="887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>x</v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IF(OR(TH!L54=TH!$W$7,M58=TH!$W$7),"x","")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IF(AND(OR(LEFT(TH!L54,2)="15",LEFT(TH!M54,2)="15"),'152-CT'!$J$8=TH!F54),"x","")</f>
        <v/>
      </c>
      <c r="Z58" s="51" t="str">
        <f>IF(AND(OR(LEFT(TH!L54,2)="15",LEFT(TH!M54,2)="15"),TK!$E$7=TH!F54),"x","")</f>
        <v/>
      </c>
      <c r="AA58" s="51" t="str">
        <f>IF(AND(B58&lt;=NKC!$N$8,B58&gt;=NKC!$M$8),"x","")</f>
        <v/>
      </c>
      <c r="AB58" s="909">
        <v>3</v>
      </c>
    </row>
    <row r="59" spans="1:33" s="588" customFormat="1" ht="15.75" customHeight="1">
      <c r="A59" s="203" t="str">
        <f>IF(B59&lt;&gt;"",IF(AND(B59&gt;=_TM1,B59&lt;=_TM2,OR(TH!L55="1111",TH!M55="1111")),TH!D55,""),"")</f>
        <v/>
      </c>
      <c r="B59" s="36">
        <f t="shared" si="9"/>
        <v>6</v>
      </c>
      <c r="C59" s="183">
        <f t="shared" si="10"/>
        <v>42551</v>
      </c>
      <c r="D59" s="190" t="s">
        <v>462</v>
      </c>
      <c r="E59" s="183">
        <v>42551</v>
      </c>
      <c r="F59" s="188" t="s">
        <v>463</v>
      </c>
      <c r="G59" s="481" t="s">
        <v>466</v>
      </c>
      <c r="H59" s="7" t="s">
        <v>457</v>
      </c>
      <c r="I59" s="255">
        <v>6226</v>
      </c>
      <c r="J59" s="255">
        <v>7600</v>
      </c>
      <c r="K59" s="37">
        <f>ROUND(I59*J59,0)</f>
        <v>47317600</v>
      </c>
      <c r="L59" s="193" t="s">
        <v>159</v>
      </c>
      <c r="M59" s="193" t="s">
        <v>8</v>
      </c>
      <c r="N59" s="51" t="str">
        <f>IF(AND('331-CT'!$E$7=TH!H55,OR(L59="331",M59="331")),"331",IF(AND(OR(L59="131",M59="131"),H59='131-CT'!$E$7),"131",""))</f>
        <v/>
      </c>
      <c r="O59" s="887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IF(OR(TH!L55=TH!$W$7,M59=TH!$W$7),"x","")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IF(AND(OR(LEFT(TH!L55,2)="15",LEFT(TH!M55,2)="15"),'152-CT'!$J$8=TH!F55),"x","")</f>
        <v/>
      </c>
      <c r="Z59" s="51" t="str">
        <f>IF(AND(OR(LEFT(TH!L55,2)="15",LEFT(TH!M55,2)="15"),TK!$E$7=TH!F55),"x","")</f>
        <v/>
      </c>
      <c r="AA59" s="51" t="str">
        <f>IF(AND(B59&lt;=NKC!$N$8,B59&gt;=NKC!$M$8),"x","")</f>
        <v/>
      </c>
      <c r="AB59" s="909">
        <v>3</v>
      </c>
    </row>
    <row r="60" spans="1:33" s="588" customFormat="1" ht="15.75" customHeight="1">
      <c r="A60" s="203" t="str">
        <f>IF(B60&lt;&gt;"",IF(AND(B60&gt;=_TM1,B60&lt;=_TM2,OR(TH!L56="1111",TH!M56="1111")),TH!D56,""),"")</f>
        <v/>
      </c>
      <c r="B60" s="36">
        <f t="shared" si="9"/>
        <v>6</v>
      </c>
      <c r="C60" s="183">
        <f t="shared" si="10"/>
        <v>42551</v>
      </c>
      <c r="D60" s="190" t="s">
        <v>462</v>
      </c>
      <c r="E60" s="183">
        <v>42551</v>
      </c>
      <c r="F60" s="188" t="s">
        <v>465</v>
      </c>
      <c r="G60" s="481" t="s">
        <v>466</v>
      </c>
      <c r="H60" s="7" t="s">
        <v>457</v>
      </c>
      <c r="I60" s="255">
        <v>8730</v>
      </c>
      <c r="J60" s="255">
        <v>8500</v>
      </c>
      <c r="K60" s="37">
        <f>ROUND(I60*J60,0)</f>
        <v>74205000</v>
      </c>
      <c r="L60" s="193" t="s">
        <v>159</v>
      </c>
      <c r="M60" s="193" t="s">
        <v>8</v>
      </c>
      <c r="N60" s="51" t="str">
        <f>IF(AND('331-CT'!$E$7=TH!H56,OR(L60="331",M60="331")),"331",IF(AND(OR(L60="131",M60="131"),H60='131-CT'!$E$7),"131",""))</f>
        <v/>
      </c>
      <c r="O60" s="887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IF(OR(TH!L56=TH!$W$7,M60=TH!$W$7),"x","")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IF(AND(OR(LEFT(TH!L56,2)="15",LEFT(TH!M56,2)="15"),'152-CT'!$J$8=TH!F56),"x","")</f>
        <v/>
      </c>
      <c r="Z60" s="51" t="str">
        <f>IF(AND(OR(LEFT(TH!L56,2)="15",LEFT(TH!M56,2)="15"),TK!$E$7=TH!F56),"x","")</f>
        <v/>
      </c>
      <c r="AA60" s="51" t="str">
        <f>IF(AND(B60&lt;=NKC!$N$8,B60&gt;=NKC!$M$8),"x","")</f>
        <v/>
      </c>
      <c r="AB60" s="909">
        <v>3</v>
      </c>
    </row>
    <row r="61" spans="1:33" s="588" customFormat="1" ht="15.75" customHeight="1">
      <c r="A61" s="203" t="str">
        <f>IF(B61&lt;&gt;"",IF(AND(B61&gt;=_TM1,B61&lt;=_TM2,OR(TH!L57="1111",TH!M57="1111")),TH!D57,""),"")</f>
        <v/>
      </c>
      <c r="B61" s="36">
        <f t="shared" si="9"/>
        <v>6</v>
      </c>
      <c r="C61" s="183">
        <f t="shared" si="10"/>
        <v>42551</v>
      </c>
      <c r="D61" s="190" t="s">
        <v>462</v>
      </c>
      <c r="E61" s="183">
        <v>42551</v>
      </c>
      <c r="F61" s="188" t="s">
        <v>509</v>
      </c>
      <c r="G61" s="481" t="s">
        <v>466</v>
      </c>
      <c r="H61" s="7" t="s">
        <v>457</v>
      </c>
      <c r="I61" s="255">
        <v>8191</v>
      </c>
      <c r="J61" s="255">
        <v>8500</v>
      </c>
      <c r="K61" s="37">
        <f>ROUND(I61*J61,0)</f>
        <v>69623500</v>
      </c>
      <c r="L61" s="193" t="s">
        <v>159</v>
      </c>
      <c r="M61" s="193" t="s">
        <v>8</v>
      </c>
      <c r="N61" s="51" t="str">
        <f>IF(AND('331-CT'!$E$7=TH!H57,OR(L61="331",M61="331")),"331",IF(AND(OR(L61="131",M61="131"),H61='131-CT'!$E$7),"131",""))</f>
        <v/>
      </c>
      <c r="O61" s="887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IF(OR(TH!L57=TH!$W$7,M61=TH!$W$7),"x","")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IF(AND(OR(LEFT(TH!L57,2)="15",LEFT(TH!M57,2)="15"),'152-CT'!$J$8=TH!F57),"x","")</f>
        <v/>
      </c>
      <c r="Z61" s="51" t="str">
        <f>IF(AND(OR(LEFT(TH!L57,2)="15",LEFT(TH!M57,2)="15"),TK!$E$7=TH!F57),"x","")</f>
        <v/>
      </c>
      <c r="AA61" s="51" t="str">
        <f>IF(AND(B61&lt;=NKC!$N$8,B61&gt;=NKC!$M$8),"x","")</f>
        <v/>
      </c>
      <c r="AB61" s="909">
        <v>3</v>
      </c>
    </row>
    <row r="62" spans="1:33" s="588" customFormat="1" ht="15.75" customHeight="1">
      <c r="A62" s="203" t="str">
        <f>IF(B62&lt;&gt;"",IF(AND(B62&gt;=_TM1,B62&lt;=_TM2,OR(TH!L58="1111",TH!M58="1111")),TH!D58,""),"")</f>
        <v/>
      </c>
      <c r="B62" s="36">
        <f t="shared" si="9"/>
        <v>6</v>
      </c>
      <c r="C62" s="183">
        <f t="shared" si="10"/>
        <v>42551</v>
      </c>
      <c r="D62" s="190" t="s">
        <v>462</v>
      </c>
      <c r="E62" s="183">
        <v>42551</v>
      </c>
      <c r="F62" s="191" t="s">
        <v>458</v>
      </c>
      <c r="G62" s="481" t="s">
        <v>466</v>
      </c>
      <c r="H62" s="7" t="s">
        <v>457</v>
      </c>
      <c r="I62" s="255"/>
      <c r="J62" s="255"/>
      <c r="K62" s="596">
        <v>19114610</v>
      </c>
      <c r="L62" s="193" t="s">
        <v>9</v>
      </c>
      <c r="M62" s="193" t="s">
        <v>8</v>
      </c>
      <c r="N62" s="51" t="str">
        <f>IF(AND('331-CT'!$E$7=TH!H58,OR(L62="331",M62="331")),"331",IF(AND(OR(L62="131",M62="131"),H62='131-CT'!$E$7),"131",""))</f>
        <v/>
      </c>
      <c r="O62" s="887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IF(OR(TH!L58=TH!$W$7,M62=TH!$W$7),"x","")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IF(AND(OR(LEFT(TH!L58,2)="15",LEFT(TH!M58,2)="15"),'152-CT'!$J$8=TH!F58),"x","")</f>
        <v/>
      </c>
      <c r="Z62" s="51" t="str">
        <f>IF(AND(OR(LEFT(TH!L58,2)="15",LEFT(TH!M58,2)="15"),TK!$E$7=TH!F58),"x","")</f>
        <v/>
      </c>
      <c r="AA62" s="51" t="str">
        <f>IF(AND(B62&lt;=NKC!$N$8,B62&gt;=NKC!$M$8),"x","")</f>
        <v/>
      </c>
      <c r="AB62" s="909">
        <v>3</v>
      </c>
      <c r="AD62" s="210"/>
    </row>
    <row r="63" spans="1:33" s="588" customFormat="1" ht="15.75" customHeight="1">
      <c r="A63" s="203" t="str">
        <f>IF(B63&lt;&gt;"",IF(AND(B63&gt;=_TM1,B63&lt;=_TM2,OR(TH!L63="1111",TH!M63="1111")),TH!D63,""),"")</f>
        <v>C01</v>
      </c>
      <c r="B63" s="36">
        <f t="shared" si="9"/>
        <v>7</v>
      </c>
      <c r="C63" s="183">
        <f t="shared" si="10"/>
        <v>42559</v>
      </c>
      <c r="D63" s="183" t="s">
        <v>511</v>
      </c>
      <c r="E63" s="183">
        <v>42559</v>
      </c>
      <c r="F63" s="188" t="s">
        <v>530</v>
      </c>
      <c r="G63" s="479" t="s">
        <v>533</v>
      </c>
      <c r="H63" s="7" t="s">
        <v>534</v>
      </c>
      <c r="I63" s="255"/>
      <c r="J63" s="255"/>
      <c r="K63" s="37">
        <v>40700000</v>
      </c>
      <c r="L63" s="193" t="s">
        <v>24</v>
      </c>
      <c r="M63" s="193" t="s">
        <v>47</v>
      </c>
      <c r="N63" s="51" t="str">
        <f>IF(AND('331-CT'!$E$7=TH!H63,OR(L63="331",M63="331")),"331",IF(AND(OR(L63="131",M63="131"),H63='131-CT'!$E$7),"131",""))</f>
        <v/>
      </c>
      <c r="O63" s="887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09"/>
      <c r="AD63" s="210"/>
      <c r="AE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9"/>
        <v>7</v>
      </c>
      <c r="C64" s="183">
        <f t="shared" si="10"/>
        <v>42559</v>
      </c>
      <c r="D64" s="183" t="s">
        <v>529</v>
      </c>
      <c r="E64" s="183">
        <v>42559</v>
      </c>
      <c r="F64" s="188" t="s">
        <v>538</v>
      </c>
      <c r="G64" s="479" t="s">
        <v>533</v>
      </c>
      <c r="H64" s="192" t="s">
        <v>684</v>
      </c>
      <c r="I64" s="255"/>
      <c r="J64" s="255"/>
      <c r="K64" s="37">
        <v>40700000</v>
      </c>
      <c r="L64" s="193" t="s">
        <v>8</v>
      </c>
      <c r="M64" s="193" t="s">
        <v>24</v>
      </c>
      <c r="N64" s="51" t="str">
        <f>IF(AND('331-CT'!$E$7=TH!H64,OR(L64="331",M64="331")),"331",IF(AND(OR(L64="131",M64="131"),H64='131-CT'!$E$7),"131",""))</f>
        <v/>
      </c>
      <c r="O64" s="887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>x</v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09"/>
      <c r="AE64" s="210"/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9"/>
        <v>7</v>
      </c>
      <c r="C65" s="183">
        <f t="shared" si="10"/>
        <v>42559</v>
      </c>
      <c r="D65" s="183" t="s">
        <v>529</v>
      </c>
      <c r="E65" s="183">
        <v>42559</v>
      </c>
      <c r="F65" s="188" t="s">
        <v>539</v>
      </c>
      <c r="G65" s="479" t="s">
        <v>533</v>
      </c>
      <c r="H65" s="7"/>
      <c r="I65" s="255"/>
      <c r="J65" s="255"/>
      <c r="K65" s="596">
        <v>20000</v>
      </c>
      <c r="L65" s="193" t="s">
        <v>83</v>
      </c>
      <c r="M65" s="193" t="s">
        <v>24</v>
      </c>
      <c r="N65" s="51" t="str">
        <f>IF(AND('331-CT'!$E$7=TH!H65,OR(L65="331",M65="331")),"331",IF(AND(OR(L65="131",M65="131"),H65='131-CT'!$E$7),"131",""))</f>
        <v/>
      </c>
      <c r="O65" s="887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>x</v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>x</v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09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9"/>
        <v>7</v>
      </c>
      <c r="C66" s="183">
        <f t="shared" si="10"/>
        <v>42559</v>
      </c>
      <c r="D66" s="183" t="s">
        <v>529</v>
      </c>
      <c r="E66" s="183">
        <v>42559</v>
      </c>
      <c r="F66" s="188" t="s">
        <v>540</v>
      </c>
      <c r="G66" s="479" t="s">
        <v>533</v>
      </c>
      <c r="H66" s="7"/>
      <c r="I66" s="255"/>
      <c r="J66" s="255"/>
      <c r="K66" s="596">
        <v>2000</v>
      </c>
      <c r="L66" s="193" t="s">
        <v>9</v>
      </c>
      <c r="M66" s="193" t="s">
        <v>24</v>
      </c>
      <c r="N66" s="51" t="str">
        <f>IF(AND('331-CT'!$E$7=TH!H66,OR(L66="331",M66="331")),"331",IF(AND(OR(L66="131",M66="131"),H66='131-CT'!$E$7),"131",""))</f>
        <v/>
      </c>
      <c r="O66" s="887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>x</v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09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9"/>
        <v>7</v>
      </c>
      <c r="C67" s="183">
        <f t="shared" si="10"/>
        <v>42559</v>
      </c>
      <c r="D67" s="183" t="s">
        <v>529</v>
      </c>
      <c r="E67" s="183">
        <v>42559</v>
      </c>
      <c r="F67" s="188" t="s">
        <v>541</v>
      </c>
      <c r="G67" s="479" t="s">
        <v>533</v>
      </c>
      <c r="H67" s="7"/>
      <c r="I67" s="255"/>
      <c r="J67" s="255"/>
      <c r="K67" s="596">
        <v>20000</v>
      </c>
      <c r="L67" s="193" t="s">
        <v>83</v>
      </c>
      <c r="M67" s="193" t="s">
        <v>24</v>
      </c>
      <c r="N67" s="51" t="str">
        <f>IF(AND('331-CT'!$E$7=TH!H67,OR(L67="331",M67="331")),"331",IF(AND(OR(L67="131",M67="131"),H67='131-CT'!$E$7),"131",""))</f>
        <v/>
      </c>
      <c r="O67" s="887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>x</v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>x</v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09">
        <v>3</v>
      </c>
    </row>
    <row r="68" spans="1:33" s="588" customFormat="1" ht="15.75" customHeight="1">
      <c r="A68" s="203" t="str">
        <f>IF(B68&lt;&gt;"",IF(AND(B68&gt;=_TM1,B68&lt;=_TM2,OR(TH!L68="1111",TH!M68="1111")),TH!D68,""),"")</f>
        <v/>
      </c>
      <c r="B68" s="36">
        <f t="shared" si="9"/>
        <v>7</v>
      </c>
      <c r="C68" s="183">
        <f t="shared" si="10"/>
        <v>42559</v>
      </c>
      <c r="D68" s="183" t="s">
        <v>529</v>
      </c>
      <c r="E68" s="183">
        <v>42559</v>
      </c>
      <c r="F68" s="188" t="s">
        <v>542</v>
      </c>
      <c r="G68" s="479" t="s">
        <v>533</v>
      </c>
      <c r="H68" s="7"/>
      <c r="I68" s="255"/>
      <c r="J68" s="255"/>
      <c r="K68" s="596">
        <v>2000</v>
      </c>
      <c r="L68" s="193" t="s">
        <v>9</v>
      </c>
      <c r="M68" s="193" t="s">
        <v>24</v>
      </c>
      <c r="N68" s="51" t="str">
        <f>IF(AND('331-CT'!$E$7=TH!H68,OR(L68="331",M68="331")),"331",IF(AND(OR(L68="131",M68="131"),H68='131-CT'!$E$7),"131",""))</f>
        <v/>
      </c>
      <c r="O68" s="887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09">
        <v>3</v>
      </c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9"/>
        <v>7</v>
      </c>
      <c r="C69" s="183">
        <f t="shared" si="10"/>
        <v>42563</v>
      </c>
      <c r="D69" s="190" t="s">
        <v>514</v>
      </c>
      <c r="E69" s="183">
        <v>42563</v>
      </c>
      <c r="F69" s="188" t="s">
        <v>463</v>
      </c>
      <c r="G69" s="481" t="s">
        <v>510</v>
      </c>
      <c r="H69" s="7" t="s">
        <v>457</v>
      </c>
      <c r="I69" s="255">
        <v>11536</v>
      </c>
      <c r="J69" s="255">
        <v>7600</v>
      </c>
      <c r="K69" s="37">
        <f>ROUND(I69*J69,0)</f>
        <v>87673600</v>
      </c>
      <c r="L69" s="193" t="s">
        <v>159</v>
      </c>
      <c r="M69" s="193" t="s">
        <v>8</v>
      </c>
      <c r="N69" s="51" t="str">
        <f>IF(AND('331-CT'!$E$7=TH!H69,OR(L69="331",M69="331")),"331",IF(AND(OR(L69="131",M69="131"),H69='131-CT'!$E$7),"131",""))</f>
        <v/>
      </c>
      <c r="O69" s="887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09">
        <v>3</v>
      </c>
    </row>
    <row r="70" spans="1:33" s="210" customFormat="1" ht="15.75" customHeight="1">
      <c r="A70" s="203" t="str">
        <f>IF(B70&lt;&gt;"",IF(AND(B70&gt;=_TM1,B70&lt;=_TM2,OR(TH!L70="1111",TH!M70="1111")),TH!D70,""),"")</f>
        <v/>
      </c>
      <c r="B70" s="36">
        <f t="shared" si="9"/>
        <v>7</v>
      </c>
      <c r="C70" s="183">
        <f t="shared" si="10"/>
        <v>42563</v>
      </c>
      <c r="D70" s="190" t="s">
        <v>514</v>
      </c>
      <c r="E70" s="183">
        <v>42563</v>
      </c>
      <c r="F70" s="188" t="s">
        <v>508</v>
      </c>
      <c r="G70" s="481" t="s">
        <v>510</v>
      </c>
      <c r="H70" s="7" t="s">
        <v>457</v>
      </c>
      <c r="I70" s="255">
        <v>5979</v>
      </c>
      <c r="J70" s="255">
        <v>8900</v>
      </c>
      <c r="K70" s="37">
        <f>ROUND(I70*J70,0)</f>
        <v>53213100</v>
      </c>
      <c r="L70" s="193" t="s">
        <v>159</v>
      </c>
      <c r="M70" s="193" t="s">
        <v>8</v>
      </c>
      <c r="N70" s="51" t="str">
        <f>IF(AND('331-CT'!$E$7=TH!H70,OR(L70="331",M70="331")),"331",IF(AND(OR(L70="131",M70="131"),H70='131-CT'!$E$7),"131",""))</f>
        <v/>
      </c>
      <c r="O70" s="887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09">
        <v>3</v>
      </c>
      <c r="AC70" s="588"/>
      <c r="AE70" s="588"/>
      <c r="AF70" s="588"/>
      <c r="AG70" s="588"/>
    </row>
    <row r="71" spans="1:33" s="210" customFormat="1" ht="15.75" customHeight="1">
      <c r="A71" s="203" t="str">
        <f>IF(B71&lt;&gt;"",IF(AND(B71&gt;=_TM1,B71&lt;=_TM2,OR(TH!L71="1111",TH!M71="1111")),TH!D71,""),"")</f>
        <v/>
      </c>
      <c r="B71" s="36">
        <f t="shared" si="9"/>
        <v>7</v>
      </c>
      <c r="C71" s="183">
        <f t="shared" si="10"/>
        <v>42563</v>
      </c>
      <c r="D71" s="190" t="s">
        <v>514</v>
      </c>
      <c r="E71" s="183">
        <v>42563</v>
      </c>
      <c r="F71" s="188" t="s">
        <v>509</v>
      </c>
      <c r="G71" s="481" t="s">
        <v>510</v>
      </c>
      <c r="H71" s="7" t="s">
        <v>457</v>
      </c>
      <c r="I71" s="255">
        <v>4011</v>
      </c>
      <c r="J71" s="255">
        <v>8500</v>
      </c>
      <c r="K71" s="37">
        <f>ROUND(I71*J71,0)</f>
        <v>34093500</v>
      </c>
      <c r="L71" s="193" t="s">
        <v>159</v>
      </c>
      <c r="M71" s="193" t="s">
        <v>8</v>
      </c>
      <c r="N71" s="51" t="str">
        <f>IF(AND('331-CT'!$E$7=TH!H71,OR(L71="331",M71="331")),"331",IF(AND(OR(L71="131",M71="131"),H71='131-CT'!$E$7),"131",""))</f>
        <v/>
      </c>
      <c r="O71" s="887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09">
        <v>3</v>
      </c>
      <c r="AC71" s="588"/>
      <c r="AD71" s="588"/>
      <c r="AE71" s="588"/>
      <c r="AF71" s="588"/>
      <c r="AG71" s="588"/>
    </row>
    <row r="72" spans="1:33" s="588" customFormat="1" ht="15.75" customHeight="1">
      <c r="A72" s="203" t="str">
        <f>IF(B72&lt;&gt;"",IF(AND(B72&gt;=_TM1,B72&lt;=_TM2,OR(TH!L72="1111",TH!M72="1111")),TH!D72,""),"")</f>
        <v/>
      </c>
      <c r="B72" s="36">
        <f t="shared" si="9"/>
        <v>7</v>
      </c>
      <c r="C72" s="183">
        <f t="shared" si="10"/>
        <v>42563</v>
      </c>
      <c r="D72" s="190" t="s">
        <v>514</v>
      </c>
      <c r="E72" s="183">
        <v>42563</v>
      </c>
      <c r="F72" s="188" t="s">
        <v>458</v>
      </c>
      <c r="G72" s="481" t="s">
        <v>510</v>
      </c>
      <c r="H72" s="7" t="s">
        <v>457</v>
      </c>
      <c r="I72" s="255"/>
      <c r="J72" s="255"/>
      <c r="K72" s="596">
        <v>17498020</v>
      </c>
      <c r="L72" s="193" t="s">
        <v>9</v>
      </c>
      <c r="M72" s="193" t="s">
        <v>8</v>
      </c>
      <c r="N72" s="51" t="str">
        <f>IF(AND('331-CT'!$E$7=TH!H72,OR(L72="331",M72="331")),"331",IF(AND(OR(L72="131",M72="131"),H72='131-CT'!$E$7),"131",""))</f>
        <v/>
      </c>
      <c r="O72" s="887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09">
        <v>3</v>
      </c>
    </row>
    <row r="73" spans="1:33" s="588" customFormat="1" ht="15.75" customHeight="1">
      <c r="A73" s="203" t="str">
        <f>IF(B73&lt;&gt;"",IF(AND(B73&gt;=_TM1,B73&lt;=_TM2,OR(TH!L73="1111",TH!M73="1111")),TH!D73,""),"")</f>
        <v/>
      </c>
      <c r="B73" s="36">
        <f t="shared" si="9"/>
        <v>7</v>
      </c>
      <c r="C73" s="183">
        <f t="shared" si="10"/>
        <v>42563</v>
      </c>
      <c r="D73" s="190" t="s">
        <v>333</v>
      </c>
      <c r="E73" s="190">
        <v>42563</v>
      </c>
      <c r="F73" s="191" t="s">
        <v>357</v>
      </c>
      <c r="G73" s="481" t="s">
        <v>689</v>
      </c>
      <c r="H73" s="192" t="s">
        <v>690</v>
      </c>
      <c r="I73" s="255"/>
      <c r="J73" s="255"/>
      <c r="K73" s="37">
        <v>15000000</v>
      </c>
      <c r="L73" s="193" t="s">
        <v>169</v>
      </c>
      <c r="M73" s="193" t="s">
        <v>8</v>
      </c>
      <c r="N73" s="51" t="str">
        <f>IF(AND('331-CT'!$E$7=TH!H73,OR(L73="331",M73="331")),"331",IF(AND(OR(L73="131",M73="131"),H73='131-CT'!$E$7),"131",""))</f>
        <v/>
      </c>
      <c r="O73" s="887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09">
        <v>3</v>
      </c>
    </row>
    <row r="74" spans="1:33" s="588" customFormat="1" ht="15.75" customHeight="1">
      <c r="A74" s="203" t="str">
        <f>IF(B74&lt;&gt;"",IF(AND(B74&gt;=_TM1,B74&lt;=_TM2,OR(TH!L74="1111",TH!M74="1111")),TH!D74,""),"")</f>
        <v/>
      </c>
      <c r="B74" s="36">
        <f t="shared" si="9"/>
        <v>7</v>
      </c>
      <c r="C74" s="183">
        <f t="shared" si="10"/>
        <v>42563</v>
      </c>
      <c r="D74" s="190" t="s">
        <v>333</v>
      </c>
      <c r="E74" s="190">
        <v>42563</v>
      </c>
      <c r="F74" s="191" t="s">
        <v>358</v>
      </c>
      <c r="G74" s="481" t="s">
        <v>689</v>
      </c>
      <c r="H74" s="192" t="s">
        <v>690</v>
      </c>
      <c r="I74" s="255"/>
      <c r="J74" s="255"/>
      <c r="K74" s="37">
        <v>25000000</v>
      </c>
      <c r="L74" s="193" t="s">
        <v>169</v>
      </c>
      <c r="M74" s="193" t="s">
        <v>8</v>
      </c>
      <c r="N74" s="51" t="str">
        <f>IF(AND('331-CT'!$E$7=TH!H74,OR(L74="331",M74="331")),"331",IF(AND(OR(L74="131",M74="131"),H74='131-CT'!$E$7),"131",""))</f>
        <v/>
      </c>
      <c r="O74" s="887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09">
        <v>3</v>
      </c>
    </row>
    <row r="75" spans="1:33" s="588" customFormat="1" ht="15.75" customHeight="1">
      <c r="A75" s="203" t="str">
        <f>IF(B75&lt;&gt;"",IF(AND(B75&gt;=_TM1,B75&lt;=_TM2,OR(TH!L75="1111",TH!M75="1111")),TH!D75,""),"")</f>
        <v/>
      </c>
      <c r="B75" s="36">
        <f t="shared" si="9"/>
        <v>7</v>
      </c>
      <c r="C75" s="183">
        <f t="shared" si="10"/>
        <v>42563</v>
      </c>
      <c r="D75" s="190" t="s">
        <v>333</v>
      </c>
      <c r="E75" s="190">
        <v>42563</v>
      </c>
      <c r="F75" s="191" t="s">
        <v>360</v>
      </c>
      <c r="G75" s="481" t="s">
        <v>689</v>
      </c>
      <c r="H75" s="192" t="s">
        <v>690</v>
      </c>
      <c r="I75" s="255"/>
      <c r="J75" s="255"/>
      <c r="K75" s="37">
        <v>300000000</v>
      </c>
      <c r="L75" s="193" t="s">
        <v>169</v>
      </c>
      <c r="M75" s="193" t="s">
        <v>8</v>
      </c>
      <c r="N75" s="51" t="str">
        <f>IF(AND('331-CT'!$E$7=TH!H75,OR(L75="331",M75="331")),"331",IF(AND(OR(L75="131",M75="131"),H75='131-CT'!$E$7),"131",""))</f>
        <v/>
      </c>
      <c r="O75" s="887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09">
        <v>3</v>
      </c>
      <c r="AD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9"/>
        <v>7</v>
      </c>
      <c r="C76" s="183">
        <f t="shared" si="10"/>
        <v>42563</v>
      </c>
      <c r="D76" s="190" t="s">
        <v>333</v>
      </c>
      <c r="E76" s="190">
        <v>42563</v>
      </c>
      <c r="F76" s="191" t="s">
        <v>691</v>
      </c>
      <c r="G76" s="481" t="s">
        <v>689</v>
      </c>
      <c r="H76" s="192" t="s">
        <v>690</v>
      </c>
      <c r="I76" s="255"/>
      <c r="J76" s="255"/>
      <c r="K76" s="37">
        <v>500000000</v>
      </c>
      <c r="L76" s="193" t="s">
        <v>169</v>
      </c>
      <c r="M76" s="193" t="s">
        <v>8</v>
      </c>
      <c r="N76" s="51" t="str">
        <f>IF(AND('331-CT'!$E$7=TH!H76,OR(L76="331",M76="331")),"331",IF(AND(OR(L76="131",M76="131"),H76='131-CT'!$E$7),"131",""))</f>
        <v/>
      </c>
      <c r="O76" s="887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09">
        <v>3</v>
      </c>
    </row>
    <row r="77" spans="1:33" s="588" customFormat="1" ht="15.75" customHeight="1">
      <c r="A77" s="203" t="str">
        <f>IF(B77&lt;&gt;"",IF(AND(B77&gt;=_TM1,B77&lt;=_TM2,OR(TH!L77="1111",TH!M77="1111")),TH!D77,""),"")</f>
        <v/>
      </c>
      <c r="B77" s="36">
        <f t="shared" si="9"/>
        <v>7</v>
      </c>
      <c r="C77" s="183">
        <f t="shared" si="10"/>
        <v>42563</v>
      </c>
      <c r="D77" s="190" t="s">
        <v>333</v>
      </c>
      <c r="E77" s="190">
        <v>42563</v>
      </c>
      <c r="F77" s="191" t="s">
        <v>692</v>
      </c>
      <c r="G77" s="481" t="s">
        <v>689</v>
      </c>
      <c r="H77" s="192" t="s">
        <v>690</v>
      </c>
      <c r="I77" s="255"/>
      <c r="J77" s="255"/>
      <c r="K77" s="37">
        <v>84000000</v>
      </c>
      <c r="L77" s="193" t="s">
        <v>9</v>
      </c>
      <c r="M77" s="193" t="s">
        <v>8</v>
      </c>
      <c r="N77" s="51" t="str">
        <f>IF(AND('331-CT'!$E$7=TH!H77,OR(L77="331",M77="331")),"331",IF(AND(OR(L77="131",M77="131"),H77='131-CT'!$E$7),"131",""))</f>
        <v/>
      </c>
      <c r="O77" s="887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09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C02</v>
      </c>
      <c r="B78" s="36">
        <f t="shared" si="9"/>
        <v>7</v>
      </c>
      <c r="C78" s="183">
        <f t="shared" ref="C78:C109" si="11">E78</f>
        <v>42566</v>
      </c>
      <c r="D78" s="190" t="s">
        <v>512</v>
      </c>
      <c r="E78" s="183">
        <v>42566</v>
      </c>
      <c r="F78" s="188" t="s">
        <v>469</v>
      </c>
      <c r="G78" s="479" t="s">
        <v>468</v>
      </c>
      <c r="H78" s="192" t="s">
        <v>467</v>
      </c>
      <c r="I78" s="255"/>
      <c r="J78" s="255"/>
      <c r="K78" s="596">
        <v>1454545</v>
      </c>
      <c r="L78" s="597" t="s">
        <v>261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7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>641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09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>C02</v>
      </c>
      <c r="B79" s="36">
        <f t="shared" si="9"/>
        <v>7</v>
      </c>
      <c r="C79" s="183">
        <f t="shared" si="11"/>
        <v>42566</v>
      </c>
      <c r="D79" s="190" t="s">
        <v>512</v>
      </c>
      <c r="E79" s="183">
        <v>42566</v>
      </c>
      <c r="F79" s="188" t="s">
        <v>470</v>
      </c>
      <c r="G79" s="479" t="s">
        <v>468</v>
      </c>
      <c r="H79" s="192" t="s">
        <v>467</v>
      </c>
      <c r="I79" s="255"/>
      <c r="J79" s="255"/>
      <c r="K79" s="596">
        <v>145455</v>
      </c>
      <c r="L79" s="597" t="s">
        <v>9</v>
      </c>
      <c r="M79" s="597" t="s">
        <v>47</v>
      </c>
      <c r="N79" s="51" t="str">
        <f>IF(AND('331-CT'!$E$7=TH!H79,OR(L79="331",M79="331")),"331",IF(AND(OR(L79="131",M79="131"),H79='131-CT'!$E$7),"131",""))</f>
        <v/>
      </c>
      <c r="O79" s="887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09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9"/>
        <v>7</v>
      </c>
      <c r="C80" s="183">
        <f t="shared" si="11"/>
        <v>42576</v>
      </c>
      <c r="D80" s="183" t="s">
        <v>529</v>
      </c>
      <c r="E80" s="183">
        <v>42576</v>
      </c>
      <c r="F80" s="188" t="s">
        <v>535</v>
      </c>
      <c r="G80" s="479" t="s">
        <v>533</v>
      </c>
      <c r="H80" s="7"/>
      <c r="I80" s="255"/>
      <c r="J80" s="255"/>
      <c r="K80" s="596">
        <v>1428</v>
      </c>
      <c r="L80" s="193" t="s">
        <v>24</v>
      </c>
      <c r="M80" s="193" t="s">
        <v>40</v>
      </c>
      <c r="N80" s="51" t="str">
        <f>IF(AND('331-CT'!$E$7=TH!H80,OR(L80="331",M80="331")),"331",IF(AND(OR(L80="131",M80="131"),H80='131-CT'!$E$7),"131",""))</f>
        <v/>
      </c>
      <c r="O80" s="887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>x</v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09">
        <v>3</v>
      </c>
    </row>
    <row r="81" spans="1:33" s="588" customFormat="1" ht="15.75" customHeight="1">
      <c r="A81" s="203" t="str">
        <f>IF(B81&lt;&gt;"",IF(AND(B81&gt;=_TM1,B81&lt;=_TM2,OR(TH!L81="1111",TH!M81="1111")),TH!D81,""),"")</f>
        <v/>
      </c>
      <c r="B81" s="36">
        <f t="shared" si="9"/>
        <v>7</v>
      </c>
      <c r="C81" s="183">
        <f t="shared" si="11"/>
        <v>42576</v>
      </c>
      <c r="D81" s="183" t="s">
        <v>529</v>
      </c>
      <c r="E81" s="183">
        <v>42576</v>
      </c>
      <c r="F81" s="188" t="s">
        <v>536</v>
      </c>
      <c r="G81" s="479" t="s">
        <v>533</v>
      </c>
      <c r="H81" s="7"/>
      <c r="I81" s="255"/>
      <c r="J81" s="255"/>
      <c r="K81" s="37">
        <v>10000</v>
      </c>
      <c r="L81" s="193" t="s">
        <v>83</v>
      </c>
      <c r="M81" s="193" t="s">
        <v>24</v>
      </c>
      <c r="N81" s="51" t="str">
        <f>IF(AND('331-CT'!$E$7=TH!H81,OR(L81="331",M81="331")),"331",IF(AND(OR(L81="131",M81="131"),H81='131-CT'!$E$7),"131",""))</f>
        <v/>
      </c>
      <c r="O81" s="887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>x</v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>x</v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09">
        <v>3</v>
      </c>
    </row>
    <row r="82" spans="1:33" s="588" customFormat="1" ht="15.75" customHeight="1">
      <c r="A82" s="203" t="str">
        <f>IF(B82&lt;&gt;"",IF(AND(B82&gt;=_TM1,B82&lt;=_TM2,OR(TH!L82="1111",TH!M82="1111")),TH!D82,""),"")</f>
        <v/>
      </c>
      <c r="B82" s="36">
        <f t="shared" si="9"/>
        <v>7</v>
      </c>
      <c r="C82" s="183">
        <f t="shared" si="11"/>
        <v>42576</v>
      </c>
      <c r="D82" s="183" t="s">
        <v>529</v>
      </c>
      <c r="E82" s="183">
        <v>42576</v>
      </c>
      <c r="F82" s="188" t="s">
        <v>537</v>
      </c>
      <c r="G82" s="479" t="s">
        <v>533</v>
      </c>
      <c r="H82" s="7"/>
      <c r="I82" s="255"/>
      <c r="J82" s="255"/>
      <c r="K82" s="37">
        <v>1000</v>
      </c>
      <c r="L82" s="193" t="s">
        <v>9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87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09">
        <v>3</v>
      </c>
    </row>
    <row r="83" spans="1:33" s="588" customFormat="1" ht="15.75" customHeight="1">
      <c r="A83" s="203" t="str">
        <f>IF(B83&lt;&gt;"",IF(AND(B83&gt;=_TM1,B83&lt;=_TM2,OR(TH!L83="1111",TH!M83="1111")),TH!D83,""),"")</f>
        <v/>
      </c>
      <c r="B83" s="36">
        <f t="shared" si="9"/>
        <v>7</v>
      </c>
      <c r="C83" s="183">
        <f t="shared" si="11"/>
        <v>42579</v>
      </c>
      <c r="D83" s="183" t="s">
        <v>528</v>
      </c>
      <c r="E83" s="183">
        <v>42579</v>
      </c>
      <c r="F83" s="188" t="s">
        <v>543</v>
      </c>
      <c r="G83" s="479" t="s">
        <v>533</v>
      </c>
      <c r="H83" s="7" t="s">
        <v>408</v>
      </c>
      <c r="I83" s="255"/>
      <c r="J83" s="255"/>
      <c r="K83" s="596">
        <v>14300000</v>
      </c>
      <c r="L83" s="597" t="s">
        <v>24</v>
      </c>
      <c r="M83" s="597" t="s">
        <v>259</v>
      </c>
      <c r="N83" s="51" t="str">
        <f>IF(AND('331-CT'!$E$7=TH!H83,OR(L83="331",M83="331")),"331",IF(AND(OR(L83="131",M83="131"),H83='131-CT'!$E$7),"131",""))</f>
        <v/>
      </c>
      <c r="O83" s="887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09"/>
    </row>
    <row r="84" spans="1:33" s="588" customFormat="1" ht="15.75" customHeight="1">
      <c r="A84" s="203" t="str">
        <f>IF(B84&lt;&gt;"",IF(AND(B84&gt;=_TM1,B84&lt;=_TM2,OR(TH!L84="1111",TH!M84="1111")),TH!D84,""),"")</f>
        <v/>
      </c>
      <c r="B84" s="36">
        <f t="shared" si="9"/>
        <v>7</v>
      </c>
      <c r="C84" s="183">
        <f t="shared" si="11"/>
        <v>42580</v>
      </c>
      <c r="D84" s="190" t="s">
        <v>515</v>
      </c>
      <c r="E84" s="183">
        <v>42580</v>
      </c>
      <c r="F84" s="188" t="s">
        <v>463</v>
      </c>
      <c r="G84" s="481" t="s">
        <v>507</v>
      </c>
      <c r="H84" s="7" t="s">
        <v>457</v>
      </c>
      <c r="I84" s="255">
        <v>7756</v>
      </c>
      <c r="J84" s="255">
        <v>7600</v>
      </c>
      <c r="K84" s="37">
        <f>ROUND(I84*J84,0)</f>
        <v>58945600</v>
      </c>
      <c r="L84" s="193" t="s">
        <v>159</v>
      </c>
      <c r="M84" s="193" t="s">
        <v>8</v>
      </c>
      <c r="N84" s="51" t="str">
        <f>IF(AND('331-CT'!$E$7=TH!H84,OR(L84="331",M84="331")),"331",IF(AND(OR(L84="131",M84="131"),H84='131-CT'!$E$7),"131",""))</f>
        <v/>
      </c>
      <c r="O84" s="887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09">
        <v>3</v>
      </c>
    </row>
    <row r="85" spans="1:33" s="588" customFormat="1" ht="15.75" customHeight="1">
      <c r="A85" s="203" t="str">
        <f>IF(B85&lt;&gt;"",IF(AND(B85&gt;=_TM1,B85&lt;=_TM2,OR(TH!L85="1111",TH!M85="1111")),TH!D85,""),"")</f>
        <v/>
      </c>
      <c r="B85" s="36">
        <f t="shared" si="9"/>
        <v>7</v>
      </c>
      <c r="C85" s="183">
        <f t="shared" si="11"/>
        <v>42580</v>
      </c>
      <c r="D85" s="190" t="s">
        <v>515</v>
      </c>
      <c r="E85" s="183">
        <v>42580</v>
      </c>
      <c r="F85" s="188" t="s">
        <v>508</v>
      </c>
      <c r="G85" s="481" t="s">
        <v>507</v>
      </c>
      <c r="H85" s="7" t="s">
        <v>457</v>
      </c>
      <c r="I85" s="255">
        <v>4223</v>
      </c>
      <c r="J85" s="255">
        <v>8900</v>
      </c>
      <c r="K85" s="37">
        <f>ROUND(I85*J85,0)</f>
        <v>37584700</v>
      </c>
      <c r="L85" s="193" t="s">
        <v>159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7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09">
        <v>3</v>
      </c>
    </row>
    <row r="86" spans="1:33" s="588" customFormat="1" ht="15.75" customHeight="1">
      <c r="A86" s="203" t="str">
        <f>IF(B86&lt;&gt;"",IF(AND(B86&gt;=_TM1,B86&lt;=_TM2,OR(TH!L86="1111",TH!M86="1111")),TH!D86,""),"")</f>
        <v/>
      </c>
      <c r="B86" s="36">
        <f t="shared" si="9"/>
        <v>7</v>
      </c>
      <c r="C86" s="183">
        <f t="shared" si="11"/>
        <v>42580</v>
      </c>
      <c r="D86" s="190" t="s">
        <v>515</v>
      </c>
      <c r="E86" s="183">
        <v>42580</v>
      </c>
      <c r="F86" s="188" t="s">
        <v>509</v>
      </c>
      <c r="G86" s="481" t="s">
        <v>507</v>
      </c>
      <c r="H86" s="7" t="s">
        <v>457</v>
      </c>
      <c r="I86" s="255">
        <v>6881</v>
      </c>
      <c r="J86" s="255">
        <v>8500</v>
      </c>
      <c r="K86" s="37">
        <f>ROUND(I86*J86,0)</f>
        <v>58488500</v>
      </c>
      <c r="L86" s="193" t="s">
        <v>159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7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09">
        <v>3</v>
      </c>
    </row>
    <row r="87" spans="1:33" s="588" customFormat="1" ht="15.75" customHeight="1">
      <c r="A87" s="203" t="str">
        <f>IF(B87&lt;&gt;"",IF(AND(B87&gt;=_TM1,B87&lt;=_TM2,OR(TH!L87="1111",TH!M87="1111")),TH!D87,""),"")</f>
        <v/>
      </c>
      <c r="B87" s="36">
        <f t="shared" si="9"/>
        <v>7</v>
      </c>
      <c r="C87" s="183">
        <f t="shared" si="11"/>
        <v>42580</v>
      </c>
      <c r="D87" s="190" t="s">
        <v>515</v>
      </c>
      <c r="E87" s="183">
        <v>42580</v>
      </c>
      <c r="F87" s="188" t="s">
        <v>458</v>
      </c>
      <c r="G87" s="481" t="s">
        <v>507</v>
      </c>
      <c r="H87" s="7" t="s">
        <v>457</v>
      </c>
      <c r="I87" s="255"/>
      <c r="J87" s="255"/>
      <c r="K87" s="596">
        <v>15501880</v>
      </c>
      <c r="L87" s="193" t="s">
        <v>9</v>
      </c>
      <c r="M87" s="193" t="s">
        <v>8</v>
      </c>
      <c r="N87" s="51" t="str">
        <f>IF(AND('331-CT'!$E$7=TH!H87,OR(L87="331",M87="331")),"331",IF(AND(OR(L87="131",M87="131"),H87='131-CT'!$E$7),"131",""))</f>
        <v/>
      </c>
      <c r="O87" s="887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09">
        <v>3</v>
      </c>
      <c r="AD87" s="210"/>
    </row>
    <row r="88" spans="1:33" s="588" customFormat="1" ht="15.75" customHeight="1">
      <c r="A88" s="203" t="str">
        <f>IF(B88&lt;&gt;"",IF(AND(B88&gt;=_TM1,B88&lt;=_TM2,OR(TH!L88="1111",TH!M88="1111")),TH!D88,""),"")</f>
        <v>T01</v>
      </c>
      <c r="B88" s="36">
        <f t="shared" si="9"/>
        <v>7</v>
      </c>
      <c r="C88" s="183">
        <f t="shared" si="11"/>
        <v>42580</v>
      </c>
      <c r="D88" s="183" t="s">
        <v>355</v>
      </c>
      <c r="E88" s="183">
        <v>42580</v>
      </c>
      <c r="F88" s="188" t="s">
        <v>544</v>
      </c>
      <c r="G88" s="479" t="s">
        <v>533</v>
      </c>
      <c r="H88" s="7" t="s">
        <v>534</v>
      </c>
      <c r="I88" s="255"/>
      <c r="J88" s="255"/>
      <c r="K88" s="596">
        <v>15000000</v>
      </c>
      <c r="L88" s="597" t="s">
        <v>47</v>
      </c>
      <c r="M88" s="597" t="s">
        <v>24</v>
      </c>
      <c r="N88" s="51" t="str">
        <f>IF(AND('331-CT'!$E$7=TH!H88,OR(L88="331",M88="331")),"331",IF(AND(OR(L88="131",M88="131"),H88='131-CT'!$E$7),"131",""))</f>
        <v/>
      </c>
      <c r="O88" s="887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09"/>
    </row>
    <row r="89" spans="1:33" s="588" customFormat="1" ht="15.75" customHeight="1">
      <c r="A89" s="203" t="str">
        <f>IF(B89&lt;&gt;"",IF(AND(B89&gt;=_TM1,B89&lt;=_TM2,OR(TH!L89="1111",TH!M89="1111")),TH!D89,""),"")</f>
        <v/>
      </c>
      <c r="B89" s="36">
        <f t="shared" si="9"/>
        <v>7</v>
      </c>
      <c r="C89" s="183">
        <f t="shared" si="11"/>
        <v>42580</v>
      </c>
      <c r="D89" s="183" t="s">
        <v>528</v>
      </c>
      <c r="E89" s="183">
        <v>42580</v>
      </c>
      <c r="F89" s="188" t="s">
        <v>543</v>
      </c>
      <c r="G89" s="479" t="s">
        <v>533</v>
      </c>
      <c r="H89" s="7" t="s">
        <v>413</v>
      </c>
      <c r="I89" s="255"/>
      <c r="J89" s="255"/>
      <c r="K89" s="596">
        <v>25674000</v>
      </c>
      <c r="L89" s="597" t="s">
        <v>24</v>
      </c>
      <c r="M89" s="597" t="s">
        <v>259</v>
      </c>
      <c r="N89" s="51" t="str">
        <f>IF(AND('331-CT'!$E$7=TH!H89,OR(L89="331",M89="331")),"331",IF(AND(OR(L89="131",M89="131"),H89='131-CT'!$E$7),"131",""))</f>
        <v/>
      </c>
      <c r="O89" s="887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>x</v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09"/>
    </row>
    <row r="90" spans="1:33" s="588" customFormat="1" ht="15.75" customHeight="1">
      <c r="A90" s="203" t="str">
        <f>IF(B90&lt;&gt;"",IF(AND(B90&gt;=_TM1,B90&lt;=_TM2,OR(TH!L90="1111",TH!M90="1111")),TH!D90,""),"")</f>
        <v>C03</v>
      </c>
      <c r="B90" s="36">
        <f t="shared" si="9"/>
        <v>7</v>
      </c>
      <c r="C90" s="183">
        <f t="shared" si="11"/>
        <v>42581</v>
      </c>
      <c r="D90" s="190" t="s">
        <v>513</v>
      </c>
      <c r="E90" s="183">
        <v>42581</v>
      </c>
      <c r="F90" s="188" t="s">
        <v>368</v>
      </c>
      <c r="G90" s="479" t="s">
        <v>483</v>
      </c>
      <c r="H90" s="192" t="s">
        <v>482</v>
      </c>
      <c r="I90" s="255"/>
      <c r="J90" s="255"/>
      <c r="K90" s="596">
        <v>6290000</v>
      </c>
      <c r="L90" s="597" t="s">
        <v>165</v>
      </c>
      <c r="M90" s="597" t="s">
        <v>47</v>
      </c>
      <c r="N90" s="51" t="str">
        <f>IF(AND('331-CT'!$E$7=TH!H90,OR(L90="331",M90="331")),"331",IF(AND(OR(L90="131",M90="131"),H90='131-CT'!$E$7),"131",""))</f>
        <v/>
      </c>
      <c r="O90" s="887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09">
        <v>3</v>
      </c>
    </row>
    <row r="91" spans="1:33" s="588" customFormat="1" ht="15.75" customHeight="1">
      <c r="A91" s="203" t="str">
        <f>IF(B91&lt;&gt;"",IF(AND(B91&gt;=_TM1,B91&lt;=_TM2,OR(TH!L91="1111",TH!M91="1111")),TH!D91,""),"")</f>
        <v>C03</v>
      </c>
      <c r="B91" s="36">
        <f t="shared" si="9"/>
        <v>7</v>
      </c>
      <c r="C91" s="183">
        <f t="shared" si="11"/>
        <v>42581</v>
      </c>
      <c r="D91" s="190" t="s">
        <v>513</v>
      </c>
      <c r="E91" s="183">
        <v>42581</v>
      </c>
      <c r="F91" s="188" t="s">
        <v>484</v>
      </c>
      <c r="G91" s="479" t="s">
        <v>483</v>
      </c>
      <c r="H91" s="192" t="s">
        <v>482</v>
      </c>
      <c r="I91" s="255"/>
      <c r="J91" s="255"/>
      <c r="K91" s="596">
        <v>629000</v>
      </c>
      <c r="L91" s="597" t="s">
        <v>9</v>
      </c>
      <c r="M91" s="597" t="s">
        <v>47</v>
      </c>
      <c r="N91" s="51" t="str">
        <f>IF(AND('331-CT'!$E$7=TH!H91,OR(L91="331",M91="331")),"331",IF(AND(OR(L91="131",M91="131"),H91='131-CT'!$E$7),"131",""))</f>
        <v/>
      </c>
      <c r="O91" s="887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09">
        <v>3</v>
      </c>
    </row>
    <row r="92" spans="1:33" s="588" customFormat="1" ht="15.75" customHeight="1">
      <c r="A92" s="203" t="str">
        <f>IF(B92&lt;&gt;"",IF(AND(B92&gt;=_TM1,B92&lt;=_TM2,OR(TH!L92="1111",TH!M92="1111")),TH!D92,""),"")</f>
        <v>C04</v>
      </c>
      <c r="B92" s="36">
        <f t="shared" si="9"/>
        <v>7</v>
      </c>
      <c r="C92" s="183">
        <f t="shared" si="11"/>
        <v>42581</v>
      </c>
      <c r="D92" s="190" t="s">
        <v>516</v>
      </c>
      <c r="E92" s="183">
        <v>42581</v>
      </c>
      <c r="F92" s="188" t="s">
        <v>469</v>
      </c>
      <c r="G92" s="479" t="s">
        <v>489</v>
      </c>
      <c r="H92" s="192" t="s">
        <v>487</v>
      </c>
      <c r="I92" s="255"/>
      <c r="J92" s="255"/>
      <c r="K92" s="596">
        <v>2011090</v>
      </c>
      <c r="L92" s="597" t="s">
        <v>261</v>
      </c>
      <c r="M92" s="597" t="s">
        <v>47</v>
      </c>
      <c r="N92" s="51" t="str">
        <f>IF(AND('331-CT'!$E$7=TH!H92,OR(L92="331",M92="331")),"331",IF(AND(OR(L92="131",M92="131"),H92='131-CT'!$E$7),"131",""))</f>
        <v/>
      </c>
      <c r="O92" s="887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>641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09">
        <v>3</v>
      </c>
      <c r="AF92" s="210"/>
      <c r="AG92" s="210"/>
    </row>
    <row r="93" spans="1:33" s="588" customFormat="1" ht="15.75" customHeight="1">
      <c r="A93" s="203" t="str">
        <f>IF(B93&lt;&gt;"",IF(AND(B93&gt;=_TM1,B93&lt;=_TM2,OR(TH!L93="1111",TH!M93="1111")),TH!D93,""),"")</f>
        <v>C04</v>
      </c>
      <c r="B93" s="36">
        <f t="shared" si="9"/>
        <v>7</v>
      </c>
      <c r="C93" s="183">
        <f t="shared" si="11"/>
        <v>42581</v>
      </c>
      <c r="D93" s="190" t="s">
        <v>516</v>
      </c>
      <c r="E93" s="183">
        <v>42581</v>
      </c>
      <c r="F93" s="188" t="s">
        <v>470</v>
      </c>
      <c r="G93" s="479" t="s">
        <v>489</v>
      </c>
      <c r="H93" s="192" t="s">
        <v>487</v>
      </c>
      <c r="I93" s="255"/>
      <c r="J93" s="255"/>
      <c r="K93" s="596">
        <v>201110</v>
      </c>
      <c r="L93" s="597" t="s">
        <v>9</v>
      </c>
      <c r="M93" s="597" t="s">
        <v>47</v>
      </c>
      <c r="N93" s="51" t="str">
        <f>IF(AND('331-CT'!$E$7=TH!H93,OR(L93="331",M93="331")),"331",IF(AND(OR(L93="131",M93="131"),H93='131-CT'!$E$7),"131",""))</f>
        <v/>
      </c>
      <c r="O93" s="887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09">
        <v>3</v>
      </c>
      <c r="AF93" s="210"/>
      <c r="AG93" s="210"/>
    </row>
    <row r="94" spans="1:33" s="588" customFormat="1" ht="15.75" customHeight="1">
      <c r="A94" s="203" t="str">
        <f>IF(B94&lt;&gt;"",IF(AND(B94&gt;=_TM1,B94&lt;=_TM2,OR(TH!L94="1111",TH!M94="1111")),TH!D94,""),"")</f>
        <v>C05</v>
      </c>
      <c r="B94" s="36">
        <f t="shared" si="9"/>
        <v>7</v>
      </c>
      <c r="C94" s="183">
        <f t="shared" si="11"/>
        <v>42581</v>
      </c>
      <c r="D94" s="190" t="s">
        <v>517</v>
      </c>
      <c r="E94" s="183">
        <v>42581</v>
      </c>
      <c r="F94" s="188" t="s">
        <v>687</v>
      </c>
      <c r="G94" s="479"/>
      <c r="H94" s="192" t="s">
        <v>547</v>
      </c>
      <c r="I94" s="255"/>
      <c r="J94" s="255"/>
      <c r="K94" s="596">
        <f>ROUND((4*10000+20*15000+1*25000)/1.1,0)</f>
        <v>331818</v>
      </c>
      <c r="L94" s="597" t="s">
        <v>261</v>
      </c>
      <c r="M94" s="597" t="s">
        <v>47</v>
      </c>
      <c r="N94" s="51" t="str">
        <f>IF(AND('331-CT'!$E$7=TH!H94,OR(L94="331",M94="331")),"331",IF(AND(OR(L94="131",M94="131"),H94='131-CT'!$E$7),"131",""))</f>
        <v/>
      </c>
      <c r="O94" s="887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>641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09">
        <v>3</v>
      </c>
      <c r="AF94" s="210"/>
      <c r="AG94" s="210"/>
    </row>
    <row r="95" spans="1:33" s="588" customFormat="1" ht="15.75" customHeight="1">
      <c r="A95" s="203" t="str">
        <f>IF(B95&lt;&gt;"",IF(AND(B95&gt;=_TM1,B95&lt;=_TM2,OR(TH!L95="1111",TH!M95="1111")),TH!D95,""),"")</f>
        <v>C05</v>
      </c>
      <c r="B95" s="36">
        <f t="shared" si="9"/>
        <v>7</v>
      </c>
      <c r="C95" s="183">
        <f t="shared" si="11"/>
        <v>42581</v>
      </c>
      <c r="D95" s="190" t="s">
        <v>517</v>
      </c>
      <c r="E95" s="183">
        <v>42581</v>
      </c>
      <c r="F95" s="188" t="s">
        <v>688</v>
      </c>
      <c r="G95" s="479"/>
      <c r="H95" s="192" t="s">
        <v>547</v>
      </c>
      <c r="I95" s="255"/>
      <c r="J95" s="255"/>
      <c r="K95" s="596">
        <v>33182</v>
      </c>
      <c r="L95" s="597" t="s">
        <v>9</v>
      </c>
      <c r="M95" s="597" t="s">
        <v>47</v>
      </c>
      <c r="N95" s="51" t="str">
        <f>IF(AND('331-CT'!$E$7=TH!H95,OR(L95="331",M95="331")),"331",IF(AND(OR(L95="131",M95="131"),H95='131-CT'!$E$7),"131",""))</f>
        <v/>
      </c>
      <c r="O95" s="887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09">
        <v>3</v>
      </c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9"/>
        <v>8</v>
      </c>
      <c r="C96" s="183">
        <f t="shared" si="11"/>
        <v>42583</v>
      </c>
      <c r="D96" s="183" t="s">
        <v>529</v>
      </c>
      <c r="E96" s="183">
        <v>42583</v>
      </c>
      <c r="F96" s="188" t="s">
        <v>524</v>
      </c>
      <c r="G96" s="479" t="s">
        <v>533</v>
      </c>
      <c r="H96" s="7" t="s">
        <v>457</v>
      </c>
      <c r="I96" s="255"/>
      <c r="J96" s="255"/>
      <c r="K96" s="596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7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09"/>
    </row>
    <row r="97" spans="1:31" s="588" customFormat="1" ht="15.75" customHeight="1">
      <c r="A97" s="203" t="str">
        <f>IF(B97&lt;&gt;"",IF(AND(B97&gt;=_TM1,B97&lt;=_TM2,OR(TH!L97="1111",TH!M97="1111")),TH!D97,""),"")</f>
        <v>C06</v>
      </c>
      <c r="B97" s="36">
        <f t="shared" si="9"/>
        <v>8</v>
      </c>
      <c r="C97" s="183">
        <f t="shared" si="11"/>
        <v>42590</v>
      </c>
      <c r="D97" s="190" t="s">
        <v>518</v>
      </c>
      <c r="E97" s="183">
        <v>42590</v>
      </c>
      <c r="F97" s="188" t="s">
        <v>498</v>
      </c>
      <c r="G97" s="479" t="s">
        <v>497</v>
      </c>
      <c r="H97" s="192" t="s">
        <v>496</v>
      </c>
      <c r="I97" s="255"/>
      <c r="J97" s="255"/>
      <c r="K97" s="596">
        <v>1400000</v>
      </c>
      <c r="L97" s="597" t="s">
        <v>83</v>
      </c>
      <c r="M97" s="597" t="s">
        <v>47</v>
      </c>
      <c r="N97" s="51" t="str">
        <f>IF(AND('331-CT'!$E$7=TH!H97,OR(L97="331",M97="331")),"331",IF(AND(OR(L97="131",M97="131"),H97='131-CT'!$E$7),"131",""))</f>
        <v/>
      </c>
      <c r="O97" s="887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09">
        <v>3</v>
      </c>
    </row>
    <row r="98" spans="1:31" s="588" customFormat="1" ht="15.75" customHeight="1">
      <c r="A98" s="203" t="str">
        <f>IF(B98&lt;&gt;"",IF(AND(B98&gt;=_TM1,B98&lt;=_TM2,OR(TH!L98="1111",TH!M98="1111")),TH!D98,""),"")</f>
        <v>C06</v>
      </c>
      <c r="B98" s="36">
        <f t="shared" si="9"/>
        <v>8</v>
      </c>
      <c r="C98" s="183">
        <f t="shared" si="11"/>
        <v>42590</v>
      </c>
      <c r="D98" s="190" t="s">
        <v>518</v>
      </c>
      <c r="E98" s="183">
        <v>42590</v>
      </c>
      <c r="F98" s="188" t="s">
        <v>499</v>
      </c>
      <c r="G98" s="479" t="s">
        <v>497</v>
      </c>
      <c r="H98" s="192" t="s">
        <v>496</v>
      </c>
      <c r="I98" s="255"/>
      <c r="J98" s="255"/>
      <c r="K98" s="596">
        <v>140000</v>
      </c>
      <c r="L98" s="597" t="s">
        <v>9</v>
      </c>
      <c r="M98" s="597" t="s">
        <v>47</v>
      </c>
      <c r="N98" s="51" t="str">
        <f>IF(AND('331-CT'!$E$7=TH!H98,OR(L98="331",M98="331")),"331",IF(AND(OR(L98="131",M98="131"),H98='131-CT'!$E$7),"131",""))</f>
        <v/>
      </c>
      <c r="O98" s="887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09">
        <v>3</v>
      </c>
    </row>
    <row r="99" spans="1:31" s="588" customFormat="1" ht="15.75" customHeight="1">
      <c r="A99" s="203" t="str">
        <f>IF(B99&lt;&gt;"",IF(AND(B99&gt;=_TM1,B99&lt;=_TM2,OR(TH!L99="1111",TH!M99="1111")),TH!D99,""),"")</f>
        <v/>
      </c>
      <c r="B99" s="36">
        <f t="shared" si="9"/>
        <v>8</v>
      </c>
      <c r="C99" s="183">
        <f t="shared" si="11"/>
        <v>42595</v>
      </c>
      <c r="D99" s="183" t="s">
        <v>519</v>
      </c>
      <c r="E99" s="183">
        <v>42595</v>
      </c>
      <c r="F99" s="188" t="s">
        <v>503</v>
      </c>
      <c r="G99" s="479" t="s">
        <v>502</v>
      </c>
      <c r="H99" s="192" t="s">
        <v>501</v>
      </c>
      <c r="I99" s="255">
        <v>19810</v>
      </c>
      <c r="J99" s="255">
        <v>780</v>
      </c>
      <c r="K99" s="37">
        <f>ROUND(I99*J99,0)</f>
        <v>15451800</v>
      </c>
      <c r="L99" s="193" t="s">
        <v>161</v>
      </c>
      <c r="M99" s="193" t="s">
        <v>8</v>
      </c>
      <c r="N99" s="51" t="str">
        <f>IF(AND('331-CT'!$E$7=TH!H99,OR(L99="331",M99="331")),"331",IF(AND(OR(L99="131",M99="131"),H99='131-CT'!$E$7),"131",""))</f>
        <v/>
      </c>
      <c r="O99" s="887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09">
        <v>3</v>
      </c>
    </row>
    <row r="100" spans="1:31" s="588" customFormat="1" ht="15.75" customHeight="1">
      <c r="A100" s="203" t="str">
        <f>IF(B100&lt;&gt;"",IF(AND(B100&gt;=_TM1,B100&lt;=_TM2,OR(TH!L100="1111",TH!M100="1111")),TH!D100,""),"")</f>
        <v/>
      </c>
      <c r="B100" s="36">
        <f t="shared" si="9"/>
        <v>8</v>
      </c>
      <c r="C100" s="183">
        <f t="shared" si="11"/>
        <v>42595</v>
      </c>
      <c r="D100" s="183" t="s">
        <v>519</v>
      </c>
      <c r="E100" s="183">
        <v>42595</v>
      </c>
      <c r="F100" s="188" t="s">
        <v>504</v>
      </c>
      <c r="G100" s="479" t="s">
        <v>502</v>
      </c>
      <c r="H100" s="192" t="s">
        <v>501</v>
      </c>
      <c r="I100" s="255"/>
      <c r="J100" s="255"/>
      <c r="K100" s="596">
        <v>1545180</v>
      </c>
      <c r="L100" s="193" t="s">
        <v>9</v>
      </c>
      <c r="M100" s="193" t="s">
        <v>8</v>
      </c>
      <c r="N100" s="51" t="str">
        <f>IF(AND('331-CT'!$E$7=TH!H100,OR(L100="331",M100="331")),"331",IF(AND(OR(L100="131",M100="131"),H100='131-CT'!$E$7),"131",""))</f>
        <v/>
      </c>
      <c r="O100" s="887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09">
        <v>3</v>
      </c>
    </row>
    <row r="101" spans="1:31" s="588" customFormat="1" ht="15.75" customHeight="1">
      <c r="A101" s="203" t="str">
        <f>IF(B101&lt;&gt;"",IF(AND(B101&gt;=_TM1,B101&lt;=_TM2,OR(TH!L101="1111",TH!M101="1111")),TH!D101,""),"")</f>
        <v>C07</v>
      </c>
      <c r="B101" s="36">
        <f t="shared" si="9"/>
        <v>8</v>
      </c>
      <c r="C101" s="183">
        <f t="shared" si="11"/>
        <v>42595</v>
      </c>
      <c r="D101" s="183" t="s">
        <v>521</v>
      </c>
      <c r="E101" s="183">
        <v>42595</v>
      </c>
      <c r="F101" s="188" t="s">
        <v>524</v>
      </c>
      <c r="G101" s="479" t="s">
        <v>502</v>
      </c>
      <c r="H101" s="192" t="s">
        <v>501</v>
      </c>
      <c r="I101" s="255"/>
      <c r="J101" s="255"/>
      <c r="K101" s="596">
        <v>16996980</v>
      </c>
      <c r="L101" s="193" t="s">
        <v>8</v>
      </c>
      <c r="M101" s="193" t="s">
        <v>47</v>
      </c>
      <c r="N101" s="51" t="str">
        <f>IF(AND('331-CT'!$E$7=TH!H101,OR(L101="331",M101="331")),"331",IF(AND(OR(L101="131",M101="131"),H101='131-CT'!$E$7),"131",""))</f>
        <v/>
      </c>
      <c r="O101" s="887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09"/>
    </row>
    <row r="102" spans="1:31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9"/>
        <v>8</v>
      </c>
      <c r="C102" s="183">
        <f t="shared" si="11"/>
        <v>42599</v>
      </c>
      <c r="D102" s="183" t="s">
        <v>528</v>
      </c>
      <c r="E102" s="183">
        <v>42599</v>
      </c>
      <c r="F102" s="188" t="s">
        <v>543</v>
      </c>
      <c r="G102" s="479" t="s">
        <v>533</v>
      </c>
      <c r="H102" s="7" t="s">
        <v>409</v>
      </c>
      <c r="I102" s="255"/>
      <c r="J102" s="255"/>
      <c r="K102" s="596">
        <v>12160500</v>
      </c>
      <c r="L102" s="597" t="s">
        <v>24</v>
      </c>
      <c r="M102" s="597" t="s">
        <v>259</v>
      </c>
      <c r="N102" s="51" t="str">
        <f>IF(AND('331-CT'!$E$7=TH!H102,OR(L102="331",M102="331")),"331",IF(AND(OR(L102="131",M102="131"),H102='131-CT'!$E$7),"131",""))</f>
        <v/>
      </c>
      <c r="O102" s="887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09"/>
    </row>
    <row r="103" spans="1:31" s="588" customFormat="1" ht="15.75" customHeight="1">
      <c r="A103" s="203" t="str">
        <f>IF(B103&lt;&gt;"",IF(AND(B103&gt;=_TM1,B103&lt;=_TM2,OR(TH!L103="1111",TH!M103="1111")),TH!D103,""),"")</f>
        <v>C08</v>
      </c>
      <c r="B103" s="36">
        <f t="shared" si="9"/>
        <v>8</v>
      </c>
      <c r="C103" s="183">
        <f t="shared" si="11"/>
        <v>42599</v>
      </c>
      <c r="D103" s="183" t="s">
        <v>702</v>
      </c>
      <c r="E103" s="183">
        <v>42599</v>
      </c>
      <c r="F103" s="188" t="s">
        <v>530</v>
      </c>
      <c r="G103" s="479" t="s">
        <v>533</v>
      </c>
      <c r="H103" s="7" t="s">
        <v>534</v>
      </c>
      <c r="I103" s="255"/>
      <c r="J103" s="255"/>
      <c r="K103" s="37">
        <v>800000</v>
      </c>
      <c r="L103" s="193" t="s">
        <v>24</v>
      </c>
      <c r="M103" s="193" t="s">
        <v>47</v>
      </c>
      <c r="N103" s="51" t="str">
        <f>IF(AND('331-CT'!$E$7=TH!H103,OR(L103="331",M103="331")),"331",IF(AND(OR(L103="131",M103="131"),H103='131-CT'!$E$7),"131",""))</f>
        <v/>
      </c>
      <c r="O103" s="887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09"/>
    </row>
    <row r="104" spans="1:31" s="588" customFormat="1" ht="15.75" customHeight="1">
      <c r="A104" s="203" t="str">
        <f>IF(B104&lt;&gt;"",IF(AND(B104&gt;=_TM1,B104&lt;=_TM2,OR(TH!L104="1111",TH!M104="1111")),TH!D104,""),"")</f>
        <v>T02</v>
      </c>
      <c r="B104" s="36">
        <f t="shared" si="9"/>
        <v>8</v>
      </c>
      <c r="C104" s="183">
        <f t="shared" si="11"/>
        <v>42599</v>
      </c>
      <c r="D104" s="183" t="s">
        <v>356</v>
      </c>
      <c r="E104" s="183">
        <v>42599</v>
      </c>
      <c r="F104" s="188" t="s">
        <v>544</v>
      </c>
      <c r="G104" s="479" t="s">
        <v>533</v>
      </c>
      <c r="H104" s="7" t="s">
        <v>534</v>
      </c>
      <c r="I104" s="255"/>
      <c r="J104" s="255"/>
      <c r="K104" s="596">
        <v>13000000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7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09"/>
    </row>
    <row r="105" spans="1:31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9"/>
        <v>8</v>
      </c>
      <c r="C105" s="183">
        <f t="shared" si="11"/>
        <v>42601</v>
      </c>
      <c r="D105" s="183" t="s">
        <v>520</v>
      </c>
      <c r="E105" s="183">
        <v>42601</v>
      </c>
      <c r="F105" s="188" t="s">
        <v>503</v>
      </c>
      <c r="G105" s="479" t="s">
        <v>505</v>
      </c>
      <c r="H105" s="192" t="s">
        <v>501</v>
      </c>
      <c r="I105" s="255">
        <v>14330</v>
      </c>
      <c r="J105" s="255">
        <v>780</v>
      </c>
      <c r="K105" s="37">
        <f>ROUND(I105*J105,0)</f>
        <v>11177400</v>
      </c>
      <c r="L105" s="193" t="s">
        <v>161</v>
      </c>
      <c r="M105" s="193" t="s">
        <v>8</v>
      </c>
      <c r="N105" s="51" t="str">
        <f>IF(AND('331-CT'!$E$7=TH!H105,OR(L105="331",M105="331")),"331",IF(AND(OR(L105="131",M105="131"),H105='131-CT'!$E$7),"131",""))</f>
        <v/>
      </c>
      <c r="O105" s="887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09">
        <v>3</v>
      </c>
    </row>
    <row r="106" spans="1:31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ref="B106:B169" si="12">IF(C106&lt;&gt;"",MONTH(C106),"")</f>
        <v>8</v>
      </c>
      <c r="C106" s="183">
        <f t="shared" si="11"/>
        <v>42601</v>
      </c>
      <c r="D106" s="183" t="s">
        <v>520</v>
      </c>
      <c r="E106" s="183">
        <v>42601</v>
      </c>
      <c r="F106" s="188" t="s">
        <v>504</v>
      </c>
      <c r="G106" s="479" t="s">
        <v>505</v>
      </c>
      <c r="H106" s="192" t="s">
        <v>501</v>
      </c>
      <c r="I106" s="255"/>
      <c r="J106" s="255"/>
      <c r="K106" s="596">
        <v>1117740</v>
      </c>
      <c r="L106" s="193" t="s">
        <v>9</v>
      </c>
      <c r="M106" s="193" t="s">
        <v>8</v>
      </c>
      <c r="N106" s="51" t="str">
        <f>IF(AND('331-CT'!$E$7=TH!H106,OR(L106="331",M106="331")),"331",IF(AND(OR(L106="131",M106="131"),H106='131-CT'!$E$7),"131",""))</f>
        <v/>
      </c>
      <c r="O106" s="887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09">
        <v>3</v>
      </c>
    </row>
    <row r="107" spans="1:31" s="588" customFormat="1" ht="15.75" customHeight="1">
      <c r="A107" s="203" t="str">
        <f>IF(B107&lt;&gt;"",IF(AND(B107&gt;=_TM1,B107&lt;=_TM2,OR(TH!L107="1111",TH!M107="1111")),TH!D107,""),"")</f>
        <v>C09</v>
      </c>
      <c r="B107" s="36">
        <f t="shared" si="12"/>
        <v>8</v>
      </c>
      <c r="C107" s="183">
        <f t="shared" si="11"/>
        <v>42601</v>
      </c>
      <c r="D107" s="183" t="s">
        <v>523</v>
      </c>
      <c r="E107" s="183">
        <v>42601</v>
      </c>
      <c r="F107" s="188" t="s">
        <v>530</v>
      </c>
      <c r="G107" s="479" t="s">
        <v>533</v>
      </c>
      <c r="H107" s="7" t="s">
        <v>534</v>
      </c>
      <c r="I107" s="255"/>
      <c r="J107" s="255"/>
      <c r="K107" s="37">
        <v>277000000</v>
      </c>
      <c r="L107" s="193" t="s">
        <v>24</v>
      </c>
      <c r="M107" s="193" t="s">
        <v>47</v>
      </c>
      <c r="N107" s="51" t="str">
        <f>IF(AND('331-CT'!$E$7=TH!H107,OR(L107="331",M107="331")),"331",IF(AND(OR(L107="131",M107="131"),H107='131-CT'!$E$7),"131",""))</f>
        <v/>
      </c>
      <c r="O107" s="887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>x</v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09"/>
      <c r="AE107" s="210"/>
    </row>
    <row r="108" spans="1:31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12"/>
        <v>8</v>
      </c>
      <c r="C108" s="183">
        <f t="shared" si="11"/>
        <v>42601</v>
      </c>
      <c r="D108" s="183" t="s">
        <v>529</v>
      </c>
      <c r="E108" s="183">
        <v>42601</v>
      </c>
      <c r="F108" s="188" t="s">
        <v>524</v>
      </c>
      <c r="G108" s="479" t="s">
        <v>533</v>
      </c>
      <c r="H108" s="7" t="s">
        <v>457</v>
      </c>
      <c r="I108" s="255"/>
      <c r="J108" s="255"/>
      <c r="K108" s="596">
        <v>180000000</v>
      </c>
      <c r="L108" s="193" t="s">
        <v>8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7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09"/>
      <c r="AE108" s="210"/>
    </row>
    <row r="109" spans="1:31" s="588" customFormat="1" ht="15.75" customHeight="1">
      <c r="A109" s="203" t="str">
        <f>IF(B109&lt;&gt;"",IF(AND(B109&gt;=_TM1,B109&lt;=_TM2,OR(TH!L109="1111",TH!M109="1111")),TH!D109,""),"")</f>
        <v/>
      </c>
      <c r="B109" s="36">
        <f t="shared" si="12"/>
        <v>8</v>
      </c>
      <c r="C109" s="183">
        <f t="shared" si="11"/>
        <v>42601</v>
      </c>
      <c r="D109" s="183" t="s">
        <v>529</v>
      </c>
      <c r="E109" s="183">
        <v>42601</v>
      </c>
      <c r="F109" s="188" t="s">
        <v>539</v>
      </c>
      <c r="G109" s="479" t="s">
        <v>533</v>
      </c>
      <c r="H109" s="7"/>
      <c r="I109" s="255"/>
      <c r="J109" s="255"/>
      <c r="K109" s="596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87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09">
        <v>3</v>
      </c>
    </row>
    <row r="110" spans="1:31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12"/>
        <v>8</v>
      </c>
      <c r="C110" s="183">
        <f t="shared" ref="C110:C141" si="13">E110</f>
        <v>42601</v>
      </c>
      <c r="D110" s="183" t="s">
        <v>529</v>
      </c>
      <c r="E110" s="183">
        <v>42601</v>
      </c>
      <c r="F110" s="188" t="s">
        <v>540</v>
      </c>
      <c r="G110" s="479" t="s">
        <v>533</v>
      </c>
      <c r="H110" s="7"/>
      <c r="I110" s="255"/>
      <c r="J110" s="255"/>
      <c r="K110" s="596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87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09">
        <v>3</v>
      </c>
    </row>
    <row r="111" spans="1:31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12"/>
        <v>8</v>
      </c>
      <c r="C111" s="183">
        <f t="shared" si="13"/>
        <v>42601</v>
      </c>
      <c r="D111" s="183" t="s">
        <v>529</v>
      </c>
      <c r="E111" s="183">
        <v>42601</v>
      </c>
      <c r="F111" s="188" t="s">
        <v>524</v>
      </c>
      <c r="G111" s="479" t="s">
        <v>533</v>
      </c>
      <c r="H111" s="7" t="s">
        <v>456</v>
      </c>
      <c r="I111" s="255"/>
      <c r="J111" s="255"/>
      <c r="K111" s="596">
        <v>56000000</v>
      </c>
      <c r="L111" s="193" t="s">
        <v>8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87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>x</v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09"/>
    </row>
    <row r="112" spans="1:31" s="588" customFormat="1" ht="15.75" customHeight="1">
      <c r="A112" s="203" t="str">
        <f>IF(B112&lt;&gt;"",IF(AND(B112&gt;=_TM1,B112&lt;=_TM2,OR(TH!L112="1111",TH!M112="1111")),TH!D112,""),"")</f>
        <v/>
      </c>
      <c r="B112" s="36">
        <f t="shared" si="12"/>
        <v>8</v>
      </c>
      <c r="C112" s="183">
        <f t="shared" si="13"/>
        <v>42601</v>
      </c>
      <c r="D112" s="183" t="s">
        <v>529</v>
      </c>
      <c r="E112" s="183">
        <v>42601</v>
      </c>
      <c r="F112" s="188" t="s">
        <v>539</v>
      </c>
      <c r="G112" s="479" t="s">
        <v>533</v>
      </c>
      <c r="H112" s="7"/>
      <c r="I112" s="255"/>
      <c r="J112" s="255"/>
      <c r="K112" s="596">
        <v>20000</v>
      </c>
      <c r="L112" s="193" t="s">
        <v>83</v>
      </c>
      <c r="M112" s="193" t="s">
        <v>24</v>
      </c>
      <c r="N112" s="51" t="str">
        <f>IF(AND('331-CT'!$E$7=TH!H112,OR(L112="331",M112="331")),"331",IF(AND(OR(L112="131",M112="131"),H112='131-CT'!$E$7),"131",""))</f>
        <v/>
      </c>
      <c r="O112" s="887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>x</v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>x</v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09">
        <v>3</v>
      </c>
    </row>
    <row r="113" spans="1:33" s="588" customFormat="1" ht="15.75" customHeight="1">
      <c r="A113" s="203" t="str">
        <f>IF(B113&lt;&gt;"",IF(AND(B113&gt;=_TM1,B113&lt;=_TM2,OR(TH!L113="1111",TH!M113="1111")),TH!D113,""),"")</f>
        <v/>
      </c>
      <c r="B113" s="36">
        <f t="shared" si="12"/>
        <v>8</v>
      </c>
      <c r="C113" s="183">
        <f t="shared" si="13"/>
        <v>42601</v>
      </c>
      <c r="D113" s="183" t="s">
        <v>529</v>
      </c>
      <c r="E113" s="183">
        <v>42601</v>
      </c>
      <c r="F113" s="188" t="s">
        <v>540</v>
      </c>
      <c r="G113" s="479" t="s">
        <v>533</v>
      </c>
      <c r="H113" s="7"/>
      <c r="I113" s="255"/>
      <c r="J113" s="255"/>
      <c r="K113" s="596">
        <v>2000</v>
      </c>
      <c r="L113" s="193" t="s">
        <v>9</v>
      </c>
      <c r="M113" s="193" t="s">
        <v>24</v>
      </c>
      <c r="N113" s="51" t="str">
        <f>IF(AND('331-CT'!$E$7=TH!H113,OR(L113="331",M113="331")),"331",IF(AND(OR(L113="131",M113="131"),H113='131-CT'!$E$7),"131",""))</f>
        <v/>
      </c>
      <c r="O113" s="887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>x</v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09">
        <v>3</v>
      </c>
      <c r="AE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12"/>
        <v>8</v>
      </c>
      <c r="C114" s="183">
        <f t="shared" si="13"/>
        <v>42601</v>
      </c>
      <c r="D114" s="183" t="s">
        <v>529</v>
      </c>
      <c r="E114" s="183">
        <v>42601</v>
      </c>
      <c r="F114" s="188" t="s">
        <v>538</v>
      </c>
      <c r="G114" s="479" t="s">
        <v>533</v>
      </c>
      <c r="H114" s="192" t="s">
        <v>684</v>
      </c>
      <c r="I114" s="255"/>
      <c r="J114" s="255"/>
      <c r="K114" s="37">
        <v>40700000</v>
      </c>
      <c r="L114" s="193" t="s">
        <v>8</v>
      </c>
      <c r="M114" s="193" t="s">
        <v>24</v>
      </c>
      <c r="N114" s="51" t="str">
        <f>IF(AND('331-CT'!$E$7=TH!H114,OR(L114="331",M114="331")),"331",IF(AND(OR(L114="131",M114="131"),H114='131-CT'!$E$7),"131",""))</f>
        <v/>
      </c>
      <c r="O114" s="887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>x</v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09"/>
      <c r="AD114" s="210"/>
      <c r="AE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12"/>
        <v>8</v>
      </c>
      <c r="C115" s="183">
        <f t="shared" si="13"/>
        <v>42601</v>
      </c>
      <c r="D115" s="183" t="s">
        <v>529</v>
      </c>
      <c r="E115" s="183">
        <v>42601</v>
      </c>
      <c r="F115" s="188" t="s">
        <v>539</v>
      </c>
      <c r="G115" s="479" t="s">
        <v>533</v>
      </c>
      <c r="H115" s="7"/>
      <c r="I115" s="255"/>
      <c r="J115" s="255"/>
      <c r="K115" s="596">
        <v>20000</v>
      </c>
      <c r="L115" s="193" t="s">
        <v>83</v>
      </c>
      <c r="M115" s="193" t="s">
        <v>24</v>
      </c>
      <c r="N115" s="51" t="str">
        <f>IF(AND('331-CT'!$E$7=TH!H115,OR(L115="331",M115="331")),"331",IF(AND(OR(L115="131",M115="131"),H115='131-CT'!$E$7),"131",""))</f>
        <v/>
      </c>
      <c r="O115" s="887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>x</v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09">
        <v>3</v>
      </c>
      <c r="AE115" s="210"/>
    </row>
    <row r="116" spans="1:33" s="588" customFormat="1" ht="15.75" customHeight="1">
      <c r="A116" s="203" t="str">
        <f>IF(B116&lt;&gt;"",IF(AND(B116&gt;=_TM1,B116&lt;=_TM2,OR(TH!L116="1111",TH!M116="1111")),TH!D116,""),"")</f>
        <v/>
      </c>
      <c r="B116" s="36">
        <f t="shared" si="12"/>
        <v>8</v>
      </c>
      <c r="C116" s="183">
        <f t="shared" si="13"/>
        <v>42601</v>
      </c>
      <c r="D116" s="183" t="s">
        <v>529</v>
      </c>
      <c r="E116" s="183">
        <v>42601</v>
      </c>
      <c r="F116" s="188" t="s">
        <v>540</v>
      </c>
      <c r="G116" s="479" t="s">
        <v>533</v>
      </c>
      <c r="H116" s="7"/>
      <c r="I116" s="255"/>
      <c r="J116" s="255"/>
      <c r="K116" s="596">
        <v>2000</v>
      </c>
      <c r="L116" s="193" t="s">
        <v>9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87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09">
        <v>3</v>
      </c>
      <c r="AD116" s="210"/>
      <c r="AE116" s="210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12"/>
        <v>8</v>
      </c>
      <c r="C117" s="183">
        <f t="shared" si="13"/>
        <v>42601</v>
      </c>
      <c r="D117" s="183" t="s">
        <v>529</v>
      </c>
      <c r="E117" s="183">
        <v>42601</v>
      </c>
      <c r="F117" s="188" t="s">
        <v>545</v>
      </c>
      <c r="G117" s="479" t="s">
        <v>533</v>
      </c>
      <c r="H117" s="7"/>
      <c r="I117" s="255"/>
      <c r="J117" s="255"/>
      <c r="K117" s="596">
        <v>83010</v>
      </c>
      <c r="L117" s="193" t="s">
        <v>83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7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>x</v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09">
        <v>3</v>
      </c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si="12"/>
        <v>8</v>
      </c>
      <c r="C118" s="183">
        <f t="shared" si="13"/>
        <v>42601</v>
      </c>
      <c r="D118" s="183" t="s">
        <v>529</v>
      </c>
      <c r="E118" s="183">
        <v>42601</v>
      </c>
      <c r="F118" s="188" t="s">
        <v>546</v>
      </c>
      <c r="G118" s="479" t="s">
        <v>533</v>
      </c>
      <c r="H118" s="7"/>
      <c r="I118" s="255"/>
      <c r="J118" s="255"/>
      <c r="K118" s="596">
        <v>8301</v>
      </c>
      <c r="L118" s="193" t="s">
        <v>9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7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09">
        <v>3</v>
      </c>
      <c r="AD118" s="210"/>
      <c r="AE118" s="210"/>
    </row>
    <row r="119" spans="1:33" s="588" customFormat="1" ht="15.75" customHeight="1">
      <c r="A119" s="203" t="str">
        <f>IF(B119&lt;&gt;"",IF(AND(B119&gt;=_TM1,B119&lt;=_TM2,OR(TH!L119="1111",TH!M119="1111")),TH!D119,""),"")</f>
        <v>C10</v>
      </c>
      <c r="B119" s="36">
        <f t="shared" si="12"/>
        <v>8</v>
      </c>
      <c r="C119" s="183">
        <f t="shared" si="13"/>
        <v>42604</v>
      </c>
      <c r="D119" s="183" t="s">
        <v>525</v>
      </c>
      <c r="E119" s="183">
        <v>42604</v>
      </c>
      <c r="F119" s="188" t="s">
        <v>498</v>
      </c>
      <c r="G119" s="479" t="s">
        <v>500</v>
      </c>
      <c r="H119" s="192" t="s">
        <v>496</v>
      </c>
      <c r="I119" s="255"/>
      <c r="J119" s="255"/>
      <c r="K119" s="596">
        <v>1840000</v>
      </c>
      <c r="L119" s="597" t="s">
        <v>83</v>
      </c>
      <c r="M119" s="597" t="s">
        <v>47</v>
      </c>
      <c r="N119" s="51" t="str">
        <f>IF(AND('331-CT'!$E$7=TH!H119,OR(L119="331",M119="331")),"331",IF(AND(OR(L119="131",M119="131"),H119='131-CT'!$E$7),"131",""))</f>
        <v/>
      </c>
      <c r="O119" s="887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>x</v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09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C10</v>
      </c>
      <c r="B120" s="36">
        <f t="shared" si="12"/>
        <v>8</v>
      </c>
      <c r="C120" s="183">
        <f t="shared" si="13"/>
        <v>42604</v>
      </c>
      <c r="D120" s="183" t="s">
        <v>525</v>
      </c>
      <c r="E120" s="183">
        <v>42604</v>
      </c>
      <c r="F120" s="188" t="s">
        <v>499</v>
      </c>
      <c r="G120" s="479" t="s">
        <v>500</v>
      </c>
      <c r="H120" s="192" t="s">
        <v>496</v>
      </c>
      <c r="I120" s="255"/>
      <c r="J120" s="255"/>
      <c r="K120" s="596">
        <v>184000</v>
      </c>
      <c r="L120" s="597" t="s">
        <v>9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7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09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/>
      </c>
      <c r="B121" s="36">
        <f t="shared" si="12"/>
        <v>8</v>
      </c>
      <c r="C121" s="183">
        <f t="shared" si="13"/>
        <v>42606</v>
      </c>
      <c r="D121" s="183" t="s">
        <v>528</v>
      </c>
      <c r="E121" s="190">
        <v>42606</v>
      </c>
      <c r="F121" s="188" t="s">
        <v>543</v>
      </c>
      <c r="G121" s="479" t="s">
        <v>533</v>
      </c>
      <c r="H121" s="7" t="s">
        <v>413</v>
      </c>
      <c r="I121" s="255"/>
      <c r="J121" s="255"/>
      <c r="K121" s="596">
        <v>9389600</v>
      </c>
      <c r="L121" s="597" t="s">
        <v>24</v>
      </c>
      <c r="M121" s="597" t="s">
        <v>259</v>
      </c>
      <c r="N121" s="51" t="str">
        <f>IF(AND('331-CT'!$E$7=TH!H121,OR(L121="331",M121="331")),"331",IF(AND(OR(L121="131",M121="131"),H121='131-CT'!$E$7),"131",""))</f>
        <v/>
      </c>
      <c r="O121" s="887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>x</v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09"/>
      <c r="AD121" s="210"/>
      <c r="AE121" s="210"/>
    </row>
    <row r="122" spans="1:33" s="588" customFormat="1" ht="15.75" customHeight="1">
      <c r="A122" s="203" t="str">
        <f>IF(B122&lt;&gt;"",IF(AND(B122&gt;=_TM1,B122&lt;=_TM2,OR(TH!L122="1111",TH!M122="1111")),TH!D122,""),"")</f>
        <v/>
      </c>
      <c r="B122" s="36">
        <f t="shared" si="12"/>
        <v>8</v>
      </c>
      <c r="C122" s="183">
        <f t="shared" si="13"/>
        <v>42607</v>
      </c>
      <c r="D122" s="183" t="s">
        <v>528</v>
      </c>
      <c r="E122" s="190">
        <v>42607</v>
      </c>
      <c r="F122" s="188" t="s">
        <v>535</v>
      </c>
      <c r="G122" s="479" t="s">
        <v>533</v>
      </c>
      <c r="H122" s="7"/>
      <c r="I122" s="255"/>
      <c r="J122" s="255"/>
      <c r="K122" s="596">
        <v>3371</v>
      </c>
      <c r="L122" s="193" t="s">
        <v>24</v>
      </c>
      <c r="M122" s="193" t="s">
        <v>40</v>
      </c>
      <c r="N122" s="51" t="str">
        <f>IF(AND('331-CT'!$E$7=TH!H122,OR(L122="331",M122="331")),"331",IF(AND(OR(L122="131",M122="131"),H122='131-CT'!$E$7),"131",""))</f>
        <v/>
      </c>
      <c r="O122" s="887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>x</v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09"/>
      <c r="AE122" s="210"/>
    </row>
    <row r="123" spans="1:33" s="588" customFormat="1" ht="15.75" customHeight="1">
      <c r="A123" s="203" t="str">
        <f>IF(B123&lt;&gt;"",IF(AND(B123&gt;=_TM1,B123&lt;=_TM2,OR(TH!L123="1111",TH!M123="1111")),TH!D123,""),"")</f>
        <v/>
      </c>
      <c r="B123" s="36">
        <f t="shared" si="12"/>
        <v>8</v>
      </c>
      <c r="C123" s="183">
        <f t="shared" si="13"/>
        <v>42607</v>
      </c>
      <c r="D123" s="183" t="s">
        <v>528</v>
      </c>
      <c r="E123" s="190">
        <v>42607</v>
      </c>
      <c r="F123" s="188" t="s">
        <v>543</v>
      </c>
      <c r="G123" s="479" t="s">
        <v>533</v>
      </c>
      <c r="H123" s="7" t="s">
        <v>415</v>
      </c>
      <c r="I123" s="255"/>
      <c r="J123" s="255"/>
      <c r="K123" s="596">
        <v>12569920</v>
      </c>
      <c r="L123" s="597" t="s">
        <v>24</v>
      </c>
      <c r="M123" s="597" t="s">
        <v>259</v>
      </c>
      <c r="N123" s="51" t="str">
        <f>IF(AND('331-CT'!$E$7=TH!H123,OR(L123="331",M123="331")),"331",IF(AND(OR(L123="131",M123="131"),H123='131-CT'!$E$7),"131",""))</f>
        <v/>
      </c>
      <c r="O123" s="887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>x</v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09"/>
      <c r="AE123" s="210"/>
    </row>
    <row r="124" spans="1:33" s="588" customFormat="1" ht="15.75" customHeight="1">
      <c r="A124" s="203" t="str">
        <f>IF(B124&lt;&gt;"",IF(AND(B124&gt;=_TM1,B124&lt;=_TM2,OR(TH!L124="1111",TH!M124="1111")),TH!D124,""),"")</f>
        <v>T03</v>
      </c>
      <c r="B124" s="36">
        <f t="shared" si="12"/>
        <v>8</v>
      </c>
      <c r="C124" s="183">
        <f t="shared" si="13"/>
        <v>42607</v>
      </c>
      <c r="D124" s="183" t="s">
        <v>361</v>
      </c>
      <c r="E124" s="190">
        <v>42607</v>
      </c>
      <c r="F124" s="188" t="s">
        <v>544</v>
      </c>
      <c r="G124" s="479" t="s">
        <v>533</v>
      </c>
      <c r="H124" s="7" t="s">
        <v>547</v>
      </c>
      <c r="I124" s="255"/>
      <c r="J124" s="255"/>
      <c r="K124" s="596">
        <v>9500000</v>
      </c>
      <c r="L124" s="597" t="s">
        <v>47</v>
      </c>
      <c r="M124" s="597" t="s">
        <v>24</v>
      </c>
      <c r="N124" s="51" t="str">
        <f>IF(AND('331-CT'!$E$7=TH!H124,OR(L124="331",M124="331")),"331",IF(AND(OR(L124="131",M124="131"),H124='131-CT'!$E$7),"131",""))</f>
        <v/>
      </c>
      <c r="O124" s="887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>x</v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09"/>
      <c r="AE124" s="210"/>
    </row>
    <row r="125" spans="1:33" s="588" customFormat="1" ht="15.75" customHeight="1">
      <c r="A125" s="203" t="str">
        <f>IF(B125&lt;&gt;"",IF(AND(B125&gt;=_TM1,B125&lt;=_TM2,OR(TH!L125="1111",TH!M125="1111")),TH!D125,""),"")</f>
        <v/>
      </c>
      <c r="B125" s="36">
        <f t="shared" si="12"/>
        <v>8</v>
      </c>
      <c r="C125" s="183">
        <f t="shared" si="13"/>
        <v>42607</v>
      </c>
      <c r="D125" s="183" t="s">
        <v>529</v>
      </c>
      <c r="E125" s="190">
        <v>42607</v>
      </c>
      <c r="F125" s="188" t="s">
        <v>548</v>
      </c>
      <c r="G125" s="479" t="s">
        <v>533</v>
      </c>
      <c r="H125" s="7"/>
      <c r="I125" s="255"/>
      <c r="J125" s="255"/>
      <c r="K125" s="37">
        <v>20000</v>
      </c>
      <c r="L125" s="193" t="s">
        <v>83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87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>x</v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>x</v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09">
        <v>3</v>
      </c>
      <c r="AE125" s="210"/>
      <c r="AF125" s="210"/>
      <c r="AG125" s="210"/>
    </row>
    <row r="126" spans="1:33" s="588" customFormat="1" ht="15.75" customHeight="1">
      <c r="A126" s="203" t="str">
        <f>IF(B126&lt;&gt;"",IF(AND(B126&gt;=_TM1,B126&lt;=_TM2,OR(TH!L126="1111",TH!M126="1111")),TH!D126,""),"")</f>
        <v/>
      </c>
      <c r="B126" s="36">
        <f t="shared" si="12"/>
        <v>8</v>
      </c>
      <c r="C126" s="183">
        <f t="shared" si="13"/>
        <v>42607</v>
      </c>
      <c r="D126" s="183" t="s">
        <v>529</v>
      </c>
      <c r="E126" s="190">
        <v>42607</v>
      </c>
      <c r="F126" s="188" t="s">
        <v>549</v>
      </c>
      <c r="G126" s="479" t="s">
        <v>533</v>
      </c>
      <c r="H126" s="7"/>
      <c r="I126" s="255"/>
      <c r="J126" s="255"/>
      <c r="K126" s="37">
        <v>2000</v>
      </c>
      <c r="L126" s="193" t="s">
        <v>9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7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09">
        <v>3</v>
      </c>
      <c r="AD126" s="210"/>
      <c r="AE126" s="210"/>
      <c r="AF126" s="210"/>
      <c r="AG126" s="210"/>
    </row>
    <row r="127" spans="1:33" s="588" customFormat="1" ht="15.75" customHeight="1">
      <c r="A127" s="203" t="str">
        <f>IF(B127&lt;&gt;"",IF(AND(B127&gt;=_TM1,B127&lt;=_TM2,OR(TH!L127="1111",TH!M127="1111")),TH!D127,""),"")</f>
        <v/>
      </c>
      <c r="B127" s="36">
        <f t="shared" si="12"/>
        <v>8</v>
      </c>
      <c r="C127" s="183">
        <f t="shared" si="13"/>
        <v>42607</v>
      </c>
      <c r="D127" s="183" t="s">
        <v>529</v>
      </c>
      <c r="E127" s="190">
        <v>42607</v>
      </c>
      <c r="F127" s="188" t="s">
        <v>536</v>
      </c>
      <c r="G127" s="479" t="s">
        <v>533</v>
      </c>
      <c r="H127" s="7"/>
      <c r="I127" s="255"/>
      <c r="J127" s="255"/>
      <c r="K127" s="37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7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09">
        <v>3</v>
      </c>
      <c r="AE127" s="210"/>
      <c r="AF127" s="210"/>
      <c r="AG127" s="210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12"/>
        <v>8</v>
      </c>
      <c r="C128" s="183">
        <f t="shared" si="13"/>
        <v>42607</v>
      </c>
      <c r="D128" s="183" t="s">
        <v>529</v>
      </c>
      <c r="E128" s="190">
        <v>42607</v>
      </c>
      <c r="F128" s="188" t="s">
        <v>537</v>
      </c>
      <c r="G128" s="479" t="s">
        <v>533</v>
      </c>
      <c r="H128" s="7"/>
      <c r="I128" s="255"/>
      <c r="J128" s="255"/>
      <c r="K128" s="37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7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09">
        <v>3</v>
      </c>
      <c r="AD128" s="210"/>
      <c r="AE128" s="210"/>
      <c r="AF128" s="210"/>
      <c r="AG128" s="210"/>
    </row>
    <row r="129" spans="1:33" s="588" customFormat="1" ht="15.75" customHeight="1">
      <c r="A129" s="203" t="str">
        <f>IF(B129&lt;&gt;"",IF(AND(B129&gt;=_TM1,B129&lt;=_TM2,OR(TH!L129="1111",TH!M129="1111")),TH!D129,""),"")</f>
        <v>T04</v>
      </c>
      <c r="B129" s="36">
        <f t="shared" si="12"/>
        <v>8</v>
      </c>
      <c r="C129" s="183">
        <f t="shared" si="13"/>
        <v>42608</v>
      </c>
      <c r="D129" s="183" t="s">
        <v>705</v>
      </c>
      <c r="E129" s="190">
        <v>42608</v>
      </c>
      <c r="F129" s="188" t="s">
        <v>544</v>
      </c>
      <c r="G129" s="479" t="s">
        <v>533</v>
      </c>
      <c r="H129" s="7" t="s">
        <v>534</v>
      </c>
      <c r="I129" s="255"/>
      <c r="J129" s="255"/>
      <c r="K129" s="596">
        <v>12600000</v>
      </c>
      <c r="L129" s="597" t="s">
        <v>47</v>
      </c>
      <c r="M129" s="597" t="s">
        <v>24</v>
      </c>
      <c r="N129" s="51" t="str">
        <f>IF(AND('331-CT'!$E$7=TH!H129,OR(L129="331",M129="331")),"331",IF(AND(OR(L129="131",M129="131"),H129='131-CT'!$E$7),"131",""))</f>
        <v/>
      </c>
      <c r="O129" s="887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>x</v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09"/>
      <c r="AE129" s="210"/>
      <c r="AF129" s="210"/>
      <c r="AG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12"/>
        <v>8</v>
      </c>
      <c r="C130" s="183">
        <f t="shared" si="13"/>
        <v>42613</v>
      </c>
      <c r="D130" s="183" t="s">
        <v>522</v>
      </c>
      <c r="E130" s="183">
        <v>42613</v>
      </c>
      <c r="F130" s="188" t="s">
        <v>503</v>
      </c>
      <c r="G130" s="479" t="s">
        <v>506</v>
      </c>
      <c r="H130" s="192" t="s">
        <v>501</v>
      </c>
      <c r="I130" s="255">
        <v>12830</v>
      </c>
      <c r="J130" s="255">
        <v>780</v>
      </c>
      <c r="K130" s="37">
        <f>ROUND(I130*J130,0)</f>
        <v>10007400</v>
      </c>
      <c r="L130" s="193" t="s">
        <v>161</v>
      </c>
      <c r="M130" s="193" t="s">
        <v>8</v>
      </c>
      <c r="N130" s="51" t="str">
        <f>IF(AND('331-CT'!$E$7=TH!H130,OR(L130="331",M130="331")),"331",IF(AND(OR(L130="131",M130="131"),H130='131-CT'!$E$7),"131",""))</f>
        <v/>
      </c>
      <c r="O130" s="887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09">
        <v>3</v>
      </c>
    </row>
    <row r="131" spans="1:33" s="588" customFormat="1" ht="15.75" customHeight="1">
      <c r="A131" s="203" t="str">
        <f>IF(B131&lt;&gt;"",IF(AND(B131&gt;=_TM1,B131&lt;=_TM2,OR(TH!L131="1111",TH!M131="1111")),TH!D131,""),"")</f>
        <v/>
      </c>
      <c r="B131" s="36">
        <f t="shared" si="12"/>
        <v>8</v>
      </c>
      <c r="C131" s="183">
        <f t="shared" si="13"/>
        <v>42613</v>
      </c>
      <c r="D131" s="183" t="s">
        <v>522</v>
      </c>
      <c r="E131" s="183">
        <v>42613</v>
      </c>
      <c r="F131" s="188" t="s">
        <v>504</v>
      </c>
      <c r="G131" s="479" t="s">
        <v>506</v>
      </c>
      <c r="H131" s="192" t="s">
        <v>501</v>
      </c>
      <c r="I131" s="255"/>
      <c r="J131" s="255"/>
      <c r="K131" s="596">
        <v>1000740</v>
      </c>
      <c r="L131" s="193" t="s">
        <v>9</v>
      </c>
      <c r="M131" s="193" t="s">
        <v>8</v>
      </c>
      <c r="N131" s="51" t="str">
        <f>IF(AND('331-CT'!$E$7=TH!H131,OR(L131="331",M131="331")),"331",IF(AND(OR(L131="131",M131="131"),H131='131-CT'!$E$7),"131",""))</f>
        <v/>
      </c>
      <c r="O131" s="887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09">
        <v>3</v>
      </c>
    </row>
    <row r="132" spans="1:33" s="588" customFormat="1" ht="15.75" customHeight="1">
      <c r="A132" s="203" t="str">
        <f>IF(B132&lt;&gt;"",IF(AND(B132&gt;=_TM1,B132&lt;=_TM2,OR(TH!L132="1111",TH!M132="1111")),TH!D132,""),"")</f>
        <v>C10</v>
      </c>
      <c r="B132" s="36">
        <f t="shared" si="12"/>
        <v>8</v>
      </c>
      <c r="C132" s="183">
        <f t="shared" si="13"/>
        <v>42613</v>
      </c>
      <c r="D132" s="183" t="s">
        <v>525</v>
      </c>
      <c r="E132" s="183">
        <v>42613</v>
      </c>
      <c r="F132" s="188" t="s">
        <v>524</v>
      </c>
      <c r="G132" s="479" t="s">
        <v>506</v>
      </c>
      <c r="H132" s="192" t="s">
        <v>501</v>
      </c>
      <c r="I132" s="255"/>
      <c r="J132" s="255"/>
      <c r="K132" s="596">
        <v>11008140</v>
      </c>
      <c r="L132" s="193" t="s">
        <v>8</v>
      </c>
      <c r="M132" s="193" t="s">
        <v>47</v>
      </c>
      <c r="N132" s="51" t="str">
        <f>IF(AND('331-CT'!$E$7=TH!H132,OR(L132="331",M132="331")),"331",IF(AND(OR(L132="131",M132="131"),H132='131-CT'!$E$7),"131",""))</f>
        <v/>
      </c>
      <c r="O132" s="887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09"/>
    </row>
    <row r="133" spans="1:33" s="588" customFormat="1" ht="15.75" customHeight="1">
      <c r="A133" s="203" t="str">
        <f>IF(B133&lt;&gt;"",IF(AND(B133&gt;=_TM1,B133&lt;=_TM2,OR(TH!L133="1111",TH!M133="1111")),TH!D133,""),"")</f>
        <v>C11</v>
      </c>
      <c r="B133" s="36">
        <f t="shared" si="12"/>
        <v>8</v>
      </c>
      <c r="C133" s="183">
        <f t="shared" si="13"/>
        <v>42613</v>
      </c>
      <c r="D133" s="190" t="s">
        <v>526</v>
      </c>
      <c r="E133" s="183">
        <v>42613</v>
      </c>
      <c r="F133" s="188" t="s">
        <v>687</v>
      </c>
      <c r="G133" s="479"/>
      <c r="H133" s="192"/>
      <c r="I133" s="255"/>
      <c r="J133" s="255"/>
      <c r="K133" s="596">
        <f>ROUND((15*15000+5*25000+6*30000+2*40000)/1.1,0)</f>
        <v>554545</v>
      </c>
      <c r="L133" s="597" t="s">
        <v>261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87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>641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09">
        <v>3</v>
      </c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>C11</v>
      </c>
      <c r="B134" s="36">
        <f t="shared" si="12"/>
        <v>8</v>
      </c>
      <c r="C134" s="183">
        <f t="shared" si="13"/>
        <v>42613</v>
      </c>
      <c r="D134" s="190" t="s">
        <v>526</v>
      </c>
      <c r="E134" s="183">
        <v>42613</v>
      </c>
      <c r="F134" s="188" t="s">
        <v>688</v>
      </c>
      <c r="G134" s="479"/>
      <c r="H134" s="192"/>
      <c r="I134" s="255"/>
      <c r="J134" s="255"/>
      <c r="K134" s="596">
        <v>55455</v>
      </c>
      <c r="L134" s="597" t="s">
        <v>9</v>
      </c>
      <c r="M134" s="597" t="s">
        <v>47</v>
      </c>
      <c r="N134" s="51" t="str">
        <f>IF(AND('331-CT'!$E$7=TH!H134,OR(L134="331",M134="331")),"331",IF(AND(OR(L134="131",M134="131"),H134='131-CT'!$E$7),"131",""))</f>
        <v/>
      </c>
      <c r="O134" s="887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09">
        <v>3</v>
      </c>
      <c r="AF134" s="210"/>
      <c r="AG134" s="210"/>
    </row>
    <row r="135" spans="1:33" s="588" customFormat="1" ht="15.75" customHeight="1">
      <c r="A135" s="203" t="str">
        <f>IF(B135&lt;&gt;"",IF(AND(B135&gt;=_TM1,B135&lt;=_TM2,OR(TH!L135="1111",TH!M135="1111")),TH!D135,""),"")</f>
        <v/>
      </c>
      <c r="B135" s="36">
        <f t="shared" si="12"/>
        <v>8</v>
      </c>
      <c r="C135" s="183">
        <f t="shared" si="13"/>
        <v>42613</v>
      </c>
      <c r="D135" s="183" t="s">
        <v>528</v>
      </c>
      <c r="E135" s="190">
        <v>42613</v>
      </c>
      <c r="F135" s="188" t="s">
        <v>543</v>
      </c>
      <c r="G135" s="479" t="s">
        <v>533</v>
      </c>
      <c r="H135" s="7" t="s">
        <v>412</v>
      </c>
      <c r="I135" s="255"/>
      <c r="J135" s="255"/>
      <c r="K135" s="596">
        <v>22752620</v>
      </c>
      <c r="L135" s="597" t="s">
        <v>24</v>
      </c>
      <c r="M135" s="597" t="s">
        <v>259</v>
      </c>
      <c r="N135" s="51" t="str">
        <f>IF(AND('331-CT'!$E$7=TH!H135,OR(L135="331",M135="331")),"331",IF(AND(OR(L135="131",M135="131"),H135='131-CT'!$E$7),"131",""))</f>
        <v/>
      </c>
      <c r="O135" s="887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>x</v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09"/>
      <c r="AF135" s="210"/>
      <c r="AG135" s="210"/>
    </row>
    <row r="136" spans="1:33" s="588" customFormat="1" ht="15.75" customHeight="1">
      <c r="A136" s="203" t="str">
        <f>IF(B136&lt;&gt;"",IF(AND(B136&gt;=_TM1,B136&lt;=_TM2,OR(TH!L136="1111",TH!M136="1111")),TH!D136,""),"")</f>
        <v>GBC</v>
      </c>
      <c r="B136" s="36">
        <f t="shared" si="12"/>
        <v>9</v>
      </c>
      <c r="C136" s="183">
        <f t="shared" si="13"/>
        <v>42614</v>
      </c>
      <c r="D136" s="183" t="s">
        <v>528</v>
      </c>
      <c r="E136" s="190">
        <v>42614</v>
      </c>
      <c r="F136" s="188" t="s">
        <v>544</v>
      </c>
      <c r="G136" s="479" t="s">
        <v>533</v>
      </c>
      <c r="H136" s="7" t="s">
        <v>534</v>
      </c>
      <c r="I136" s="255"/>
      <c r="J136" s="255"/>
      <c r="K136" s="37">
        <v>7000000</v>
      </c>
      <c r="L136" s="597" t="s">
        <v>47</v>
      </c>
      <c r="M136" s="597" t="s">
        <v>24</v>
      </c>
      <c r="N136" s="51" t="str">
        <f>IF(AND('331-CT'!$E$7=TH!H136,OR(L136="331",M136="331")),"331",IF(AND(OR(L136="131",M136="131"),H136='131-CT'!$E$7),"131",""))</f>
        <v/>
      </c>
      <c r="O136" s="887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09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2"/>
        <v>9</v>
      </c>
      <c r="C137" s="183">
        <f t="shared" si="13"/>
        <v>42614</v>
      </c>
      <c r="D137" s="183" t="s">
        <v>529</v>
      </c>
      <c r="E137" s="190">
        <v>42614</v>
      </c>
      <c r="F137" s="188" t="s">
        <v>524</v>
      </c>
      <c r="G137" s="479" t="s">
        <v>533</v>
      </c>
      <c r="H137" s="7" t="s">
        <v>456</v>
      </c>
      <c r="I137" s="255"/>
      <c r="J137" s="255"/>
      <c r="K137" s="596">
        <v>15000000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7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09"/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si="12"/>
        <v>9</v>
      </c>
      <c r="C138" s="183">
        <f t="shared" si="13"/>
        <v>42614</v>
      </c>
      <c r="D138" s="183" t="s">
        <v>529</v>
      </c>
      <c r="E138" s="190">
        <v>42614</v>
      </c>
      <c r="F138" s="188" t="s">
        <v>539</v>
      </c>
      <c r="G138" s="479" t="s">
        <v>533</v>
      </c>
      <c r="H138" s="7"/>
      <c r="I138" s="255"/>
      <c r="J138" s="255"/>
      <c r="K138" s="596">
        <v>20000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87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>x</v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09">
        <v>3</v>
      </c>
    </row>
    <row r="139" spans="1:33" s="588" customFormat="1" ht="15.75" customHeight="1">
      <c r="A139" s="203" t="str">
        <f>IF(B139&lt;&gt;"",IF(AND(B139&gt;=_TM1,B139&lt;=_TM2,OR(TH!L139="1111",TH!M139="1111")),TH!D139,""),"")</f>
        <v/>
      </c>
      <c r="B139" s="36">
        <f t="shared" si="12"/>
        <v>9</v>
      </c>
      <c r="C139" s="183">
        <f t="shared" si="13"/>
        <v>42614</v>
      </c>
      <c r="D139" s="183" t="s">
        <v>529</v>
      </c>
      <c r="E139" s="190">
        <v>42614</v>
      </c>
      <c r="F139" s="188" t="s">
        <v>540</v>
      </c>
      <c r="G139" s="479" t="s">
        <v>533</v>
      </c>
      <c r="H139" s="7"/>
      <c r="I139" s="255"/>
      <c r="J139" s="255"/>
      <c r="K139" s="596">
        <v>2000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87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>x</v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09">
        <v>3</v>
      </c>
    </row>
    <row r="140" spans="1:33" s="588" customFormat="1" ht="15.75" customHeight="1">
      <c r="A140" s="203" t="str">
        <f>IF(B140&lt;&gt;"",IF(AND(B140&gt;=_TM1,B140&lt;=_TM2,OR(TH!L140="1111",TH!M140="1111")),TH!D140,""),"")</f>
        <v>C12</v>
      </c>
      <c r="B140" s="36">
        <f t="shared" si="12"/>
        <v>9</v>
      </c>
      <c r="C140" s="183">
        <f t="shared" si="13"/>
        <v>42620</v>
      </c>
      <c r="D140" s="190" t="s">
        <v>527</v>
      </c>
      <c r="E140" s="183">
        <v>42620</v>
      </c>
      <c r="F140" s="188" t="s">
        <v>469</v>
      </c>
      <c r="G140" s="479" t="s">
        <v>488</v>
      </c>
      <c r="H140" s="192" t="s">
        <v>487</v>
      </c>
      <c r="I140" s="255"/>
      <c r="J140" s="255"/>
      <c r="K140" s="596">
        <v>5638527</v>
      </c>
      <c r="L140" s="597" t="s">
        <v>261</v>
      </c>
      <c r="M140" s="597" t="s">
        <v>47</v>
      </c>
      <c r="N140" s="51" t="str">
        <f>IF(AND('331-CT'!$E$7=TH!H140,OR(L140="331",M140="331")),"331",IF(AND(OR(L140="131",M140="131"),H140='131-CT'!$E$7),"131",""))</f>
        <v/>
      </c>
      <c r="O140" s="887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641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09">
        <v>3</v>
      </c>
    </row>
    <row r="141" spans="1:33" s="588" customFormat="1" ht="15.75" customHeight="1">
      <c r="A141" s="203" t="str">
        <f>IF(B141&lt;&gt;"",IF(AND(B141&gt;=_TM1,B141&lt;=_TM2,OR(TH!L141="1111",TH!M141="1111")),TH!D141,""),"")</f>
        <v>C12</v>
      </c>
      <c r="B141" s="36">
        <f t="shared" si="12"/>
        <v>9</v>
      </c>
      <c r="C141" s="183">
        <f t="shared" si="13"/>
        <v>42620</v>
      </c>
      <c r="D141" s="190" t="s">
        <v>527</v>
      </c>
      <c r="E141" s="183">
        <v>42620</v>
      </c>
      <c r="F141" s="188" t="s">
        <v>470</v>
      </c>
      <c r="G141" s="479" t="s">
        <v>488</v>
      </c>
      <c r="H141" s="192" t="s">
        <v>487</v>
      </c>
      <c r="I141" s="255"/>
      <c r="J141" s="255"/>
      <c r="K141" s="596">
        <v>563853</v>
      </c>
      <c r="L141" s="597" t="s">
        <v>9</v>
      </c>
      <c r="M141" s="597" t="s">
        <v>47</v>
      </c>
      <c r="N141" s="51" t="str">
        <f>IF(AND('331-CT'!$E$7=TH!H141,OR(L141="331",M141="331")),"331",IF(AND(OR(L141="131",M141="131"),H141='131-CT'!$E$7),"131",""))</f>
        <v/>
      </c>
      <c r="O141" s="887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09">
        <v>3</v>
      </c>
    </row>
    <row r="142" spans="1:33" s="210" customFormat="1" ht="15.75" customHeight="1">
      <c r="A142" s="203" t="str">
        <f>IF(B142&lt;&gt;"",IF(AND(B142&gt;=_TM1,B142&lt;=_TM2,OR(TH!L142="1111",TH!M142="1111")),TH!D142,""),"")</f>
        <v>C13</v>
      </c>
      <c r="B142" s="36">
        <f t="shared" si="12"/>
        <v>9</v>
      </c>
      <c r="C142" s="183">
        <f t="shared" ref="C142:C178" si="14">E142</f>
        <v>42622</v>
      </c>
      <c r="D142" s="190" t="s">
        <v>703</v>
      </c>
      <c r="E142" s="183">
        <v>42622</v>
      </c>
      <c r="F142" s="188" t="s">
        <v>368</v>
      </c>
      <c r="G142" s="479" t="s">
        <v>485</v>
      </c>
      <c r="H142" s="192" t="s">
        <v>486</v>
      </c>
      <c r="I142" s="255"/>
      <c r="J142" s="255"/>
      <c r="K142" s="596">
        <v>1760000</v>
      </c>
      <c r="L142" s="597" t="s">
        <v>165</v>
      </c>
      <c r="M142" s="597" t="s">
        <v>47</v>
      </c>
      <c r="N142" s="51" t="str">
        <f>IF(AND('331-CT'!$E$7=TH!H142,OR(L142="331",M142="331")),"331",IF(AND(OR(L142="131",M142="131"),H142='131-CT'!$E$7),"131",""))</f>
        <v/>
      </c>
      <c r="O142" s="887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09">
        <v>3</v>
      </c>
      <c r="AC142" s="588"/>
      <c r="AD142" s="588"/>
      <c r="AE142" s="588"/>
      <c r="AF142" s="588"/>
      <c r="AG142" s="588"/>
    </row>
    <row r="143" spans="1:33" s="210" customFormat="1" ht="15.75" customHeight="1">
      <c r="A143" s="203" t="str">
        <f>IF(B143&lt;&gt;"",IF(AND(B143&gt;=_TM1,B143&lt;=_TM2,OR(TH!L143="1111",TH!M143="1111")),TH!D143,""),"")</f>
        <v>C13</v>
      </c>
      <c r="B143" s="36">
        <f t="shared" si="12"/>
        <v>9</v>
      </c>
      <c r="C143" s="183">
        <f t="shared" si="14"/>
        <v>42622</v>
      </c>
      <c r="D143" s="190" t="s">
        <v>703</v>
      </c>
      <c r="E143" s="183">
        <v>42622</v>
      </c>
      <c r="F143" s="188" t="s">
        <v>484</v>
      </c>
      <c r="G143" s="479" t="s">
        <v>485</v>
      </c>
      <c r="H143" s="192" t="s">
        <v>486</v>
      </c>
      <c r="I143" s="255"/>
      <c r="J143" s="255"/>
      <c r="K143" s="596">
        <v>176000</v>
      </c>
      <c r="L143" s="597" t="s">
        <v>9</v>
      </c>
      <c r="M143" s="597" t="s">
        <v>47</v>
      </c>
      <c r="N143" s="51" t="str">
        <f>IF(AND('331-CT'!$E$7=TH!H143,OR(L143="331",M143="331")),"331",IF(AND(OR(L143="131",M143="131"),H143='131-CT'!$E$7),"131",""))</f>
        <v/>
      </c>
      <c r="O143" s="887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09">
        <v>3</v>
      </c>
      <c r="AC143" s="588"/>
      <c r="AD143" s="588"/>
      <c r="AE143" s="588"/>
      <c r="AF143" s="588"/>
      <c r="AG143" s="588"/>
    </row>
    <row r="144" spans="1:33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2"/>
        <v>9</v>
      </c>
      <c r="C144" s="183">
        <f t="shared" si="14"/>
        <v>42622</v>
      </c>
      <c r="D144" s="183" t="s">
        <v>528</v>
      </c>
      <c r="E144" s="190">
        <v>42622</v>
      </c>
      <c r="F144" s="188" t="s">
        <v>543</v>
      </c>
      <c r="G144" s="479" t="s">
        <v>533</v>
      </c>
      <c r="H144" s="7" t="s">
        <v>408</v>
      </c>
      <c r="I144" s="255"/>
      <c r="J144" s="255"/>
      <c r="K144" s="596">
        <v>34100000</v>
      </c>
      <c r="L144" s="597" t="s">
        <v>24</v>
      </c>
      <c r="M144" s="597" t="s">
        <v>259</v>
      </c>
      <c r="N144" s="51" t="str">
        <f>IF(AND('331-CT'!$E$7=TH!H144,OR(L144="331",M144="331")),"331",IF(AND(OR(L144="131",M144="131"),H144='131-CT'!$E$7),"131",""))</f>
        <v/>
      </c>
      <c r="O144" s="887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>x</v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09"/>
      <c r="AC144" s="588"/>
      <c r="AD144" s="588"/>
      <c r="AE144" s="588"/>
      <c r="AF144" s="588"/>
      <c r="AG144" s="588"/>
    </row>
    <row r="145" spans="1:33" s="210" customFormat="1" ht="15.75" customHeight="1">
      <c r="A145" s="203" t="str">
        <f>IF(B145&lt;&gt;"",IF(AND(B145&gt;=_TM1,B145&lt;=_TM2,OR(TH!L145="1111",TH!M145="1111")),TH!D145,""),"")</f>
        <v>GBC</v>
      </c>
      <c r="B145" s="36">
        <f t="shared" si="12"/>
        <v>9</v>
      </c>
      <c r="C145" s="183">
        <f t="shared" si="14"/>
        <v>42622</v>
      </c>
      <c r="D145" s="183" t="s">
        <v>528</v>
      </c>
      <c r="E145" s="190">
        <v>42622</v>
      </c>
      <c r="F145" s="188" t="s">
        <v>530</v>
      </c>
      <c r="G145" s="479" t="s">
        <v>533</v>
      </c>
      <c r="H145" s="7" t="s">
        <v>534</v>
      </c>
      <c r="I145" s="255"/>
      <c r="J145" s="255"/>
      <c r="K145" s="37">
        <v>5200000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7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09"/>
      <c r="AC145" s="588"/>
      <c r="AD145" s="588"/>
      <c r="AE145" s="588"/>
      <c r="AF145" s="588"/>
      <c r="AG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2"/>
        <v>9</v>
      </c>
      <c r="C146" s="183">
        <f t="shared" si="14"/>
        <v>42622</v>
      </c>
      <c r="D146" s="183" t="s">
        <v>529</v>
      </c>
      <c r="E146" s="190">
        <v>42622</v>
      </c>
      <c r="F146" s="188" t="s">
        <v>524</v>
      </c>
      <c r="G146" s="479" t="s">
        <v>533</v>
      </c>
      <c r="H146" s="7" t="s">
        <v>457</v>
      </c>
      <c r="I146" s="255"/>
      <c r="J146" s="255"/>
      <c r="K146" s="596">
        <v>40000000</v>
      </c>
      <c r="L146" s="193" t="s">
        <v>8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87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>x</v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09"/>
      <c r="AC146" s="588"/>
      <c r="AD146" s="588"/>
      <c r="AE146" s="588"/>
      <c r="AF146" s="588"/>
      <c r="AG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2"/>
        <v>9</v>
      </c>
      <c r="C147" s="183">
        <f t="shared" si="14"/>
        <v>42622</v>
      </c>
      <c r="D147" s="183" t="s">
        <v>529</v>
      </c>
      <c r="E147" s="190">
        <v>42622</v>
      </c>
      <c r="F147" s="188" t="s">
        <v>539</v>
      </c>
      <c r="G147" s="479" t="s">
        <v>533</v>
      </c>
      <c r="H147" s="7"/>
      <c r="I147" s="255"/>
      <c r="J147" s="255"/>
      <c r="K147" s="596">
        <v>10000</v>
      </c>
      <c r="L147" s="193" t="s">
        <v>83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7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>x</v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09">
        <v>3</v>
      </c>
      <c r="AC147" s="588"/>
      <c r="AD147" s="588"/>
      <c r="AF147" s="588"/>
      <c r="AG147" s="588"/>
    </row>
    <row r="148" spans="1:33" s="588" customFormat="1" ht="15.75" customHeight="1">
      <c r="A148" s="203" t="str">
        <f>IF(B148&lt;&gt;"",IF(AND(B148&gt;=_TM1,B148&lt;=_TM2,OR(TH!L148="1111",TH!M148="1111")),TH!D148,""),"")</f>
        <v/>
      </c>
      <c r="B148" s="36">
        <f t="shared" si="12"/>
        <v>9</v>
      </c>
      <c r="C148" s="183">
        <f t="shared" si="14"/>
        <v>42622</v>
      </c>
      <c r="D148" s="183" t="s">
        <v>529</v>
      </c>
      <c r="E148" s="190">
        <v>42622</v>
      </c>
      <c r="F148" s="188" t="s">
        <v>540</v>
      </c>
      <c r="G148" s="479" t="s">
        <v>533</v>
      </c>
      <c r="H148" s="7"/>
      <c r="I148" s="255"/>
      <c r="J148" s="255"/>
      <c r="K148" s="596">
        <v>1000</v>
      </c>
      <c r="L148" s="193" t="s">
        <v>9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7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09">
        <v>3</v>
      </c>
      <c r="AE148" s="210"/>
    </row>
    <row r="149" spans="1:33" s="588" customFormat="1" ht="15.75" customHeight="1">
      <c r="A149" s="203" t="str">
        <f>IF(B149&lt;&gt;"",IF(AND(B149&gt;=_TM1,B149&lt;=_TM2,OR(TH!L149="1111",TH!M149="1111")),TH!D149,""),"")</f>
        <v/>
      </c>
      <c r="B149" s="36">
        <f t="shared" si="12"/>
        <v>9</v>
      </c>
      <c r="C149" s="183">
        <f t="shared" si="14"/>
        <v>42625</v>
      </c>
      <c r="D149" s="183" t="s">
        <v>528</v>
      </c>
      <c r="E149" s="190">
        <v>42625</v>
      </c>
      <c r="F149" s="188" t="s">
        <v>543</v>
      </c>
      <c r="G149" s="479" t="s">
        <v>533</v>
      </c>
      <c r="H149" s="7" t="s">
        <v>413</v>
      </c>
      <c r="I149" s="255"/>
      <c r="J149" s="255"/>
      <c r="K149" s="596">
        <v>25773000</v>
      </c>
      <c r="L149" s="597" t="s">
        <v>24</v>
      </c>
      <c r="M149" s="597" t="s">
        <v>259</v>
      </c>
      <c r="N149" s="51" t="str">
        <f>IF(AND('331-CT'!$E$7=TH!H149,OR(L149="331",M149="331")),"331",IF(AND(OR(L149="131",M149="131"),H149='131-CT'!$E$7),"131",""))</f>
        <v/>
      </c>
      <c r="O149" s="887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>x</v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09"/>
      <c r="AD149" s="210"/>
      <c r="AE149" s="210"/>
    </row>
    <row r="150" spans="1:33" s="588" customFormat="1" ht="15.75" customHeight="1">
      <c r="A150" s="203" t="str">
        <f>IF(B150&lt;&gt;"",IF(AND(B150&gt;=_TM1,B150&lt;=_TM2,OR(TH!L150="1111",TH!M150="1111")),TH!D150,""),"")</f>
        <v/>
      </c>
      <c r="B150" s="36">
        <f t="shared" si="12"/>
        <v>9</v>
      </c>
      <c r="C150" s="183">
        <f t="shared" si="14"/>
        <v>42625</v>
      </c>
      <c r="D150" s="183" t="s">
        <v>529</v>
      </c>
      <c r="E150" s="190">
        <v>42625</v>
      </c>
      <c r="F150" s="188" t="s">
        <v>538</v>
      </c>
      <c r="G150" s="479" t="s">
        <v>533</v>
      </c>
      <c r="H150" s="192" t="s">
        <v>684</v>
      </c>
      <c r="I150" s="255"/>
      <c r="J150" s="255"/>
      <c r="K150" s="37">
        <v>20700000</v>
      </c>
      <c r="L150" s="193" t="s">
        <v>8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87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>x</v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09"/>
      <c r="AE150" s="210"/>
    </row>
    <row r="151" spans="1:33" s="588" customFormat="1" ht="15.75" customHeight="1">
      <c r="A151" s="203" t="str">
        <f>IF(B151&lt;&gt;"",IF(AND(B151&gt;=_TM1,B151&lt;=_TM2,OR(TH!L151="1111",TH!M151="1111")),TH!D151,""),"")</f>
        <v>GBN</v>
      </c>
      <c r="B151" s="36">
        <f t="shared" si="12"/>
        <v>9</v>
      </c>
      <c r="C151" s="183">
        <f t="shared" si="14"/>
        <v>42626</v>
      </c>
      <c r="D151" s="183" t="s">
        <v>529</v>
      </c>
      <c r="E151" s="190">
        <v>42626</v>
      </c>
      <c r="F151" s="188" t="s">
        <v>544</v>
      </c>
      <c r="G151" s="479" t="s">
        <v>533</v>
      </c>
      <c r="H151" s="7" t="s">
        <v>547</v>
      </c>
      <c r="I151" s="255"/>
      <c r="J151" s="255"/>
      <c r="K151" s="596">
        <v>5000000</v>
      </c>
      <c r="L151" s="597" t="s">
        <v>47</v>
      </c>
      <c r="M151" s="597" t="s">
        <v>24</v>
      </c>
      <c r="N151" s="51" t="str">
        <f>IF(AND('331-CT'!$E$7=TH!H151,OR(L151="331",M151="331")),"331",IF(AND(OR(L151="131",M151="131"),H151='131-CT'!$E$7),"131",""))</f>
        <v/>
      </c>
      <c r="O151" s="887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>x</v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09"/>
      <c r="AE151" s="210"/>
    </row>
    <row r="152" spans="1:33" s="588" customFormat="1" ht="15.75" customHeight="1">
      <c r="A152" s="203" t="str">
        <f>IF(B152&lt;&gt;"",IF(AND(B152&gt;=_TM1,B152&lt;=_TM2,OR(TH!L152="1111",TH!M152="1111")),TH!D152,""),"")</f>
        <v/>
      </c>
      <c r="B152" s="36">
        <f t="shared" si="12"/>
        <v>9</v>
      </c>
      <c r="C152" s="183">
        <f t="shared" si="14"/>
        <v>42626</v>
      </c>
      <c r="D152" s="183" t="s">
        <v>529</v>
      </c>
      <c r="E152" s="190">
        <v>42626</v>
      </c>
      <c r="F152" s="188" t="s">
        <v>548</v>
      </c>
      <c r="G152" s="479" t="s">
        <v>533</v>
      </c>
      <c r="H152" s="7"/>
      <c r="I152" s="255"/>
      <c r="J152" s="255"/>
      <c r="K152" s="3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87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>x</v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09">
        <v>3</v>
      </c>
      <c r="AE152" s="210"/>
      <c r="AF152" s="210"/>
      <c r="AG152" s="210"/>
    </row>
    <row r="153" spans="1:33" s="588" customFormat="1" ht="15.75" customHeight="1">
      <c r="A153" s="203" t="str">
        <f>IF(B153&lt;&gt;"",IF(AND(B153&gt;=_TM1,B153&lt;=_TM2,OR(TH!L153="1111",TH!M153="1111")),TH!D153,""),"")</f>
        <v/>
      </c>
      <c r="B153" s="36">
        <f t="shared" si="12"/>
        <v>9</v>
      </c>
      <c r="C153" s="183">
        <f t="shared" si="14"/>
        <v>42626</v>
      </c>
      <c r="D153" s="183" t="s">
        <v>529</v>
      </c>
      <c r="E153" s="190">
        <v>42626</v>
      </c>
      <c r="F153" s="188" t="s">
        <v>549</v>
      </c>
      <c r="G153" s="479" t="s">
        <v>533</v>
      </c>
      <c r="H153" s="7"/>
      <c r="I153" s="255"/>
      <c r="J153" s="255"/>
      <c r="K153" s="3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87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09">
        <v>3</v>
      </c>
      <c r="AD153" s="210"/>
      <c r="AE153" s="210"/>
      <c r="AF153" s="210"/>
      <c r="AG153" s="210"/>
    </row>
    <row r="154" spans="1:33" s="588" customFormat="1" ht="15.75" customHeight="1">
      <c r="A154" s="203" t="str">
        <f>IF(B154&lt;&gt;"",IF(AND(B154&gt;=_TM1,B154&lt;=_TM2,OR(TH!L154="1111",TH!M154="1111")),TH!D154,""),"")</f>
        <v/>
      </c>
      <c r="B154" s="36">
        <f t="shared" si="12"/>
        <v>9</v>
      </c>
      <c r="C154" s="183">
        <f t="shared" si="14"/>
        <v>42626</v>
      </c>
      <c r="D154" s="183" t="s">
        <v>528</v>
      </c>
      <c r="E154" s="190">
        <v>42626</v>
      </c>
      <c r="F154" s="188" t="s">
        <v>543</v>
      </c>
      <c r="G154" s="479" t="s">
        <v>533</v>
      </c>
      <c r="H154" s="7" t="s">
        <v>412</v>
      </c>
      <c r="I154" s="255"/>
      <c r="J154" s="255"/>
      <c r="K154" s="596">
        <v>11632720</v>
      </c>
      <c r="L154" s="597" t="s">
        <v>24</v>
      </c>
      <c r="M154" s="597" t="s">
        <v>259</v>
      </c>
      <c r="N154" s="51" t="str">
        <f>IF(AND('331-CT'!$E$7=TH!H154,OR(L154="331",M154="331")),"331",IF(AND(OR(L154="131",M154="131"),H154='131-CT'!$E$7),"131",""))</f>
        <v/>
      </c>
      <c r="O154" s="887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>x</v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09"/>
      <c r="AE154" s="210"/>
    </row>
    <row r="155" spans="1:33" s="588" customFormat="1" ht="15.75" customHeight="1">
      <c r="A155" s="203" t="str">
        <f>IF(B155&lt;&gt;"",IF(AND(B155&gt;=_TM1,B155&lt;=_TM2,OR(TH!L155="1111",TH!M155="1111")),TH!D155,""),"")</f>
        <v>GBN</v>
      </c>
      <c r="B155" s="36">
        <f t="shared" si="12"/>
        <v>9</v>
      </c>
      <c r="C155" s="183">
        <f t="shared" si="14"/>
        <v>42627</v>
      </c>
      <c r="D155" s="183" t="s">
        <v>529</v>
      </c>
      <c r="E155" s="190">
        <v>42627</v>
      </c>
      <c r="F155" s="188" t="s">
        <v>544</v>
      </c>
      <c r="G155" s="479" t="s">
        <v>533</v>
      </c>
      <c r="H155" s="7" t="s">
        <v>534</v>
      </c>
      <c r="I155" s="255"/>
      <c r="J155" s="255"/>
      <c r="K155" s="596">
        <v>11600000</v>
      </c>
      <c r="L155" s="597" t="s">
        <v>47</v>
      </c>
      <c r="M155" s="597" t="s">
        <v>24</v>
      </c>
      <c r="N155" s="51" t="str">
        <f>IF(AND('331-CT'!$E$7=TH!H155,OR(L155="331",M155="331")),"331",IF(AND(OR(L155="131",M155="131"),H155='131-CT'!$E$7),"131",""))</f>
        <v/>
      </c>
      <c r="O155" s="887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>x</v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09"/>
      <c r="AD155" s="210"/>
      <c r="AE155" s="210"/>
    </row>
    <row r="156" spans="1:33" s="588" customFormat="1" ht="15.75" customHeight="1">
      <c r="A156" s="203" t="str">
        <f>IF(B156&lt;&gt;"",IF(AND(B156&gt;=_TM1,B156&lt;=_TM2,OR(TH!L156="1111",TH!M156="1111")),TH!D156,""),"")</f>
        <v/>
      </c>
      <c r="B156" s="36">
        <f t="shared" si="12"/>
        <v>9</v>
      </c>
      <c r="C156" s="183">
        <f t="shared" si="14"/>
        <v>42628</v>
      </c>
      <c r="D156" s="183" t="s">
        <v>529</v>
      </c>
      <c r="E156" s="190">
        <v>42628</v>
      </c>
      <c r="F156" s="188" t="s">
        <v>550</v>
      </c>
      <c r="G156" s="479" t="s">
        <v>533</v>
      </c>
      <c r="H156" s="7"/>
      <c r="I156" s="255"/>
      <c r="J156" s="255"/>
      <c r="K156" s="37">
        <v>30000</v>
      </c>
      <c r="L156" s="193" t="s">
        <v>83</v>
      </c>
      <c r="M156" s="193" t="s">
        <v>24</v>
      </c>
      <c r="N156" s="51" t="str">
        <f>IF(AND('331-CT'!$E$7=TH!H156,OR(L156="331",M156="331")),"331",IF(AND(OR(L156="131",M156="131"),H156='131-CT'!$E$7),"131",""))</f>
        <v/>
      </c>
      <c r="O156" s="887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>x</v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09">
        <v>3</v>
      </c>
      <c r="AE156" s="210"/>
    </row>
    <row r="157" spans="1:33" s="588" customFormat="1" ht="15.75" customHeight="1">
      <c r="A157" s="203" t="str">
        <f>IF(B157&lt;&gt;"",IF(AND(B157&gt;=_TM1,B157&lt;=_TM2,OR(TH!L157="1111",TH!M157="1111")),TH!D157,""),"")</f>
        <v/>
      </c>
      <c r="B157" s="36">
        <f t="shared" si="12"/>
        <v>9</v>
      </c>
      <c r="C157" s="183">
        <f t="shared" si="14"/>
        <v>42628</v>
      </c>
      <c r="D157" s="183" t="s">
        <v>529</v>
      </c>
      <c r="E157" s="190">
        <v>42628</v>
      </c>
      <c r="F157" s="188" t="s">
        <v>551</v>
      </c>
      <c r="G157" s="479" t="s">
        <v>533</v>
      </c>
      <c r="H157" s="7"/>
      <c r="I157" s="255"/>
      <c r="J157" s="255"/>
      <c r="K157" s="37">
        <v>3000</v>
      </c>
      <c r="L157" s="193" t="s">
        <v>9</v>
      </c>
      <c r="M157" s="193" t="s">
        <v>24</v>
      </c>
      <c r="N157" s="51" t="str">
        <f>IF(AND('331-CT'!$E$7=TH!H157,OR(L157="331",M157="331")),"331",IF(AND(OR(L157="131",M157="131"),H157='131-CT'!$E$7),"131",""))</f>
        <v/>
      </c>
      <c r="O157" s="887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>x</v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09">
        <v>3</v>
      </c>
      <c r="AE157" s="210"/>
    </row>
    <row r="158" spans="1:33" s="588" customFormat="1" ht="15.75" customHeight="1">
      <c r="A158" s="203" t="str">
        <f>IF(B158&lt;&gt;"",IF(AND(B158&gt;=_TM1,B158&lt;=_TM2,OR(TH!L158="1111",TH!M158="1111")),TH!D158,""),"")</f>
        <v/>
      </c>
      <c r="B158" s="36">
        <f t="shared" si="12"/>
        <v>9</v>
      </c>
      <c r="C158" s="183">
        <f t="shared" si="14"/>
        <v>42632</v>
      </c>
      <c r="D158" s="183" t="s">
        <v>528</v>
      </c>
      <c r="E158" s="190">
        <v>42632</v>
      </c>
      <c r="F158" s="188" t="s">
        <v>543</v>
      </c>
      <c r="G158" s="479" t="s">
        <v>533</v>
      </c>
      <c r="H158" s="7" t="s">
        <v>406</v>
      </c>
      <c r="I158" s="255"/>
      <c r="J158" s="255"/>
      <c r="K158" s="596">
        <v>17681180</v>
      </c>
      <c r="L158" s="597" t="s">
        <v>24</v>
      </c>
      <c r="M158" s="597" t="s">
        <v>259</v>
      </c>
      <c r="N158" s="51" t="str">
        <f>IF(AND('331-CT'!$E$7=TH!H158,OR(L158="331",M158="331")),"331",IF(AND(OR(L158="131",M158="131"),H158='131-CT'!$E$7),"131",""))</f>
        <v/>
      </c>
      <c r="O158" s="887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>x</v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09"/>
      <c r="AF158" s="210"/>
      <c r="AG158" s="210"/>
    </row>
    <row r="159" spans="1:33" s="588" customFormat="1" ht="15.75" customHeight="1">
      <c r="A159" s="203" t="str">
        <f>IF(B159&lt;&gt;"",IF(AND(B159&gt;=_TM1,B159&lt;=_TM2,OR(TH!L159="1111",TH!M159="1111")),TH!D159,""),"")</f>
        <v>GBC</v>
      </c>
      <c r="B159" s="36">
        <f t="shared" si="12"/>
        <v>9</v>
      </c>
      <c r="C159" s="183">
        <f t="shared" si="14"/>
        <v>42633</v>
      </c>
      <c r="D159" s="183" t="s">
        <v>528</v>
      </c>
      <c r="E159" s="190">
        <v>42633</v>
      </c>
      <c r="F159" s="188" t="s">
        <v>530</v>
      </c>
      <c r="G159" s="479" t="s">
        <v>533</v>
      </c>
      <c r="H159" s="7" t="s">
        <v>534</v>
      </c>
      <c r="I159" s="255"/>
      <c r="J159" s="255"/>
      <c r="K159" s="37">
        <v>2300000</v>
      </c>
      <c r="L159" s="193" t="s">
        <v>24</v>
      </c>
      <c r="M159" s="193" t="s">
        <v>47</v>
      </c>
      <c r="N159" s="51" t="str">
        <f>IF(AND('331-CT'!$E$7=TH!H159,OR(L159="331",M159="331")),"331",IF(AND(OR(L159="131",M159="131"),H159='131-CT'!$E$7),"131",""))</f>
        <v/>
      </c>
      <c r="O159" s="887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>x</v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09"/>
      <c r="AF159" s="210"/>
      <c r="AG159" s="210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2"/>
        <v>9</v>
      </c>
      <c r="C160" s="183">
        <f t="shared" si="14"/>
        <v>42633</v>
      </c>
      <c r="D160" s="183" t="s">
        <v>529</v>
      </c>
      <c r="E160" s="190">
        <v>42633</v>
      </c>
      <c r="F160" s="188" t="s">
        <v>538</v>
      </c>
      <c r="G160" s="479" t="s">
        <v>533</v>
      </c>
      <c r="H160" s="192" t="s">
        <v>684</v>
      </c>
      <c r="I160" s="255"/>
      <c r="J160" s="255"/>
      <c r="K160" s="37">
        <v>20000000</v>
      </c>
      <c r="L160" s="193" t="s">
        <v>8</v>
      </c>
      <c r="M160" s="193" t="s">
        <v>24</v>
      </c>
      <c r="N160" s="51" t="str">
        <f>IF(AND('331-CT'!$E$7=TH!H160,OR(L160="331",M160="331")),"331",IF(AND(OR(L160="131",M160="131"),H160='131-CT'!$E$7),"131",""))</f>
        <v/>
      </c>
      <c r="O160" s="887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>x</v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09"/>
      <c r="AC160" s="588"/>
    </row>
    <row r="161" spans="1:33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2"/>
        <v>9</v>
      </c>
      <c r="C161" s="183">
        <f t="shared" si="14"/>
        <v>42633</v>
      </c>
      <c r="D161" s="183" t="s">
        <v>529</v>
      </c>
      <c r="E161" s="190">
        <v>42633</v>
      </c>
      <c r="F161" s="188" t="s">
        <v>539</v>
      </c>
      <c r="G161" s="479" t="s">
        <v>533</v>
      </c>
      <c r="H161" s="7"/>
      <c r="I161" s="255"/>
      <c r="J161" s="255"/>
      <c r="K161" s="596">
        <v>20000</v>
      </c>
      <c r="L161" s="193" t="s">
        <v>83</v>
      </c>
      <c r="M161" s="193" t="s">
        <v>24</v>
      </c>
      <c r="N161" s="51" t="str">
        <f>IF(AND('331-CT'!$E$7=TH!H161,OR(L161="331",M161="331")),"331",IF(AND(OR(L161="131",M161="131"),H161='131-CT'!$E$7),"131",""))</f>
        <v/>
      </c>
      <c r="O161" s="887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>x</v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09">
        <v>3</v>
      </c>
      <c r="AC161" s="588"/>
      <c r="AD161" s="588"/>
    </row>
    <row r="162" spans="1:33" s="588" customFormat="1" ht="15.75" customHeight="1">
      <c r="A162" s="203" t="str">
        <f>IF(B162&lt;&gt;"",IF(AND(B162&gt;=_TM1,B162&lt;=_TM2,OR(TH!L162="1111",TH!M162="1111")),TH!D162,""),"")</f>
        <v/>
      </c>
      <c r="B162" s="36">
        <f t="shared" si="12"/>
        <v>9</v>
      </c>
      <c r="C162" s="183">
        <f t="shared" si="14"/>
        <v>42633</v>
      </c>
      <c r="D162" s="183" t="s">
        <v>529</v>
      </c>
      <c r="E162" s="190">
        <v>42633</v>
      </c>
      <c r="F162" s="188" t="s">
        <v>540</v>
      </c>
      <c r="G162" s="479" t="s">
        <v>533</v>
      </c>
      <c r="H162" s="7"/>
      <c r="I162" s="255"/>
      <c r="J162" s="255"/>
      <c r="K162" s="596">
        <v>2000</v>
      </c>
      <c r="L162" s="193" t="s">
        <v>9</v>
      </c>
      <c r="M162" s="193" t="s">
        <v>24</v>
      </c>
      <c r="N162" s="51" t="str">
        <f>IF(AND('331-CT'!$E$7=TH!H162,OR(L162="331",M162="331")),"331",IF(AND(OR(L162="131",M162="131"),H162='131-CT'!$E$7),"131",""))</f>
        <v/>
      </c>
      <c r="O162" s="887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>x</v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09">
        <v>3</v>
      </c>
      <c r="AD162" s="210"/>
      <c r="AE162" s="210"/>
      <c r="AF162" s="210"/>
      <c r="AG162" s="210"/>
    </row>
    <row r="163" spans="1:33" s="588" customFormat="1" ht="15.75" customHeight="1">
      <c r="A163" s="203" t="str">
        <f>IF(B163&lt;&gt;"",IF(AND(B163&gt;=_TM1,B163&lt;=_TM2,OR(TH!L163="1111",TH!M163="1111")),TH!D163,""),"")</f>
        <v/>
      </c>
      <c r="B163" s="36">
        <f t="shared" si="12"/>
        <v>9</v>
      </c>
      <c r="C163" s="183">
        <f t="shared" si="14"/>
        <v>42633</v>
      </c>
      <c r="D163" s="183" t="s">
        <v>529</v>
      </c>
      <c r="E163" s="190">
        <v>42633</v>
      </c>
      <c r="F163" s="188" t="s">
        <v>545</v>
      </c>
      <c r="G163" s="479" t="s">
        <v>533</v>
      </c>
      <c r="H163" s="7"/>
      <c r="I163" s="255"/>
      <c r="J163" s="255"/>
      <c r="K163" s="596">
        <v>20000</v>
      </c>
      <c r="L163" s="193" t="s">
        <v>83</v>
      </c>
      <c r="M163" s="193" t="s">
        <v>24</v>
      </c>
      <c r="N163" s="51" t="str">
        <f>IF(AND('331-CT'!$E$7=TH!H163,OR(L163="331",M163="331")),"331",IF(AND(OR(L163="131",M163="131"),H163='131-CT'!$E$7),"131",""))</f>
        <v/>
      </c>
      <c r="O163" s="887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>x</v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09">
        <v>3</v>
      </c>
      <c r="AE163" s="210"/>
      <c r="AF163" s="210"/>
      <c r="AG163" s="210"/>
    </row>
    <row r="164" spans="1:33" s="588" customFormat="1" ht="15.75" customHeight="1">
      <c r="A164" s="203" t="str">
        <f>IF(B164&lt;&gt;"",IF(AND(B164&gt;=_TM1,B164&lt;=_TM2,OR(TH!L164="1111",TH!M164="1111")),TH!D164,""),"")</f>
        <v/>
      </c>
      <c r="B164" s="36">
        <f t="shared" si="12"/>
        <v>9</v>
      </c>
      <c r="C164" s="183">
        <f t="shared" si="14"/>
        <v>42633</v>
      </c>
      <c r="D164" s="183" t="s">
        <v>529</v>
      </c>
      <c r="E164" s="190">
        <v>42633</v>
      </c>
      <c r="F164" s="188" t="s">
        <v>546</v>
      </c>
      <c r="G164" s="479" t="s">
        <v>533</v>
      </c>
      <c r="H164" s="7"/>
      <c r="I164" s="255"/>
      <c r="J164" s="255"/>
      <c r="K164" s="596">
        <v>2000</v>
      </c>
      <c r="L164" s="193" t="s">
        <v>9</v>
      </c>
      <c r="M164" s="193" t="s">
        <v>24</v>
      </c>
      <c r="N164" s="51" t="str">
        <f>IF(AND('331-CT'!$E$7=TH!H164,OR(L164="331",M164="331")),"331",IF(AND(OR(L164="131",M164="131"),H164='131-CT'!$E$7),"131",""))</f>
        <v/>
      </c>
      <c r="O164" s="887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>x</v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09">
        <v>3</v>
      </c>
      <c r="AE164" s="210"/>
      <c r="AF164" s="210"/>
      <c r="AG164" s="210"/>
    </row>
    <row r="165" spans="1:33" s="588" customFormat="1" ht="15.75" customHeight="1">
      <c r="A165" s="203" t="str">
        <f>IF(B165&lt;&gt;"",IF(AND(B165&gt;=_TM1,B165&lt;=_TM2,OR(TH!L165="1111",TH!M165="1111")),TH!D165,""),"")</f>
        <v>GBC</v>
      </c>
      <c r="B165" s="36">
        <f t="shared" si="12"/>
        <v>9</v>
      </c>
      <c r="C165" s="183">
        <f t="shared" si="14"/>
        <v>42635</v>
      </c>
      <c r="D165" s="183" t="s">
        <v>528</v>
      </c>
      <c r="E165" s="190">
        <v>42635</v>
      </c>
      <c r="F165" s="188" t="s">
        <v>530</v>
      </c>
      <c r="G165" s="479" t="s">
        <v>533</v>
      </c>
      <c r="H165" s="7" t="s">
        <v>547</v>
      </c>
      <c r="I165" s="255"/>
      <c r="J165" s="255"/>
      <c r="K165" s="37">
        <v>44000</v>
      </c>
      <c r="L165" s="193" t="s">
        <v>24</v>
      </c>
      <c r="M165" s="193" t="s">
        <v>47</v>
      </c>
      <c r="N165" s="51" t="str">
        <f>IF(AND('331-CT'!$E$7=TH!H165,OR(L165="331",M165="331")),"331",IF(AND(OR(L165="131",M165="131"),H165='131-CT'!$E$7),"131",""))</f>
        <v/>
      </c>
      <c r="O165" s="887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>x</v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09"/>
      <c r="AE165" s="210"/>
      <c r="AF165" s="210"/>
      <c r="AG165" s="210"/>
    </row>
    <row r="166" spans="1:33" s="210" customFormat="1" ht="15.75" customHeight="1">
      <c r="A166" s="203" t="str">
        <f>IF(B166&lt;&gt;"",IF(AND(B166&gt;=_TM1,B166&lt;=_TM2,OR(TH!L166="1111",TH!M166="1111")),TH!D166,""),"")</f>
        <v>GBC</v>
      </c>
      <c r="B166" s="36">
        <f t="shared" si="12"/>
        <v>9</v>
      </c>
      <c r="C166" s="183">
        <f t="shared" si="14"/>
        <v>42635</v>
      </c>
      <c r="D166" s="183" t="s">
        <v>528</v>
      </c>
      <c r="E166" s="190">
        <v>42635</v>
      </c>
      <c r="F166" s="188" t="s">
        <v>530</v>
      </c>
      <c r="G166" s="479" t="s">
        <v>533</v>
      </c>
      <c r="H166" s="7" t="s">
        <v>547</v>
      </c>
      <c r="I166" s="255"/>
      <c r="J166" s="255"/>
      <c r="K166" s="37">
        <v>12295140</v>
      </c>
      <c r="L166" s="193" t="s">
        <v>24</v>
      </c>
      <c r="M166" s="193" t="s">
        <v>47</v>
      </c>
      <c r="N166" s="51" t="str">
        <f>IF(AND('331-CT'!$E$7=TH!H166,OR(L166="331",M166="331")),"331",IF(AND(OR(L166="131",M166="131"),H166='131-CT'!$E$7),"131",""))</f>
        <v/>
      </c>
      <c r="O166" s="887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>x</v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09"/>
      <c r="AC166" s="588"/>
      <c r="AD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2"/>
        <v>9</v>
      </c>
      <c r="C167" s="183">
        <f t="shared" si="14"/>
        <v>42635</v>
      </c>
      <c r="D167" s="183" t="s">
        <v>529</v>
      </c>
      <c r="E167" s="190">
        <v>42635</v>
      </c>
      <c r="F167" s="188" t="s">
        <v>524</v>
      </c>
      <c r="G167" s="479" t="s">
        <v>533</v>
      </c>
      <c r="H167" s="192" t="s">
        <v>501</v>
      </c>
      <c r="I167" s="255"/>
      <c r="J167" s="255"/>
      <c r="K167" s="596">
        <f>12317140-22000</f>
        <v>12295140</v>
      </c>
      <c r="L167" s="193" t="s">
        <v>8</v>
      </c>
      <c r="M167" s="193" t="s">
        <v>24</v>
      </c>
      <c r="N167" s="51" t="str">
        <f>IF(AND('331-CT'!$E$7=TH!H167,OR(L167="331",M167="331")),"331",IF(AND(OR(L167="131",M167="131"),H167='131-CT'!$E$7),"131",""))</f>
        <v/>
      </c>
      <c r="O167" s="887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>x</v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09"/>
      <c r="AC167" s="588"/>
      <c r="AD167" s="588"/>
    </row>
    <row r="168" spans="1:33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12"/>
        <v>9</v>
      </c>
      <c r="C168" s="183">
        <f t="shared" si="14"/>
        <v>42635</v>
      </c>
      <c r="D168" s="183" t="s">
        <v>529</v>
      </c>
      <c r="E168" s="190">
        <v>42635</v>
      </c>
      <c r="F168" s="188" t="s">
        <v>539</v>
      </c>
      <c r="G168" s="479" t="s">
        <v>533</v>
      </c>
      <c r="H168" s="7"/>
      <c r="I168" s="255"/>
      <c r="J168" s="255"/>
      <c r="K168" s="596">
        <v>20000</v>
      </c>
      <c r="L168" s="193" t="s">
        <v>83</v>
      </c>
      <c r="M168" s="193" t="s">
        <v>24</v>
      </c>
      <c r="N168" s="51" t="str">
        <f>IF(AND('331-CT'!$E$7=TH!H168,OR(L168="331",M168="331")),"331",IF(AND(OR(L168="131",M168="131"),H168='131-CT'!$E$7),"131",""))</f>
        <v/>
      </c>
      <c r="O168" s="887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>x</v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>x</v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09">
        <v>3</v>
      </c>
      <c r="AC168" s="588"/>
      <c r="AD168" s="588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2"/>
        <v>9</v>
      </c>
      <c r="C169" s="183">
        <f t="shared" si="14"/>
        <v>42635</v>
      </c>
      <c r="D169" s="183" t="s">
        <v>529</v>
      </c>
      <c r="E169" s="190">
        <v>42635</v>
      </c>
      <c r="F169" s="188" t="s">
        <v>540</v>
      </c>
      <c r="G169" s="479" t="s">
        <v>533</v>
      </c>
      <c r="H169" s="7"/>
      <c r="I169" s="255"/>
      <c r="J169" s="255"/>
      <c r="K169" s="596">
        <v>2000</v>
      </c>
      <c r="L169" s="193" t="s">
        <v>9</v>
      </c>
      <c r="M169" s="193" t="s">
        <v>24</v>
      </c>
      <c r="N169" s="51" t="str">
        <f>IF(AND('331-CT'!$E$7=TH!H169,OR(L169="331",M169="331")),"331",IF(AND(OR(L169="131",M169="131"),H169='131-CT'!$E$7),"131",""))</f>
        <v/>
      </c>
      <c r="O169" s="887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>x</v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09">
        <v>3</v>
      </c>
      <c r="AC169" s="588"/>
      <c r="AD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ref="B170:B233" si="15">IF(C170&lt;&gt;"",MONTH(C170),"")</f>
        <v>9</v>
      </c>
      <c r="C170" s="183">
        <f t="shared" si="14"/>
        <v>42635</v>
      </c>
      <c r="D170" s="183" t="s">
        <v>529</v>
      </c>
      <c r="E170" s="190">
        <v>42635</v>
      </c>
      <c r="F170" s="188" t="s">
        <v>545</v>
      </c>
      <c r="G170" s="479" t="s">
        <v>533</v>
      </c>
      <c r="H170" s="7"/>
      <c r="I170" s="255"/>
      <c r="J170" s="255"/>
      <c r="K170" s="596">
        <v>20000</v>
      </c>
      <c r="L170" s="193" t="s">
        <v>83</v>
      </c>
      <c r="M170" s="193" t="s">
        <v>24</v>
      </c>
      <c r="N170" s="51" t="str">
        <f>IF(AND('331-CT'!$E$7=TH!H170,OR(L170="331",M170="331")),"331",IF(AND(OR(L170="131",M170="131"),H170='131-CT'!$E$7),"131",""))</f>
        <v/>
      </c>
      <c r="O170" s="887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>x</v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>x</v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09">
        <v>3</v>
      </c>
      <c r="AC170" s="588"/>
      <c r="AD170" s="588"/>
    </row>
    <row r="171" spans="1:33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5"/>
        <v>9</v>
      </c>
      <c r="C171" s="183">
        <f t="shared" si="14"/>
        <v>42635</v>
      </c>
      <c r="D171" s="183" t="s">
        <v>529</v>
      </c>
      <c r="E171" s="190">
        <v>42635</v>
      </c>
      <c r="F171" s="188" t="s">
        <v>546</v>
      </c>
      <c r="G171" s="479" t="s">
        <v>533</v>
      </c>
      <c r="H171" s="7"/>
      <c r="I171" s="255"/>
      <c r="J171" s="255"/>
      <c r="K171" s="596">
        <v>2000</v>
      </c>
      <c r="L171" s="193" t="s">
        <v>9</v>
      </c>
      <c r="M171" s="193" t="s">
        <v>24</v>
      </c>
      <c r="N171" s="51" t="str">
        <f>IF(AND('331-CT'!$E$7=TH!H171,OR(L171="331",M171="331")),"331",IF(AND(OR(L171="131",M171="131"),H171='131-CT'!$E$7),"131",""))</f>
        <v/>
      </c>
      <c r="O171" s="887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>x</v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09">
        <v>3</v>
      </c>
      <c r="AC171" s="588"/>
      <c r="AD171" s="588"/>
    </row>
    <row r="172" spans="1:33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5"/>
        <v>9</v>
      </c>
      <c r="C172" s="183">
        <f t="shared" si="14"/>
        <v>42638</v>
      </c>
      <c r="D172" s="183" t="s">
        <v>529</v>
      </c>
      <c r="E172" s="190">
        <v>42638</v>
      </c>
      <c r="F172" s="188" t="s">
        <v>536</v>
      </c>
      <c r="G172" s="479" t="s">
        <v>533</v>
      </c>
      <c r="H172" s="7"/>
      <c r="I172" s="255"/>
      <c r="J172" s="255"/>
      <c r="K172" s="37">
        <v>10000</v>
      </c>
      <c r="L172" s="193" t="s">
        <v>83</v>
      </c>
      <c r="M172" s="193" t="s">
        <v>24</v>
      </c>
      <c r="N172" s="51" t="str">
        <f>IF(AND('331-CT'!$E$7=TH!H172,OR(L172="331",M172="331")),"331",IF(AND(OR(L172="131",M172="131"),H172='131-CT'!$E$7),"131",""))</f>
        <v/>
      </c>
      <c r="O172" s="887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>x</v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>x</v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09">
        <v>3</v>
      </c>
      <c r="AC172" s="588"/>
      <c r="AD172" s="588"/>
    </row>
    <row r="173" spans="1:33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5"/>
        <v>9</v>
      </c>
      <c r="C173" s="183">
        <f t="shared" si="14"/>
        <v>42638</v>
      </c>
      <c r="D173" s="183" t="s">
        <v>529</v>
      </c>
      <c r="E173" s="190">
        <v>42638</v>
      </c>
      <c r="F173" s="188" t="s">
        <v>537</v>
      </c>
      <c r="G173" s="479" t="s">
        <v>533</v>
      </c>
      <c r="H173" s="7"/>
      <c r="I173" s="255"/>
      <c r="J173" s="255"/>
      <c r="K173" s="37">
        <v>1000</v>
      </c>
      <c r="L173" s="193" t="s">
        <v>9</v>
      </c>
      <c r="M173" s="193" t="s">
        <v>24</v>
      </c>
      <c r="N173" s="51" t="str">
        <f>IF(AND('331-CT'!$E$7=TH!H173,OR(L173="331",M173="331")),"331",IF(AND(OR(L173="131",M173="131"),H173='131-CT'!$E$7),"131",""))</f>
        <v/>
      </c>
      <c r="O173" s="887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>x</v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09">
        <v>3</v>
      </c>
      <c r="AC173" s="588"/>
      <c r="AD173" s="588"/>
      <c r="AE173" s="588"/>
    </row>
    <row r="174" spans="1:33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5"/>
        <v>9</v>
      </c>
      <c r="C174" s="183">
        <f t="shared" si="14"/>
        <v>42638</v>
      </c>
      <c r="D174" s="183" t="s">
        <v>528</v>
      </c>
      <c r="E174" s="190">
        <v>42638</v>
      </c>
      <c r="F174" s="188" t="s">
        <v>535</v>
      </c>
      <c r="G174" s="479" t="s">
        <v>533</v>
      </c>
      <c r="H174" s="7"/>
      <c r="I174" s="255"/>
      <c r="J174" s="255"/>
      <c r="K174" s="596">
        <v>2126</v>
      </c>
      <c r="L174" s="193" t="s">
        <v>24</v>
      </c>
      <c r="M174" s="193" t="s">
        <v>40</v>
      </c>
      <c r="N174" s="51" t="str">
        <f>IF(AND('331-CT'!$E$7=TH!H174,OR(L174="331",M174="331")),"331",IF(AND(OR(L174="131",M174="131"),H174='131-CT'!$E$7),"131",""))</f>
        <v/>
      </c>
      <c r="O174" s="887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>x</v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09"/>
      <c r="AC174" s="588"/>
      <c r="AD174" s="588"/>
      <c r="AE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5"/>
        <v>9</v>
      </c>
      <c r="C175" s="183">
        <f t="shared" si="14"/>
        <v>42639</v>
      </c>
      <c r="D175" s="183" t="s">
        <v>528</v>
      </c>
      <c r="E175" s="190">
        <v>42639</v>
      </c>
      <c r="F175" s="188" t="s">
        <v>543</v>
      </c>
      <c r="G175" s="479" t="s">
        <v>533</v>
      </c>
      <c r="H175" s="7" t="s">
        <v>412</v>
      </c>
      <c r="I175" s="255"/>
      <c r="J175" s="255"/>
      <c r="K175" s="596">
        <v>22226930</v>
      </c>
      <c r="L175" s="597" t="s">
        <v>24</v>
      </c>
      <c r="M175" s="597" t="s">
        <v>259</v>
      </c>
      <c r="N175" s="51" t="str">
        <f>IF(AND('331-CT'!$E$7=TH!H175,OR(L175="331",M175="331")),"331",IF(AND(OR(L175="131",M175="131"),H175='131-CT'!$E$7),"131",""))</f>
        <v/>
      </c>
      <c r="O175" s="887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>x</v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09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>GBN</v>
      </c>
      <c r="B176" s="36">
        <f t="shared" si="15"/>
        <v>9</v>
      </c>
      <c r="C176" s="183">
        <f t="shared" si="14"/>
        <v>42639</v>
      </c>
      <c r="D176" s="183" t="s">
        <v>529</v>
      </c>
      <c r="E176" s="190">
        <v>42639</v>
      </c>
      <c r="F176" s="188" t="s">
        <v>544</v>
      </c>
      <c r="G176" s="479" t="s">
        <v>533</v>
      </c>
      <c r="H176" s="7" t="s">
        <v>547</v>
      </c>
      <c r="I176" s="255"/>
      <c r="J176" s="255"/>
      <c r="K176" s="596">
        <v>22000000</v>
      </c>
      <c r="L176" s="597" t="s">
        <v>47</v>
      </c>
      <c r="M176" s="597" t="s">
        <v>24</v>
      </c>
      <c r="N176" s="51" t="str">
        <f>IF(AND('331-CT'!$E$7=TH!H176,OR(L176="331",M176="331")),"331",IF(AND(OR(L176="131",M176="131"),H176='131-CT'!$E$7),"131",""))</f>
        <v/>
      </c>
      <c r="O176" s="887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>x</v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09"/>
      <c r="AC176" s="588"/>
    </row>
    <row r="177" spans="1:33" s="210" customFormat="1" ht="15.75" customHeight="1">
      <c r="A177" s="203" t="str">
        <f>IF(B177&lt;&gt;"",IF(AND(B177&gt;=_TM1,B177&lt;=_TM2,OR(TH!L177="1111",TH!M177="1111")),TH!D177,""),"")</f>
        <v>C14</v>
      </c>
      <c r="B177" s="36">
        <f t="shared" si="15"/>
        <v>9</v>
      </c>
      <c r="C177" s="183">
        <f t="shared" si="14"/>
        <v>42643</v>
      </c>
      <c r="D177" s="190" t="s">
        <v>704</v>
      </c>
      <c r="E177" s="183">
        <v>42643</v>
      </c>
      <c r="F177" s="188" t="s">
        <v>687</v>
      </c>
      <c r="G177" s="479"/>
      <c r="H177" s="192"/>
      <c r="I177" s="255"/>
      <c r="J177" s="255"/>
      <c r="K177" s="596">
        <f>(8*15000+5*20000+6*10000+4*30000+1*40000)/1.1</f>
        <v>399999.99999999994</v>
      </c>
      <c r="L177" s="597" t="s">
        <v>261</v>
      </c>
      <c r="M177" s="597" t="s">
        <v>47</v>
      </c>
      <c r="N177" s="51" t="str">
        <f>IF(AND('331-CT'!$E$7=TH!H177,OR(L177="331",M177="331")),"331",IF(AND(OR(L177="131",M177="131"),H177='131-CT'!$E$7),"131",""))</f>
        <v/>
      </c>
      <c r="O177" s="887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641</v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09">
        <v>3</v>
      </c>
      <c r="AC177" s="588"/>
      <c r="AD177" s="588"/>
      <c r="AE177" s="588"/>
    </row>
    <row r="178" spans="1:33" s="210" customFormat="1" ht="15.75" customHeight="1">
      <c r="A178" s="203" t="str">
        <f>IF(B178&lt;&gt;"",IF(AND(B178&gt;=_TM1,B178&lt;=_TM2,OR(TH!L178="1111",TH!M178="1111")),TH!D178,""),"")</f>
        <v>C14</v>
      </c>
      <c r="B178" s="36">
        <f t="shared" si="15"/>
        <v>9</v>
      </c>
      <c r="C178" s="183">
        <f t="shared" si="14"/>
        <v>42643</v>
      </c>
      <c r="D178" s="190" t="s">
        <v>704</v>
      </c>
      <c r="E178" s="183">
        <v>42643</v>
      </c>
      <c r="F178" s="188" t="s">
        <v>688</v>
      </c>
      <c r="G178" s="479"/>
      <c r="H178" s="192"/>
      <c r="I178" s="255"/>
      <c r="J178" s="255"/>
      <c r="K178" s="596">
        <v>40000</v>
      </c>
      <c r="L178" s="597" t="s">
        <v>9</v>
      </c>
      <c r="M178" s="597" t="s">
        <v>47</v>
      </c>
      <c r="N178" s="51" t="str">
        <f>IF(AND('331-CT'!$E$7=TH!H178,OR(L178="331",M178="331")),"331",IF(AND(OR(L178="131",M178="131"),H178='131-CT'!$E$7),"131",""))</f>
        <v/>
      </c>
      <c r="O178" s="887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09">
        <v>3</v>
      </c>
      <c r="AC178" s="588"/>
      <c r="AD178" s="588"/>
      <c r="AE178" s="588"/>
    </row>
    <row r="179" spans="1:33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5"/>
        <v>9</v>
      </c>
      <c r="C179" s="183">
        <v>42643</v>
      </c>
      <c r="D179" s="190" t="s">
        <v>333</v>
      </c>
      <c r="E179" s="183">
        <v>42576</v>
      </c>
      <c r="F179" s="188" t="s">
        <v>491</v>
      </c>
      <c r="G179" s="479" t="s">
        <v>490</v>
      </c>
      <c r="H179" s="192" t="s">
        <v>684</v>
      </c>
      <c r="I179" s="255"/>
      <c r="J179" s="255"/>
      <c r="K179" s="596">
        <v>17110500</v>
      </c>
      <c r="L179" s="597" t="s">
        <v>83</v>
      </c>
      <c r="M179" s="193" t="s">
        <v>8</v>
      </c>
      <c r="N179" s="51" t="str">
        <f>IF(AND('331-CT'!$E$7=TH!H179,OR(L179="331",M179="331")),"331",IF(AND(OR(L179="131",M179="131"),H179='131-CT'!$E$7),"131",""))</f>
        <v/>
      </c>
      <c r="O179" s="887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>x</v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09">
        <v>3</v>
      </c>
      <c r="AC179" s="588"/>
      <c r="AD179" s="588"/>
      <c r="AE179" s="588"/>
      <c r="AF179" s="588"/>
      <c r="AG179" s="588"/>
    </row>
    <row r="180" spans="1:33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5"/>
        <v>9</v>
      </c>
      <c r="C180" s="183">
        <v>42643</v>
      </c>
      <c r="D180" s="190" t="s">
        <v>333</v>
      </c>
      <c r="E180" s="183">
        <v>42576</v>
      </c>
      <c r="F180" s="188" t="s">
        <v>492</v>
      </c>
      <c r="G180" s="479" t="s">
        <v>490</v>
      </c>
      <c r="H180" s="192" t="s">
        <v>684</v>
      </c>
      <c r="I180" s="255"/>
      <c r="J180" s="255"/>
      <c r="K180" s="596">
        <v>1711050</v>
      </c>
      <c r="L180" s="597" t="s">
        <v>9</v>
      </c>
      <c r="M180" s="193" t="s">
        <v>8</v>
      </c>
      <c r="N180" s="51" t="str">
        <f>IF(AND('331-CT'!$E$7=TH!H180,OR(L180="331",M180="331")),"331",IF(AND(OR(L180="131",M180="131"),H180='131-CT'!$E$7),"131",""))</f>
        <v/>
      </c>
      <c r="O180" s="887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09">
        <v>3</v>
      </c>
      <c r="AC180" s="588"/>
      <c r="AD180" s="588"/>
      <c r="AE180" s="588"/>
      <c r="AF180" s="588"/>
      <c r="AG180" s="588"/>
    </row>
    <row r="181" spans="1:33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5"/>
        <v>9</v>
      </c>
      <c r="C181" s="183">
        <v>42643</v>
      </c>
      <c r="D181" s="190" t="s">
        <v>333</v>
      </c>
      <c r="E181" s="183">
        <v>42576</v>
      </c>
      <c r="F181" s="188" t="s">
        <v>864</v>
      </c>
      <c r="G181" s="479" t="s">
        <v>493</v>
      </c>
      <c r="H181" s="192" t="s">
        <v>684</v>
      </c>
      <c r="I181" s="255"/>
      <c r="J181" s="255"/>
      <c r="K181" s="596">
        <v>37000000</v>
      </c>
      <c r="L181" s="597" t="s">
        <v>83</v>
      </c>
      <c r="M181" s="193" t="s">
        <v>8</v>
      </c>
      <c r="N181" s="51" t="str">
        <f>IF(AND('331-CT'!$E$7=TH!H181,OR(L181="331",M181="331")),"331",IF(AND(OR(L181="131",M181="131"),H181='131-CT'!$E$7),"131",""))</f>
        <v/>
      </c>
      <c r="O181" s="887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>x</v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09">
        <v>3</v>
      </c>
      <c r="AC181" s="588"/>
      <c r="AD181" s="588"/>
      <c r="AE181" s="588"/>
      <c r="AF181" s="588"/>
      <c r="AG181" s="588"/>
    </row>
    <row r="182" spans="1:33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5"/>
        <v>9</v>
      </c>
      <c r="C182" s="183">
        <v>42643</v>
      </c>
      <c r="D182" s="190" t="s">
        <v>333</v>
      </c>
      <c r="E182" s="183">
        <v>42576</v>
      </c>
      <c r="F182" s="188" t="s">
        <v>494</v>
      </c>
      <c r="G182" s="479" t="s">
        <v>493</v>
      </c>
      <c r="H182" s="192" t="s">
        <v>684</v>
      </c>
      <c r="I182" s="255"/>
      <c r="J182" s="255"/>
      <c r="K182" s="596">
        <v>3700000</v>
      </c>
      <c r="L182" s="597" t="s">
        <v>9</v>
      </c>
      <c r="M182" s="193" t="s">
        <v>8</v>
      </c>
      <c r="N182" s="51" t="str">
        <f>IF(AND('331-CT'!$E$7=TH!H182,OR(L182="331",M182="331")),"331",IF(AND(OR(L182="131",M182="131"),H182='131-CT'!$E$7),"131",""))</f>
        <v/>
      </c>
      <c r="O182" s="887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09">
        <v>3</v>
      </c>
      <c r="AC182" s="588"/>
      <c r="AD182" s="588"/>
      <c r="AE182" s="588"/>
      <c r="AF182" s="588"/>
      <c r="AG182" s="588"/>
    </row>
    <row r="183" spans="1:33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5"/>
        <v>9</v>
      </c>
      <c r="C183" s="183">
        <v>42643</v>
      </c>
      <c r="D183" s="190" t="s">
        <v>333</v>
      </c>
      <c r="E183" s="183">
        <v>42602</v>
      </c>
      <c r="F183" s="188" t="s">
        <v>865</v>
      </c>
      <c r="G183" s="481" t="s">
        <v>495</v>
      </c>
      <c r="H183" s="192" t="s">
        <v>684</v>
      </c>
      <c r="I183" s="255"/>
      <c r="J183" s="255"/>
      <c r="K183" s="596">
        <v>37000000</v>
      </c>
      <c r="L183" s="597" t="s">
        <v>83</v>
      </c>
      <c r="M183" s="193" t="s">
        <v>8</v>
      </c>
      <c r="N183" s="51" t="str">
        <f>IF(AND('331-CT'!$E$7=TH!H183,OR(L183="331",M183="331")),"331",IF(AND(OR(L183="131",M183="131"),H183='131-CT'!$E$7),"131",""))</f>
        <v/>
      </c>
      <c r="O183" s="887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>x</v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09">
        <v>3</v>
      </c>
      <c r="AC183" s="588"/>
      <c r="AE183" s="588"/>
      <c r="AF183" s="588"/>
      <c r="AG183" s="588"/>
    </row>
    <row r="184" spans="1:33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15"/>
        <v>9</v>
      </c>
      <c r="C184" s="183">
        <v>42643</v>
      </c>
      <c r="D184" s="190" t="s">
        <v>333</v>
      </c>
      <c r="E184" s="183">
        <v>42602</v>
      </c>
      <c r="F184" s="188" t="s">
        <v>494</v>
      </c>
      <c r="G184" s="481" t="s">
        <v>495</v>
      </c>
      <c r="H184" s="192" t="s">
        <v>684</v>
      </c>
      <c r="I184" s="255"/>
      <c r="J184" s="255"/>
      <c r="K184" s="596">
        <v>3700000</v>
      </c>
      <c r="L184" s="597" t="s">
        <v>9</v>
      </c>
      <c r="M184" s="193" t="s">
        <v>8</v>
      </c>
      <c r="N184" s="51" t="str">
        <f>IF(AND('331-CT'!$E$7=TH!H184,OR(L184="331",M184="331")),"331",IF(AND(OR(L184="131",M184="131"),H184='131-CT'!$E$7),"131",""))</f>
        <v/>
      </c>
      <c r="O184" s="887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09">
        <v>3</v>
      </c>
      <c r="AC184" s="588"/>
      <c r="AD184" s="588"/>
      <c r="AE184" s="588"/>
      <c r="AF184" s="588"/>
      <c r="AG184" s="588"/>
    </row>
    <row r="185" spans="1:33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5"/>
        <v>9</v>
      </c>
      <c r="C185" s="183">
        <f t="shared" ref="C185:C216" si="16">E185</f>
        <v>42643</v>
      </c>
      <c r="D185" s="183" t="s">
        <v>528</v>
      </c>
      <c r="E185" s="190">
        <v>42643</v>
      </c>
      <c r="F185" s="188" t="s">
        <v>543</v>
      </c>
      <c r="G185" s="479" t="s">
        <v>533</v>
      </c>
      <c r="H185" s="7" t="s">
        <v>412</v>
      </c>
      <c r="I185" s="255"/>
      <c r="J185" s="255"/>
      <c r="K185" s="596">
        <v>19101500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87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09"/>
      <c r="AC185" s="588"/>
      <c r="AD185" s="588"/>
    </row>
    <row r="186" spans="1:33" s="588" customFormat="1" ht="15.75" customHeight="1">
      <c r="A186" s="203" t="str">
        <f>IF(B186&lt;&gt;"",IF(AND(B186&gt;=_TM1,B186&lt;=_TM2,OR(TH!L186="1111",TH!M186="1111")),TH!D186,""),"")</f>
        <v/>
      </c>
      <c r="B186" s="36">
        <f t="shared" si="15"/>
        <v>10</v>
      </c>
      <c r="C186" s="183">
        <f t="shared" si="16"/>
        <v>42644</v>
      </c>
      <c r="D186" s="190"/>
      <c r="E186" s="190">
        <v>42644</v>
      </c>
      <c r="F186" s="188" t="s">
        <v>848</v>
      </c>
      <c r="G186" s="481" t="s">
        <v>847</v>
      </c>
      <c r="H186" s="7" t="s">
        <v>846</v>
      </c>
      <c r="I186" s="257"/>
      <c r="J186" s="257"/>
      <c r="K186" s="37">
        <v>3910000</v>
      </c>
      <c r="L186" s="193" t="s">
        <v>83</v>
      </c>
      <c r="M186" s="597" t="s">
        <v>47</v>
      </c>
      <c r="N186" s="51" t="str">
        <f>IF(AND('331-CT'!$E$7=TH!H186,OR(L186="331",M186="331")),"331",IF(AND(OR(L186="131",M186="131"),H186='131-CT'!$E$7),"131",""))</f>
        <v/>
      </c>
      <c r="O186" s="887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>x</v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/>
      </c>
      <c r="AB186" s="909">
        <v>4</v>
      </c>
      <c r="AE186" s="210"/>
      <c r="AF186" s="210"/>
      <c r="AG186" s="210"/>
    </row>
    <row r="187" spans="1:33" s="588" customFormat="1" ht="15.75" customHeight="1">
      <c r="A187" s="203" t="str">
        <f>IF(B187&lt;&gt;"",IF(AND(B187&gt;=_TM1,B187&lt;=_TM2,OR(TH!L187="1111",TH!M187="1111")),TH!D187,""),"")</f>
        <v/>
      </c>
      <c r="B187" s="36">
        <f t="shared" si="15"/>
        <v>10</v>
      </c>
      <c r="C187" s="183">
        <f t="shared" si="16"/>
        <v>42644</v>
      </c>
      <c r="D187" s="190"/>
      <c r="E187" s="190">
        <v>42644</v>
      </c>
      <c r="F187" s="188" t="s">
        <v>849</v>
      </c>
      <c r="G187" s="481" t="s">
        <v>847</v>
      </c>
      <c r="H187" s="7" t="s">
        <v>846</v>
      </c>
      <c r="I187" s="257"/>
      <c r="J187" s="257"/>
      <c r="K187" s="37">
        <v>391000</v>
      </c>
      <c r="L187" s="193" t="s">
        <v>9</v>
      </c>
      <c r="M187" s="597" t="s">
        <v>47</v>
      </c>
      <c r="N187" s="51" t="str">
        <f>IF(AND('331-CT'!$E$7=TH!H187,OR(L187="331",M187="331")),"331",IF(AND(OR(L187="131",M187="131"),H187='131-CT'!$E$7),"131",""))</f>
        <v/>
      </c>
      <c r="O187" s="887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/>
      </c>
      <c r="AB187" s="909">
        <v>4</v>
      </c>
      <c r="AE187" s="210"/>
      <c r="AF187" s="210"/>
      <c r="AG187" s="210"/>
    </row>
    <row r="188" spans="1:33" s="588" customFormat="1" ht="15.75" customHeight="1">
      <c r="A188" s="203" t="str">
        <f>IF(B188&lt;&gt;"",IF(AND(B188&gt;=_TM1,B188&lt;=_TM2,OR(TH!L188="1111",TH!M188="1111")),TH!D188,""),"")</f>
        <v/>
      </c>
      <c r="B188" s="36">
        <f t="shared" si="15"/>
        <v>10</v>
      </c>
      <c r="C188" s="183">
        <f t="shared" si="16"/>
        <v>42646</v>
      </c>
      <c r="D188" s="183" t="s">
        <v>529</v>
      </c>
      <c r="E188" s="190">
        <v>42646</v>
      </c>
      <c r="F188" s="191" t="s">
        <v>544</v>
      </c>
      <c r="G188" s="191" t="s">
        <v>533</v>
      </c>
      <c r="H188" s="192" t="s">
        <v>547</v>
      </c>
      <c r="I188" s="255"/>
      <c r="J188" s="255"/>
      <c r="K188" s="37">
        <v>19000000</v>
      </c>
      <c r="L188" s="193" t="s">
        <v>47</v>
      </c>
      <c r="M188" s="597" t="s">
        <v>24</v>
      </c>
      <c r="N188" s="51" t="str">
        <f>IF(AND('331-CT'!$E$7=TH!H188,OR(L188="331",M188="331")),"331",IF(AND(OR(L188="131",M188="131"),H188='131-CT'!$E$7),"131",""))</f>
        <v/>
      </c>
      <c r="O188" s="887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>x</v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/>
      </c>
      <c r="AB188" s="909"/>
      <c r="AF188" s="210"/>
      <c r="AG188" s="210"/>
    </row>
    <row r="189" spans="1:33" s="588" customFormat="1" ht="15.75" customHeight="1">
      <c r="A189" s="203" t="str">
        <f>IF(B189&lt;&gt;"",IF(AND(B189&gt;=_TM1,B189&lt;=_TM2,OR(TH!L189="1111",TH!M189="1111")),TH!D189,""),"")</f>
        <v/>
      </c>
      <c r="B189" s="36">
        <f t="shared" si="15"/>
        <v>10</v>
      </c>
      <c r="C189" s="183">
        <f t="shared" si="16"/>
        <v>42646</v>
      </c>
      <c r="D189" s="190"/>
      <c r="E189" s="190">
        <v>42646</v>
      </c>
      <c r="F189" s="188" t="s">
        <v>835</v>
      </c>
      <c r="G189" s="481" t="s">
        <v>760</v>
      </c>
      <c r="H189" s="209" t="s">
        <v>759</v>
      </c>
      <c r="I189" s="255"/>
      <c r="J189" s="255"/>
      <c r="K189" s="37">
        <v>5100454</v>
      </c>
      <c r="L189" s="193" t="s">
        <v>261</v>
      </c>
      <c r="M189" s="597" t="s">
        <v>47</v>
      </c>
      <c r="N189" s="51" t="str">
        <f>IF(AND('331-CT'!$E$7=TH!H189,OR(L189="331",M189="331")),"331",IF(AND(OR(L189="131",M189="131"),H189='131-CT'!$E$7),"131",""))</f>
        <v/>
      </c>
      <c r="O189" s="887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/>
      </c>
      <c r="AB189" s="909">
        <v>4</v>
      </c>
      <c r="AD189" s="210"/>
      <c r="AE189" s="210"/>
      <c r="AF189" s="210"/>
      <c r="AG189" s="210"/>
    </row>
    <row r="190" spans="1:33" s="588" customFormat="1" ht="15.75" customHeight="1">
      <c r="A190" s="203" t="str">
        <f>IF(B190&lt;&gt;"",IF(AND(B190&gt;=_TM1,B190&lt;=_TM2,OR(TH!L190="1111",TH!M190="1111")),TH!D190,""),"")</f>
        <v/>
      </c>
      <c r="B190" s="36">
        <f t="shared" si="15"/>
        <v>10</v>
      </c>
      <c r="C190" s="183">
        <f t="shared" si="16"/>
        <v>42646</v>
      </c>
      <c r="D190" s="190"/>
      <c r="E190" s="190">
        <v>42646</v>
      </c>
      <c r="F190" s="188" t="s">
        <v>836</v>
      </c>
      <c r="G190" s="481" t="s">
        <v>760</v>
      </c>
      <c r="H190" s="209" t="s">
        <v>759</v>
      </c>
      <c r="I190" s="255"/>
      <c r="J190" s="255"/>
      <c r="K190" s="37">
        <v>510046</v>
      </c>
      <c r="L190" s="193" t="s">
        <v>9</v>
      </c>
      <c r="M190" s="597" t="s">
        <v>47</v>
      </c>
      <c r="N190" s="51" t="str">
        <f>IF(AND('331-CT'!$E$7=TH!H190,OR(L190="331",M190="331")),"331",IF(AND(OR(L190="131",M190="131"),H190='131-CT'!$E$7),"131",""))</f>
        <v/>
      </c>
      <c r="O190" s="887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/>
      </c>
      <c r="AB190" s="909">
        <v>4</v>
      </c>
      <c r="AE190" s="210"/>
      <c r="AF190" s="210"/>
      <c r="AG190" s="210"/>
    </row>
    <row r="191" spans="1:33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15"/>
        <v>10</v>
      </c>
      <c r="C191" s="183">
        <f t="shared" si="16"/>
        <v>42647</v>
      </c>
      <c r="D191" s="183" t="s">
        <v>528</v>
      </c>
      <c r="E191" s="190">
        <v>42647</v>
      </c>
      <c r="F191" s="188" t="s">
        <v>543</v>
      </c>
      <c r="G191" s="191" t="s">
        <v>533</v>
      </c>
      <c r="H191" s="192" t="s">
        <v>547</v>
      </c>
      <c r="I191" s="255"/>
      <c r="J191" s="257"/>
      <c r="K191" s="37">
        <v>50000000</v>
      </c>
      <c r="L191" s="193" t="s">
        <v>24</v>
      </c>
      <c r="M191" s="597" t="s">
        <v>47</v>
      </c>
      <c r="N191" s="51" t="str">
        <f>IF(AND('331-CT'!$E$7=TH!H191,OR(L191="331",M191="331")),"331",IF(AND(OR(L191="131",M191="131"),H191='131-CT'!$E$7),"131",""))</f>
        <v/>
      </c>
      <c r="O191" s="887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>x</v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/>
      </c>
      <c r="AB191" s="909"/>
      <c r="AC191" s="588"/>
      <c r="AD191" s="588"/>
      <c r="AF191" s="588"/>
      <c r="AG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15"/>
        <v>10</v>
      </c>
      <c r="C192" s="183">
        <f t="shared" si="16"/>
        <v>42647</v>
      </c>
      <c r="D192" s="183" t="s">
        <v>529</v>
      </c>
      <c r="E192" s="190">
        <v>42647</v>
      </c>
      <c r="F192" s="191" t="s">
        <v>524</v>
      </c>
      <c r="G192" s="191" t="s">
        <v>533</v>
      </c>
      <c r="H192" s="854" t="s">
        <v>457</v>
      </c>
      <c r="I192" s="255"/>
      <c r="J192" s="255"/>
      <c r="K192" s="37">
        <v>50000000</v>
      </c>
      <c r="L192" s="193" t="s">
        <v>8</v>
      </c>
      <c r="M192" s="597" t="s">
        <v>24</v>
      </c>
      <c r="N192" s="51" t="str">
        <f>IF(AND('331-CT'!$E$7=TH!H192,OR(L192="331",M192="331")),"331",IF(AND(OR(L192="131",M192="131"),H192='131-CT'!$E$7),"131",""))</f>
        <v/>
      </c>
      <c r="O192" s="887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>x</v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/>
      </c>
      <c r="AB192" s="909"/>
      <c r="AC192" s="588"/>
      <c r="AD192" s="588"/>
      <c r="AE192" s="588"/>
    </row>
    <row r="193" spans="1:33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15"/>
        <v>10</v>
      </c>
      <c r="C193" s="183">
        <f t="shared" si="16"/>
        <v>42647</v>
      </c>
      <c r="D193" s="183" t="s">
        <v>529</v>
      </c>
      <c r="E193" s="190">
        <v>42647</v>
      </c>
      <c r="F193" s="191" t="s">
        <v>539</v>
      </c>
      <c r="G193" s="191" t="s">
        <v>533</v>
      </c>
      <c r="H193" s="209"/>
      <c r="I193" s="255"/>
      <c r="J193" s="255"/>
      <c r="K193" s="37">
        <v>10000</v>
      </c>
      <c r="L193" s="193" t="s">
        <v>83</v>
      </c>
      <c r="M193" s="597" t="s">
        <v>24</v>
      </c>
      <c r="N193" s="51" t="str">
        <f>IF(AND('331-CT'!$E$7=TH!H193,OR(L193="331",M193="331")),"331",IF(AND(OR(L193="131",M193="131"),H193='131-CT'!$E$7),"131",""))</f>
        <v/>
      </c>
      <c r="O193" s="887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>x</v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>x</v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/>
      </c>
      <c r="AB193" s="909">
        <v>4</v>
      </c>
      <c r="AC193" s="588"/>
      <c r="AD193" s="588"/>
      <c r="AE193" s="588"/>
    </row>
    <row r="194" spans="1:33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15"/>
        <v>10</v>
      </c>
      <c r="C194" s="183">
        <f t="shared" si="16"/>
        <v>42647</v>
      </c>
      <c r="D194" s="183" t="s">
        <v>529</v>
      </c>
      <c r="E194" s="190">
        <v>42647</v>
      </c>
      <c r="F194" s="191" t="s">
        <v>540</v>
      </c>
      <c r="G194" s="191" t="s">
        <v>533</v>
      </c>
      <c r="H194" s="209"/>
      <c r="I194" s="257"/>
      <c r="J194" s="257"/>
      <c r="K194" s="37">
        <v>1000</v>
      </c>
      <c r="L194" s="193" t="s">
        <v>9</v>
      </c>
      <c r="M194" s="597" t="s">
        <v>24</v>
      </c>
      <c r="N194" s="51" t="str">
        <f>IF(AND('331-CT'!$E$7=TH!H194,OR(L194="331",M194="331")),"331",IF(AND(OR(L194="131",M194="131"),H194='131-CT'!$E$7),"131",""))</f>
        <v/>
      </c>
      <c r="O194" s="887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>x</v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/>
      </c>
      <c r="AB194" s="909">
        <v>4</v>
      </c>
      <c r="AC194" s="588"/>
      <c r="AD194" s="588"/>
      <c r="AE194" s="588"/>
    </row>
    <row r="195" spans="1:33" s="588" customFormat="1" ht="15.75" customHeight="1">
      <c r="A195" s="203" t="str">
        <f>IF(B195&lt;&gt;"",IF(AND(B195&gt;=_TM1,B195&lt;=_TM2,OR(TH!L195="1111",TH!M195="1111")),TH!D195,""),"")</f>
        <v/>
      </c>
      <c r="B195" s="36">
        <f t="shared" si="15"/>
        <v>10</v>
      </c>
      <c r="C195" s="183">
        <f t="shared" si="16"/>
        <v>42652</v>
      </c>
      <c r="D195" s="190" t="s">
        <v>519</v>
      </c>
      <c r="E195" s="190">
        <v>42652</v>
      </c>
      <c r="F195" s="188" t="s">
        <v>839</v>
      </c>
      <c r="G195" s="481" t="s">
        <v>841</v>
      </c>
      <c r="H195" s="192" t="s">
        <v>842</v>
      </c>
      <c r="I195" s="255">
        <v>13490</v>
      </c>
      <c r="J195" s="255">
        <v>750</v>
      </c>
      <c r="K195" s="37">
        <f>ROUND(I195*J195,0)</f>
        <v>10117500</v>
      </c>
      <c r="L195" s="193" t="s">
        <v>161</v>
      </c>
      <c r="M195" s="193" t="s">
        <v>8</v>
      </c>
      <c r="N195" s="51" t="str">
        <f>IF(AND('331-CT'!$E$7=TH!H195,OR(L195="331",M195="331")),"331",IF(AND(OR(L195="131",M195="131"),H195='131-CT'!$E$7),"131",""))</f>
        <v/>
      </c>
      <c r="O195" s="887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/>
      </c>
      <c r="AB195" s="909">
        <v>4</v>
      </c>
      <c r="AE195" s="210"/>
      <c r="AF195" s="210"/>
      <c r="AG195" s="210"/>
    </row>
    <row r="196" spans="1:33" s="588" customFormat="1" ht="15.75" customHeight="1">
      <c r="A196" s="203" t="str">
        <f>IF(B196&lt;&gt;"",IF(AND(B196&gt;=_TM1,B196&lt;=_TM2,OR(TH!L196="1111",TH!M196="1111")),TH!D196,""),"")</f>
        <v/>
      </c>
      <c r="B196" s="36">
        <f t="shared" si="15"/>
        <v>10</v>
      </c>
      <c r="C196" s="183">
        <f t="shared" si="16"/>
        <v>42652</v>
      </c>
      <c r="D196" s="190" t="s">
        <v>519</v>
      </c>
      <c r="E196" s="190">
        <v>42652</v>
      </c>
      <c r="F196" s="188" t="s">
        <v>840</v>
      </c>
      <c r="G196" s="481" t="s">
        <v>841</v>
      </c>
      <c r="H196" s="192" t="s">
        <v>842</v>
      </c>
      <c r="I196" s="255"/>
      <c r="J196" s="255"/>
      <c r="K196" s="37">
        <v>1011750</v>
      </c>
      <c r="L196" s="193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/>
      </c>
      <c r="O196" s="887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/>
      </c>
      <c r="AB196" s="909">
        <v>4</v>
      </c>
      <c r="AD196" s="210"/>
      <c r="AE196" s="210"/>
      <c r="AF196" s="210"/>
      <c r="AG196" s="210"/>
    </row>
    <row r="197" spans="1:33" s="588" customFormat="1" ht="15.75" customHeight="1">
      <c r="A197" s="203" t="str">
        <f>IF(B197&lt;&gt;"",IF(AND(B197&gt;=_TM1,B197&lt;=_TM2,OR(TH!L197="1111",TH!M197="1111")),TH!D197,""),"")</f>
        <v/>
      </c>
      <c r="B197" s="36">
        <f t="shared" si="15"/>
        <v>10</v>
      </c>
      <c r="C197" s="183">
        <f t="shared" si="16"/>
        <v>42652</v>
      </c>
      <c r="D197" s="190" t="s">
        <v>519</v>
      </c>
      <c r="E197" s="190">
        <v>42652</v>
      </c>
      <c r="F197" s="188" t="s">
        <v>524</v>
      </c>
      <c r="G197" s="481" t="s">
        <v>841</v>
      </c>
      <c r="H197" s="192" t="s">
        <v>842</v>
      </c>
      <c r="I197" s="255"/>
      <c r="J197" s="255"/>
      <c r="K197" s="37">
        <v>11129250</v>
      </c>
      <c r="L197" s="193" t="s">
        <v>8</v>
      </c>
      <c r="M197" s="597" t="s">
        <v>47</v>
      </c>
      <c r="N197" s="51" t="str">
        <f>IF(AND('331-CT'!$E$7=TH!H197,OR(L197="331",M197="331")),"331",IF(AND(OR(L197="131",M197="131"),H197='131-CT'!$E$7),"131",""))</f>
        <v/>
      </c>
      <c r="O197" s="887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/>
      </c>
      <c r="AB197" s="909"/>
      <c r="AE197" s="210"/>
      <c r="AF197" s="210"/>
      <c r="AG197" s="210"/>
    </row>
    <row r="198" spans="1:33" s="588" customFormat="1" ht="15.75" customHeight="1">
      <c r="A198" s="203" t="str">
        <f>IF(B198&lt;&gt;"",IF(AND(B198&gt;=_TM1,B198&lt;=_TM2,OR(TH!L198="1111",TH!M198="1111")),TH!D198,""),"")</f>
        <v/>
      </c>
      <c r="B198" s="36">
        <f t="shared" si="15"/>
        <v>10</v>
      </c>
      <c r="C198" s="183">
        <f t="shared" si="16"/>
        <v>42657</v>
      </c>
      <c r="D198" s="183" t="s">
        <v>528</v>
      </c>
      <c r="E198" s="190">
        <v>42657</v>
      </c>
      <c r="F198" s="188" t="s">
        <v>543</v>
      </c>
      <c r="G198" s="191" t="s">
        <v>533</v>
      </c>
      <c r="H198" s="7" t="s">
        <v>412</v>
      </c>
      <c r="I198" s="255"/>
      <c r="J198" s="257"/>
      <c r="K198" s="37">
        <v>43410950</v>
      </c>
      <c r="L198" s="193" t="s">
        <v>24</v>
      </c>
      <c r="M198" s="597" t="s">
        <v>259</v>
      </c>
      <c r="N198" s="51" t="str">
        <f>IF(AND('331-CT'!$E$7=TH!H198,OR(L198="331",M198="331")),"331",IF(AND(OR(L198="131",M198="131"),H198='131-CT'!$E$7),"131",""))</f>
        <v/>
      </c>
      <c r="O198" s="887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>x</v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/>
      </c>
      <c r="AB198" s="909"/>
      <c r="AD198" s="210"/>
      <c r="AE198" s="210"/>
    </row>
    <row r="199" spans="1:33" s="588" customFormat="1" ht="15.75" customHeight="1">
      <c r="A199" s="203" t="str">
        <f>IF(B199&lt;&gt;"",IF(AND(B199&gt;=_TM1,B199&lt;=_TM2,OR(TH!L199="1111",TH!M199="1111")),TH!D199,""),"")</f>
        <v/>
      </c>
      <c r="B199" s="36">
        <f t="shared" si="15"/>
        <v>10</v>
      </c>
      <c r="C199" s="183">
        <f t="shared" si="16"/>
        <v>42657</v>
      </c>
      <c r="D199" s="190" t="s">
        <v>520</v>
      </c>
      <c r="E199" s="190">
        <v>42657</v>
      </c>
      <c r="F199" s="188" t="s">
        <v>839</v>
      </c>
      <c r="G199" s="481" t="s">
        <v>843</v>
      </c>
      <c r="H199" s="192" t="s">
        <v>842</v>
      </c>
      <c r="I199" s="255">
        <v>16010</v>
      </c>
      <c r="J199" s="255">
        <v>800</v>
      </c>
      <c r="K199" s="37">
        <f>ROUND(I199*J199,0)</f>
        <v>12808000</v>
      </c>
      <c r="L199" s="193" t="s">
        <v>161</v>
      </c>
      <c r="M199" s="193" t="s">
        <v>8</v>
      </c>
      <c r="N199" s="51" t="str">
        <f>IF(AND('331-CT'!$E$7=TH!H199,OR(L199="331",M199="331")),"331",IF(AND(OR(L199="131",M199="131"),H199='131-CT'!$E$7),"131",""))</f>
        <v/>
      </c>
      <c r="O199" s="887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/>
      </c>
      <c r="AB199" s="909">
        <v>4</v>
      </c>
      <c r="AE199" s="210"/>
      <c r="AF199" s="210"/>
      <c r="AG199" s="210"/>
    </row>
    <row r="200" spans="1:33" s="588" customFormat="1" ht="15.75" customHeight="1">
      <c r="A200" s="203" t="str">
        <f>IF(B200&lt;&gt;"",IF(AND(B200&gt;=_TM1,B200&lt;=_TM2,OR(TH!L200="1111",TH!M200="1111")),TH!D200,""),"")</f>
        <v/>
      </c>
      <c r="B200" s="36">
        <f t="shared" si="15"/>
        <v>10</v>
      </c>
      <c r="C200" s="183">
        <f t="shared" si="16"/>
        <v>42657</v>
      </c>
      <c r="D200" s="190" t="s">
        <v>520</v>
      </c>
      <c r="E200" s="190">
        <v>42657</v>
      </c>
      <c r="F200" s="188" t="s">
        <v>840</v>
      </c>
      <c r="G200" s="481" t="s">
        <v>843</v>
      </c>
      <c r="H200" s="192" t="s">
        <v>842</v>
      </c>
      <c r="I200" s="255"/>
      <c r="J200" s="255"/>
      <c r="K200" s="37">
        <v>1280800</v>
      </c>
      <c r="L200" s="193" t="s">
        <v>9</v>
      </c>
      <c r="M200" s="193" t="s">
        <v>8</v>
      </c>
      <c r="N200" s="51" t="str">
        <f>IF(AND('331-CT'!$E$7=TH!H200,OR(L200="331",M200="331")),"331",IF(AND(OR(L200="131",M200="131"),H200='131-CT'!$E$7),"131",""))</f>
        <v/>
      </c>
      <c r="O200" s="887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09">
        <v>4</v>
      </c>
      <c r="AE200" s="210"/>
      <c r="AF200" s="210"/>
      <c r="AG200" s="210"/>
    </row>
    <row r="201" spans="1:33" s="588" customFormat="1" ht="15.75" customHeight="1">
      <c r="A201" s="203" t="str">
        <f>IF(B201&lt;&gt;"",IF(AND(B201&gt;=_TM1,B201&lt;=_TM2,OR(TH!L201="1111",TH!M201="1111")),TH!D201,""),"")</f>
        <v/>
      </c>
      <c r="B201" s="36">
        <f t="shared" si="15"/>
        <v>10</v>
      </c>
      <c r="C201" s="183">
        <f t="shared" si="16"/>
        <v>42657</v>
      </c>
      <c r="D201" s="190" t="s">
        <v>520</v>
      </c>
      <c r="E201" s="190">
        <v>42657</v>
      </c>
      <c r="F201" s="188" t="s">
        <v>524</v>
      </c>
      <c r="G201" s="481" t="s">
        <v>843</v>
      </c>
      <c r="H201" s="192" t="s">
        <v>842</v>
      </c>
      <c r="I201" s="255"/>
      <c r="J201" s="255"/>
      <c r="K201" s="37">
        <v>14088800</v>
      </c>
      <c r="L201" s="193" t="s">
        <v>8</v>
      </c>
      <c r="M201" s="597" t="s">
        <v>47</v>
      </c>
      <c r="N201" s="51" t="str">
        <f>IF(AND('331-CT'!$E$7=TH!H201,OR(L201="331",M201="331")),"331",IF(AND(OR(L201="131",M201="131"),H201='131-CT'!$E$7),"131",""))</f>
        <v/>
      </c>
      <c r="O201" s="887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09"/>
      <c r="AE201" s="210"/>
      <c r="AF201" s="210"/>
      <c r="AG201" s="210"/>
    </row>
    <row r="202" spans="1:33" s="588" customFormat="1" ht="15.75" customHeight="1">
      <c r="A202" s="203" t="str">
        <f>IF(B202&lt;&gt;"",IF(AND(B202&gt;=_TM1,B202&lt;=_TM2,OR(TH!L202="1111",TH!M202="1111")),TH!D202,""),"")</f>
        <v/>
      </c>
      <c r="B202" s="36">
        <f t="shared" si="15"/>
        <v>10</v>
      </c>
      <c r="C202" s="183">
        <f t="shared" si="16"/>
        <v>42658</v>
      </c>
      <c r="D202" s="190" t="s">
        <v>333</v>
      </c>
      <c r="E202" s="190">
        <v>42658</v>
      </c>
      <c r="F202" s="188" t="s">
        <v>837</v>
      </c>
      <c r="G202" s="481" t="s">
        <v>838</v>
      </c>
      <c r="H202" s="192" t="s">
        <v>684</v>
      </c>
      <c r="I202" s="255"/>
      <c r="J202" s="255"/>
      <c r="K202" s="37">
        <v>37000000</v>
      </c>
      <c r="L202" s="193" t="s">
        <v>83</v>
      </c>
      <c r="M202" s="193" t="s">
        <v>8</v>
      </c>
      <c r="N202" s="51" t="str">
        <f>IF(AND('331-CT'!$E$7=TH!H202,OR(L202="331",M202="331")),"331",IF(AND(OR(L202="131",M202="131"),H202='131-CT'!$E$7),"131",""))</f>
        <v/>
      </c>
      <c r="O202" s="887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09">
        <v>4</v>
      </c>
      <c r="AE202" s="210"/>
      <c r="AF202" s="210"/>
      <c r="AG202" s="210"/>
    </row>
    <row r="203" spans="1:33" s="588" customFormat="1" ht="15.75" customHeight="1">
      <c r="A203" s="203" t="str">
        <f>IF(B203&lt;&gt;"",IF(AND(B203&gt;=_TM1,B203&lt;=_TM2,OR(TH!L203="1111",TH!M203="1111")),TH!D203,""),"")</f>
        <v/>
      </c>
      <c r="B203" s="36">
        <f t="shared" si="15"/>
        <v>10</v>
      </c>
      <c r="C203" s="183">
        <f t="shared" si="16"/>
        <v>42658</v>
      </c>
      <c r="D203" s="190" t="s">
        <v>333</v>
      </c>
      <c r="E203" s="190">
        <v>42658</v>
      </c>
      <c r="F203" s="188" t="s">
        <v>494</v>
      </c>
      <c r="G203" s="481" t="s">
        <v>838</v>
      </c>
      <c r="H203" s="192" t="s">
        <v>684</v>
      </c>
      <c r="I203" s="255"/>
      <c r="J203" s="255"/>
      <c r="K203" s="37">
        <v>3700000</v>
      </c>
      <c r="L203" s="193" t="s">
        <v>9</v>
      </c>
      <c r="M203" s="193" t="s">
        <v>8</v>
      </c>
      <c r="N203" s="51" t="str">
        <f>IF(AND('331-CT'!$E$7=TH!H203,OR(L203="331",M203="331")),"331",IF(AND(OR(L203="131",M203="131"),H203='131-CT'!$E$7),"131",""))</f>
        <v/>
      </c>
      <c r="O203" s="887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09">
        <v>4</v>
      </c>
      <c r="AE203" s="210"/>
      <c r="AF203" s="210"/>
      <c r="AG203" s="210"/>
    </row>
    <row r="204" spans="1:33" s="588" customFormat="1" ht="15.75" customHeight="1">
      <c r="A204" s="203" t="str">
        <f>IF(B204&lt;&gt;"",IF(AND(B204&gt;=_TM1,B204&lt;=_TM2,OR(TH!L204="1111",TH!M204="1111")),TH!D204,""),"")</f>
        <v/>
      </c>
      <c r="B204" s="36">
        <f t="shared" si="15"/>
        <v>10</v>
      </c>
      <c r="C204" s="183">
        <f t="shared" si="16"/>
        <v>42660</v>
      </c>
      <c r="D204" s="183" t="s">
        <v>529</v>
      </c>
      <c r="E204" s="190">
        <v>42660</v>
      </c>
      <c r="F204" s="191" t="s">
        <v>538</v>
      </c>
      <c r="G204" s="191" t="s">
        <v>533</v>
      </c>
      <c r="H204" s="192" t="s">
        <v>684</v>
      </c>
      <c r="I204" s="255"/>
      <c r="J204" s="255"/>
      <c r="K204" s="37">
        <v>40700000</v>
      </c>
      <c r="L204" s="193" t="s">
        <v>8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7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09"/>
      <c r="AF204" s="210"/>
      <c r="AG204" s="210"/>
    </row>
    <row r="205" spans="1:33" s="588" customFormat="1" ht="15.75" customHeight="1">
      <c r="A205" s="203" t="str">
        <f>IF(B205&lt;&gt;"",IF(AND(B205&gt;=_TM1,B205&lt;=_TM2,OR(TH!L205="1111",TH!M205="1111")),TH!D205,""),"")</f>
        <v/>
      </c>
      <c r="B205" s="36">
        <f t="shared" si="15"/>
        <v>10</v>
      </c>
      <c r="C205" s="183">
        <f t="shared" si="16"/>
        <v>42660</v>
      </c>
      <c r="D205" s="190" t="s">
        <v>460</v>
      </c>
      <c r="E205" s="190">
        <v>42660</v>
      </c>
      <c r="F205" s="188" t="s">
        <v>845</v>
      </c>
      <c r="G205" s="481" t="s">
        <v>850</v>
      </c>
      <c r="H205" s="7" t="s">
        <v>456</v>
      </c>
      <c r="I205" s="255">
        <v>8032</v>
      </c>
      <c r="J205" s="255">
        <v>7800</v>
      </c>
      <c r="K205" s="37">
        <f>ROUND(I205*J205,0)</f>
        <v>62649600</v>
      </c>
      <c r="L205" s="193" t="s">
        <v>159</v>
      </c>
      <c r="M205" s="597" t="s">
        <v>8</v>
      </c>
      <c r="N205" s="51" t="str">
        <f>IF(AND('331-CT'!$E$7=TH!H205,OR(L205="331",M205="331")),"331",IF(AND(OR(L205="131",M205="131"),H205='131-CT'!$E$7),"131",""))</f>
        <v/>
      </c>
      <c r="O205" s="887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09">
        <v>4</v>
      </c>
      <c r="AE205" s="210"/>
      <c r="AF205" s="210"/>
      <c r="AG205" s="210"/>
    </row>
    <row r="206" spans="1:33" s="588" customFormat="1" ht="15.75" customHeight="1">
      <c r="A206" s="203" t="str">
        <f>IF(B206&lt;&gt;"",IF(AND(B206&gt;=_TM1,B206&lt;=_TM2,OR(TH!L206="1111",TH!M206="1111")),TH!D206,""),"")</f>
        <v/>
      </c>
      <c r="B206" s="36">
        <f t="shared" si="15"/>
        <v>10</v>
      </c>
      <c r="C206" s="183">
        <f t="shared" si="16"/>
        <v>42660</v>
      </c>
      <c r="D206" s="190" t="s">
        <v>460</v>
      </c>
      <c r="E206" s="190">
        <v>42660</v>
      </c>
      <c r="F206" s="188" t="s">
        <v>417</v>
      </c>
      <c r="G206" s="481" t="s">
        <v>850</v>
      </c>
      <c r="H206" s="7" t="s">
        <v>456</v>
      </c>
      <c r="I206" s="255"/>
      <c r="J206" s="255"/>
      <c r="K206" s="37">
        <v>6264960</v>
      </c>
      <c r="L206" s="193" t="s">
        <v>9</v>
      </c>
      <c r="M206" s="193" t="s">
        <v>8</v>
      </c>
      <c r="N206" s="51" t="str">
        <f>IF(AND('331-CT'!$E$7=TH!H206,OR(L206="331",M206="331")),"331",IF(AND(OR(L206="131",M206="131"),H206='131-CT'!$E$7),"131",""))</f>
        <v/>
      </c>
      <c r="O206" s="887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09">
        <v>4</v>
      </c>
      <c r="AE206" s="210"/>
      <c r="AF206" s="210"/>
      <c r="AG206" s="210"/>
    </row>
    <row r="207" spans="1:33" s="588" customFormat="1" ht="15.75" customHeight="1">
      <c r="A207" s="203" t="str">
        <f>IF(B207&lt;&gt;"",IF(AND(B207&gt;=_TM1,B207&lt;=_TM2,OR(TH!L207="1111",TH!M207="1111")),TH!D207,""),"")</f>
        <v/>
      </c>
      <c r="B207" s="36">
        <f t="shared" si="15"/>
        <v>10</v>
      </c>
      <c r="C207" s="183">
        <f t="shared" si="16"/>
        <v>42660</v>
      </c>
      <c r="D207" s="190" t="s">
        <v>461</v>
      </c>
      <c r="E207" s="190">
        <v>42660</v>
      </c>
      <c r="F207" s="188" t="s">
        <v>845</v>
      </c>
      <c r="G207" s="481" t="s">
        <v>852</v>
      </c>
      <c r="H207" s="7" t="s">
        <v>456</v>
      </c>
      <c r="I207" s="255">
        <v>7448</v>
      </c>
      <c r="J207" s="255">
        <v>8200</v>
      </c>
      <c r="K207" s="37">
        <f>ROUND(I207*J207,0)</f>
        <v>61073600</v>
      </c>
      <c r="L207" s="193" t="s">
        <v>159</v>
      </c>
      <c r="M207" s="597" t="s">
        <v>8</v>
      </c>
      <c r="N207" s="51" t="str">
        <f>IF(AND('331-CT'!$E$7=TH!H207,OR(L207="331",M207="331")),"331",IF(AND(OR(L207="131",M207="131"),H207='131-CT'!$E$7),"131",""))</f>
        <v/>
      </c>
      <c r="O207" s="887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09">
        <v>4</v>
      </c>
      <c r="AD207" s="210"/>
      <c r="AE207" s="210"/>
      <c r="AF207" s="210"/>
      <c r="AG207" s="210"/>
    </row>
    <row r="208" spans="1:33" s="588" customFormat="1" ht="15.75" customHeight="1">
      <c r="A208" s="203" t="str">
        <f>IF(B208&lt;&gt;"",IF(AND(B208&gt;=_TM1,B208&lt;=_TM2,OR(TH!L208="1111",TH!M208="1111")),TH!D208,""),"")</f>
        <v/>
      </c>
      <c r="B208" s="36">
        <f t="shared" si="15"/>
        <v>10</v>
      </c>
      <c r="C208" s="183">
        <f t="shared" si="16"/>
        <v>42660</v>
      </c>
      <c r="D208" s="190" t="s">
        <v>461</v>
      </c>
      <c r="E208" s="190">
        <v>42660</v>
      </c>
      <c r="F208" s="188" t="s">
        <v>417</v>
      </c>
      <c r="G208" s="481" t="s">
        <v>852</v>
      </c>
      <c r="H208" s="7" t="s">
        <v>456</v>
      </c>
      <c r="I208" s="255"/>
      <c r="J208" s="255"/>
      <c r="K208" s="37">
        <v>6107360</v>
      </c>
      <c r="L208" s="193" t="s">
        <v>9</v>
      </c>
      <c r="M208" s="193" t="s">
        <v>8</v>
      </c>
      <c r="N208" s="51" t="str">
        <f>IF(AND('331-CT'!$E$7=TH!H208,OR(L208="331",M208="331")),"331",IF(AND(OR(L208="131",M208="131"),H208='131-CT'!$E$7),"131",""))</f>
        <v/>
      </c>
      <c r="O208" s="887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09">
        <v>4</v>
      </c>
      <c r="AF208" s="210"/>
      <c r="AG208" s="210"/>
    </row>
    <row r="209" spans="1:33" s="588" customFormat="1" ht="15.75" customHeight="1">
      <c r="A209" s="203" t="str">
        <f>IF(B209&lt;&gt;"",IF(AND(B209&gt;=_TM1,B209&lt;=_TM2,OR(TH!L209="1111",TH!M209="1111")),TH!D209,""),"")</f>
        <v/>
      </c>
      <c r="B209" s="36">
        <f t="shared" si="15"/>
        <v>10</v>
      </c>
      <c r="C209" s="183">
        <f t="shared" si="16"/>
        <v>42660</v>
      </c>
      <c r="D209" s="190" t="s">
        <v>462</v>
      </c>
      <c r="E209" s="190">
        <v>42660</v>
      </c>
      <c r="F209" s="188" t="s">
        <v>845</v>
      </c>
      <c r="G209" s="481" t="s">
        <v>851</v>
      </c>
      <c r="H209" s="7" t="s">
        <v>456</v>
      </c>
      <c r="I209" s="255">
        <v>2161</v>
      </c>
      <c r="J209" s="255">
        <v>8200</v>
      </c>
      <c r="K209" s="37">
        <f>ROUND(I209*J209,0)</f>
        <v>17720200</v>
      </c>
      <c r="L209" s="193" t="s">
        <v>159</v>
      </c>
      <c r="M209" s="597" t="s">
        <v>8</v>
      </c>
      <c r="N209" s="51" t="str">
        <f>IF(AND('331-CT'!$E$7=TH!H209,OR(L209="331",M209="331")),"331",IF(AND(OR(L209="131",M209="131"),H209='131-CT'!$E$7),"131",""))</f>
        <v/>
      </c>
      <c r="O209" s="887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09">
        <v>4</v>
      </c>
      <c r="AF209" s="210"/>
      <c r="AG209" s="210"/>
    </row>
    <row r="210" spans="1:33" s="588" customFormat="1" ht="15.75" customHeight="1">
      <c r="A210" s="203" t="str">
        <f>IF(B210&lt;&gt;"",IF(AND(B210&gt;=_TM1,B210&lt;=_TM2,OR(TH!L210="1111",TH!M210="1111")),TH!D210,""),"")</f>
        <v/>
      </c>
      <c r="B210" s="36">
        <f t="shared" si="15"/>
        <v>10</v>
      </c>
      <c r="C210" s="183">
        <f t="shared" si="16"/>
        <v>42660</v>
      </c>
      <c r="D210" s="190" t="s">
        <v>462</v>
      </c>
      <c r="E210" s="190">
        <v>42660</v>
      </c>
      <c r="F210" s="188" t="s">
        <v>417</v>
      </c>
      <c r="G210" s="481" t="s">
        <v>851</v>
      </c>
      <c r="H210" s="7" t="s">
        <v>456</v>
      </c>
      <c r="I210" s="255"/>
      <c r="J210" s="255"/>
      <c r="K210" s="37">
        <v>1772020</v>
      </c>
      <c r="L210" s="193" t="s">
        <v>9</v>
      </c>
      <c r="M210" s="193" t="s">
        <v>8</v>
      </c>
      <c r="N210" s="51" t="str">
        <f>IF(AND('331-CT'!$E$7=TH!H210,OR(L210="331",M210="331")),"331",IF(AND(OR(L210="131",M210="131"),H210='131-CT'!$E$7),"131",""))</f>
        <v/>
      </c>
      <c r="O210" s="887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09">
        <v>4</v>
      </c>
      <c r="AD210" s="210"/>
      <c r="AE210" s="210"/>
      <c r="AF210" s="210"/>
      <c r="AG210" s="210"/>
    </row>
    <row r="211" spans="1:33" s="588" customFormat="1" ht="15.75" customHeight="1">
      <c r="A211" s="203" t="str">
        <f>IF(B211&lt;&gt;"",IF(AND(B211&gt;=_TM1,B211&lt;=_TM2,OR(TH!L211="1111",TH!M211="1111")),TH!D211,""),"")</f>
        <v/>
      </c>
      <c r="B211" s="36">
        <f t="shared" si="15"/>
        <v>10</v>
      </c>
      <c r="C211" s="183">
        <f t="shared" si="16"/>
        <v>42661</v>
      </c>
      <c r="D211" s="183" t="s">
        <v>529</v>
      </c>
      <c r="E211" s="190">
        <v>42661</v>
      </c>
      <c r="F211" s="191" t="s">
        <v>544</v>
      </c>
      <c r="G211" s="191" t="s">
        <v>533</v>
      </c>
      <c r="H211" s="192" t="s">
        <v>547</v>
      </c>
      <c r="I211" s="255"/>
      <c r="J211" s="255"/>
      <c r="K211" s="37">
        <v>3000000</v>
      </c>
      <c r="L211" s="193" t="s">
        <v>47</v>
      </c>
      <c r="M211" s="597" t="s">
        <v>24</v>
      </c>
      <c r="N211" s="51" t="str">
        <f>IF(AND('331-CT'!$E$7=TH!H211,OR(L211="331",M211="331")),"331",IF(AND(OR(L211="131",M211="131"),H211='131-CT'!$E$7),"131",""))</f>
        <v/>
      </c>
      <c r="O211" s="887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>x</v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09"/>
      <c r="AD211" s="210"/>
      <c r="AF211" s="210"/>
      <c r="AG211" s="210"/>
    </row>
    <row r="212" spans="1:33" s="588" customFormat="1" ht="15.75" customHeight="1">
      <c r="A212" s="203" t="str">
        <f>IF(B212&lt;&gt;"",IF(AND(B212&gt;=_TM1,B212&lt;=_TM2,OR(TH!L212="1111",TH!M212="1111")),TH!D212,""),"")</f>
        <v/>
      </c>
      <c r="B212" s="36">
        <f t="shared" si="15"/>
        <v>10</v>
      </c>
      <c r="C212" s="183">
        <f t="shared" si="16"/>
        <v>42662</v>
      </c>
      <c r="D212" s="183" t="s">
        <v>528</v>
      </c>
      <c r="E212" s="190">
        <v>42662</v>
      </c>
      <c r="F212" s="188" t="s">
        <v>543</v>
      </c>
      <c r="G212" s="191" t="s">
        <v>533</v>
      </c>
      <c r="H212" s="192" t="s">
        <v>603</v>
      </c>
      <c r="I212" s="255"/>
      <c r="J212" s="257"/>
      <c r="K212" s="37">
        <v>104148000</v>
      </c>
      <c r="L212" s="193" t="s">
        <v>24</v>
      </c>
      <c r="M212" s="597" t="s">
        <v>259</v>
      </c>
      <c r="N212" s="51" t="str">
        <f>IF(AND('331-CT'!$E$7=TH!H212,OR(L212="331",M212="331")),"331",IF(AND(OR(L212="131",M212="131"),H212='131-CT'!$E$7),"131",""))</f>
        <v/>
      </c>
      <c r="O212" s="887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>x</v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09"/>
      <c r="AE212" s="210"/>
    </row>
    <row r="213" spans="1:33" s="588" customFormat="1" ht="15.75" customHeight="1">
      <c r="A213" s="203" t="str">
        <f>IF(B213&lt;&gt;"",IF(AND(B213&gt;=_TM1,B213&lt;=_TM2,OR(TH!L213="1111",TH!M213="1111")),TH!D213,""),"")</f>
        <v/>
      </c>
      <c r="B213" s="36">
        <f t="shared" si="15"/>
        <v>10</v>
      </c>
      <c r="C213" s="183">
        <f t="shared" si="16"/>
        <v>42662</v>
      </c>
      <c r="D213" s="190" t="s">
        <v>514</v>
      </c>
      <c r="E213" s="190">
        <v>42662</v>
      </c>
      <c r="F213" s="188" t="s">
        <v>845</v>
      </c>
      <c r="G213" s="481" t="s">
        <v>844</v>
      </c>
      <c r="H213" s="7" t="s">
        <v>456</v>
      </c>
      <c r="I213" s="255">
        <v>6632</v>
      </c>
      <c r="J213" s="255">
        <v>8200</v>
      </c>
      <c r="K213" s="37">
        <f>ROUND(I213*J213,0)</f>
        <v>54382400</v>
      </c>
      <c r="L213" s="193" t="s">
        <v>159</v>
      </c>
      <c r="M213" s="597" t="s">
        <v>8</v>
      </c>
      <c r="N213" s="51" t="str">
        <f>IF(AND('331-CT'!$E$7=TH!H213,OR(L213="331",M213="331")),"331",IF(AND(OR(L213="131",M213="131"),H213='131-CT'!$E$7),"131",""))</f>
        <v/>
      </c>
      <c r="O213" s="887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09">
        <v>4</v>
      </c>
      <c r="AE213" s="210"/>
      <c r="AF213" s="210"/>
      <c r="AG213" s="210"/>
    </row>
    <row r="214" spans="1:33" s="588" customFormat="1" ht="15.75" customHeight="1">
      <c r="A214" s="203" t="str">
        <f>IF(B214&lt;&gt;"",IF(AND(B214&gt;=_TM1,B214&lt;=_TM2,OR(TH!L214="1111",TH!M214="1111")),TH!D214,""),"")</f>
        <v/>
      </c>
      <c r="B214" s="36">
        <f t="shared" si="15"/>
        <v>10</v>
      </c>
      <c r="C214" s="183">
        <f t="shared" si="16"/>
        <v>42662</v>
      </c>
      <c r="D214" s="190" t="s">
        <v>514</v>
      </c>
      <c r="E214" s="190">
        <v>42662</v>
      </c>
      <c r="F214" s="188" t="s">
        <v>417</v>
      </c>
      <c r="G214" s="481" t="s">
        <v>844</v>
      </c>
      <c r="H214" s="7" t="s">
        <v>456</v>
      </c>
      <c r="I214" s="255"/>
      <c r="J214" s="255"/>
      <c r="K214" s="37">
        <v>5438240</v>
      </c>
      <c r="L214" s="193" t="s">
        <v>9</v>
      </c>
      <c r="M214" s="193" t="s">
        <v>8</v>
      </c>
      <c r="N214" s="51" t="str">
        <f>IF(AND('331-CT'!$E$7=TH!H214,OR(L214="331",M214="331")),"331",IF(AND(OR(L214="131",M214="131"),H214='131-CT'!$E$7),"131",""))</f>
        <v/>
      </c>
      <c r="O214" s="887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09">
        <v>4</v>
      </c>
      <c r="AE214" s="210"/>
      <c r="AF214" s="210"/>
      <c r="AG214" s="210"/>
    </row>
    <row r="215" spans="1:33" s="588" customFormat="1" ht="15.75" customHeight="1">
      <c r="A215" s="203" t="str">
        <f>IF(B215&lt;&gt;"",IF(AND(B215&gt;=_TM1,B215&lt;=_TM2,OR(TH!L215="1111",TH!M215="1111")),TH!D215,""),"")</f>
        <v/>
      </c>
      <c r="B215" s="36">
        <f t="shared" si="15"/>
        <v>10</v>
      </c>
      <c r="C215" s="183">
        <f t="shared" si="16"/>
        <v>42663</v>
      </c>
      <c r="D215" s="183" t="s">
        <v>529</v>
      </c>
      <c r="E215" s="190">
        <v>42663</v>
      </c>
      <c r="F215" s="191" t="s">
        <v>544</v>
      </c>
      <c r="G215" s="191" t="s">
        <v>533</v>
      </c>
      <c r="H215" s="192" t="s">
        <v>547</v>
      </c>
      <c r="I215" s="255"/>
      <c r="J215" s="255"/>
      <c r="K215" s="37">
        <v>104000000</v>
      </c>
      <c r="L215" s="193" t="s">
        <v>47</v>
      </c>
      <c r="M215" s="597" t="s">
        <v>24</v>
      </c>
      <c r="N215" s="51" t="str">
        <f>IF(AND('331-CT'!$E$7=TH!H215,OR(L215="331",M215="331")),"331",IF(AND(OR(L215="131",M215="131"),H215='131-CT'!$E$7),"131",""))</f>
        <v/>
      </c>
      <c r="O215" s="887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>x</v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09"/>
      <c r="AE215" s="210"/>
      <c r="AF215" s="210"/>
      <c r="AG215" s="210"/>
    </row>
    <row r="216" spans="1:33" s="588" customFormat="1" ht="15.75" customHeight="1">
      <c r="A216" s="203" t="str">
        <f>IF(B216&lt;&gt;"",IF(AND(B216&gt;=_TM1,B216&lt;=_TM2,OR(TH!L216="1111",TH!M216="1111")),TH!D216,""),"")</f>
        <v/>
      </c>
      <c r="B216" s="36">
        <f t="shared" si="15"/>
        <v>10</v>
      </c>
      <c r="C216" s="183">
        <f t="shared" si="16"/>
        <v>42663</v>
      </c>
      <c r="D216" s="190"/>
      <c r="E216" s="190">
        <v>42663</v>
      </c>
      <c r="F216" s="188" t="s">
        <v>853</v>
      </c>
      <c r="G216" s="481" t="s">
        <v>855</v>
      </c>
      <c r="H216" s="192" t="s">
        <v>856</v>
      </c>
      <c r="I216" s="255"/>
      <c r="J216" s="255"/>
      <c r="K216" s="37">
        <v>934000</v>
      </c>
      <c r="L216" s="193" t="s">
        <v>83</v>
      </c>
      <c r="M216" s="597" t="s">
        <v>47</v>
      </c>
      <c r="N216" s="51" t="str">
        <f>IF(AND('331-CT'!$E$7=TH!H216,OR(L216="331",M216="331")),"331",IF(AND(OR(L216="131",M216="131"),H216='131-CT'!$E$7),"131",""))</f>
        <v/>
      </c>
      <c r="O216" s="887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>x</v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09">
        <v>4</v>
      </c>
      <c r="AE216" s="210"/>
      <c r="AF216" s="210"/>
      <c r="AG216" s="210"/>
    </row>
    <row r="217" spans="1:33" s="588" customFormat="1" ht="15.75" customHeight="1">
      <c r="A217" s="203" t="str">
        <f>IF(B217&lt;&gt;"",IF(AND(B217&gt;=_TM1,B217&lt;=_TM2,OR(TH!L217="1111",TH!M217="1111")),TH!D217,""),"")</f>
        <v/>
      </c>
      <c r="B217" s="36">
        <f t="shared" si="15"/>
        <v>10</v>
      </c>
      <c r="C217" s="183">
        <f t="shared" ref="C217:C248" si="17">E217</f>
        <v>42663</v>
      </c>
      <c r="D217" s="190"/>
      <c r="E217" s="190">
        <v>42663</v>
      </c>
      <c r="F217" s="188" t="s">
        <v>854</v>
      </c>
      <c r="G217" s="481" t="s">
        <v>855</v>
      </c>
      <c r="H217" s="192" t="s">
        <v>856</v>
      </c>
      <c r="I217" s="255"/>
      <c r="J217" s="255"/>
      <c r="K217" s="37">
        <v>93400</v>
      </c>
      <c r="L217" s="193" t="s">
        <v>9</v>
      </c>
      <c r="M217" s="597" t="s">
        <v>47</v>
      </c>
      <c r="N217" s="51" t="str">
        <f>IF(AND('331-CT'!$E$7=TH!H217,OR(L217="331",M217="331")),"331",IF(AND(OR(L217="131",M217="131"),H217='131-CT'!$E$7),"131",""))</f>
        <v/>
      </c>
      <c r="O217" s="887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09">
        <v>4</v>
      </c>
      <c r="AE217" s="210"/>
      <c r="AF217" s="210"/>
      <c r="AG217" s="210"/>
    </row>
    <row r="218" spans="1:33" s="588" customFormat="1" ht="15.75" customHeight="1">
      <c r="A218" s="203" t="str">
        <f>IF(B218&lt;&gt;"",IF(AND(B218&gt;=_TM1,B218&lt;=_TM2,OR(TH!L218="1111",TH!M218="1111")),TH!D218,""),"")</f>
        <v/>
      </c>
      <c r="B218" s="36">
        <f t="shared" si="15"/>
        <v>10</v>
      </c>
      <c r="C218" s="183">
        <f t="shared" si="17"/>
        <v>42665</v>
      </c>
      <c r="D218" s="190" t="s">
        <v>522</v>
      </c>
      <c r="E218" s="190">
        <v>42665</v>
      </c>
      <c r="F218" s="188" t="s">
        <v>839</v>
      </c>
      <c r="G218" s="481" t="s">
        <v>857</v>
      </c>
      <c r="H218" s="192" t="s">
        <v>842</v>
      </c>
      <c r="I218" s="255">
        <v>13030</v>
      </c>
      <c r="J218" s="255">
        <v>800</v>
      </c>
      <c r="K218" s="37">
        <f>ROUND(I218*J218,0)</f>
        <v>10424000</v>
      </c>
      <c r="L218" s="193" t="s">
        <v>161</v>
      </c>
      <c r="M218" s="193" t="s">
        <v>8</v>
      </c>
      <c r="N218" s="51" t="str">
        <f>IF(AND('331-CT'!$E$7=TH!H218,OR(L218="331",M218="331")),"331",IF(AND(OR(L218="131",M218="131"),H218='131-CT'!$E$7),"131",""))</f>
        <v/>
      </c>
      <c r="O218" s="887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09">
        <v>4</v>
      </c>
      <c r="AE218" s="210"/>
      <c r="AF218" s="210"/>
      <c r="AG218" s="210"/>
    </row>
    <row r="219" spans="1:33" s="588" customFormat="1" ht="15.75" customHeight="1">
      <c r="A219" s="203" t="str">
        <f>IF(B219&lt;&gt;"",IF(AND(B219&gt;=_TM1,B219&lt;=_TM2,OR(TH!L219="1111",TH!M219="1111")),TH!D219,""),"")</f>
        <v/>
      </c>
      <c r="B219" s="36">
        <f t="shared" si="15"/>
        <v>10</v>
      </c>
      <c r="C219" s="183">
        <f t="shared" si="17"/>
        <v>42665</v>
      </c>
      <c r="D219" s="190" t="s">
        <v>522</v>
      </c>
      <c r="E219" s="190">
        <v>42665</v>
      </c>
      <c r="F219" s="188" t="s">
        <v>840</v>
      </c>
      <c r="G219" s="481" t="s">
        <v>857</v>
      </c>
      <c r="H219" s="192" t="s">
        <v>842</v>
      </c>
      <c r="I219" s="255"/>
      <c r="J219" s="255"/>
      <c r="K219" s="37">
        <v>1042400</v>
      </c>
      <c r="L219" s="193" t="s">
        <v>9</v>
      </c>
      <c r="M219" s="193" t="s">
        <v>8</v>
      </c>
      <c r="N219" s="51" t="str">
        <f>IF(AND('331-CT'!$E$7=TH!H219,OR(L219="331",M219="331")),"331",IF(AND(OR(L219="131",M219="131"),H219='131-CT'!$E$7),"131",""))</f>
        <v/>
      </c>
      <c r="O219" s="887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09">
        <v>4</v>
      </c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15"/>
        <v>10</v>
      </c>
      <c r="C220" s="183">
        <f t="shared" si="17"/>
        <v>42665</v>
      </c>
      <c r="D220" s="190" t="s">
        <v>522</v>
      </c>
      <c r="E220" s="190">
        <v>42665</v>
      </c>
      <c r="F220" s="188" t="s">
        <v>524</v>
      </c>
      <c r="G220" s="481" t="s">
        <v>857</v>
      </c>
      <c r="H220" s="192" t="s">
        <v>842</v>
      </c>
      <c r="I220" s="255"/>
      <c r="J220" s="255"/>
      <c r="K220" s="37">
        <v>11466400</v>
      </c>
      <c r="L220" s="193" t="s">
        <v>8</v>
      </c>
      <c r="M220" s="597" t="s">
        <v>47</v>
      </c>
      <c r="N220" s="51" t="str">
        <f>IF(AND('331-CT'!$E$7=TH!H220,OR(L220="331",M220="331")),"331",IF(AND(OR(L220="131",M220="131"),H220='131-CT'!$E$7),"131",""))</f>
        <v/>
      </c>
      <c r="O220" s="887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09"/>
      <c r="AD220" s="210"/>
      <c r="AE220" s="210"/>
      <c r="AF220" s="210"/>
      <c r="AG220" s="210"/>
    </row>
    <row r="221" spans="1:33" s="588" customFormat="1" ht="15.75" customHeight="1">
      <c r="A221" s="203" t="str">
        <f>IF(B221&lt;&gt;"",IF(AND(B221&gt;=_TM1,B221&lt;=_TM2,OR(TH!L221="1111",TH!M221="1111")),TH!D221,""),"")</f>
        <v/>
      </c>
      <c r="B221" s="36">
        <f t="shared" si="15"/>
        <v>10</v>
      </c>
      <c r="C221" s="183">
        <f t="shared" si="17"/>
        <v>42667</v>
      </c>
      <c r="D221" s="183" t="s">
        <v>528</v>
      </c>
      <c r="E221" s="190">
        <v>42667</v>
      </c>
      <c r="F221" s="188" t="s">
        <v>543</v>
      </c>
      <c r="G221" s="191" t="s">
        <v>533</v>
      </c>
      <c r="H221" s="7" t="s">
        <v>683</v>
      </c>
      <c r="I221" s="255"/>
      <c r="J221" s="257"/>
      <c r="K221" s="37">
        <v>3548160</v>
      </c>
      <c r="L221" s="193" t="s">
        <v>24</v>
      </c>
      <c r="M221" s="597" t="s">
        <v>259</v>
      </c>
      <c r="N221" s="51" t="str">
        <f>IF(AND('331-CT'!$E$7=TH!H221,OR(L221="331",M221="331")),"331",IF(AND(OR(L221="131",M221="131"),H221='131-CT'!$E$7),"131",""))</f>
        <v/>
      </c>
      <c r="O221" s="887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>x</v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09"/>
      <c r="AD221" s="210"/>
      <c r="AE221" s="210"/>
    </row>
    <row r="222" spans="1:33" s="588" customFormat="1" ht="15.75" customHeight="1">
      <c r="A222" s="203" t="str">
        <f>IF(B222&lt;&gt;"",IF(AND(B222&gt;=_TM1,B222&lt;=_TM2,OR(TH!L222="1111",TH!M222="1111")),TH!D222,""),"")</f>
        <v/>
      </c>
      <c r="B222" s="36">
        <f t="shared" si="15"/>
        <v>10</v>
      </c>
      <c r="C222" s="183">
        <f t="shared" si="17"/>
        <v>42668</v>
      </c>
      <c r="D222" s="183" t="s">
        <v>528</v>
      </c>
      <c r="E222" s="190">
        <v>42668</v>
      </c>
      <c r="F222" s="188" t="s">
        <v>535</v>
      </c>
      <c r="G222" s="191" t="s">
        <v>533</v>
      </c>
      <c r="H222" s="192"/>
      <c r="I222" s="255"/>
      <c r="J222" s="257"/>
      <c r="K222" s="37">
        <v>4672</v>
      </c>
      <c r="L222" s="193" t="s">
        <v>24</v>
      </c>
      <c r="M222" s="597" t="s">
        <v>40</v>
      </c>
      <c r="N222" s="51" t="str">
        <f>IF(AND('331-CT'!$E$7=TH!H222,OR(L222="331",M222="331")),"331",IF(AND(OR(L222="131",M222="131"),H222='131-CT'!$E$7),"131",""))</f>
        <v/>
      </c>
      <c r="O222" s="887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>x</v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09"/>
      <c r="AE222" s="210"/>
    </row>
    <row r="223" spans="1:33" s="588" customFormat="1" ht="15.75" customHeight="1">
      <c r="A223" s="203" t="str">
        <f>IF(B223&lt;&gt;"",IF(AND(B223&gt;=_TM1,B223&lt;=_TM2,OR(TH!L223="1111",TH!M223="1111")),TH!D223,""),"")</f>
        <v/>
      </c>
      <c r="B223" s="36">
        <f t="shared" si="15"/>
        <v>10</v>
      </c>
      <c r="C223" s="183">
        <f t="shared" si="17"/>
        <v>42668</v>
      </c>
      <c r="D223" s="183" t="s">
        <v>529</v>
      </c>
      <c r="E223" s="190">
        <v>42668</v>
      </c>
      <c r="F223" s="191" t="s">
        <v>544</v>
      </c>
      <c r="G223" s="191" t="s">
        <v>533</v>
      </c>
      <c r="H223" s="209" t="s">
        <v>534</v>
      </c>
      <c r="I223" s="255"/>
      <c r="J223" s="255"/>
      <c r="K223" s="37">
        <v>3500000</v>
      </c>
      <c r="L223" s="193" t="s">
        <v>47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87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>x</v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09"/>
      <c r="AD223" s="210"/>
      <c r="AE223" s="210"/>
      <c r="AF223" s="210"/>
      <c r="AG223" s="210"/>
    </row>
    <row r="224" spans="1:33" s="588" customFormat="1" ht="15.75" customHeight="1">
      <c r="A224" s="203" t="str">
        <f>IF(B224&lt;&gt;"",IF(AND(B224&gt;=_TM1,B224&lt;=_TM2,OR(TH!L224="1111",TH!M224="1111")),TH!D224,""),"")</f>
        <v/>
      </c>
      <c r="B224" s="36">
        <f t="shared" si="15"/>
        <v>10</v>
      </c>
      <c r="C224" s="183">
        <f t="shared" si="17"/>
        <v>42668</v>
      </c>
      <c r="D224" s="183" t="s">
        <v>529</v>
      </c>
      <c r="E224" s="190">
        <v>42668</v>
      </c>
      <c r="F224" s="191" t="s">
        <v>536</v>
      </c>
      <c r="G224" s="191" t="s">
        <v>533</v>
      </c>
      <c r="H224" s="192"/>
      <c r="I224" s="255"/>
      <c r="J224" s="255"/>
      <c r="K224" s="37">
        <v>10000</v>
      </c>
      <c r="L224" s="193" t="s">
        <v>83</v>
      </c>
      <c r="M224" s="597" t="s">
        <v>24</v>
      </c>
      <c r="N224" s="51" t="str">
        <f>IF(AND('331-CT'!$E$7=TH!H224,OR(L224="331",M224="331")),"331",IF(AND(OR(L224="131",M224="131"),H224='131-CT'!$E$7),"131",""))</f>
        <v/>
      </c>
      <c r="O224" s="887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>x</v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>x</v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09">
        <v>4</v>
      </c>
      <c r="AE224" s="210"/>
      <c r="AF224" s="210"/>
      <c r="AG224" s="210"/>
    </row>
    <row r="225" spans="1:33" s="588" customFormat="1" ht="15.75" customHeight="1">
      <c r="A225" s="203" t="str">
        <f>IF(B225&lt;&gt;"",IF(AND(B225&gt;=_TM1,B225&lt;=_TM2,OR(TH!L225="1111",TH!M225="1111")),TH!D225,""),"")</f>
        <v/>
      </c>
      <c r="B225" s="36">
        <f t="shared" si="15"/>
        <v>10</v>
      </c>
      <c r="C225" s="183">
        <f t="shared" si="17"/>
        <v>42668</v>
      </c>
      <c r="D225" s="183" t="s">
        <v>529</v>
      </c>
      <c r="E225" s="190">
        <v>42668</v>
      </c>
      <c r="F225" s="191" t="s">
        <v>537</v>
      </c>
      <c r="G225" s="191" t="s">
        <v>533</v>
      </c>
      <c r="H225" s="192"/>
      <c r="I225" s="255"/>
      <c r="J225" s="255"/>
      <c r="K225" s="37">
        <v>1000</v>
      </c>
      <c r="L225" s="193" t="s">
        <v>9</v>
      </c>
      <c r="M225" s="597" t="s">
        <v>24</v>
      </c>
      <c r="N225" s="51" t="str">
        <f>IF(AND('331-CT'!$E$7=TH!H225,OR(L225="331",M225="331")),"331",IF(AND(OR(L225="131",M225="131"),H225='131-CT'!$E$7),"131",""))</f>
        <v/>
      </c>
      <c r="O225" s="887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>x</v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09">
        <v>4</v>
      </c>
      <c r="AD225" s="210"/>
      <c r="AE225" s="210"/>
      <c r="AF225" s="210"/>
      <c r="AG225" s="210"/>
    </row>
    <row r="226" spans="1:33" s="588" customFormat="1" ht="15.75" customHeight="1">
      <c r="A226" s="203" t="str">
        <f>IF(B226&lt;&gt;"",IF(AND(B226&gt;=_TM1,B226&lt;=_TM2,OR(TH!L226="1111",TH!M226="1111")),TH!D226,""),"")</f>
        <v/>
      </c>
      <c r="B226" s="36">
        <f t="shared" si="15"/>
        <v>10</v>
      </c>
      <c r="C226" s="183">
        <f t="shared" si="17"/>
        <v>42673</v>
      </c>
      <c r="D226" s="190"/>
      <c r="E226" s="190">
        <v>42673</v>
      </c>
      <c r="F226" s="188" t="s">
        <v>858</v>
      </c>
      <c r="G226" s="481"/>
      <c r="H226" s="192"/>
      <c r="I226" s="255"/>
      <c r="J226" s="255"/>
      <c r="K226" s="37">
        <f>(21*15000+2*10000)/1.1</f>
        <v>304545.45454545453</v>
      </c>
      <c r="L226" s="193" t="s">
        <v>83</v>
      </c>
      <c r="M226" s="597" t="s">
        <v>47</v>
      </c>
      <c r="N226" s="51" t="str">
        <f>IF(AND('331-CT'!$E$7=TH!H226,OR(L226="331",M226="331")),"331",IF(AND(OR(L226="131",M226="131"),H226='131-CT'!$E$7),"131",""))</f>
        <v/>
      </c>
      <c r="O226" s="887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>x</v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09">
        <v>4</v>
      </c>
      <c r="AE226" s="210"/>
      <c r="AF226" s="210"/>
      <c r="AG226" s="210"/>
    </row>
    <row r="227" spans="1:33" s="588" customFormat="1" ht="15.75" customHeight="1">
      <c r="A227" s="203" t="str">
        <f>IF(B227&lt;&gt;"",IF(AND(B227&gt;=_TM1,B227&lt;=_TM2,OR(TH!L227="1111",TH!M227="1111")),TH!D227,""),"")</f>
        <v/>
      </c>
      <c r="B227" s="36">
        <f t="shared" si="15"/>
        <v>10</v>
      </c>
      <c r="C227" s="183">
        <f t="shared" si="17"/>
        <v>42673</v>
      </c>
      <c r="D227" s="190"/>
      <c r="E227" s="190">
        <v>42673</v>
      </c>
      <c r="F227" s="188" t="s">
        <v>859</v>
      </c>
      <c r="G227" s="191"/>
      <c r="H227" s="192"/>
      <c r="I227" s="255"/>
      <c r="J227" s="255"/>
      <c r="K227" s="37">
        <v>30455</v>
      </c>
      <c r="L227" s="193" t="s">
        <v>9</v>
      </c>
      <c r="M227" s="597" t="s">
        <v>47</v>
      </c>
      <c r="N227" s="51" t="str">
        <f>IF(AND('331-CT'!$E$7=TH!H227,OR(L227="331",M227="331")),"331",IF(AND(OR(L227="131",M227="131"),H227='131-CT'!$E$7),"131",""))</f>
        <v/>
      </c>
      <c r="O227" s="887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09">
        <v>4</v>
      </c>
      <c r="AE227" s="210"/>
      <c r="AF227" s="210"/>
      <c r="AG227" s="210"/>
    </row>
    <row r="228" spans="1:33" s="588" customFormat="1" ht="15.75" customHeight="1">
      <c r="A228" s="203" t="str">
        <f>IF(B228&lt;&gt;"",IF(AND(B228&gt;=_TM1,B228&lt;=_TM2,OR(TH!L228="1111",TH!M228="1111")),TH!D228,""),"")</f>
        <v/>
      </c>
      <c r="B228" s="36">
        <f t="shared" si="15"/>
        <v>10</v>
      </c>
      <c r="C228" s="183">
        <f t="shared" si="17"/>
        <v>42674</v>
      </c>
      <c r="D228" s="190" t="s">
        <v>515</v>
      </c>
      <c r="E228" s="190">
        <v>42674</v>
      </c>
      <c r="F228" s="188" t="s">
        <v>944</v>
      </c>
      <c r="G228" s="481" t="s">
        <v>1022</v>
      </c>
      <c r="H228" s="7" t="s">
        <v>946</v>
      </c>
      <c r="I228" s="255">
        <v>30200</v>
      </c>
      <c r="J228" s="255">
        <v>8400</v>
      </c>
      <c r="K228" s="37">
        <f>ROUND(I228*J228,0)</f>
        <v>253680000</v>
      </c>
      <c r="L228" s="193" t="s">
        <v>159</v>
      </c>
      <c r="M228" s="597" t="s">
        <v>8</v>
      </c>
      <c r="N228" s="51" t="str">
        <f>IF(AND('331-CT'!$E$7=TH!H228,OR(L228="331",M228="331")),"331",IF(AND(OR(L228="131",M228="131"),H228='131-CT'!$E$7),"131",""))</f>
        <v/>
      </c>
      <c r="O228" s="887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09">
        <v>4</v>
      </c>
      <c r="AE228" s="210"/>
      <c r="AF228" s="210"/>
      <c r="AG228" s="210"/>
    </row>
    <row r="229" spans="1:33" s="588" customFormat="1" ht="15.75" customHeight="1">
      <c r="A229" s="203" t="str">
        <f>IF(B229&lt;&gt;"",IF(AND(B229&gt;=_TM1,B229&lt;=_TM2,OR(TH!L229="1111",TH!M229="1111")),TH!D229,""),"")</f>
        <v/>
      </c>
      <c r="B229" s="36">
        <f t="shared" si="15"/>
        <v>10</v>
      </c>
      <c r="C229" s="183">
        <f t="shared" si="17"/>
        <v>42674</v>
      </c>
      <c r="D229" s="190" t="s">
        <v>515</v>
      </c>
      <c r="E229" s="190">
        <v>42674</v>
      </c>
      <c r="F229" s="188" t="s">
        <v>945</v>
      </c>
      <c r="G229" s="481" t="s">
        <v>1022</v>
      </c>
      <c r="H229" s="7" t="s">
        <v>946</v>
      </c>
      <c r="I229" s="255"/>
      <c r="J229" s="255"/>
      <c r="K229" s="37">
        <v>25368000</v>
      </c>
      <c r="L229" s="193" t="s">
        <v>9</v>
      </c>
      <c r="M229" s="193" t="s">
        <v>8</v>
      </c>
      <c r="N229" s="51" t="str">
        <f>IF(AND('331-CT'!$E$7=TH!H229,OR(L229="331",M229="331")),"331",IF(AND(OR(L229="131",M229="131"),H229='131-CT'!$E$7),"131",""))</f>
        <v/>
      </c>
      <c r="O229" s="887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09">
        <v>4</v>
      </c>
      <c r="AE229" s="210"/>
      <c r="AF229" s="210"/>
      <c r="AG229" s="210"/>
    </row>
    <row r="230" spans="1:33" s="588" customFormat="1" ht="15.75" customHeight="1">
      <c r="A230" s="203" t="str">
        <f>IF(B230&lt;&gt;"",IF(AND(B230&gt;=_TM1,B230&lt;=_TM2,OR(TH!L230="1111",TH!M230="1111")),TH!D230,""),"")</f>
        <v/>
      </c>
      <c r="B230" s="36">
        <f t="shared" si="15"/>
        <v>11</v>
      </c>
      <c r="C230" s="183">
        <f t="shared" si="17"/>
        <v>42676</v>
      </c>
      <c r="D230" s="190"/>
      <c r="E230" s="190">
        <v>42676</v>
      </c>
      <c r="F230" s="188" t="s">
        <v>835</v>
      </c>
      <c r="G230" s="481" t="s">
        <v>930</v>
      </c>
      <c r="H230" s="209" t="s">
        <v>759</v>
      </c>
      <c r="I230" s="255"/>
      <c r="J230" s="255"/>
      <c r="K230" s="37">
        <v>4912090</v>
      </c>
      <c r="L230" s="193" t="s">
        <v>261</v>
      </c>
      <c r="M230" s="597" t="s">
        <v>47</v>
      </c>
      <c r="N230" s="51" t="str">
        <f>IF(AND('331-CT'!$E$7=TH!H230,OR(L230="331",M230="331")),"331",IF(AND(OR(L230="131",M230="131"),H230='131-CT'!$E$7),"131",""))</f>
        <v/>
      </c>
      <c r="O230" s="887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09">
        <v>4</v>
      </c>
      <c r="AD230" s="210"/>
      <c r="AE230" s="210"/>
      <c r="AF230" s="210"/>
      <c r="AG230" s="210"/>
    </row>
    <row r="231" spans="1:33" s="588" customFormat="1" ht="15.75" customHeight="1">
      <c r="A231" s="203" t="str">
        <f>IF(B231&lt;&gt;"",IF(AND(B231&gt;=_TM1,B231&lt;=_TM2,OR(TH!L231="1111",TH!M231="1111")),TH!D231,""),"")</f>
        <v/>
      </c>
      <c r="B231" s="36">
        <f t="shared" si="15"/>
        <v>11</v>
      </c>
      <c r="C231" s="183">
        <f t="shared" si="17"/>
        <v>42676</v>
      </c>
      <c r="D231" s="190"/>
      <c r="E231" s="190">
        <v>42676</v>
      </c>
      <c r="F231" s="188" t="s">
        <v>836</v>
      </c>
      <c r="G231" s="481" t="s">
        <v>930</v>
      </c>
      <c r="H231" s="209" t="s">
        <v>759</v>
      </c>
      <c r="I231" s="255"/>
      <c r="J231" s="255"/>
      <c r="K231" s="37">
        <v>491210</v>
      </c>
      <c r="L231" s="193" t="s">
        <v>9</v>
      </c>
      <c r="M231" s="597" t="s">
        <v>47</v>
      </c>
      <c r="N231" s="51" t="str">
        <f>IF(AND('331-CT'!$E$7=TH!H231,OR(L231="331",M231="331")),"331",IF(AND(OR(L231="131",M231="131"),H231='131-CT'!$E$7),"131",""))</f>
        <v/>
      </c>
      <c r="O231" s="887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09">
        <v>4</v>
      </c>
      <c r="AE231" s="210"/>
      <c r="AF231" s="210"/>
      <c r="AG231" s="210"/>
    </row>
    <row r="232" spans="1:33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15"/>
        <v>11</v>
      </c>
      <c r="C232" s="183">
        <f t="shared" si="17"/>
        <v>42677</v>
      </c>
      <c r="D232" s="183" t="s">
        <v>528</v>
      </c>
      <c r="E232" s="190">
        <v>42677</v>
      </c>
      <c r="F232" s="188" t="s">
        <v>543</v>
      </c>
      <c r="G232" s="191" t="s">
        <v>533</v>
      </c>
      <c r="H232" s="192" t="s">
        <v>745</v>
      </c>
      <c r="I232" s="255"/>
      <c r="J232" s="257"/>
      <c r="K232" s="37">
        <v>84216000</v>
      </c>
      <c r="L232" s="193" t="s">
        <v>24</v>
      </c>
      <c r="M232" s="597" t="s">
        <v>259</v>
      </c>
      <c r="N232" s="51" t="str">
        <f>IF(AND('331-CT'!$E$7=TH!H232,OR(L232="331",M232="331")),"331",IF(AND(OR(L232="131",M232="131"),H232='131-CT'!$E$7),"131",""))</f>
        <v/>
      </c>
      <c r="O232" s="887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>x</v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09"/>
      <c r="AC232" s="588"/>
      <c r="AD232" s="588"/>
      <c r="AF232" s="588"/>
      <c r="AG232" s="588"/>
    </row>
    <row r="233" spans="1:33" s="588" customFormat="1" ht="15.75" customHeight="1">
      <c r="A233" s="203" t="str">
        <f>IF(B233&lt;&gt;"",IF(AND(B233&gt;=_TM1,B233&lt;=_TM2,OR(TH!L233="1111",TH!M233="1111")),TH!D233,""),"")</f>
        <v/>
      </c>
      <c r="B233" s="36">
        <f t="shared" si="15"/>
        <v>11</v>
      </c>
      <c r="C233" s="183">
        <f t="shared" si="17"/>
        <v>42678</v>
      </c>
      <c r="D233" s="190" t="s">
        <v>1010</v>
      </c>
      <c r="E233" s="190">
        <v>42678</v>
      </c>
      <c r="F233" s="188" t="s">
        <v>927</v>
      </c>
      <c r="G233" s="481" t="s">
        <v>808</v>
      </c>
      <c r="H233" s="192" t="s">
        <v>928</v>
      </c>
      <c r="I233" s="255">
        <v>430</v>
      </c>
      <c r="J233" s="255">
        <v>23500</v>
      </c>
      <c r="K233" s="37">
        <f>ROUND(I233*J233,0)</f>
        <v>10105000</v>
      </c>
      <c r="L233" s="193" t="s">
        <v>161</v>
      </c>
      <c r="M233" s="193" t="s">
        <v>8</v>
      </c>
      <c r="N233" s="51" t="str">
        <f>IF(AND('331-CT'!$E$7=TH!H233,OR(L233="331",M233="331")),"331",IF(AND(OR(L233="131",M233="131"),H233='131-CT'!$E$7),"131",""))</f>
        <v/>
      </c>
      <c r="O233" s="887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09">
        <v>4</v>
      </c>
      <c r="AE233" s="210"/>
      <c r="AF233" s="210"/>
      <c r="AG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ref="B234:B297" si="18">IF(C234&lt;&gt;"",MONTH(C234),"")</f>
        <v>11</v>
      </c>
      <c r="C234" s="183">
        <f t="shared" si="17"/>
        <v>42678</v>
      </c>
      <c r="D234" s="190" t="s">
        <v>1010</v>
      </c>
      <c r="E234" s="190">
        <v>42678</v>
      </c>
      <c r="F234" s="188" t="s">
        <v>929</v>
      </c>
      <c r="G234" s="481" t="s">
        <v>808</v>
      </c>
      <c r="H234" s="192" t="s">
        <v>928</v>
      </c>
      <c r="I234" s="255">
        <v>250</v>
      </c>
      <c r="J234" s="255">
        <v>9000</v>
      </c>
      <c r="K234" s="37">
        <f>ROUND(I234*J234,0)</f>
        <v>2250000</v>
      </c>
      <c r="L234" s="193" t="s">
        <v>161</v>
      </c>
      <c r="M234" s="193" t="s">
        <v>8</v>
      </c>
      <c r="N234" s="51" t="str">
        <f>IF(AND('331-CT'!$E$7=TH!H234,OR(L234="331",M234="331")),"331",IF(AND(OR(L234="131",M234="131"),H234='131-CT'!$E$7),"131",""))</f>
        <v/>
      </c>
      <c r="O234" s="887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09">
        <v>4</v>
      </c>
      <c r="AE234" s="210"/>
      <c r="AF234" s="210"/>
      <c r="AG234" s="210"/>
    </row>
    <row r="235" spans="1:33" s="588" customFormat="1" ht="15.75" customHeight="1">
      <c r="A235" s="203" t="str">
        <f>IF(B235&lt;&gt;"",IF(AND(B235&gt;=_TM1,B235&lt;=_TM2,OR(TH!L235="1111",TH!M235="1111")),TH!D235,""),"")</f>
        <v/>
      </c>
      <c r="B235" s="36">
        <f t="shared" si="18"/>
        <v>11</v>
      </c>
      <c r="C235" s="183">
        <f t="shared" si="17"/>
        <v>42678</v>
      </c>
      <c r="D235" s="190" t="s">
        <v>1010</v>
      </c>
      <c r="E235" s="190">
        <v>42678</v>
      </c>
      <c r="F235" s="188" t="s">
        <v>926</v>
      </c>
      <c r="G235" s="481" t="s">
        <v>808</v>
      </c>
      <c r="H235" s="192" t="s">
        <v>928</v>
      </c>
      <c r="I235" s="255"/>
      <c r="J235" s="255"/>
      <c r="K235" s="37">
        <v>1235500</v>
      </c>
      <c r="L235" s="193" t="s">
        <v>9</v>
      </c>
      <c r="M235" s="193" t="s">
        <v>8</v>
      </c>
      <c r="N235" s="51" t="str">
        <f>IF(AND('331-CT'!$E$7=TH!H235,OR(L235="331",M235="331")),"331",IF(AND(OR(L235="131",M235="131"),H235='131-CT'!$E$7),"131",""))</f>
        <v/>
      </c>
      <c r="O235" s="887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09">
        <v>4</v>
      </c>
      <c r="AE235" s="210"/>
      <c r="AF235" s="210"/>
      <c r="AG235" s="210"/>
    </row>
    <row r="236" spans="1:33" s="588" customFormat="1" ht="15.75" customHeight="1">
      <c r="A236" s="203" t="str">
        <f>IF(B236&lt;&gt;"",IF(AND(B236&gt;=_TM1,B236&lt;=_TM2,OR(TH!L236="1111",TH!M236="1111")),TH!D236,""),"")</f>
        <v/>
      </c>
      <c r="B236" s="36">
        <f t="shared" si="18"/>
        <v>11</v>
      </c>
      <c r="C236" s="183">
        <f t="shared" si="17"/>
        <v>42678</v>
      </c>
      <c r="D236" s="190"/>
      <c r="E236" s="190">
        <v>42678</v>
      </c>
      <c r="F236" s="191" t="s">
        <v>524</v>
      </c>
      <c r="G236" s="481" t="s">
        <v>808</v>
      </c>
      <c r="H236" s="192" t="s">
        <v>928</v>
      </c>
      <c r="I236" s="255"/>
      <c r="J236" s="255"/>
      <c r="K236" s="37">
        <v>13590500</v>
      </c>
      <c r="L236" s="193" t="s">
        <v>8</v>
      </c>
      <c r="M236" s="597" t="s">
        <v>47</v>
      </c>
      <c r="N236" s="51" t="str">
        <f>IF(AND('331-CT'!$E$7=TH!H236,OR(L236="331",M236="331")),"331",IF(AND(OR(L236="131",M236="131"),H236='131-CT'!$E$7),"131",""))</f>
        <v/>
      </c>
      <c r="O236" s="887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09"/>
      <c r="AD236" s="210"/>
      <c r="AE236" s="210"/>
      <c r="AF236" s="210"/>
      <c r="AG236" s="210"/>
    </row>
    <row r="237" spans="1:33" s="588" customFormat="1" ht="15.75" customHeight="1">
      <c r="A237" s="203" t="str">
        <f>IF(B237&lt;&gt;"",IF(AND(B237&gt;=_TM1,B237&lt;=_TM2,OR(TH!L276="1111",TH!M276="1111")),TH!D276,""),"")</f>
        <v/>
      </c>
      <c r="B237" s="36">
        <f t="shared" si="18"/>
        <v>11</v>
      </c>
      <c r="C237" s="183">
        <f t="shared" si="17"/>
        <v>42678</v>
      </c>
      <c r="D237" s="183" t="s">
        <v>529</v>
      </c>
      <c r="E237" s="190">
        <v>42678</v>
      </c>
      <c r="F237" s="191" t="s">
        <v>524</v>
      </c>
      <c r="G237" s="191" t="s">
        <v>533</v>
      </c>
      <c r="H237" s="854" t="s">
        <v>457</v>
      </c>
      <c r="I237" s="255"/>
      <c r="J237" s="255"/>
      <c r="K237" s="37">
        <v>25000000</v>
      </c>
      <c r="L237" s="193" t="s">
        <v>8</v>
      </c>
      <c r="M237" s="597" t="s">
        <v>24</v>
      </c>
      <c r="N237" s="51" t="str">
        <f>IF(AND('331-CT'!$E$7=TH!H276,OR(L237="331",M237="331")),"331",IF(AND(OR(L237="131",M237="131"),H237='131-CT'!$E$7),"131",""))</f>
        <v/>
      </c>
      <c r="O237" s="887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>x</v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IF(OR(TH!L276=TH!$W$7,M237=TH!$W$7),"x","")</f>
        <v>x</v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IF(AND(OR(LEFT(TH!L276,2)="15",LEFT(TH!M276,2)="15"),'152-CT'!$J$8=TH!F276),"x","")</f>
        <v/>
      </c>
      <c r="Z237" s="51" t="str">
        <f>IF(AND(OR(LEFT(TH!L276,2)="15",LEFT(TH!M276,2)="15"),TK!$E$7=TH!F276),"x","")</f>
        <v/>
      </c>
      <c r="AA237" s="51" t="str">
        <f>IF(AND(B237&lt;=NKC!$N$8,B237&gt;=NKC!$M$8),"x","")</f>
        <v/>
      </c>
      <c r="AB237" s="909"/>
      <c r="AE237" s="210"/>
      <c r="AF237" s="210"/>
      <c r="AG237" s="210"/>
    </row>
    <row r="238" spans="1:33" s="588" customFormat="1" ht="15.75" customHeight="1">
      <c r="A238" s="203" t="str">
        <f>IF(B238&lt;&gt;"",IF(AND(B238&gt;=_TM1,B238&lt;=_TM2,OR(TH!L277="1111",TH!M277="1111")),TH!D277,""),"")</f>
        <v/>
      </c>
      <c r="B238" s="36">
        <f t="shared" si="18"/>
        <v>11</v>
      </c>
      <c r="C238" s="183">
        <f t="shared" si="17"/>
        <v>42678</v>
      </c>
      <c r="D238" s="183" t="s">
        <v>529</v>
      </c>
      <c r="E238" s="190">
        <v>42678</v>
      </c>
      <c r="F238" s="191" t="s">
        <v>539</v>
      </c>
      <c r="G238" s="191" t="s">
        <v>533</v>
      </c>
      <c r="H238" s="209"/>
      <c r="I238" s="255"/>
      <c r="J238" s="255"/>
      <c r="K238" s="37">
        <v>20000</v>
      </c>
      <c r="L238" s="193" t="s">
        <v>83</v>
      </c>
      <c r="M238" s="597" t="s">
        <v>24</v>
      </c>
      <c r="N238" s="51" t="str">
        <f>IF(AND('331-CT'!$E$7=TH!H277,OR(L238="331",M238="331")),"331",IF(AND(OR(L238="131",M238="131"),H238='131-CT'!$E$7),"131",""))</f>
        <v/>
      </c>
      <c r="O238" s="887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>x</v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IF(OR(TH!L277=TH!$W$7,M238=TH!$W$7),"x","")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IF(AND(OR(LEFT(TH!L277,2)="15",LEFT(TH!M277,2)="15"),'152-CT'!$J$8=TH!F277),"x","")</f>
        <v/>
      </c>
      <c r="Z238" s="51" t="str">
        <f>IF(AND(OR(LEFT(TH!L277,2)="15",LEFT(TH!M277,2)="15"),TK!$E$7=TH!F277),"x","")</f>
        <v/>
      </c>
      <c r="AA238" s="51" t="str">
        <f>IF(AND(B238&lt;=NKC!$N$8,B238&gt;=NKC!$M$8),"x","")</f>
        <v/>
      </c>
      <c r="AB238" s="909">
        <v>4</v>
      </c>
      <c r="AE238" s="210"/>
      <c r="AF238" s="210"/>
      <c r="AG238" s="210"/>
    </row>
    <row r="239" spans="1:33" s="588" customFormat="1" ht="15.75" customHeight="1">
      <c r="A239" s="203" t="str">
        <f>IF(B239&lt;&gt;"",IF(AND(B239&gt;=_TM1,B239&lt;=_TM2,OR(TH!L278="1111",TH!M278="1111")),TH!D278,""),"")</f>
        <v/>
      </c>
      <c r="B239" s="36">
        <f t="shared" si="18"/>
        <v>11</v>
      </c>
      <c r="C239" s="183">
        <f t="shared" si="17"/>
        <v>42678</v>
      </c>
      <c r="D239" s="183" t="s">
        <v>529</v>
      </c>
      <c r="E239" s="190">
        <v>42678</v>
      </c>
      <c r="F239" s="191" t="s">
        <v>540</v>
      </c>
      <c r="G239" s="191" t="s">
        <v>533</v>
      </c>
      <c r="H239" s="209"/>
      <c r="I239" s="255"/>
      <c r="J239" s="255"/>
      <c r="K239" s="37">
        <v>2000</v>
      </c>
      <c r="L239" s="193" t="s">
        <v>9</v>
      </c>
      <c r="M239" s="597" t="s">
        <v>24</v>
      </c>
      <c r="N239" s="51" t="str">
        <f>IF(AND('331-CT'!$E$7=TH!H278,OR(L239="331",M239="331")),"331",IF(AND(OR(L239="131",M239="131"),H239='131-CT'!$E$7),"131",""))</f>
        <v/>
      </c>
      <c r="O239" s="887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>x</v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IF(OR(TH!L278=TH!$W$7,M239=TH!$W$7),"x","")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IF(AND(OR(LEFT(TH!L278,2)="15",LEFT(TH!M278,2)="15"),'152-CT'!$J$8=TH!F278),"x","")</f>
        <v/>
      </c>
      <c r="Z239" s="51" t="str">
        <f>IF(AND(OR(LEFT(TH!L278,2)="15",LEFT(TH!M278,2)="15"),TK!$E$7=TH!F278),"x","")</f>
        <v/>
      </c>
      <c r="AA239" s="51" t="str">
        <f>IF(AND(B239&lt;=NKC!$N$8,B239&gt;=NKC!$M$8),"x","")</f>
        <v/>
      </c>
      <c r="AB239" s="909">
        <v>4</v>
      </c>
      <c r="AD239" s="210"/>
      <c r="AE239" s="210"/>
      <c r="AF239" s="210"/>
      <c r="AG239" s="210"/>
    </row>
    <row r="240" spans="1:33" s="588" customFormat="1" ht="15.75" customHeight="1">
      <c r="A240" s="203" t="str">
        <f>IF(B240&lt;&gt;"",IF(AND(B240&gt;=_TM1,B240&lt;=_TM2,OR(TH!L279="1111",TH!M279="1111")),TH!D279,""),"")</f>
        <v/>
      </c>
      <c r="B240" s="36">
        <f t="shared" si="18"/>
        <v>11</v>
      </c>
      <c r="C240" s="183">
        <f t="shared" si="17"/>
        <v>42678</v>
      </c>
      <c r="D240" s="183" t="s">
        <v>529</v>
      </c>
      <c r="E240" s="190">
        <v>42678</v>
      </c>
      <c r="F240" s="191" t="s">
        <v>544</v>
      </c>
      <c r="G240" s="191" t="s">
        <v>533</v>
      </c>
      <c r="H240" s="192" t="s">
        <v>547</v>
      </c>
      <c r="I240" s="255"/>
      <c r="J240" s="255"/>
      <c r="K240" s="37">
        <v>59000000</v>
      </c>
      <c r="L240" s="193" t="s">
        <v>47</v>
      </c>
      <c r="M240" s="597" t="s">
        <v>24</v>
      </c>
      <c r="N240" s="51" t="str">
        <f>IF(AND('331-CT'!$E$7=TH!H279,OR(L240="331",M240="331")),"331",IF(AND(OR(L240="131",M240="131"),H240='131-CT'!$E$7),"131",""))</f>
        <v/>
      </c>
      <c r="O240" s="887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>x</v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IF(OR(TH!L279=TH!$W$7,M240=TH!$W$7),"x","")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IF(AND(OR(LEFT(TH!L279,2)="15",LEFT(TH!M279,2)="15"),'152-CT'!$J$8=TH!F279),"x","")</f>
        <v/>
      </c>
      <c r="Z240" s="51" t="str">
        <f>IF(AND(OR(LEFT(TH!L279,2)="15",LEFT(TH!M279,2)="15"),TK!$E$7=TH!F279),"x","")</f>
        <v/>
      </c>
      <c r="AA240" s="51" t="str">
        <f>IF(AND(B240&lt;=NKC!$N$8,B240&gt;=NKC!$M$8),"x","")</f>
        <v/>
      </c>
      <c r="AB240" s="909"/>
      <c r="AE240" s="210"/>
      <c r="AF240" s="210"/>
      <c r="AG240" s="210"/>
    </row>
    <row r="241" spans="1:33" s="588" customFormat="1" ht="15.75" customHeight="1">
      <c r="A241" s="203" t="str">
        <f>IF(B241&lt;&gt;"",IF(AND(B241&gt;=_TM1,B241&lt;=_TM2,OR(TH!L237="1111",TH!M237="1111")),TH!D237,""),"")</f>
        <v/>
      </c>
      <c r="B241" s="36">
        <f t="shared" si="18"/>
        <v>11</v>
      </c>
      <c r="C241" s="183">
        <f t="shared" si="17"/>
        <v>42679</v>
      </c>
      <c r="D241" s="190"/>
      <c r="E241" s="190">
        <v>42679</v>
      </c>
      <c r="F241" s="188" t="s">
        <v>848</v>
      </c>
      <c r="G241" s="481" t="s">
        <v>931</v>
      </c>
      <c r="H241" s="7" t="s">
        <v>846</v>
      </c>
      <c r="I241" s="257"/>
      <c r="J241" s="257"/>
      <c r="K241" s="37">
        <v>3910000</v>
      </c>
      <c r="L241" s="193" t="s">
        <v>83</v>
      </c>
      <c r="M241" s="597" t="s">
        <v>47</v>
      </c>
      <c r="N241" s="51" t="str">
        <f>IF(AND('331-CT'!$E$7=TH!H237,OR(L241="331",M241="331")),"331",IF(AND(OR(L241="131",M241="131"),H241='131-CT'!$E$7),"131",""))</f>
        <v/>
      </c>
      <c r="O241" s="887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IF(OR(TH!L237=TH!$W$7,M241=TH!$W$7),"x","")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IF(AND(OR(LEFT(TH!L237,2)="15",LEFT(TH!M237,2)="15"),'152-CT'!$J$8=TH!F237),"x","")</f>
        <v/>
      </c>
      <c r="Z241" s="51" t="str">
        <f>IF(AND(OR(LEFT(TH!L237,2)="15",LEFT(TH!M237,2)="15"),TK!$E$7=TH!F237),"x","")</f>
        <v/>
      </c>
      <c r="AA241" s="51" t="str">
        <f>IF(AND(B241&lt;=NKC!$N$8,B241&gt;=NKC!$M$8),"x","")</f>
        <v/>
      </c>
      <c r="AB241" s="909">
        <v>4</v>
      </c>
      <c r="AE241" s="210"/>
      <c r="AF241" s="210"/>
      <c r="AG241" s="210"/>
    </row>
    <row r="242" spans="1:33" s="588" customFormat="1" ht="15.75" customHeight="1">
      <c r="A242" s="203" t="str">
        <f>IF(B242&lt;&gt;"",IF(AND(B242&gt;=_TM1,B242&lt;=_TM2,OR(TH!L238="1111",TH!M238="1111")),TH!D238,""),"")</f>
        <v/>
      </c>
      <c r="B242" s="36">
        <f t="shared" si="18"/>
        <v>11</v>
      </c>
      <c r="C242" s="183">
        <f t="shared" si="17"/>
        <v>42679</v>
      </c>
      <c r="D242" s="190"/>
      <c r="E242" s="190">
        <v>42679</v>
      </c>
      <c r="F242" s="188" t="s">
        <v>849</v>
      </c>
      <c r="G242" s="481" t="s">
        <v>931</v>
      </c>
      <c r="H242" s="7" t="s">
        <v>846</v>
      </c>
      <c r="I242" s="257"/>
      <c r="J242" s="257"/>
      <c r="K242" s="37">
        <v>391000</v>
      </c>
      <c r="L242" s="193" t="s">
        <v>9</v>
      </c>
      <c r="M242" s="597" t="s">
        <v>47</v>
      </c>
      <c r="N242" s="51" t="str">
        <f>IF(AND('331-CT'!$E$7=TH!H238,OR(L242="331",M242="331")),"331",IF(AND(OR(L242="131",M242="131"),H242='131-CT'!$E$7),"131",""))</f>
        <v/>
      </c>
      <c r="O242" s="887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IF(OR(TH!L238=TH!$W$7,M242=TH!$W$7),"x","")</f>
        <v>x</v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IF(AND(OR(LEFT(TH!L238,2)="15",LEFT(TH!M238,2)="15"),'152-CT'!$J$8=TH!F238),"x","")</f>
        <v/>
      </c>
      <c r="Z242" s="51" t="str">
        <f>IF(AND(OR(LEFT(TH!L238,2)="15",LEFT(TH!M238,2)="15"),TK!$E$7=TH!F238),"x","")</f>
        <v/>
      </c>
      <c r="AA242" s="51" t="str">
        <f>IF(AND(B242&lt;=NKC!$N$8,B242&gt;=NKC!$M$8),"x","")</f>
        <v/>
      </c>
      <c r="AB242" s="909">
        <v>4</v>
      </c>
      <c r="AE242" s="210"/>
      <c r="AF242" s="210"/>
      <c r="AG242" s="210"/>
    </row>
    <row r="243" spans="1:33" s="588" customFormat="1" ht="15.75" customHeight="1">
      <c r="A243" s="203" t="str">
        <f>IF(B243&lt;&gt;"",IF(AND(B243&gt;=_TM1,B243&lt;=_TM2,OR(TH!L239="1111",TH!M239="1111")),TH!D239,""),"")</f>
        <v/>
      </c>
      <c r="B243" s="36">
        <f t="shared" si="18"/>
        <v>11</v>
      </c>
      <c r="C243" s="183">
        <f t="shared" si="17"/>
        <v>42683</v>
      </c>
      <c r="D243" s="190"/>
      <c r="E243" s="190">
        <v>42683</v>
      </c>
      <c r="F243" s="188" t="s">
        <v>932</v>
      </c>
      <c r="G243" s="481" t="s">
        <v>935</v>
      </c>
      <c r="H243" s="7" t="s">
        <v>934</v>
      </c>
      <c r="I243" s="257"/>
      <c r="J243" s="257"/>
      <c r="K243" s="37">
        <v>3150000</v>
      </c>
      <c r="L243" s="193" t="s">
        <v>83</v>
      </c>
      <c r="M243" s="597" t="s">
        <v>47</v>
      </c>
      <c r="N243" s="51" t="str">
        <f>IF(AND('331-CT'!$E$7=TH!H239,OR(L243="331",M243="331")),"331",IF(AND(OR(L243="131",M243="131"),H243='131-CT'!$E$7),"131",""))</f>
        <v/>
      </c>
      <c r="O243" s="887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IF(OR(TH!L239=TH!$W$7,M243=TH!$W$7),"x","")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IF(AND(OR(LEFT(TH!L239,2)="15",LEFT(TH!M239,2)="15"),'152-CT'!$J$8=TH!F239),"x","")</f>
        <v/>
      </c>
      <c r="Z243" s="51" t="str">
        <f>IF(AND(OR(LEFT(TH!L239,2)="15",LEFT(TH!M239,2)="15"),TK!$E$7=TH!F239),"x","")</f>
        <v/>
      </c>
      <c r="AA243" s="51" t="str">
        <f>IF(AND(B243&lt;=NKC!$N$8,B243&gt;=NKC!$M$8),"x","")</f>
        <v/>
      </c>
      <c r="AB243" s="909">
        <v>4</v>
      </c>
      <c r="AE243" s="210"/>
      <c r="AF243" s="210"/>
      <c r="AG243" s="210"/>
    </row>
    <row r="244" spans="1:33" s="588" customFormat="1" ht="15.75" customHeight="1">
      <c r="A244" s="203" t="str">
        <f>IF(B244&lt;&gt;"",IF(AND(B244&gt;=_TM1,B244&lt;=_TM2,OR(TH!L240="1111",TH!M240="1111")),TH!D240,""),"")</f>
        <v/>
      </c>
      <c r="B244" s="36">
        <f t="shared" si="18"/>
        <v>11</v>
      </c>
      <c r="C244" s="183">
        <f t="shared" si="17"/>
        <v>42683</v>
      </c>
      <c r="D244" s="190"/>
      <c r="E244" s="190">
        <v>42683</v>
      </c>
      <c r="F244" s="188" t="s">
        <v>933</v>
      </c>
      <c r="G244" s="481" t="s">
        <v>935</v>
      </c>
      <c r="H244" s="7" t="s">
        <v>934</v>
      </c>
      <c r="I244" s="257"/>
      <c r="J244" s="257"/>
      <c r="K244" s="37">
        <v>315000</v>
      </c>
      <c r="L244" s="193" t="s">
        <v>9</v>
      </c>
      <c r="M244" s="597" t="s">
        <v>47</v>
      </c>
      <c r="N244" s="51" t="str">
        <f>IF(AND('331-CT'!$E$7=TH!H240,OR(L244="331",M244="331")),"331",IF(AND(OR(L244="131",M244="131"),H244='131-CT'!$E$7),"131",""))</f>
        <v/>
      </c>
      <c r="O244" s="887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IF(OR(TH!L240=TH!$W$7,M244=TH!$W$7),"x","")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IF(AND(OR(LEFT(TH!L240,2)="15",LEFT(TH!M240,2)="15"),'152-CT'!$J$8=TH!F240),"x","")</f>
        <v/>
      </c>
      <c r="Z244" s="51" t="str">
        <f>IF(AND(OR(LEFT(TH!L240,2)="15",LEFT(TH!M240,2)="15"),TK!$E$7=TH!F240),"x","")</f>
        <v/>
      </c>
      <c r="AA244" s="51" t="str">
        <f>IF(AND(B244&lt;=NKC!$N$8,B244&gt;=NKC!$M$8),"x","")</f>
        <v/>
      </c>
      <c r="AB244" s="909">
        <v>4</v>
      </c>
      <c r="AE244" s="210"/>
      <c r="AF244" s="210"/>
      <c r="AG244" s="210"/>
    </row>
    <row r="245" spans="1:33" s="588" customFormat="1" ht="15.75" customHeight="1">
      <c r="A245" s="203" t="str">
        <f>IF(B245&lt;&gt;"",IF(AND(B245&gt;=_TM1,B245&lt;=_TM2,OR(TH!L241="1111",TH!M241="1111")),TH!D241,""),"")</f>
        <v/>
      </c>
      <c r="B245" s="36">
        <f t="shared" si="18"/>
        <v>11</v>
      </c>
      <c r="C245" s="183">
        <f t="shared" si="17"/>
        <v>42684</v>
      </c>
      <c r="D245" s="190" t="s">
        <v>1011</v>
      </c>
      <c r="E245" s="190">
        <v>42684</v>
      </c>
      <c r="F245" s="188" t="s">
        <v>929</v>
      </c>
      <c r="G245" s="481" t="s">
        <v>812</v>
      </c>
      <c r="H245" s="192" t="s">
        <v>928</v>
      </c>
      <c r="I245" s="255">
        <v>2000</v>
      </c>
      <c r="J245" s="255">
        <v>9000</v>
      </c>
      <c r="K245" s="37">
        <f>ROUND(I245*J245,0)</f>
        <v>18000000</v>
      </c>
      <c r="L245" s="193" t="s">
        <v>161</v>
      </c>
      <c r="M245" s="193" t="s">
        <v>8</v>
      </c>
      <c r="N245" s="51" t="str">
        <f>IF(AND('331-CT'!$E$7=TH!H241,OR(L245="331",M245="331")),"331",IF(AND(OR(L245="131",M245="131"),H245='131-CT'!$E$7),"131",""))</f>
        <v/>
      </c>
      <c r="O245" s="887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IF(OR(TH!L241=TH!$W$7,M245=TH!$W$7),"x","")</f>
        <v>x</v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IF(AND(OR(LEFT(TH!L241,2)="15",LEFT(TH!M241,2)="15"),'152-CT'!$J$8=TH!F241),"x","")</f>
        <v/>
      </c>
      <c r="Z245" s="51" t="str">
        <f>IF(AND(OR(LEFT(TH!L241,2)="15",LEFT(TH!M241,2)="15"),TK!$E$7=TH!F241),"x","")</f>
        <v/>
      </c>
      <c r="AA245" s="51" t="str">
        <f>IF(AND(B245&lt;=NKC!$N$8,B245&gt;=NKC!$M$8),"x","")</f>
        <v/>
      </c>
      <c r="AB245" s="909">
        <v>4</v>
      </c>
      <c r="AE245" s="210"/>
      <c r="AF245" s="210"/>
      <c r="AG245" s="210"/>
    </row>
    <row r="246" spans="1:33" s="588" customFormat="1" ht="15.75" customHeight="1">
      <c r="A246" s="203" t="str">
        <f>IF(B246&lt;&gt;"",IF(AND(B246&gt;=_TM1,B246&lt;=_TM2,OR(TH!L242="1111",TH!M242="1111")),TH!D242,""),"")</f>
        <v/>
      </c>
      <c r="B246" s="36">
        <f t="shared" si="18"/>
        <v>11</v>
      </c>
      <c r="C246" s="183">
        <f t="shared" si="17"/>
        <v>42684</v>
      </c>
      <c r="D246" s="190" t="s">
        <v>1011</v>
      </c>
      <c r="E246" s="190">
        <v>42684</v>
      </c>
      <c r="F246" s="188" t="s">
        <v>936</v>
      </c>
      <c r="G246" s="481" t="s">
        <v>812</v>
      </c>
      <c r="H246" s="192" t="s">
        <v>928</v>
      </c>
      <c r="I246" s="255"/>
      <c r="J246" s="255"/>
      <c r="K246" s="37">
        <v>1800000</v>
      </c>
      <c r="L246" s="193" t="s">
        <v>9</v>
      </c>
      <c r="M246" s="193" t="s">
        <v>8</v>
      </c>
      <c r="N246" s="51" t="str">
        <f>IF(AND('331-CT'!$E$7=TH!H242,OR(L246="331",M246="331")),"331",IF(AND(OR(L246="131",M246="131"),H246='131-CT'!$E$7),"131",""))</f>
        <v/>
      </c>
      <c r="O246" s="887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IF(OR(TH!L242=TH!$W$7,M246=TH!$W$7),"x","")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IF(AND(OR(LEFT(TH!L242,2)="15",LEFT(TH!M242,2)="15"),'152-CT'!$J$8=TH!F242),"x","")</f>
        <v/>
      </c>
      <c r="Z246" s="51" t="str">
        <f>IF(AND(OR(LEFT(TH!L242,2)="15",LEFT(TH!M242,2)="15"),TK!$E$7=TH!F242),"x","")</f>
        <v/>
      </c>
      <c r="AA246" s="51" t="str">
        <f>IF(AND(B246&lt;=NKC!$N$8,B246&gt;=NKC!$M$8),"x","")</f>
        <v/>
      </c>
      <c r="AB246" s="909">
        <v>4</v>
      </c>
      <c r="AE246" s="210"/>
      <c r="AF246" s="210"/>
      <c r="AG246" s="210"/>
    </row>
    <row r="247" spans="1:33" s="588" customFormat="1" ht="15.75" customHeight="1">
      <c r="A247" s="203" t="str">
        <f>IF(B247&lt;&gt;"",IF(AND(B247&gt;=_TM1,B247&lt;=_TM2,OR(TH!L243="1111",TH!M243="1111")),TH!D243,""),"")</f>
        <v/>
      </c>
      <c r="B247" s="36">
        <f t="shared" si="18"/>
        <v>11</v>
      </c>
      <c r="C247" s="183">
        <f t="shared" si="17"/>
        <v>42684</v>
      </c>
      <c r="D247" s="190"/>
      <c r="E247" s="190">
        <v>42684</v>
      </c>
      <c r="F247" s="191" t="s">
        <v>524</v>
      </c>
      <c r="G247" s="481" t="s">
        <v>812</v>
      </c>
      <c r="H247" s="192" t="s">
        <v>928</v>
      </c>
      <c r="I247" s="255"/>
      <c r="J247" s="255"/>
      <c r="K247" s="37">
        <v>19800000</v>
      </c>
      <c r="L247" s="193" t="s">
        <v>8</v>
      </c>
      <c r="M247" s="597" t="s">
        <v>47</v>
      </c>
      <c r="N247" s="51" t="str">
        <f>IF(AND('331-CT'!$E$7=TH!H243,OR(L247="331",M247="331")),"331",IF(AND(OR(L247="131",M247="131"),H247='131-CT'!$E$7),"131",""))</f>
        <v/>
      </c>
      <c r="O247" s="887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IF(OR(TH!L243=TH!$W$7,M247=TH!$W$7),"x","")</f>
        <v>x</v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IF(AND(OR(LEFT(TH!L243,2)="15",LEFT(TH!M243,2)="15"),'152-CT'!$J$8=TH!F243),"x","")</f>
        <v/>
      </c>
      <c r="Z247" s="51" t="str">
        <f>IF(AND(OR(LEFT(TH!L243,2)="15",LEFT(TH!M243,2)="15"),TK!$E$7=TH!F243),"x","")</f>
        <v/>
      </c>
      <c r="AA247" s="51" t="str">
        <f>IF(AND(B247&lt;=NKC!$N$8,B247&gt;=NKC!$M$8),"x","")</f>
        <v/>
      </c>
      <c r="AB247" s="909"/>
      <c r="AD247" s="210"/>
      <c r="AE247" s="210"/>
      <c r="AF247" s="210"/>
      <c r="AG247" s="210"/>
    </row>
    <row r="248" spans="1:33" s="588" customFormat="1" ht="15.75" customHeight="1">
      <c r="A248" s="203" t="str">
        <f>IF(B248&lt;&gt;"",IF(AND(B248&gt;=_TM1,B248&lt;=_TM2,OR(TH!L280="1111",TH!M280="1111")),TH!D280,""),"")</f>
        <v/>
      </c>
      <c r="B248" s="36">
        <f t="shared" si="18"/>
        <v>11</v>
      </c>
      <c r="C248" s="183">
        <f t="shared" si="17"/>
        <v>42684</v>
      </c>
      <c r="D248" s="183" t="s">
        <v>528</v>
      </c>
      <c r="E248" s="190">
        <v>42684</v>
      </c>
      <c r="F248" s="188" t="s">
        <v>543</v>
      </c>
      <c r="G248" s="191" t="s">
        <v>533</v>
      </c>
      <c r="H248" s="7" t="s">
        <v>412</v>
      </c>
      <c r="I248" s="255"/>
      <c r="J248" s="257"/>
      <c r="K248" s="37">
        <v>29870500</v>
      </c>
      <c r="L248" s="193" t="s">
        <v>24</v>
      </c>
      <c r="M248" s="597" t="s">
        <v>259</v>
      </c>
      <c r="N248" s="51" t="str">
        <f>IF(AND('331-CT'!$E$7=TH!H280,OR(L248="331",M248="331")),"331",IF(AND(OR(L248="131",M248="131"),H248='131-CT'!$E$7),"131",""))</f>
        <v/>
      </c>
      <c r="O248" s="887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>x</v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IF(OR(TH!L280=TH!$W$7,M248=TH!$W$7),"x","")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IF(AND(OR(LEFT(TH!L280,2)="15",LEFT(TH!M280,2)="15"),'152-CT'!$J$8=TH!F280),"x","")</f>
        <v/>
      </c>
      <c r="Z248" s="51" t="str">
        <f>IF(AND(OR(LEFT(TH!L280,2)="15",LEFT(TH!M280,2)="15"),TK!$E$7=TH!F280),"x","")</f>
        <v/>
      </c>
      <c r="AA248" s="51" t="str">
        <f>IF(AND(B248&lt;=NKC!$N$8,B248&gt;=NKC!$M$8),"x","")</f>
        <v/>
      </c>
      <c r="AB248" s="909"/>
      <c r="AE248" s="210"/>
    </row>
    <row r="249" spans="1:33" s="588" customFormat="1" ht="15.75" customHeight="1">
      <c r="A249" s="203" t="str">
        <f>IF(B249&lt;&gt;"",IF(AND(B249&gt;=_TM1,B249&lt;=_TM2,OR(TH!L281="1111",TH!M281="1111")),TH!D281,""),"")</f>
        <v/>
      </c>
      <c r="B249" s="36">
        <f t="shared" si="18"/>
        <v>11</v>
      </c>
      <c r="C249" s="183">
        <f t="shared" ref="C249:C280" si="19">E249</f>
        <v>42685</v>
      </c>
      <c r="D249" s="183" t="s">
        <v>529</v>
      </c>
      <c r="E249" s="190">
        <v>42685</v>
      </c>
      <c r="F249" s="191" t="s">
        <v>524</v>
      </c>
      <c r="G249" s="191" t="s">
        <v>533</v>
      </c>
      <c r="H249" s="854" t="s">
        <v>456</v>
      </c>
      <c r="I249" s="255"/>
      <c r="J249" s="255"/>
      <c r="K249" s="37">
        <v>12000000</v>
      </c>
      <c r="L249" s="193" t="s">
        <v>8</v>
      </c>
      <c r="M249" s="597" t="s">
        <v>24</v>
      </c>
      <c r="N249" s="51" t="str">
        <f>IF(AND('331-CT'!$E$7=TH!H281,OR(L249="331",M249="331")),"331",IF(AND(OR(L249="131",M249="131"),H249='131-CT'!$E$7),"131",""))</f>
        <v/>
      </c>
      <c r="O249" s="887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>x</v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IF(OR(TH!L281=TH!$W$7,M249=TH!$W$7),"x","")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IF(AND(OR(LEFT(TH!L281,2)="15",LEFT(TH!M281,2)="15"),'152-CT'!$J$8=TH!F281),"x","")</f>
        <v/>
      </c>
      <c r="Z249" s="51" t="str">
        <f>IF(AND(OR(LEFT(TH!L281,2)="15",LEFT(TH!M281,2)="15"),TK!$E$7=TH!F281),"x","")</f>
        <v/>
      </c>
      <c r="AA249" s="51" t="str">
        <f>IF(AND(B249&lt;=NKC!$N$8,B249&gt;=NKC!$M$8),"x","")</f>
        <v/>
      </c>
      <c r="AB249" s="909"/>
      <c r="AF249" s="210"/>
      <c r="AG249" s="210"/>
    </row>
    <row r="250" spans="1:33" s="588" customFormat="1" ht="15.75" customHeight="1">
      <c r="A250" s="203" t="str">
        <f>IF(B250&lt;&gt;"",IF(AND(B250&gt;=_TM1,B250&lt;=_TM2,OR(TH!L282="1111",TH!M282="1111")),TH!D282,""),"")</f>
        <v/>
      </c>
      <c r="B250" s="36">
        <f t="shared" si="18"/>
        <v>11</v>
      </c>
      <c r="C250" s="183">
        <f t="shared" si="19"/>
        <v>42685</v>
      </c>
      <c r="D250" s="183" t="s">
        <v>529</v>
      </c>
      <c r="E250" s="190">
        <v>42685</v>
      </c>
      <c r="F250" s="191" t="s">
        <v>539</v>
      </c>
      <c r="G250" s="191" t="s">
        <v>533</v>
      </c>
      <c r="H250" s="209"/>
      <c r="I250" s="255"/>
      <c r="J250" s="255"/>
      <c r="K250" s="37">
        <v>20000</v>
      </c>
      <c r="L250" s="193" t="s">
        <v>83</v>
      </c>
      <c r="M250" s="597" t="s">
        <v>24</v>
      </c>
      <c r="N250" s="51" t="str">
        <f>IF(AND('331-CT'!$E$7=TH!H282,OR(L250="331",M250="331")),"331",IF(AND(OR(L250="131",M250="131"),H250='131-CT'!$E$7),"131",""))</f>
        <v/>
      </c>
      <c r="O250" s="887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>x</v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IF(OR(TH!L282=TH!$W$7,M250=TH!$W$7),"x","")</f>
        <v>x</v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IF(AND(OR(LEFT(TH!L282,2)="15",LEFT(TH!M282,2)="15"),'152-CT'!$J$8=TH!F282),"x","")</f>
        <v/>
      </c>
      <c r="Z250" s="51" t="str">
        <f>IF(AND(OR(LEFT(TH!L282,2)="15",LEFT(TH!M282,2)="15"),TK!$E$7=TH!F282),"x","")</f>
        <v/>
      </c>
      <c r="AA250" s="51" t="str">
        <f>IF(AND(B250&lt;=NKC!$N$8,B250&gt;=NKC!$M$8),"x","")</f>
        <v/>
      </c>
      <c r="AB250" s="909">
        <v>4</v>
      </c>
      <c r="AF250" s="210"/>
      <c r="AG250" s="210"/>
    </row>
    <row r="251" spans="1:33" s="588" customFormat="1" ht="15.75" customHeight="1">
      <c r="A251" s="203" t="str">
        <f>IF(B251&lt;&gt;"",IF(AND(B251&gt;=_TM1,B251&lt;=_TM2,OR(TH!L283="1111",TH!M283="1111")),TH!D283,""),"")</f>
        <v/>
      </c>
      <c r="B251" s="36">
        <f t="shared" si="18"/>
        <v>11</v>
      </c>
      <c r="C251" s="183">
        <f t="shared" si="19"/>
        <v>42685</v>
      </c>
      <c r="D251" s="183" t="s">
        <v>529</v>
      </c>
      <c r="E251" s="190">
        <v>42685</v>
      </c>
      <c r="F251" s="191" t="s">
        <v>540</v>
      </c>
      <c r="G251" s="191" t="s">
        <v>533</v>
      </c>
      <c r="H251" s="209"/>
      <c r="I251" s="255"/>
      <c r="J251" s="255"/>
      <c r="K251" s="37">
        <v>2000</v>
      </c>
      <c r="L251" s="193" t="s">
        <v>9</v>
      </c>
      <c r="M251" s="597" t="s">
        <v>24</v>
      </c>
      <c r="N251" s="51" t="str">
        <f>IF(AND('331-CT'!$E$7=TH!H283,OR(L251="331",M251="331")),"331",IF(AND(OR(L251="131",M251="131"),H251='131-CT'!$E$7),"131",""))</f>
        <v/>
      </c>
      <c r="O251" s="887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>x</v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IF(OR(TH!L283=TH!$W$7,M251=TH!$W$7),"x","")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IF(AND(OR(LEFT(TH!L283,2)="15",LEFT(TH!M283,2)="15"),'152-CT'!$J$8=TH!F283),"x","")</f>
        <v/>
      </c>
      <c r="Z251" s="51" t="str">
        <f>IF(AND(OR(LEFT(TH!L283,2)="15",LEFT(TH!M283,2)="15"),TK!$E$7=TH!F283),"x","")</f>
        <v/>
      </c>
      <c r="AA251" s="51" t="str">
        <f>IF(AND(B251&lt;=NKC!$N$8,B251&gt;=NKC!$M$8),"x","")</f>
        <v/>
      </c>
      <c r="AB251" s="909">
        <v>4</v>
      </c>
      <c r="AF251" s="210"/>
      <c r="AG251" s="210"/>
    </row>
    <row r="252" spans="1:33" s="588" customFormat="1" ht="15.75" customHeight="1">
      <c r="A252" s="203" t="str">
        <f>IF(B252&lt;&gt;"",IF(AND(B252&gt;=_TM1,B252&lt;=_TM2,OR(TH!L284="1111",TH!M284="1111")),TH!D284,""),"")</f>
        <v/>
      </c>
      <c r="B252" s="36">
        <f t="shared" si="18"/>
        <v>11</v>
      </c>
      <c r="C252" s="183">
        <f t="shared" si="19"/>
        <v>42685</v>
      </c>
      <c r="D252" s="183" t="s">
        <v>529</v>
      </c>
      <c r="E252" s="190">
        <v>42685</v>
      </c>
      <c r="F252" s="191" t="s">
        <v>544</v>
      </c>
      <c r="G252" s="191" t="s">
        <v>533</v>
      </c>
      <c r="H252" s="192" t="s">
        <v>547</v>
      </c>
      <c r="I252" s="255"/>
      <c r="J252" s="255"/>
      <c r="K252" s="37">
        <v>18000000</v>
      </c>
      <c r="L252" s="193" t="s">
        <v>47</v>
      </c>
      <c r="M252" s="597" t="s">
        <v>24</v>
      </c>
      <c r="N252" s="51" t="str">
        <f>IF(AND('331-CT'!$E$7=TH!H284,OR(L252="331",M252="331")),"331",IF(AND(OR(L252="131",M252="131"),H252='131-CT'!$E$7),"131",""))</f>
        <v/>
      </c>
      <c r="O252" s="887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>x</v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IF(OR(TH!L284=TH!$W$7,M252=TH!$W$7),"x","")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IF(AND(OR(LEFT(TH!L284,2)="15",LEFT(TH!M284,2)="15"),'152-CT'!$J$8=TH!F284),"x","")</f>
        <v/>
      </c>
      <c r="Z252" s="51" t="str">
        <f>IF(AND(OR(LEFT(TH!L284,2)="15",LEFT(TH!M284,2)="15"),TK!$E$7=TH!F284),"x","")</f>
        <v/>
      </c>
      <c r="AA252" s="51" t="str">
        <f>IF(AND(B252&lt;=NKC!$N$8,B252&gt;=NKC!$M$8),"x","")</f>
        <v/>
      </c>
      <c r="AB252" s="909"/>
      <c r="AF252" s="210"/>
      <c r="AG252" s="210"/>
    </row>
    <row r="253" spans="1:33" s="588" customFormat="1" ht="15.75" customHeight="1">
      <c r="A253" s="203" t="str">
        <f>IF(B253&lt;&gt;"",IF(AND(B253&gt;=_TM1,B253&lt;=_TM2,OR(TH!L244="1111",TH!M244="1111")),TH!D244,""),"")</f>
        <v/>
      </c>
      <c r="B253" s="36">
        <f t="shared" si="18"/>
        <v>11</v>
      </c>
      <c r="C253" s="183">
        <f t="shared" si="19"/>
        <v>42686</v>
      </c>
      <c r="D253" s="190"/>
      <c r="E253" s="190">
        <v>42686</v>
      </c>
      <c r="F253" s="188" t="s">
        <v>368</v>
      </c>
      <c r="G253" s="481" t="s">
        <v>937</v>
      </c>
      <c r="H253" s="192" t="s">
        <v>486</v>
      </c>
      <c r="I253" s="255"/>
      <c r="J253" s="255"/>
      <c r="K253" s="37">
        <v>5800000</v>
      </c>
      <c r="L253" s="193" t="s">
        <v>165</v>
      </c>
      <c r="M253" s="597" t="s">
        <v>47</v>
      </c>
      <c r="N253" s="51" t="str">
        <f>IF(AND('331-CT'!$E$7=TH!H244,OR(L253="331",M253="331")),"331",IF(AND(OR(L253="131",M253="131"),H253='131-CT'!$E$7),"131",""))</f>
        <v/>
      </c>
      <c r="O253" s="887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IF(OR(TH!L244=TH!$W$7,M253=TH!$W$7),"x","")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IF(AND(OR(LEFT(TH!L244,2)="15",LEFT(TH!M244,2)="15"),'152-CT'!$J$8=TH!F244),"x","")</f>
        <v/>
      </c>
      <c r="Z253" s="51" t="str">
        <f>IF(AND(OR(LEFT(TH!L244,2)="15",LEFT(TH!M244,2)="15"),TK!$E$7=TH!F244),"x","")</f>
        <v/>
      </c>
      <c r="AA253" s="51" t="str">
        <f>IF(AND(B253&lt;=NKC!$N$8,B253&gt;=NKC!$M$8),"x","")</f>
        <v/>
      </c>
      <c r="AB253" s="909">
        <v>4</v>
      </c>
      <c r="AE253" s="210"/>
      <c r="AF253" s="210"/>
      <c r="AG253" s="210"/>
    </row>
    <row r="254" spans="1:33" s="588" customFormat="1" ht="15.75" customHeight="1">
      <c r="A254" s="203" t="str">
        <f>IF(B254&lt;&gt;"",IF(AND(B254&gt;=_TM1,B254&lt;=_TM2,OR(TH!L245="1111",TH!M245="1111")),TH!D245,""),"")</f>
        <v/>
      </c>
      <c r="B254" s="36">
        <f t="shared" si="18"/>
        <v>11</v>
      </c>
      <c r="C254" s="183">
        <f t="shared" si="19"/>
        <v>42686</v>
      </c>
      <c r="D254" s="190"/>
      <c r="E254" s="190">
        <v>42686</v>
      </c>
      <c r="F254" s="188" t="s">
        <v>484</v>
      </c>
      <c r="G254" s="481" t="s">
        <v>937</v>
      </c>
      <c r="H254" s="192" t="s">
        <v>486</v>
      </c>
      <c r="I254" s="255"/>
      <c r="J254" s="255"/>
      <c r="K254" s="37">
        <v>580000</v>
      </c>
      <c r="L254" s="193" t="s">
        <v>9</v>
      </c>
      <c r="M254" s="597" t="s">
        <v>47</v>
      </c>
      <c r="N254" s="51" t="str">
        <f>IF(AND('331-CT'!$E$7=TH!H245,OR(L254="331",M254="331")),"331",IF(AND(OR(L254="131",M254="131"),H254='131-CT'!$E$7),"131",""))</f>
        <v/>
      </c>
      <c r="O254" s="887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IF(OR(TH!L245=TH!$W$7,M254=TH!$W$7),"x","")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IF(AND(OR(LEFT(TH!L245,2)="15",LEFT(TH!M245,2)="15"),'152-CT'!$J$8=TH!F245),"x","")</f>
        <v/>
      </c>
      <c r="Z254" s="51" t="str">
        <f>IF(AND(OR(LEFT(TH!L245,2)="15",LEFT(TH!M245,2)="15"),TK!$E$7=TH!F245),"x","")</f>
        <v/>
      </c>
      <c r="AA254" s="51" t="str">
        <f>IF(AND(B254&lt;=NKC!$N$8,B254&gt;=NKC!$M$8),"x","")</f>
        <v/>
      </c>
      <c r="AB254" s="909">
        <v>4</v>
      </c>
      <c r="AE254" s="210"/>
      <c r="AF254" s="210"/>
      <c r="AG254" s="210"/>
    </row>
    <row r="255" spans="1:33" s="588" customFormat="1" ht="15.75" customHeight="1">
      <c r="A255" s="203" t="str">
        <f>IF(B255&lt;&gt;"",IF(AND(B255&gt;=_TM1,B255&lt;=_TM2,OR(TH!L246="1111",TH!M246="1111")),TH!D246,""),"")</f>
        <v/>
      </c>
      <c r="B255" s="36">
        <f t="shared" si="18"/>
        <v>11</v>
      </c>
      <c r="C255" s="183">
        <f t="shared" si="19"/>
        <v>42688</v>
      </c>
      <c r="D255" s="190" t="s">
        <v>1012</v>
      </c>
      <c r="E255" s="190">
        <v>42688</v>
      </c>
      <c r="F255" s="188" t="s">
        <v>839</v>
      </c>
      <c r="G255" s="481" t="s">
        <v>769</v>
      </c>
      <c r="H255" s="192" t="s">
        <v>842</v>
      </c>
      <c r="I255" s="255">
        <v>18190</v>
      </c>
      <c r="J255" s="255">
        <v>800</v>
      </c>
      <c r="K255" s="37">
        <f>ROUND(I255*J255,0)</f>
        <v>14552000</v>
      </c>
      <c r="L255" s="193" t="s">
        <v>161</v>
      </c>
      <c r="M255" s="193" t="s">
        <v>8</v>
      </c>
      <c r="N255" s="51" t="str">
        <f>IF(AND('331-CT'!$E$7=TH!H246,OR(L255="331",M255="331")),"331",IF(AND(OR(L255="131",M255="131"),H255='131-CT'!$E$7),"131",""))</f>
        <v/>
      </c>
      <c r="O255" s="887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IF(OR(TH!L246=TH!$W$7,M255=TH!$W$7),"x","")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IF(AND(OR(LEFT(TH!L246,2)="15",LEFT(TH!M246,2)="15"),'152-CT'!$J$8=TH!F246),"x","")</f>
        <v/>
      </c>
      <c r="Z255" s="51" t="str">
        <f>IF(AND(OR(LEFT(TH!L246,2)="15",LEFT(TH!M246,2)="15"),TK!$E$7=TH!F246),"x","")</f>
        <v/>
      </c>
      <c r="AA255" s="51" t="str">
        <f>IF(AND(B255&lt;=NKC!$N$8,B255&gt;=NKC!$M$8),"x","")</f>
        <v/>
      </c>
      <c r="AB255" s="909">
        <v>4</v>
      </c>
      <c r="AE255" s="210"/>
      <c r="AF255" s="210"/>
      <c r="AG255" s="210"/>
    </row>
    <row r="256" spans="1:33" s="588" customFormat="1" ht="15.75" customHeight="1">
      <c r="A256" s="203" t="str">
        <f>IF(B256&lt;&gt;"",IF(AND(B256&gt;=_TM1,B256&lt;=_TM2,OR(TH!L247="1111",TH!M247="1111")),TH!D247,""),"")</f>
        <v/>
      </c>
      <c r="B256" s="36">
        <f t="shared" si="18"/>
        <v>11</v>
      </c>
      <c r="C256" s="183">
        <f t="shared" si="19"/>
        <v>42688</v>
      </c>
      <c r="D256" s="190" t="s">
        <v>1012</v>
      </c>
      <c r="E256" s="190">
        <v>42688</v>
      </c>
      <c r="F256" s="188" t="s">
        <v>840</v>
      </c>
      <c r="G256" s="481" t="s">
        <v>769</v>
      </c>
      <c r="H256" s="192" t="s">
        <v>842</v>
      </c>
      <c r="I256" s="255"/>
      <c r="J256" s="255"/>
      <c r="K256" s="37">
        <v>1455200</v>
      </c>
      <c r="L256" s="193" t="s">
        <v>9</v>
      </c>
      <c r="M256" s="193" t="s">
        <v>8</v>
      </c>
      <c r="N256" s="51" t="str">
        <f>IF(AND('331-CT'!$E$7=TH!H247,OR(L256="331",M256="331")),"331",IF(AND(OR(L256="131",M256="131"),H256='131-CT'!$E$7),"131",""))</f>
        <v/>
      </c>
      <c r="O256" s="887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IF(OR(TH!L247=TH!$W$7,M256=TH!$W$7),"x","")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IF(AND(OR(LEFT(TH!L247,2)="15",LEFT(TH!M247,2)="15"),'152-CT'!$J$8=TH!F247),"x","")</f>
        <v/>
      </c>
      <c r="Z256" s="51" t="str">
        <f>IF(AND(OR(LEFT(TH!L247,2)="15",LEFT(TH!M247,2)="15"),TK!$E$7=TH!F247),"x","")</f>
        <v/>
      </c>
      <c r="AA256" s="51" t="str">
        <f>IF(AND(B256&lt;=NKC!$N$8,B256&gt;=NKC!$M$8),"x","")</f>
        <v/>
      </c>
      <c r="AB256" s="909">
        <v>4</v>
      </c>
      <c r="AE256" s="210"/>
      <c r="AF256" s="210"/>
      <c r="AG256" s="210"/>
    </row>
    <row r="257" spans="1:33" s="588" customFormat="1" ht="15.75" customHeight="1">
      <c r="A257" s="203" t="str">
        <f>IF(B257&lt;&gt;"",IF(AND(B257&gt;=_TM1,B257&lt;=_TM2,OR(TH!L248="1111",TH!M248="1111")),TH!D248,""),"")</f>
        <v/>
      </c>
      <c r="B257" s="36">
        <f t="shared" si="18"/>
        <v>11</v>
      </c>
      <c r="C257" s="183">
        <f t="shared" si="19"/>
        <v>42688</v>
      </c>
      <c r="D257" s="190"/>
      <c r="E257" s="190">
        <v>42688</v>
      </c>
      <c r="F257" s="188" t="s">
        <v>524</v>
      </c>
      <c r="G257" s="481" t="s">
        <v>769</v>
      </c>
      <c r="H257" s="192" t="s">
        <v>842</v>
      </c>
      <c r="I257" s="255"/>
      <c r="J257" s="255"/>
      <c r="K257" s="37">
        <v>16007200</v>
      </c>
      <c r="L257" s="193" t="s">
        <v>8</v>
      </c>
      <c r="M257" s="597" t="s">
        <v>47</v>
      </c>
      <c r="N257" s="51" t="str">
        <f>IF(AND('331-CT'!$E$7=TH!H248,OR(L257="331",M257="331")),"331",IF(AND(OR(L257="131",M257="131"),H257='131-CT'!$E$7),"131",""))</f>
        <v/>
      </c>
      <c r="O257" s="887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IF(OR(TH!L248=TH!$W$7,M257=TH!$W$7),"x","")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IF(AND(OR(LEFT(TH!L248,2)="15",LEFT(TH!M248,2)="15"),'152-CT'!$J$8=TH!F248),"x","")</f>
        <v/>
      </c>
      <c r="Z257" s="51" t="str">
        <f>IF(AND(OR(LEFT(TH!L248,2)="15",LEFT(TH!M248,2)="15"),TK!$E$7=TH!F248),"x","")</f>
        <v/>
      </c>
      <c r="AA257" s="51" t="str">
        <f>IF(AND(B257&lt;=NKC!$N$8,B257&gt;=NKC!$M$8),"x","")</f>
        <v/>
      </c>
      <c r="AB257" s="909"/>
      <c r="AD257" s="210"/>
      <c r="AE257" s="210"/>
      <c r="AF257" s="210"/>
      <c r="AG257" s="210"/>
    </row>
    <row r="258" spans="1:33" s="588" customFormat="1" ht="15.75" customHeight="1">
      <c r="A258" s="203" t="str">
        <f>IF(B258&lt;&gt;"",IF(AND(B258&gt;=_TM1,B258&lt;=_TM2,OR(TH!L285="1111",TH!M285="1111")),TH!D285,""),"")</f>
        <v/>
      </c>
      <c r="B258" s="36">
        <f t="shared" si="18"/>
        <v>11</v>
      </c>
      <c r="C258" s="183">
        <f t="shared" si="19"/>
        <v>42688</v>
      </c>
      <c r="D258" s="183" t="s">
        <v>528</v>
      </c>
      <c r="E258" s="190">
        <v>42688</v>
      </c>
      <c r="F258" s="188" t="s">
        <v>530</v>
      </c>
      <c r="G258" s="191" t="s">
        <v>533</v>
      </c>
      <c r="H258" s="192" t="s">
        <v>547</v>
      </c>
      <c r="I258" s="255"/>
      <c r="J258" s="257"/>
      <c r="K258" s="37">
        <v>20000000</v>
      </c>
      <c r="L258" s="193" t="s">
        <v>24</v>
      </c>
      <c r="M258" s="597" t="s">
        <v>47</v>
      </c>
      <c r="N258" s="51" t="str">
        <f>IF(AND('331-CT'!$E$7=TH!H285,OR(L258="331",M258="331")),"331",IF(AND(OR(L258="131",M258="131"),H258='131-CT'!$E$7),"131",""))</f>
        <v/>
      </c>
      <c r="O258" s="887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>x</v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IF(OR(TH!L285=TH!$W$7,M258=TH!$W$7),"x","")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IF(AND(OR(LEFT(TH!L285,2)="15",LEFT(TH!M285,2)="15"),'152-CT'!$J$8=TH!F285),"x","")</f>
        <v/>
      </c>
      <c r="Z258" s="51" t="str">
        <f>IF(AND(OR(LEFT(TH!L285,2)="15",LEFT(TH!M285,2)="15"),TK!$E$7=TH!F285),"x","")</f>
        <v/>
      </c>
      <c r="AA258" s="51" t="str">
        <f>IF(AND(B258&lt;=NKC!$N$8,B258&gt;=NKC!$M$8),"x","")</f>
        <v/>
      </c>
      <c r="AB258" s="909"/>
      <c r="AE258" s="210"/>
    </row>
    <row r="259" spans="1:33" s="588" customFormat="1" ht="15.75" customHeight="1">
      <c r="A259" s="203" t="str">
        <f>IF(B259&lt;&gt;"",IF(AND(B259&gt;=_TM1,B259&lt;=_TM2,OR(TH!L286="1111",TH!M286="1111")),TH!D286,""),"")</f>
        <v/>
      </c>
      <c r="B259" s="36">
        <f t="shared" si="18"/>
        <v>11</v>
      </c>
      <c r="C259" s="183">
        <f t="shared" si="19"/>
        <v>42688</v>
      </c>
      <c r="D259" s="183" t="s">
        <v>529</v>
      </c>
      <c r="E259" s="190">
        <v>42688</v>
      </c>
      <c r="F259" s="191" t="s">
        <v>861</v>
      </c>
      <c r="G259" s="191" t="s">
        <v>533</v>
      </c>
      <c r="H259" s="209"/>
      <c r="I259" s="255"/>
      <c r="J259" s="255"/>
      <c r="K259" s="37">
        <v>20000</v>
      </c>
      <c r="L259" s="193" t="s">
        <v>83</v>
      </c>
      <c r="M259" s="597" t="s">
        <v>24</v>
      </c>
      <c r="N259" s="51" t="str">
        <f>IF(AND('331-CT'!$E$7=TH!H286,OR(L259="331",M259="331")),"331",IF(AND(OR(L259="131",M259="131"),H259='131-CT'!$E$7),"131",""))</f>
        <v/>
      </c>
      <c r="O259" s="887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>x</v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IF(OR(TH!L286=TH!$W$7,M259=TH!$W$7),"x","")</f>
        <v>x</v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IF(AND(OR(LEFT(TH!L286,2)="15",LEFT(TH!M286,2)="15"),'152-CT'!$J$8=TH!F286),"x","")</f>
        <v/>
      </c>
      <c r="Z259" s="51" t="str">
        <f>IF(AND(OR(LEFT(TH!L286,2)="15",LEFT(TH!M286,2)="15"),TK!$E$7=TH!F286),"x","")</f>
        <v/>
      </c>
      <c r="AA259" s="51" t="str">
        <f>IF(AND(B259&lt;=NKC!$N$8,B259&gt;=NKC!$M$8),"x","")</f>
        <v/>
      </c>
      <c r="AB259" s="909">
        <v>4</v>
      </c>
      <c r="AF259" s="210"/>
      <c r="AG259" s="210"/>
    </row>
    <row r="260" spans="1:33" s="588" customFormat="1" ht="15.75" customHeight="1">
      <c r="A260" s="203" t="str">
        <f>IF(B260&lt;&gt;"",IF(AND(B260&gt;=_TM1,B260&lt;=_TM2,OR(TH!L287="1111",TH!M287="1111")),TH!D287,""),"")</f>
        <v/>
      </c>
      <c r="B260" s="36">
        <f t="shared" si="18"/>
        <v>11</v>
      </c>
      <c r="C260" s="183">
        <f t="shared" si="19"/>
        <v>42688</v>
      </c>
      <c r="D260" s="183" t="s">
        <v>529</v>
      </c>
      <c r="E260" s="190">
        <v>42688</v>
      </c>
      <c r="F260" s="191" t="s">
        <v>862</v>
      </c>
      <c r="G260" s="191" t="s">
        <v>533</v>
      </c>
      <c r="H260" s="209"/>
      <c r="I260" s="255"/>
      <c r="J260" s="255"/>
      <c r="K260" s="37">
        <v>2000</v>
      </c>
      <c r="L260" s="193" t="s">
        <v>9</v>
      </c>
      <c r="M260" s="597" t="s">
        <v>24</v>
      </c>
      <c r="N260" s="51" t="str">
        <f>IF(AND('331-CT'!$E$7=TH!H287,OR(L260="331",M260="331")),"331",IF(AND(OR(L260="131",M260="131"),H260='131-CT'!$E$7),"131",""))</f>
        <v/>
      </c>
      <c r="O260" s="887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>x</v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IF(OR(TH!L287=TH!$W$7,M260=TH!$W$7),"x","")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IF(AND(OR(LEFT(TH!L287,2)="15",LEFT(TH!M287,2)="15"),'152-CT'!$J$8=TH!F287),"x","")</f>
        <v/>
      </c>
      <c r="Z260" s="51" t="str">
        <f>IF(AND(OR(LEFT(TH!L287,2)="15",LEFT(TH!M287,2)="15"),TK!$E$7=TH!F287),"x","")</f>
        <v/>
      </c>
      <c r="AA260" s="51" t="str">
        <f>IF(AND(B260&lt;=NKC!$N$8,B260&gt;=NKC!$M$8),"x","")</f>
        <v/>
      </c>
      <c r="AB260" s="909">
        <v>4</v>
      </c>
      <c r="AF260" s="210"/>
      <c r="AG260" s="210"/>
    </row>
    <row r="261" spans="1:33" s="588" customFormat="1" ht="15.75" customHeight="1">
      <c r="A261" s="203" t="str">
        <f>IF(B261&lt;&gt;"",IF(AND(B261&gt;=_TM1,B261&lt;=_TM2,OR(TH!L288="1111",TH!M288="1111")),TH!D288,""),"")</f>
        <v/>
      </c>
      <c r="B261" s="36">
        <f t="shared" si="18"/>
        <v>11</v>
      </c>
      <c r="C261" s="183">
        <f t="shared" si="19"/>
        <v>42688</v>
      </c>
      <c r="D261" s="183" t="s">
        <v>529</v>
      </c>
      <c r="E261" s="190">
        <v>42688</v>
      </c>
      <c r="F261" s="191" t="s">
        <v>524</v>
      </c>
      <c r="G261" s="191" t="s">
        <v>533</v>
      </c>
      <c r="H261" s="854" t="s">
        <v>457</v>
      </c>
      <c r="I261" s="255"/>
      <c r="J261" s="255"/>
      <c r="K261" s="37">
        <v>20000000</v>
      </c>
      <c r="L261" s="193" t="s">
        <v>8</v>
      </c>
      <c r="M261" s="597" t="s">
        <v>24</v>
      </c>
      <c r="N261" s="51" t="str">
        <f>IF(AND('331-CT'!$E$7=TH!H288,OR(L261="331",M261="331")),"331",IF(AND(OR(L261="131",M261="131"),H261='131-CT'!$E$7),"131",""))</f>
        <v/>
      </c>
      <c r="O261" s="887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>x</v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IF(OR(TH!L288=TH!$W$7,M261=TH!$W$7),"x","")</f>
        <v>x</v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IF(AND(OR(LEFT(TH!L288,2)="15",LEFT(TH!M288,2)="15"),'152-CT'!$J$8=TH!F288),"x","")</f>
        <v/>
      </c>
      <c r="Z261" s="51" t="str">
        <f>IF(AND(OR(LEFT(TH!L288,2)="15",LEFT(TH!M288,2)="15"),TK!$E$7=TH!F288),"x","")</f>
        <v/>
      </c>
      <c r="AA261" s="51" t="str">
        <f>IF(AND(B261&lt;=NKC!$N$8,B261&gt;=NKC!$M$8),"x","")</f>
        <v/>
      </c>
      <c r="AB261" s="909"/>
      <c r="AF261" s="210"/>
      <c r="AG261" s="210"/>
    </row>
    <row r="262" spans="1:33" s="588" customFormat="1" ht="15.75" customHeight="1">
      <c r="A262" s="203" t="str">
        <f>IF(B262&lt;&gt;"",IF(AND(B262&gt;=_TM1,B262&lt;=_TM2,OR(TH!L289="1111",TH!M289="1111")),TH!D289,""),"")</f>
        <v/>
      </c>
      <c r="B262" s="36">
        <f t="shared" si="18"/>
        <v>11</v>
      </c>
      <c r="C262" s="183">
        <f t="shared" si="19"/>
        <v>42688</v>
      </c>
      <c r="D262" s="183" t="s">
        <v>529</v>
      </c>
      <c r="E262" s="190">
        <v>42688</v>
      </c>
      <c r="F262" s="191" t="s">
        <v>539</v>
      </c>
      <c r="G262" s="191" t="s">
        <v>533</v>
      </c>
      <c r="H262" s="209"/>
      <c r="I262" s="255"/>
      <c r="J262" s="255"/>
      <c r="K262" s="37">
        <v>10000</v>
      </c>
      <c r="L262" s="193" t="s">
        <v>83</v>
      </c>
      <c r="M262" s="597" t="s">
        <v>24</v>
      </c>
      <c r="N262" s="51" t="str">
        <f>IF(AND('331-CT'!$E$7=TH!H289,OR(L262="331",M262="331")),"331",IF(AND(OR(L262="131",M262="131"),H262='131-CT'!$E$7),"131",""))</f>
        <v/>
      </c>
      <c r="O262" s="887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>x</v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IF(OR(TH!L289=TH!$W$7,M262=TH!$W$7),"x","")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IF(AND(OR(LEFT(TH!L289,2)="15",LEFT(TH!M289,2)="15"),'152-CT'!$J$8=TH!F289),"x","")</f>
        <v/>
      </c>
      <c r="Z262" s="51" t="str">
        <f>IF(AND(OR(LEFT(TH!L289,2)="15",LEFT(TH!M289,2)="15"),TK!$E$7=TH!F289),"x","")</f>
        <v/>
      </c>
      <c r="AA262" s="51" t="str">
        <f>IF(AND(B262&lt;=NKC!$N$8,B262&gt;=NKC!$M$8),"x","")</f>
        <v/>
      </c>
      <c r="AB262" s="909">
        <v>4</v>
      </c>
      <c r="AF262" s="210"/>
      <c r="AG262" s="210"/>
    </row>
    <row r="263" spans="1:33" s="588" customFormat="1" ht="15.75" customHeight="1">
      <c r="A263" s="203" t="str">
        <f>IF(B263&lt;&gt;"",IF(AND(B263&gt;=_TM1,B263&lt;=_TM2,OR(TH!L290="1111",TH!M290="1111")),TH!D290,""),"")</f>
        <v/>
      </c>
      <c r="B263" s="36">
        <f t="shared" si="18"/>
        <v>11</v>
      </c>
      <c r="C263" s="183">
        <f t="shared" si="19"/>
        <v>42688</v>
      </c>
      <c r="D263" s="183" t="s">
        <v>529</v>
      </c>
      <c r="E263" s="190">
        <v>42688</v>
      </c>
      <c r="F263" s="191" t="s">
        <v>540</v>
      </c>
      <c r="G263" s="191" t="s">
        <v>533</v>
      </c>
      <c r="H263" s="209"/>
      <c r="I263" s="255"/>
      <c r="J263" s="255"/>
      <c r="K263" s="37">
        <v>1000</v>
      </c>
      <c r="L263" s="193" t="s">
        <v>9</v>
      </c>
      <c r="M263" s="597" t="s">
        <v>24</v>
      </c>
      <c r="N263" s="51" t="str">
        <f>IF(AND('331-CT'!$E$7=TH!H290,OR(L263="331",M263="331")),"331",IF(AND(OR(L263="131",M263="131"),H263='131-CT'!$E$7),"131",""))</f>
        <v/>
      </c>
      <c r="O263" s="887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>x</v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IF(OR(TH!L290=TH!$W$7,M263=TH!$W$7),"x","")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IF(AND(OR(LEFT(TH!L290,2)="15",LEFT(TH!M290,2)="15"),'152-CT'!$J$8=TH!F290),"x","")</f>
        <v/>
      </c>
      <c r="Z263" s="51" t="str">
        <f>IF(AND(OR(LEFT(TH!L290,2)="15",LEFT(TH!M290,2)="15"),TK!$E$7=TH!F290),"x","")</f>
        <v/>
      </c>
      <c r="AA263" s="51" t="str">
        <f>IF(AND(B263&lt;=NKC!$N$8,B263&gt;=NKC!$M$8),"x","")</f>
        <v/>
      </c>
      <c r="AB263" s="909">
        <v>4</v>
      </c>
      <c r="AF263" s="210"/>
      <c r="AG263" s="210"/>
    </row>
    <row r="264" spans="1:33" s="588" customFormat="1" ht="15.75" customHeight="1">
      <c r="A264" s="203" t="str">
        <f>IF(B264&lt;&gt;"",IF(AND(B264&gt;=_TM1,B264&lt;=_TM2,OR(TH!L274="1111",TH!M274="1111")),TH!D274,""),"")</f>
        <v/>
      </c>
      <c r="B264" s="36">
        <f t="shared" si="18"/>
        <v>11</v>
      </c>
      <c r="C264" s="183">
        <f t="shared" si="19"/>
        <v>42689</v>
      </c>
      <c r="D264" s="190" t="s">
        <v>333</v>
      </c>
      <c r="E264" s="190">
        <v>42689</v>
      </c>
      <c r="F264" s="188" t="s">
        <v>938</v>
      </c>
      <c r="G264" s="481" t="s">
        <v>901</v>
      </c>
      <c r="H264" s="192" t="s">
        <v>684</v>
      </c>
      <c r="I264" s="255"/>
      <c r="J264" s="255"/>
      <c r="K264" s="37">
        <v>37000000</v>
      </c>
      <c r="L264" s="193" t="s">
        <v>83</v>
      </c>
      <c r="M264" s="193" t="s">
        <v>8</v>
      </c>
      <c r="N264" s="51" t="str">
        <f>IF(AND('331-CT'!$E$7=TH!H274,OR(L264="331",M264="331")),"331",IF(AND(OR(L264="131",M264="131"),H264='131-CT'!$E$7),"131",""))</f>
        <v/>
      </c>
      <c r="O264" s="887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IF(OR(TH!L274=TH!$W$7,M264=TH!$W$7),"x","")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IF(AND(OR(LEFT(TH!L274,2)="15",LEFT(TH!M274,2)="15"),'152-CT'!$J$8=TH!F274),"x","")</f>
        <v/>
      </c>
      <c r="Z264" s="51" t="str">
        <f>IF(AND(OR(LEFT(TH!L274,2)="15",LEFT(TH!M274,2)="15"),TK!$E$7=TH!F274),"x","")</f>
        <v/>
      </c>
      <c r="AA264" s="51" t="str">
        <f>IF(AND(B264&lt;=NKC!$N$8,B264&gt;=NKC!$M$8),"x","")</f>
        <v/>
      </c>
      <c r="AB264" s="909">
        <v>4</v>
      </c>
      <c r="AE264" s="210"/>
      <c r="AF264" s="210"/>
      <c r="AG264" s="210"/>
    </row>
    <row r="265" spans="1:33" s="588" customFormat="1" ht="15.75" customHeight="1">
      <c r="A265" s="203" t="str">
        <f>IF(B265&lt;&gt;"",IF(AND(B265&gt;=_TM1,B265&lt;=_TM2,OR(TH!L275="1111",TH!M275="1111")),TH!D275,""),"")</f>
        <v/>
      </c>
      <c r="B265" s="36">
        <f t="shared" si="18"/>
        <v>11</v>
      </c>
      <c r="C265" s="183">
        <f t="shared" si="19"/>
        <v>42689</v>
      </c>
      <c r="D265" s="190" t="s">
        <v>333</v>
      </c>
      <c r="E265" s="190">
        <v>42689</v>
      </c>
      <c r="F265" s="188" t="s">
        <v>494</v>
      </c>
      <c r="G265" s="481" t="s">
        <v>901</v>
      </c>
      <c r="H265" s="192" t="s">
        <v>684</v>
      </c>
      <c r="I265" s="255"/>
      <c r="J265" s="255"/>
      <c r="K265" s="37">
        <v>3700000</v>
      </c>
      <c r="L265" s="193" t="s">
        <v>9</v>
      </c>
      <c r="M265" s="193" t="s">
        <v>8</v>
      </c>
      <c r="N265" s="51" t="str">
        <f>IF(AND('331-CT'!$E$7=TH!H275,OR(L265="331",M265="331")),"331",IF(AND(OR(L265="131",M265="131"),H265='131-CT'!$E$7),"131",""))</f>
        <v/>
      </c>
      <c r="O265" s="887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IF(OR(TH!L275=TH!$W$7,M265=TH!$W$7),"x","")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IF(AND(OR(LEFT(TH!L275,2)="15",LEFT(TH!M275,2)="15"),'152-CT'!$J$8=TH!F275),"x","")</f>
        <v/>
      </c>
      <c r="Z265" s="51" t="str">
        <f>IF(AND(OR(LEFT(TH!L275,2)="15",LEFT(TH!M275,2)="15"),TK!$E$7=TH!F275),"x","")</f>
        <v/>
      </c>
      <c r="AA265" s="51" t="str">
        <f>IF(AND(B265&lt;=NKC!$N$8,B265&gt;=NKC!$M$8),"x","")</f>
        <v/>
      </c>
      <c r="AB265" s="909">
        <v>4</v>
      </c>
      <c r="AE265" s="210"/>
      <c r="AF265" s="210"/>
      <c r="AG265" s="210"/>
    </row>
    <row r="266" spans="1:33" s="588" customFormat="1" ht="15.75" customHeight="1">
      <c r="A266" s="203" t="str">
        <f>IF(B266&lt;&gt;"",IF(AND(B266&gt;=_TM1,B266&lt;=_TM2,OR(TH!L291="1111",TH!M291="1111")),TH!D291,""),"")</f>
        <v/>
      </c>
      <c r="B266" s="36">
        <f t="shared" si="18"/>
        <v>11</v>
      </c>
      <c r="C266" s="183">
        <f t="shared" si="19"/>
        <v>42689</v>
      </c>
      <c r="D266" s="183" t="s">
        <v>528</v>
      </c>
      <c r="E266" s="190">
        <v>42689</v>
      </c>
      <c r="F266" s="188" t="s">
        <v>543</v>
      </c>
      <c r="G266" s="191" t="s">
        <v>533</v>
      </c>
      <c r="H266" s="7" t="s">
        <v>408</v>
      </c>
      <c r="I266" s="255"/>
      <c r="J266" s="257"/>
      <c r="K266" s="37">
        <v>41492000</v>
      </c>
      <c r="L266" s="193" t="s">
        <v>24</v>
      </c>
      <c r="M266" s="597" t="s">
        <v>259</v>
      </c>
      <c r="N266" s="51" t="str">
        <f>IF(AND('331-CT'!$E$7=TH!H291,OR(L266="331",M266="331")),"331",IF(AND(OR(L266="131",M266="131"),H266='131-CT'!$E$7),"131",""))</f>
        <v/>
      </c>
      <c r="O266" s="887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>x</v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IF(OR(TH!L291=TH!$W$7,M266=TH!$W$7),"x","")</f>
        <v>x</v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IF(AND(OR(LEFT(TH!L291,2)="15",LEFT(TH!M291,2)="15"),'152-CT'!$J$8=TH!F291),"x","")</f>
        <v/>
      </c>
      <c r="Z266" s="51" t="str">
        <f>IF(AND(OR(LEFT(TH!L291,2)="15",LEFT(TH!M291,2)="15"),TK!$E$7=TH!F291),"x","")</f>
        <v/>
      </c>
      <c r="AA266" s="51" t="str">
        <f>IF(AND(B266&lt;=NKC!$N$8,B266&gt;=NKC!$M$8),"x","")</f>
        <v/>
      </c>
      <c r="AB266" s="909"/>
      <c r="AE266" s="210"/>
    </row>
    <row r="267" spans="1:33" s="588" customFormat="1" ht="15.75" customHeight="1">
      <c r="A267" s="203" t="str">
        <f>IF(B267&lt;&gt;"",IF(AND(B267&gt;=_TM1,B267&lt;=_TM2,OR(TH!L292="1111",TH!M292="1111")),TH!D292,""),"")</f>
        <v/>
      </c>
      <c r="B267" s="36">
        <f t="shared" si="18"/>
        <v>11</v>
      </c>
      <c r="C267" s="183">
        <f t="shared" si="19"/>
        <v>42689</v>
      </c>
      <c r="D267" s="183" t="s">
        <v>529</v>
      </c>
      <c r="E267" s="190">
        <v>42689</v>
      </c>
      <c r="F267" s="191" t="s">
        <v>544</v>
      </c>
      <c r="G267" s="191" t="s">
        <v>533</v>
      </c>
      <c r="H267" s="209" t="s">
        <v>534</v>
      </c>
      <c r="I267" s="255"/>
      <c r="J267" s="255"/>
      <c r="K267" s="37">
        <v>10000000</v>
      </c>
      <c r="L267" s="193" t="s">
        <v>47</v>
      </c>
      <c r="M267" s="597" t="s">
        <v>24</v>
      </c>
      <c r="N267" s="51" t="str">
        <f>IF(AND('331-CT'!$E$7=TH!H292,OR(L267="331",M267="331")),"331",IF(AND(OR(L267="131",M267="131"),H267='131-CT'!$E$7),"131",""))</f>
        <v/>
      </c>
      <c r="O267" s="887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>x</v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IF(OR(TH!L292=TH!$W$7,M267=TH!$W$7),"x","")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IF(AND(OR(LEFT(TH!L292,2)="15",LEFT(TH!M292,2)="15"),'152-CT'!$J$8=TH!F292),"x","")</f>
        <v/>
      </c>
      <c r="Z267" s="51" t="str">
        <f>IF(AND(OR(LEFT(TH!L292,2)="15",LEFT(TH!M292,2)="15"),TK!$E$7=TH!F292),"x","")</f>
        <v/>
      </c>
      <c r="AA267" s="51" t="str">
        <f>IF(AND(B267&lt;=NKC!$N$8,B267&gt;=NKC!$M$8),"x","")</f>
        <v/>
      </c>
      <c r="AB267" s="909"/>
      <c r="AF267" s="210"/>
      <c r="AG267" s="210"/>
    </row>
    <row r="268" spans="1:33" s="588" customFormat="1" ht="15.75" customHeight="1">
      <c r="A268" s="203" t="str">
        <f>IF(B268&lt;&gt;"",IF(AND(B268&gt;=_TM1,B268&lt;=_TM2,OR(TH!L293="1111",TH!M293="1111")),TH!D293,""),"")</f>
        <v/>
      </c>
      <c r="B268" s="36">
        <f t="shared" si="18"/>
        <v>11</v>
      </c>
      <c r="C268" s="183">
        <f t="shared" si="19"/>
        <v>42691</v>
      </c>
      <c r="D268" s="183" t="s">
        <v>528</v>
      </c>
      <c r="E268" s="190">
        <v>42691</v>
      </c>
      <c r="F268" s="188" t="s">
        <v>543</v>
      </c>
      <c r="G268" s="191" t="s">
        <v>533</v>
      </c>
      <c r="H268" s="192" t="s">
        <v>745</v>
      </c>
      <c r="I268" s="255"/>
      <c r="J268" s="257"/>
      <c r="K268" s="37">
        <v>63756000</v>
      </c>
      <c r="L268" s="193" t="s">
        <v>24</v>
      </c>
      <c r="M268" s="597" t="s">
        <v>259</v>
      </c>
      <c r="N268" s="51" t="str">
        <f>IF(AND('331-CT'!$E$7=TH!H293,OR(L268="331",M268="331")),"331",IF(AND(OR(L268="131",M268="131"),H268='131-CT'!$E$7),"131",""))</f>
        <v/>
      </c>
      <c r="O268" s="887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>x</v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IF(OR(TH!L293=TH!$W$7,M268=TH!$W$7),"x","")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IF(AND(OR(LEFT(TH!L293,2)="15",LEFT(TH!M293,2)="15"),'152-CT'!$J$8=TH!F293),"x","")</f>
        <v/>
      </c>
      <c r="Z268" s="51" t="str">
        <f>IF(AND(OR(LEFT(TH!L293,2)="15",LEFT(TH!M293,2)="15"),TK!$E$7=TH!F293),"x","")</f>
        <v/>
      </c>
      <c r="AA268" s="51" t="str">
        <f>IF(AND(B268&lt;=NKC!$N$8,B268&gt;=NKC!$M$8),"x","")</f>
        <v/>
      </c>
      <c r="AB268" s="909"/>
      <c r="AE268" s="210"/>
    </row>
    <row r="269" spans="1:33" s="588" customFormat="1" ht="15.75" customHeight="1">
      <c r="A269" s="203" t="str">
        <f>IF(B269&lt;&gt;"",IF(AND(B269&gt;=_TM1,B269&lt;=_TM2,OR(TH!L294="1111",TH!M294="1111")),TH!D294,""),"")</f>
        <v/>
      </c>
      <c r="B269" s="36">
        <f t="shared" si="18"/>
        <v>11</v>
      </c>
      <c r="C269" s="183">
        <f t="shared" si="19"/>
        <v>42692</v>
      </c>
      <c r="D269" s="183" t="s">
        <v>529</v>
      </c>
      <c r="E269" s="190">
        <v>42692</v>
      </c>
      <c r="F269" s="191" t="s">
        <v>538</v>
      </c>
      <c r="G269" s="191" t="s">
        <v>533</v>
      </c>
      <c r="H269" s="192" t="s">
        <v>684</v>
      </c>
      <c r="I269" s="255"/>
      <c r="J269" s="257"/>
      <c r="K269" s="37">
        <v>40700000</v>
      </c>
      <c r="L269" s="193" t="s">
        <v>8</v>
      </c>
      <c r="M269" s="597" t="s">
        <v>24</v>
      </c>
      <c r="N269" s="51" t="str">
        <f>IF(AND('331-CT'!$E$7=TH!H294,OR(L269="331",M269="331")),"331",IF(AND(OR(L269="131",M269="131"),H269='131-CT'!$E$7),"131",""))</f>
        <v/>
      </c>
      <c r="O269" s="887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>x</v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IF(OR(TH!L294=TH!$W$7,M269=TH!$W$7),"x","")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IF(AND(OR(LEFT(TH!L294,2)="15",LEFT(TH!M294,2)="15"),'152-CT'!$J$8=TH!F294),"x","")</f>
        <v/>
      </c>
      <c r="Z269" s="51" t="str">
        <f>IF(AND(OR(LEFT(TH!L294,2)="15",LEFT(TH!M294,2)="15"),TK!$E$7=TH!F294),"x","")</f>
        <v/>
      </c>
      <c r="AA269" s="51" t="str">
        <f>IF(AND(B269&lt;=NKC!$N$8,B269&gt;=NKC!$M$8),"x","")</f>
        <v/>
      </c>
      <c r="AB269" s="909"/>
      <c r="AF269" s="210"/>
      <c r="AG269" s="210"/>
    </row>
    <row r="270" spans="1:33" s="588" customFormat="1" ht="15.75" customHeight="1">
      <c r="A270" s="203" t="str">
        <f>IF(B270&lt;&gt;"",IF(AND(B270&gt;=_TM1,B270&lt;=_TM2,OR(TH!L295="1111",TH!M295="1111")),TH!D295,""),"")</f>
        <v/>
      </c>
      <c r="B270" s="36">
        <f t="shared" si="18"/>
        <v>11</v>
      </c>
      <c r="C270" s="183">
        <f t="shared" si="19"/>
        <v>42692</v>
      </c>
      <c r="D270" s="183" t="s">
        <v>529</v>
      </c>
      <c r="E270" s="190">
        <v>42692</v>
      </c>
      <c r="F270" s="191" t="s">
        <v>539</v>
      </c>
      <c r="G270" s="191" t="s">
        <v>533</v>
      </c>
      <c r="H270" s="209"/>
      <c r="I270" s="256"/>
      <c r="J270" s="256"/>
      <c r="K270" s="37">
        <v>20000</v>
      </c>
      <c r="L270" s="193" t="s">
        <v>83</v>
      </c>
      <c r="M270" s="597" t="s">
        <v>24</v>
      </c>
      <c r="N270" s="51" t="str">
        <f>IF(AND('331-CT'!$E$7=TH!H295,OR(L270="331",M270="331")),"331",IF(AND(OR(L270="131",M270="131"),H270='131-CT'!$E$7),"131",""))</f>
        <v/>
      </c>
      <c r="O270" s="887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>x</v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IF(OR(TH!L295=TH!$W$7,M270=TH!$W$7),"x","")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IF(AND(OR(LEFT(TH!L295,2)="15",LEFT(TH!M295,2)="15"),'152-CT'!$J$8=TH!F295),"x","")</f>
        <v/>
      </c>
      <c r="Z270" s="51" t="str">
        <f>IF(AND(OR(LEFT(TH!L295,2)="15",LEFT(TH!M295,2)="15"),TK!$E$7=TH!F295),"x","")</f>
        <v/>
      </c>
      <c r="AA270" s="51" t="str">
        <f>IF(AND(B270&lt;=NKC!$N$8,B270&gt;=NKC!$M$8),"x","")</f>
        <v/>
      </c>
      <c r="AB270" s="909">
        <v>4</v>
      </c>
      <c r="AF270" s="210"/>
      <c r="AG270" s="210"/>
    </row>
    <row r="271" spans="1:33" s="588" customFormat="1" ht="15.75" customHeight="1">
      <c r="A271" s="203" t="str">
        <f>IF(B271&lt;&gt;"",IF(AND(B271&gt;=_TM1,B271&lt;=_TM2,OR(TH!L296="1111",TH!M296="1111")),TH!D296,""),"")</f>
        <v/>
      </c>
      <c r="B271" s="36">
        <f t="shared" si="18"/>
        <v>11</v>
      </c>
      <c r="C271" s="183">
        <f t="shared" si="19"/>
        <v>42692</v>
      </c>
      <c r="D271" s="183" t="s">
        <v>529</v>
      </c>
      <c r="E271" s="190">
        <v>42692</v>
      </c>
      <c r="F271" s="191" t="s">
        <v>540</v>
      </c>
      <c r="G271" s="191" t="s">
        <v>533</v>
      </c>
      <c r="H271" s="209"/>
      <c r="I271" s="255"/>
      <c r="J271" s="255"/>
      <c r="K271" s="37">
        <v>2000</v>
      </c>
      <c r="L271" s="193" t="s">
        <v>9</v>
      </c>
      <c r="M271" s="597" t="s">
        <v>24</v>
      </c>
      <c r="N271" s="51" t="str">
        <f>IF(AND('331-CT'!$E$7=TH!H296,OR(L271="331",M271="331")),"331",IF(AND(OR(L271="131",M271="131"),H271='131-CT'!$E$7),"131",""))</f>
        <v/>
      </c>
      <c r="O271" s="887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>x</v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IF(OR(TH!L296=TH!$W$7,M271=TH!$W$7),"x","")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IF(AND(OR(LEFT(TH!L296,2)="15",LEFT(TH!M296,2)="15"),'152-CT'!$J$8=TH!F296),"x","")</f>
        <v/>
      </c>
      <c r="Z271" s="51" t="str">
        <f>IF(AND(OR(LEFT(TH!L296,2)="15",LEFT(TH!M296,2)="15"),TK!$E$7=TH!F296),"x","")</f>
        <v/>
      </c>
      <c r="AA271" s="51" t="str">
        <f>IF(AND(B271&lt;=NKC!$N$8,B271&gt;=NKC!$M$8),"x","")</f>
        <v/>
      </c>
      <c r="AB271" s="909">
        <v>4</v>
      </c>
      <c r="AF271" s="210"/>
      <c r="AG271" s="210"/>
    </row>
    <row r="272" spans="1:33" s="588" customFormat="1" ht="15.75" customHeight="1">
      <c r="A272" s="203" t="str">
        <f>IF(B272&lt;&gt;"",IF(AND(B272&gt;=_TM1,B272&lt;=_TM2,OR(TH!L297="1111",TH!M297="1111")),TH!D297,""),"")</f>
        <v/>
      </c>
      <c r="B272" s="36">
        <f t="shared" si="18"/>
        <v>11</v>
      </c>
      <c r="C272" s="183">
        <f t="shared" si="19"/>
        <v>42692</v>
      </c>
      <c r="D272" s="183" t="s">
        <v>529</v>
      </c>
      <c r="E272" s="190">
        <v>42692</v>
      </c>
      <c r="F272" s="191" t="s">
        <v>544</v>
      </c>
      <c r="G272" s="191" t="s">
        <v>533</v>
      </c>
      <c r="H272" s="209" t="s">
        <v>860</v>
      </c>
      <c r="I272" s="255"/>
      <c r="J272" s="255"/>
      <c r="K272" s="37">
        <v>54300000</v>
      </c>
      <c r="L272" s="193" t="s">
        <v>47</v>
      </c>
      <c r="M272" s="597" t="s">
        <v>24</v>
      </c>
      <c r="N272" s="51" t="str">
        <f>IF(AND('331-CT'!$E$7=TH!H297,OR(L272="331",M272="331")),"331",IF(AND(OR(L272="131",M272="131"),H272='131-CT'!$E$7),"131",""))</f>
        <v/>
      </c>
      <c r="O272" s="887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>x</v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IF(OR(TH!L297=TH!$W$7,M272=TH!$W$7),"x","")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IF(AND(OR(LEFT(TH!L297,2)="15",LEFT(TH!M297,2)="15"),'152-CT'!$J$8=TH!F297),"x","")</f>
        <v/>
      </c>
      <c r="Z272" s="51" t="str">
        <f>IF(AND(OR(LEFT(TH!L297,2)="15",LEFT(TH!M297,2)="15"),TK!$E$7=TH!F297),"x","")</f>
        <v/>
      </c>
      <c r="AA272" s="51" t="str">
        <f>IF(AND(B272&lt;=NKC!$N$8,B272&gt;=NKC!$M$8),"x","")</f>
        <v/>
      </c>
      <c r="AB272" s="909"/>
      <c r="AF272" s="210"/>
      <c r="AG272" s="210"/>
    </row>
    <row r="273" spans="1:33" s="588" customFormat="1" ht="15.75" customHeight="1">
      <c r="A273" s="203" t="str">
        <f>IF(B273&lt;&gt;"",IF(AND(B273&gt;=_TM1,B273&lt;=_TM2,OR(TH!L249="1111",TH!M249="1111")),TH!D249,""),"")</f>
        <v/>
      </c>
      <c r="B273" s="36">
        <f t="shared" si="18"/>
        <v>11</v>
      </c>
      <c r="C273" s="183">
        <f t="shared" si="19"/>
        <v>42693</v>
      </c>
      <c r="D273" s="190"/>
      <c r="E273" s="190">
        <v>42693</v>
      </c>
      <c r="F273" s="188" t="s">
        <v>939</v>
      </c>
      <c r="G273" s="481" t="s">
        <v>941</v>
      </c>
      <c r="H273" s="192" t="s">
        <v>942</v>
      </c>
      <c r="I273" s="255"/>
      <c r="J273" s="255"/>
      <c r="K273" s="37">
        <v>843000</v>
      </c>
      <c r="L273" s="193" t="s">
        <v>83</v>
      </c>
      <c r="M273" s="597" t="s">
        <v>47</v>
      </c>
      <c r="N273" s="51" t="str">
        <f>IF(AND('331-CT'!$E$7=TH!H249,OR(L273="331",M273="331")),"331",IF(AND(OR(L273="131",M273="131"),H273='131-CT'!$E$7),"131",""))</f>
        <v/>
      </c>
      <c r="O273" s="887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IF(OR(TH!L249=TH!$W$7,M273=TH!$W$7),"x","")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IF(AND(OR(LEFT(TH!L249,2)="15",LEFT(TH!M249,2)="15"),'152-CT'!$J$8=TH!F249),"x","")</f>
        <v/>
      </c>
      <c r="Z273" s="51" t="str">
        <f>IF(AND(OR(LEFT(TH!L249,2)="15",LEFT(TH!M249,2)="15"),TK!$E$7=TH!F249),"x","")</f>
        <v/>
      </c>
      <c r="AA273" s="51" t="str">
        <f>IF(AND(B273&lt;=NKC!$N$8,B273&gt;=NKC!$M$8),"x","")</f>
        <v/>
      </c>
      <c r="AB273" s="909">
        <v>4</v>
      </c>
      <c r="AE273" s="210"/>
      <c r="AF273" s="210"/>
      <c r="AG273" s="210"/>
    </row>
    <row r="274" spans="1:33" s="588" customFormat="1" ht="15.75" customHeight="1">
      <c r="A274" s="203" t="str">
        <f>IF(B274&lt;&gt;"",IF(AND(B274&gt;=_TM1,B274&lt;=_TM2,OR(TH!L250="1111",TH!M250="1111")),TH!D250,""),"")</f>
        <v/>
      </c>
      <c r="B274" s="36">
        <f t="shared" si="18"/>
        <v>11</v>
      </c>
      <c r="C274" s="183">
        <f t="shared" si="19"/>
        <v>42693</v>
      </c>
      <c r="D274" s="190"/>
      <c r="E274" s="190">
        <v>42693</v>
      </c>
      <c r="F274" s="188" t="s">
        <v>940</v>
      </c>
      <c r="G274" s="481" t="s">
        <v>941</v>
      </c>
      <c r="H274" s="192" t="s">
        <v>942</v>
      </c>
      <c r="I274" s="255"/>
      <c r="J274" s="255"/>
      <c r="K274" s="37">
        <v>84300</v>
      </c>
      <c r="L274" s="193" t="s">
        <v>9</v>
      </c>
      <c r="M274" s="597" t="s">
        <v>47</v>
      </c>
      <c r="N274" s="51" t="str">
        <f>IF(AND('331-CT'!$E$7=TH!H250,OR(L274="331",M274="331")),"331",IF(AND(OR(L274="131",M274="131"),H274='131-CT'!$E$7),"131",""))</f>
        <v/>
      </c>
      <c r="O274" s="887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IF(OR(TH!L250=TH!$W$7,M274=TH!$W$7),"x","")</f>
        <v>x</v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IF(AND(OR(LEFT(TH!L250,2)="15",LEFT(TH!M250,2)="15"),'152-CT'!$J$8=TH!F250),"x","")</f>
        <v/>
      </c>
      <c r="Z274" s="51" t="str">
        <f>IF(AND(OR(LEFT(TH!L250,2)="15",LEFT(TH!M250,2)="15"),TK!$E$7=TH!F250),"x","")</f>
        <v/>
      </c>
      <c r="AA274" s="51" t="str">
        <f>IF(AND(B274&lt;=NKC!$N$8,B274&gt;=NKC!$M$8),"x","")</f>
        <v/>
      </c>
      <c r="AB274" s="909">
        <v>4</v>
      </c>
      <c r="AE274" s="210"/>
      <c r="AF274" s="210"/>
      <c r="AG274" s="210"/>
    </row>
    <row r="275" spans="1:33" s="588" customFormat="1" ht="15.75" customHeight="1">
      <c r="A275" s="203" t="str">
        <f>IF(B275&lt;&gt;"",IF(AND(B275&gt;=_TM1,B275&lt;=_TM2,OR(TH!L298="1111",TH!M298="1111")),TH!D298,""),"")</f>
        <v/>
      </c>
      <c r="B275" s="36">
        <f t="shared" si="18"/>
        <v>11</v>
      </c>
      <c r="C275" s="183">
        <f t="shared" si="19"/>
        <v>42697</v>
      </c>
      <c r="D275" s="183" t="s">
        <v>528</v>
      </c>
      <c r="E275" s="190">
        <v>42697</v>
      </c>
      <c r="F275" s="188" t="s">
        <v>543</v>
      </c>
      <c r="G275" s="191" t="s">
        <v>533</v>
      </c>
      <c r="H275" s="209" t="s">
        <v>888</v>
      </c>
      <c r="I275" s="256"/>
      <c r="J275" s="256"/>
      <c r="K275" s="37">
        <v>13877600</v>
      </c>
      <c r="L275" s="193" t="s">
        <v>24</v>
      </c>
      <c r="M275" s="597" t="s">
        <v>259</v>
      </c>
      <c r="N275" s="51" t="str">
        <f>IF(AND('331-CT'!$E$7=TH!H298,OR(L275="331",M275="331")),"331",IF(AND(OR(L275="131",M275="131"),H275='131-CT'!$E$7),"131",""))</f>
        <v/>
      </c>
      <c r="O275" s="887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>x</v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IF(OR(TH!L298=TH!$W$7,M275=TH!$W$7),"x","")</f>
        <v>x</v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IF(AND(OR(LEFT(TH!L298,2)="15",LEFT(TH!M298,2)="15"),'152-CT'!$J$8=TH!F298),"x","")</f>
        <v/>
      </c>
      <c r="Z275" s="51" t="str">
        <f>IF(AND(OR(LEFT(TH!L298,2)="15",LEFT(TH!M298,2)="15"),TK!$E$7=TH!F298),"x","")</f>
        <v/>
      </c>
      <c r="AA275" s="51" t="str">
        <f>IF(AND(B275&lt;=NKC!$N$8,B275&gt;=NKC!$M$8),"x","")</f>
        <v/>
      </c>
      <c r="AB275" s="909"/>
      <c r="AF275" s="210"/>
      <c r="AG275" s="210"/>
    </row>
    <row r="276" spans="1:33" s="210" customFormat="1" ht="15.75" customHeight="1">
      <c r="A276" s="203" t="str">
        <f>IF(B276&lt;&gt;"",IF(AND(B276&gt;=_TM1,B276&lt;=_TM2,OR(TH!L251="1111",TH!M251="1111")),TH!D251,""),"")</f>
        <v/>
      </c>
      <c r="B276" s="36">
        <f t="shared" si="18"/>
        <v>11</v>
      </c>
      <c r="C276" s="183">
        <f t="shared" si="19"/>
        <v>42698</v>
      </c>
      <c r="D276" s="190"/>
      <c r="E276" s="190">
        <v>42698</v>
      </c>
      <c r="F276" s="188" t="s">
        <v>853</v>
      </c>
      <c r="G276" s="481" t="s">
        <v>943</v>
      </c>
      <c r="H276" s="192" t="s">
        <v>856</v>
      </c>
      <c r="I276" s="255"/>
      <c r="J276" s="255"/>
      <c r="K276" s="37">
        <v>1548100</v>
      </c>
      <c r="L276" s="193" t="s">
        <v>83</v>
      </c>
      <c r="M276" s="597" t="s">
        <v>47</v>
      </c>
      <c r="N276" s="51" t="str">
        <f>IF(AND('331-CT'!$E$7=TH!H251,OR(L276="331",M276="331")),"331",IF(AND(OR(L276="131",M276="131"),H276='131-CT'!$E$7),"131",""))</f>
        <v/>
      </c>
      <c r="O276" s="887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IF(OR(TH!L251=TH!$W$7,M276=TH!$W$7),"x","")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IF(AND(OR(LEFT(TH!L251,2)="15",LEFT(TH!M251,2)="15"),'152-CT'!$J$8=TH!F251),"x","")</f>
        <v/>
      </c>
      <c r="Z276" s="51" t="str">
        <f>IF(AND(OR(LEFT(TH!L251,2)="15",LEFT(TH!M251,2)="15"),TK!$E$7=TH!F251),"x","")</f>
        <v/>
      </c>
      <c r="AA276" s="51" t="str">
        <f>IF(AND(B276&lt;=NKC!$N$8,B276&gt;=NKC!$M$8),"x","")</f>
        <v/>
      </c>
      <c r="AB276" s="909">
        <v>4</v>
      </c>
      <c r="AC276" s="588"/>
      <c r="AD276" s="588"/>
    </row>
    <row r="277" spans="1:33" s="588" customFormat="1" ht="15.75" customHeight="1">
      <c r="A277" s="203" t="str">
        <f>IF(B277&lt;&gt;"",IF(AND(B277&gt;=_TM1,B277&lt;=_TM2,OR(TH!L252="1111",TH!M252="1111")),TH!D252,""),"")</f>
        <v/>
      </c>
      <c r="B277" s="36">
        <f t="shared" si="18"/>
        <v>11</v>
      </c>
      <c r="C277" s="183">
        <f t="shared" si="19"/>
        <v>42698</v>
      </c>
      <c r="D277" s="190"/>
      <c r="E277" s="190">
        <v>42698</v>
      </c>
      <c r="F277" s="188" t="s">
        <v>854</v>
      </c>
      <c r="G277" s="481" t="s">
        <v>943</v>
      </c>
      <c r="H277" s="192" t="s">
        <v>856</v>
      </c>
      <c r="I277" s="255"/>
      <c r="J277" s="255"/>
      <c r="K277" s="37">
        <v>154810</v>
      </c>
      <c r="L277" s="193" t="s">
        <v>9</v>
      </c>
      <c r="M277" s="597" t="s">
        <v>47</v>
      </c>
      <c r="N277" s="51" t="str">
        <f>IF(AND('331-CT'!$E$7=TH!H252,OR(L277="331",M277="331")),"331",IF(AND(OR(L277="131",M277="131"),H277='131-CT'!$E$7),"131",""))</f>
        <v/>
      </c>
      <c r="O277" s="887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IF(OR(TH!L252=TH!$W$7,M277=TH!$W$7),"x","")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IF(AND(OR(LEFT(TH!L252,2)="15",LEFT(TH!M252,2)="15"),'152-CT'!$J$8=TH!F252),"x","")</f>
        <v/>
      </c>
      <c r="Z277" s="51" t="str">
        <f>IF(AND(OR(LEFT(TH!L252,2)="15",LEFT(TH!M252,2)="15"),TK!$E$7=TH!F252),"x","")</f>
        <v/>
      </c>
      <c r="AA277" s="51" t="str">
        <f>IF(AND(B277&lt;=NKC!$N$8,B277&gt;=NKC!$M$8),"x","")</f>
        <v/>
      </c>
      <c r="AB277" s="909">
        <v>4</v>
      </c>
      <c r="AE277" s="210"/>
      <c r="AF277" s="210"/>
      <c r="AG277" s="210"/>
    </row>
    <row r="278" spans="1:33" s="588" customFormat="1" ht="15.75" customHeight="1">
      <c r="A278" s="203" t="str">
        <f>IF(B278&lt;&gt;"",IF(AND(B278&gt;=_TM1,B278&lt;=_TM2,OR(TH!L253="1111",TH!M253="1111")),TH!D253,""),"")</f>
        <v/>
      </c>
      <c r="B278" s="36">
        <f t="shared" si="18"/>
        <v>11</v>
      </c>
      <c r="C278" s="183">
        <f t="shared" si="19"/>
        <v>42698</v>
      </c>
      <c r="D278" s="190" t="s">
        <v>1013</v>
      </c>
      <c r="E278" s="190">
        <v>42698</v>
      </c>
      <c r="F278" s="188" t="s">
        <v>839</v>
      </c>
      <c r="G278" s="481" t="s">
        <v>780</v>
      </c>
      <c r="H278" s="192" t="s">
        <v>842</v>
      </c>
      <c r="I278" s="255">
        <v>17050</v>
      </c>
      <c r="J278" s="255">
        <v>800</v>
      </c>
      <c r="K278" s="37">
        <f>ROUND(I278*J278,0)</f>
        <v>13640000</v>
      </c>
      <c r="L278" s="193" t="s">
        <v>161</v>
      </c>
      <c r="M278" s="193" t="s">
        <v>8</v>
      </c>
      <c r="N278" s="51" t="str">
        <f>IF(AND('331-CT'!$E$7=TH!H253,OR(L278="331",M278="331")),"331",IF(AND(OR(L278="131",M278="131"),H278='131-CT'!$E$7),"131",""))</f>
        <v/>
      </c>
      <c r="O278" s="887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IF(OR(TH!L253=TH!$W$7,M278=TH!$W$7),"x","")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IF(AND(OR(LEFT(TH!L253,2)="15",LEFT(TH!M253,2)="15"),'152-CT'!$J$8=TH!F253),"x","")</f>
        <v/>
      </c>
      <c r="Z278" s="51" t="str">
        <f>IF(AND(OR(LEFT(TH!L253,2)="15",LEFT(TH!M253,2)="15"),TK!$E$7=TH!F253),"x","")</f>
        <v/>
      </c>
      <c r="AA278" s="51" t="str">
        <f>IF(AND(B278&lt;=NKC!$N$8,B278&gt;=NKC!$M$8),"x","")</f>
        <v/>
      </c>
      <c r="AB278" s="909">
        <v>4</v>
      </c>
      <c r="AE278" s="210"/>
      <c r="AF278" s="210"/>
      <c r="AG278" s="210"/>
    </row>
    <row r="279" spans="1:33" s="588" customFormat="1" ht="15.75" customHeight="1">
      <c r="A279" s="203" t="str">
        <f>IF(B279&lt;&gt;"",IF(AND(B279&gt;=_TM1,B279&lt;=_TM2,OR(TH!L254="1111",TH!M254="1111")),TH!D254,""),"")</f>
        <v/>
      </c>
      <c r="B279" s="36">
        <f t="shared" si="18"/>
        <v>11</v>
      </c>
      <c r="C279" s="183">
        <f t="shared" si="19"/>
        <v>42698</v>
      </c>
      <c r="D279" s="190" t="s">
        <v>1013</v>
      </c>
      <c r="E279" s="190">
        <v>42698</v>
      </c>
      <c r="F279" s="188" t="s">
        <v>840</v>
      </c>
      <c r="G279" s="481" t="s">
        <v>780</v>
      </c>
      <c r="H279" s="192" t="s">
        <v>842</v>
      </c>
      <c r="I279" s="255"/>
      <c r="J279" s="255"/>
      <c r="K279" s="37">
        <v>1364000</v>
      </c>
      <c r="L279" s="193" t="s">
        <v>9</v>
      </c>
      <c r="M279" s="193" t="s">
        <v>8</v>
      </c>
      <c r="N279" s="51" t="str">
        <f>IF(AND('331-CT'!$E$7=TH!H254,OR(L279="331",M279="331")),"331",IF(AND(OR(L279="131",M279="131"),H279='131-CT'!$E$7),"131",""))</f>
        <v/>
      </c>
      <c r="O279" s="887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IF(OR(TH!L254=TH!$W$7,M279=TH!$W$7),"x","")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IF(AND(OR(LEFT(TH!L254,2)="15",LEFT(TH!M254,2)="15"),'152-CT'!$J$8=TH!F254),"x","")</f>
        <v/>
      </c>
      <c r="Z279" s="51" t="str">
        <f>IF(AND(OR(LEFT(TH!L254,2)="15",LEFT(TH!M254,2)="15"),TK!$E$7=TH!F254),"x","")</f>
        <v/>
      </c>
      <c r="AA279" s="51" t="str">
        <f>IF(AND(B279&lt;=NKC!$N$8,B279&gt;=NKC!$M$8),"x","")</f>
        <v/>
      </c>
      <c r="AB279" s="909">
        <v>4</v>
      </c>
      <c r="AE279" s="210"/>
      <c r="AF279" s="210"/>
      <c r="AG279" s="210"/>
    </row>
    <row r="280" spans="1:33" s="588" customFormat="1" ht="15.75" customHeight="1">
      <c r="A280" s="203" t="str">
        <f>IF(B280&lt;&gt;"",IF(AND(B280&gt;=_TM1,B280&lt;=_TM2,OR(TH!L255="1111",TH!M255="1111")),TH!D255,""),"")</f>
        <v/>
      </c>
      <c r="B280" s="36">
        <f t="shared" si="18"/>
        <v>11</v>
      </c>
      <c r="C280" s="183">
        <f t="shared" si="19"/>
        <v>42698</v>
      </c>
      <c r="D280" s="190"/>
      <c r="E280" s="190">
        <v>42698</v>
      </c>
      <c r="F280" s="188" t="s">
        <v>524</v>
      </c>
      <c r="G280" s="481" t="s">
        <v>780</v>
      </c>
      <c r="H280" s="192" t="s">
        <v>842</v>
      </c>
      <c r="I280" s="255"/>
      <c r="J280" s="255"/>
      <c r="K280" s="37">
        <v>15004000</v>
      </c>
      <c r="L280" s="193" t="s">
        <v>8</v>
      </c>
      <c r="M280" s="597" t="s">
        <v>47</v>
      </c>
      <c r="N280" s="51" t="str">
        <f>IF(AND('331-CT'!$E$7=TH!H255,OR(L280="331",M280="331")),"331",IF(AND(OR(L280="131",M280="131"),H280='131-CT'!$E$7),"131",""))</f>
        <v/>
      </c>
      <c r="O280" s="887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IF(OR(TH!L255=TH!$W$7,M280=TH!$W$7),"x","")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IF(AND(OR(LEFT(TH!L255,2)="15",LEFT(TH!M255,2)="15"),'152-CT'!$J$8=TH!F255),"x","")</f>
        <v/>
      </c>
      <c r="Z280" s="51" t="str">
        <f>IF(AND(OR(LEFT(TH!L255,2)="15",LEFT(TH!M255,2)="15"),TK!$E$7=TH!F255),"x","")</f>
        <v/>
      </c>
      <c r="AA280" s="51" t="str">
        <f>IF(AND(B280&lt;=NKC!$N$8,B280&gt;=NKC!$M$8),"x","")</f>
        <v/>
      </c>
      <c r="AB280" s="909"/>
      <c r="AD280" s="210"/>
      <c r="AE280" s="210"/>
      <c r="AF280" s="210"/>
      <c r="AG280" s="210"/>
    </row>
    <row r="281" spans="1:33" s="588" customFormat="1" ht="15.75" customHeight="1">
      <c r="A281" s="203" t="str">
        <f>IF(B281&lt;&gt;"",IF(AND(B281&gt;=_TM1,B281&lt;=_TM2,OR(TH!L299="1111",TH!M299="1111")),TH!D299,""),"")</f>
        <v/>
      </c>
      <c r="B281" s="36">
        <f t="shared" si="18"/>
        <v>11</v>
      </c>
      <c r="C281" s="183">
        <f t="shared" ref="C281:C312" si="20">E281</f>
        <v>42698</v>
      </c>
      <c r="D281" s="183" t="s">
        <v>528</v>
      </c>
      <c r="E281" s="190">
        <v>42698</v>
      </c>
      <c r="F281" s="188" t="s">
        <v>543</v>
      </c>
      <c r="G281" s="191" t="s">
        <v>533</v>
      </c>
      <c r="H281" s="7" t="s">
        <v>412</v>
      </c>
      <c r="I281" s="255"/>
      <c r="J281" s="255"/>
      <c r="K281" s="37">
        <v>18385400</v>
      </c>
      <c r="L281" s="193" t="s">
        <v>24</v>
      </c>
      <c r="M281" s="597" t="s">
        <v>259</v>
      </c>
      <c r="N281" s="51" t="str">
        <f>IF(AND('331-CT'!$E$7=TH!H299,OR(L281="331",M281="331")),"331",IF(AND(OR(L281="131",M281="131"),H281='131-CT'!$E$7),"131",""))</f>
        <v/>
      </c>
      <c r="O281" s="887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>x</v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IF(OR(TH!L299=TH!$W$7,M281=TH!$W$7),"x","")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IF(AND(OR(LEFT(TH!L299,2)="15",LEFT(TH!M299,2)="15"),'152-CT'!$J$8=TH!F299),"x","")</f>
        <v/>
      </c>
      <c r="Z281" s="51" t="str">
        <f>IF(AND(OR(LEFT(TH!L299,2)="15",LEFT(TH!M299,2)="15"),TK!$E$7=TH!F299),"x","")</f>
        <v/>
      </c>
      <c r="AA281" s="51" t="str">
        <f>IF(AND(B281&lt;=NKC!$N$8,B281&gt;=NKC!$M$8),"x","")</f>
        <v/>
      </c>
      <c r="AB281" s="909"/>
      <c r="AF281" s="210"/>
      <c r="AG281" s="210"/>
    </row>
    <row r="282" spans="1:33" s="588" customFormat="1" ht="15.75" customHeight="1">
      <c r="A282" s="203" t="str">
        <f>IF(B282&lt;&gt;"",IF(AND(B282&gt;=_TM1,B282&lt;=_TM2,OR(TH!L300="1111",TH!M300="1111")),TH!D300,""),"")</f>
        <v/>
      </c>
      <c r="B282" s="36">
        <f t="shared" si="18"/>
        <v>11</v>
      </c>
      <c r="C282" s="183">
        <f t="shared" si="20"/>
        <v>42698</v>
      </c>
      <c r="D282" s="183" t="s">
        <v>528</v>
      </c>
      <c r="E282" s="190">
        <v>42698</v>
      </c>
      <c r="F282" s="188" t="s">
        <v>863</v>
      </c>
      <c r="G282" s="191" t="s">
        <v>533</v>
      </c>
      <c r="H282" s="7" t="s">
        <v>412</v>
      </c>
      <c r="I282" s="255"/>
      <c r="J282" s="255"/>
      <c r="K282" s="37">
        <v>22000</v>
      </c>
      <c r="L282" s="193" t="s">
        <v>83</v>
      </c>
      <c r="M282" s="597" t="s">
        <v>259</v>
      </c>
      <c r="N282" s="51" t="str">
        <f>IF(AND('331-CT'!$E$7=TH!H300,OR(L282="331",M282="331")),"331",IF(AND(OR(L282="131",M282="131"),H282='131-CT'!$E$7),"131",""))</f>
        <v/>
      </c>
      <c r="O282" s="887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IF(OR(TH!L300=TH!$W$7,M282=TH!$W$7),"x","")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IF(AND(OR(LEFT(TH!L300,2)="15",LEFT(TH!M300,2)="15"),'152-CT'!$J$8=TH!F300),"x","")</f>
        <v/>
      </c>
      <c r="Z282" s="51" t="str">
        <f>IF(AND(OR(LEFT(TH!L300,2)="15",LEFT(TH!M300,2)="15"),TK!$E$7=TH!F300),"x","")</f>
        <v/>
      </c>
      <c r="AA282" s="51" t="str">
        <f>IF(AND(B282&lt;=NKC!$N$8,B282&gt;=NKC!$M$8),"x","")</f>
        <v/>
      </c>
      <c r="AB282" s="909"/>
      <c r="AF282" s="210"/>
      <c r="AG282" s="210"/>
    </row>
    <row r="283" spans="1:33" s="588" customFormat="1" ht="15.75" customHeight="1">
      <c r="A283" s="203" t="str">
        <f>IF(B283&lt;&gt;"",IF(AND(B283&gt;=_TM1,B283&lt;=_TM2,OR(TH!L301="1111",TH!M301="1111")),TH!D301,""),"")</f>
        <v/>
      </c>
      <c r="B283" s="36">
        <f t="shared" si="18"/>
        <v>11</v>
      </c>
      <c r="C283" s="183">
        <f t="shared" si="20"/>
        <v>42699</v>
      </c>
      <c r="D283" s="183" t="s">
        <v>528</v>
      </c>
      <c r="E283" s="190">
        <v>42699</v>
      </c>
      <c r="F283" s="188" t="s">
        <v>535</v>
      </c>
      <c r="G283" s="191" t="s">
        <v>533</v>
      </c>
      <c r="H283" s="44"/>
      <c r="I283" s="256"/>
      <c r="J283" s="256"/>
      <c r="K283" s="37">
        <v>5005</v>
      </c>
      <c r="L283" s="193" t="s">
        <v>24</v>
      </c>
      <c r="M283" s="597" t="s">
        <v>40</v>
      </c>
      <c r="N283" s="51" t="str">
        <f>IF(AND('331-CT'!$E$7=TH!H301,OR(L283="331",M283="331")),"331",IF(AND(OR(L283="131",M283="131"),H283='131-CT'!$E$7),"131",""))</f>
        <v/>
      </c>
      <c r="O283" s="887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>x</v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IF(OR(TH!L301=TH!$W$7,M283=TH!$W$7),"x","")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IF(AND(OR(LEFT(TH!L301,2)="15",LEFT(TH!M301,2)="15"),'152-CT'!$J$8=TH!F301),"x","")</f>
        <v/>
      </c>
      <c r="Z283" s="51" t="str">
        <f>IF(AND(OR(LEFT(TH!L301,2)="15",LEFT(TH!M301,2)="15"),TK!$E$7=TH!F301),"x","")</f>
        <v/>
      </c>
      <c r="AA283" s="51" t="str">
        <f>IF(AND(B283&lt;=NKC!$N$8,B283&gt;=NKC!$M$8),"x","")</f>
        <v/>
      </c>
      <c r="AB283" s="909"/>
      <c r="AF283" s="210"/>
      <c r="AG283" s="210"/>
    </row>
    <row r="284" spans="1:33" s="588" customFormat="1" ht="15.75" customHeight="1">
      <c r="A284" s="203" t="str">
        <f>IF(B284&lt;&gt;"",IF(AND(B284&gt;=_TM1,B284&lt;=_TM2,OR(TH!L302="1111",TH!M302="1111")),TH!D302,""),"")</f>
        <v/>
      </c>
      <c r="B284" s="36">
        <f t="shared" si="18"/>
        <v>11</v>
      </c>
      <c r="C284" s="183">
        <f t="shared" si="20"/>
        <v>42699</v>
      </c>
      <c r="D284" s="183" t="s">
        <v>529</v>
      </c>
      <c r="E284" s="190">
        <v>42699</v>
      </c>
      <c r="F284" s="191" t="s">
        <v>544</v>
      </c>
      <c r="G284" s="191" t="s">
        <v>533</v>
      </c>
      <c r="H284" s="192" t="s">
        <v>547</v>
      </c>
      <c r="I284" s="255"/>
      <c r="J284" s="257"/>
      <c r="K284" s="37">
        <v>20000000</v>
      </c>
      <c r="L284" s="193" t="s">
        <v>47</v>
      </c>
      <c r="M284" s="597" t="s">
        <v>24</v>
      </c>
      <c r="N284" s="51" t="str">
        <f>IF(AND('331-CT'!$E$7=TH!H302,OR(L284="331",M284="331")),"331",IF(AND(OR(L284="131",M284="131"),H284='131-CT'!$E$7),"131",""))</f>
        <v/>
      </c>
      <c r="O284" s="887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>x</v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IF(OR(TH!L302=TH!$W$7,M284=TH!$W$7),"x","")</f>
        <v>x</v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IF(AND(OR(LEFT(TH!L302,2)="15",LEFT(TH!M302,2)="15"),'152-CT'!$J$8=TH!F302),"x","")</f>
        <v/>
      </c>
      <c r="Z284" s="51" t="str">
        <f>IF(AND(OR(LEFT(TH!L302,2)="15",LEFT(TH!M302,2)="15"),TK!$E$7=TH!F302),"x","")</f>
        <v/>
      </c>
      <c r="AA284" s="51" t="str">
        <f>IF(AND(B284&lt;=NKC!$N$8,B284&gt;=NKC!$M$8),"x","")</f>
        <v/>
      </c>
      <c r="AB284" s="909"/>
      <c r="AF284" s="210"/>
      <c r="AG284" s="210"/>
    </row>
    <row r="285" spans="1:33" s="857" customFormat="1" ht="15.75" customHeight="1">
      <c r="A285" s="203" t="str">
        <f>IF(B285&lt;&gt;"",IF(AND(B285&gt;=_TM1,B285&lt;=_TM2,OR(TH!L303="1111",TH!M303="1111")),TH!D303,""),"")</f>
        <v/>
      </c>
      <c r="B285" s="36">
        <f t="shared" si="18"/>
        <v>11</v>
      </c>
      <c r="C285" s="183">
        <f t="shared" si="20"/>
        <v>42699</v>
      </c>
      <c r="D285" s="183" t="s">
        <v>529</v>
      </c>
      <c r="E285" s="190">
        <v>42699</v>
      </c>
      <c r="F285" s="191" t="s">
        <v>524</v>
      </c>
      <c r="G285" s="191" t="s">
        <v>533</v>
      </c>
      <c r="H285" s="854" t="s">
        <v>456</v>
      </c>
      <c r="I285" s="255"/>
      <c r="J285" s="257"/>
      <c r="K285" s="37">
        <v>12500000</v>
      </c>
      <c r="L285" s="193" t="s">
        <v>8</v>
      </c>
      <c r="M285" s="597" t="s">
        <v>24</v>
      </c>
      <c r="N285" s="51" t="str">
        <f>IF(AND('331-CT'!$E$7=TH!H303,OR(L285="331",M285="331")),"331",IF(AND(OR(L285="131",M285="131"),H285='131-CT'!$E$7),"131",""))</f>
        <v/>
      </c>
      <c r="O285" s="887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>x</v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IF(OR(TH!L303=TH!$W$7,M285=TH!$W$7),"x","")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IF(AND(OR(LEFT(TH!L303,2)="15",LEFT(TH!M303,2)="15"),'152-CT'!$J$8=TH!F303),"x","")</f>
        <v/>
      </c>
      <c r="Z285" s="51" t="str">
        <f>IF(AND(OR(LEFT(TH!L303,2)="15",LEFT(TH!M303,2)="15"),TK!$E$7=TH!F303),"x","")</f>
        <v/>
      </c>
      <c r="AA285" s="51" t="str">
        <f>IF(AND(B285&lt;=NKC!$N$8,B285&gt;=NKC!$M$8),"x","")</f>
        <v/>
      </c>
      <c r="AB285" s="909"/>
      <c r="AC285" s="588"/>
      <c r="AD285" s="588"/>
      <c r="AE285" s="588"/>
      <c r="AF285" s="210"/>
      <c r="AG285" s="210"/>
    </row>
    <row r="286" spans="1:33" s="588" customFormat="1" ht="15.75" customHeight="1">
      <c r="A286" s="203" t="str">
        <f>IF(B286&lt;&gt;"",IF(AND(B286&gt;=_TM1,B286&lt;=_TM2,OR(TH!L304="1111",TH!M304="1111")),TH!D304,""),"")</f>
        <v/>
      </c>
      <c r="B286" s="36">
        <f t="shared" si="18"/>
        <v>11</v>
      </c>
      <c r="C286" s="183">
        <f t="shared" si="20"/>
        <v>42699</v>
      </c>
      <c r="D286" s="183" t="s">
        <v>529</v>
      </c>
      <c r="E286" s="190">
        <v>42699</v>
      </c>
      <c r="F286" s="191" t="s">
        <v>531</v>
      </c>
      <c r="G286" s="191" t="s">
        <v>533</v>
      </c>
      <c r="H286" s="192"/>
      <c r="I286" s="255"/>
      <c r="J286" s="257"/>
      <c r="K286" s="37">
        <v>20000</v>
      </c>
      <c r="L286" s="193" t="s">
        <v>83</v>
      </c>
      <c r="M286" s="597" t="s">
        <v>24</v>
      </c>
      <c r="N286" s="51" t="str">
        <f>IF(AND('331-CT'!$E$7=TH!H304,OR(L286="331",M286="331")),"331",IF(AND(OR(L286="131",M286="131"),H286='131-CT'!$E$7),"131",""))</f>
        <v/>
      </c>
      <c r="O286" s="887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>x</v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IF(OR(TH!L304=TH!$W$7,M286=TH!$W$7),"x","")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IF(AND(OR(LEFT(TH!L304,2)="15",LEFT(TH!M304,2)="15"),'152-CT'!$J$8=TH!F304),"x","")</f>
        <v/>
      </c>
      <c r="Z286" s="51" t="str">
        <f>IF(AND(OR(LEFT(TH!L304,2)="15",LEFT(TH!M304,2)="15"),TK!$E$7=TH!F304),"x","")</f>
        <v/>
      </c>
      <c r="AA286" s="51" t="str">
        <f>IF(AND(B286&lt;=NKC!$N$8,B286&gt;=NKC!$M$8),"x","")</f>
        <v/>
      </c>
      <c r="AB286" s="909">
        <v>4</v>
      </c>
      <c r="AF286" s="210"/>
      <c r="AG286" s="210"/>
    </row>
    <row r="287" spans="1:33" s="588" customFormat="1" ht="15.75" customHeight="1">
      <c r="A287" s="203" t="str">
        <f>IF(B287&lt;&gt;"",IF(AND(B287&gt;=_TM1,B287&lt;=_TM2,OR(TH!L305="1111",TH!M305="1111")),TH!D305,""),"")</f>
        <v/>
      </c>
      <c r="B287" s="36">
        <f t="shared" si="18"/>
        <v>11</v>
      </c>
      <c r="C287" s="183">
        <f t="shared" si="20"/>
        <v>42699</v>
      </c>
      <c r="D287" s="183" t="s">
        <v>529</v>
      </c>
      <c r="E287" s="190">
        <v>42699</v>
      </c>
      <c r="F287" s="191" t="s">
        <v>532</v>
      </c>
      <c r="G287" s="191" t="s">
        <v>533</v>
      </c>
      <c r="H287" s="192"/>
      <c r="I287" s="255"/>
      <c r="J287" s="257"/>
      <c r="K287" s="37">
        <v>2000</v>
      </c>
      <c r="L287" s="193" t="s">
        <v>9</v>
      </c>
      <c r="M287" s="597" t="s">
        <v>24</v>
      </c>
      <c r="N287" s="51" t="str">
        <f>IF(AND('331-CT'!$E$7=TH!H305,OR(L287="331",M287="331")),"331",IF(AND(OR(L287="131",M287="131"),H287='131-CT'!$E$7),"131",""))</f>
        <v/>
      </c>
      <c r="O287" s="887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>x</v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IF(OR(TH!L305=TH!$W$7,M287=TH!$W$7),"x","")</f>
        <v>x</v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IF(AND(OR(LEFT(TH!L305,2)="15",LEFT(TH!M305,2)="15"),'152-CT'!$J$8=TH!F305),"x","")</f>
        <v/>
      </c>
      <c r="Z287" s="51" t="str">
        <f>IF(AND(OR(LEFT(TH!L305,2)="15",LEFT(TH!M305,2)="15"),TK!$E$7=TH!F305),"x","")</f>
        <v/>
      </c>
      <c r="AA287" s="51" t="str">
        <f>IF(AND(B287&lt;=NKC!$N$8,B287&gt;=NKC!$M$8),"x","")</f>
        <v/>
      </c>
      <c r="AB287" s="909">
        <v>4</v>
      </c>
      <c r="AF287" s="210"/>
      <c r="AG287" s="210"/>
    </row>
    <row r="288" spans="1:33" s="588" customFormat="1" ht="15.75" customHeight="1">
      <c r="A288" s="203" t="str">
        <f>IF(B288&lt;&gt;"",IF(AND(B288&gt;=_TM1,B288&lt;=_TM2,OR(TH!L306="1111",TH!M306="1111")),TH!D306,""),"")</f>
        <v/>
      </c>
      <c r="B288" s="36">
        <f t="shared" si="18"/>
        <v>11</v>
      </c>
      <c r="C288" s="183">
        <f t="shared" si="20"/>
        <v>42699</v>
      </c>
      <c r="D288" s="183" t="s">
        <v>529</v>
      </c>
      <c r="E288" s="190">
        <v>42699</v>
      </c>
      <c r="F288" s="191" t="s">
        <v>536</v>
      </c>
      <c r="G288" s="191" t="s">
        <v>533</v>
      </c>
      <c r="H288" s="192"/>
      <c r="I288" s="255"/>
      <c r="J288" s="257"/>
      <c r="K288" s="37">
        <v>10000</v>
      </c>
      <c r="L288" s="193" t="s">
        <v>83</v>
      </c>
      <c r="M288" s="597" t="s">
        <v>24</v>
      </c>
      <c r="N288" s="51" t="str">
        <f>IF(AND('331-CT'!$E$7=TH!H306,OR(L288="331",M288="331")),"331",IF(AND(OR(L288="131",M288="131"),H288='131-CT'!$E$7),"131",""))</f>
        <v/>
      </c>
      <c r="O288" s="887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>x</v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IF(OR(TH!L306=TH!$W$7,M288=TH!$W$7),"x","")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IF(AND(OR(LEFT(TH!L306,2)="15",LEFT(TH!M306,2)="15"),'152-CT'!$J$8=TH!F306),"x","")</f>
        <v/>
      </c>
      <c r="Z288" s="51" t="str">
        <f>IF(AND(OR(LEFT(TH!L306,2)="15",LEFT(TH!M306,2)="15"),TK!$E$7=TH!F306),"x","")</f>
        <v/>
      </c>
      <c r="AA288" s="51" t="str">
        <f>IF(AND(B288&lt;=NKC!$N$8,B288&gt;=NKC!$M$8),"x","")</f>
        <v/>
      </c>
      <c r="AB288" s="909">
        <v>4</v>
      </c>
      <c r="AF288" s="210"/>
      <c r="AG288" s="210"/>
    </row>
    <row r="289" spans="1:33" s="588" customFormat="1" ht="15.75" customHeight="1">
      <c r="A289" s="203" t="str">
        <f>IF(B289&lt;&gt;"",IF(AND(B289&gt;=_TM1,B289&lt;=_TM2,OR(TH!L307="1111",TH!M307="1111")),TH!D307,""),"")</f>
        <v/>
      </c>
      <c r="B289" s="36">
        <f t="shared" si="18"/>
        <v>11</v>
      </c>
      <c r="C289" s="183">
        <f t="shared" si="20"/>
        <v>42699</v>
      </c>
      <c r="D289" s="183" t="s">
        <v>529</v>
      </c>
      <c r="E289" s="190">
        <v>42699</v>
      </c>
      <c r="F289" s="191" t="s">
        <v>537</v>
      </c>
      <c r="G289" s="191" t="s">
        <v>533</v>
      </c>
      <c r="H289" s="192"/>
      <c r="I289" s="255"/>
      <c r="J289" s="257"/>
      <c r="K289" s="37">
        <v>1000</v>
      </c>
      <c r="L289" s="193" t="s">
        <v>9</v>
      </c>
      <c r="M289" s="597" t="s">
        <v>24</v>
      </c>
      <c r="N289" s="51" t="str">
        <f>IF(AND('331-CT'!$E$7=TH!H307,OR(L289="331",M289="331")),"331",IF(AND(OR(L289="131",M289="131"),H289='131-CT'!$E$7),"131",""))</f>
        <v/>
      </c>
      <c r="O289" s="887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>x</v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IF(OR(TH!L307=TH!$W$7,M289=TH!$W$7),"x","")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IF(AND(OR(LEFT(TH!L307,2)="15",LEFT(TH!M307,2)="15"),'152-CT'!$J$8=TH!F307),"x","")</f>
        <v/>
      </c>
      <c r="Z289" s="51" t="str">
        <f>IF(AND(OR(LEFT(TH!L307,2)="15",LEFT(TH!M307,2)="15"),TK!$E$7=TH!F307),"x","")</f>
        <v/>
      </c>
      <c r="AA289" s="51" t="str">
        <f>IF(AND(B289&lt;=NKC!$N$8,B289&gt;=NKC!$M$8),"x","")</f>
        <v/>
      </c>
      <c r="AB289" s="909">
        <v>4</v>
      </c>
      <c r="AF289" s="210"/>
      <c r="AG289" s="210"/>
    </row>
    <row r="290" spans="1:33" s="588" customFormat="1" ht="15.75" customHeight="1">
      <c r="A290" s="203" t="str">
        <f>IF(B290&lt;&gt;"",IF(AND(B290&gt;=_TM1,B290&lt;=_TM2,OR(TH!L308="1111",TH!M308="1111")),TH!D308,""),"")</f>
        <v/>
      </c>
      <c r="B290" s="36">
        <f t="shared" si="18"/>
        <v>11</v>
      </c>
      <c r="C290" s="183">
        <f t="shared" si="20"/>
        <v>42702</v>
      </c>
      <c r="D290" s="183" t="s">
        <v>528</v>
      </c>
      <c r="E290" s="190">
        <v>42702</v>
      </c>
      <c r="F290" s="188" t="s">
        <v>543</v>
      </c>
      <c r="G290" s="191" t="s">
        <v>533</v>
      </c>
      <c r="H290" s="7" t="s">
        <v>412</v>
      </c>
      <c r="I290" s="255"/>
      <c r="J290" s="255"/>
      <c r="K290" s="37">
        <v>22471790</v>
      </c>
      <c r="L290" s="193" t="s">
        <v>24</v>
      </c>
      <c r="M290" s="597" t="s">
        <v>259</v>
      </c>
      <c r="N290" s="51" t="str">
        <f>IF(AND('331-CT'!$E$7=TH!H308,OR(L290="331",M290="331")),"331",IF(AND(OR(L290="131",M290="131"),H290='131-CT'!$E$7),"131",""))</f>
        <v/>
      </c>
      <c r="O290" s="887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>x</v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IF(OR(TH!L308=TH!$W$7,M290=TH!$W$7),"x","")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IF(AND(OR(LEFT(TH!L308,2)="15",LEFT(TH!M308,2)="15"),'152-CT'!$J$8=TH!F308),"x","")</f>
        <v/>
      </c>
      <c r="Z290" s="51" t="str">
        <f>IF(AND(OR(LEFT(TH!L308,2)="15",LEFT(TH!M308,2)="15"),TK!$E$7=TH!F308),"x","")</f>
        <v/>
      </c>
      <c r="AA290" s="51" t="str">
        <f>IF(AND(B290&lt;=NKC!$N$8,B290&gt;=NKC!$M$8),"x","")</f>
        <v/>
      </c>
      <c r="AB290" s="909"/>
      <c r="AE290" s="210"/>
      <c r="AF290" s="210"/>
      <c r="AG290" s="210"/>
    </row>
    <row r="291" spans="1:33" s="588" customFormat="1" ht="15.75" customHeight="1">
      <c r="A291" s="203" t="str">
        <f>IF(B291&lt;&gt;"",IF(AND(B291&gt;=_TM1,B291&lt;=_TM2,OR(TH!L309="1111",TH!M309="1111")),TH!D309,""),"")</f>
        <v/>
      </c>
      <c r="B291" s="36">
        <f t="shared" si="18"/>
        <v>11</v>
      </c>
      <c r="C291" s="183">
        <f t="shared" si="20"/>
        <v>42702</v>
      </c>
      <c r="D291" s="183" t="s">
        <v>528</v>
      </c>
      <c r="E291" s="190">
        <v>42702</v>
      </c>
      <c r="F291" s="188" t="s">
        <v>863</v>
      </c>
      <c r="G291" s="191" t="s">
        <v>533</v>
      </c>
      <c r="H291" s="7" t="s">
        <v>412</v>
      </c>
      <c r="I291" s="255"/>
      <c r="J291" s="255"/>
      <c r="K291" s="37">
        <v>22000</v>
      </c>
      <c r="L291" s="193" t="s">
        <v>83</v>
      </c>
      <c r="M291" s="597" t="s">
        <v>259</v>
      </c>
      <c r="N291" s="51" t="str">
        <f>IF(AND('331-CT'!$E$7=TH!H309,OR(L291="331",M291="331")),"331",IF(AND(OR(L291="131",M291="131"),H291='131-CT'!$E$7),"131",""))</f>
        <v/>
      </c>
      <c r="O291" s="887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IF(OR(TH!L309=TH!$W$7,M291=TH!$W$7),"x","")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IF(AND(OR(LEFT(TH!L309,2)="15",LEFT(TH!M309,2)="15"),'152-CT'!$J$8=TH!F309),"x","")</f>
        <v/>
      </c>
      <c r="Z291" s="51" t="str">
        <f>IF(AND(OR(LEFT(TH!L309,2)="15",LEFT(TH!M309,2)="15"),TK!$E$7=TH!F309),"x","")</f>
        <v/>
      </c>
      <c r="AA291" s="51" t="str">
        <f>IF(AND(B291&lt;=NKC!$N$8,B291&gt;=NKC!$M$8),"x","")</f>
        <v/>
      </c>
      <c r="AB291" s="909"/>
      <c r="AE291" s="210"/>
      <c r="AF291" s="210"/>
      <c r="AG291" s="210"/>
    </row>
    <row r="292" spans="1:33" s="588" customFormat="1" ht="15.75" customHeight="1">
      <c r="A292" s="203" t="str">
        <f>IF(B292&lt;&gt;"",IF(AND(B292&gt;=_TM1,B292&lt;=_TM2,OR(TH!L310="1111",TH!M310="1111")),TH!D310,""),"")</f>
        <v/>
      </c>
      <c r="B292" s="36">
        <f t="shared" si="18"/>
        <v>11</v>
      </c>
      <c r="C292" s="183">
        <f t="shared" si="20"/>
        <v>42703</v>
      </c>
      <c r="D292" s="183" t="s">
        <v>529</v>
      </c>
      <c r="E292" s="190">
        <v>42703</v>
      </c>
      <c r="F292" s="191" t="s">
        <v>544</v>
      </c>
      <c r="G292" s="191" t="s">
        <v>533</v>
      </c>
      <c r="H292" s="192" t="s">
        <v>547</v>
      </c>
      <c r="I292" s="255"/>
      <c r="J292" s="257"/>
      <c r="K292" s="37">
        <v>22500000</v>
      </c>
      <c r="L292" s="193" t="s">
        <v>47</v>
      </c>
      <c r="M292" s="597" t="s">
        <v>24</v>
      </c>
      <c r="N292" s="51" t="str">
        <f>IF(AND('331-CT'!$E$7=TH!H310,OR(L292="331",M292="331")),"331",IF(AND(OR(L292="131",M292="131"),H292='131-CT'!$E$7),"131",""))</f>
        <v/>
      </c>
      <c r="O292" s="887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>x</v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IF(OR(TH!L310=TH!$W$7,M292=TH!$W$7),"x","")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IF(AND(OR(LEFT(TH!L310,2)="15",LEFT(TH!M310,2)="15"),'152-CT'!$J$8=TH!F310),"x","")</f>
        <v/>
      </c>
      <c r="Z292" s="51" t="str">
        <f>IF(AND(OR(LEFT(TH!L310,2)="15",LEFT(TH!M310,2)="15"),TK!$E$7=TH!F310),"x","")</f>
        <v/>
      </c>
      <c r="AA292" s="51" t="str">
        <f>IF(AND(B292&lt;=NKC!$N$8,B292&gt;=NKC!$M$8),"x","")</f>
        <v/>
      </c>
      <c r="AB292" s="909"/>
      <c r="AF292" s="210"/>
      <c r="AG292" s="210"/>
    </row>
    <row r="293" spans="1:33" s="588" customFormat="1" ht="15.75" customHeight="1">
      <c r="A293" s="203" t="str">
        <f>IF(B293&lt;&gt;"",IF(AND(B293&gt;=_TM1,B293&lt;=_TM2,OR(TH!L256="1111",TH!M256="1111")),TH!D256,""),"")</f>
        <v/>
      </c>
      <c r="B293" s="36">
        <f t="shared" si="18"/>
        <v>12</v>
      </c>
      <c r="C293" s="183">
        <f t="shared" si="20"/>
        <v>42712</v>
      </c>
      <c r="D293" s="190" t="s">
        <v>1014</v>
      </c>
      <c r="E293" s="183">
        <v>42712</v>
      </c>
      <c r="F293" s="188" t="s">
        <v>503</v>
      </c>
      <c r="G293" s="479" t="s">
        <v>1008</v>
      </c>
      <c r="H293" s="192" t="s">
        <v>501</v>
      </c>
      <c r="I293" s="255">
        <v>19820</v>
      </c>
      <c r="J293" s="255">
        <v>800</v>
      </c>
      <c r="K293" s="37">
        <f>ROUND(I293*J293,0)</f>
        <v>15856000</v>
      </c>
      <c r="L293" s="193" t="s">
        <v>161</v>
      </c>
      <c r="M293" s="193" t="s">
        <v>8</v>
      </c>
      <c r="N293" s="51" t="str">
        <f>IF(AND('331-CT'!$E$7=TH!H256,OR(L293="331",M293="331")),"331",IF(AND(OR(L293="131",M293="131"),H293='131-CT'!$E$7),"131",""))</f>
        <v/>
      </c>
      <c r="O293" s="887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IF(OR(TH!L256=TH!$W$7,M293=TH!$W$7),"x","")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IF(AND(OR(LEFT(TH!L256,2)="15",LEFT(TH!M256,2)="15"),'152-CT'!$J$8=TH!F256),"x","")</f>
        <v/>
      </c>
      <c r="Z293" s="51" t="str">
        <f>IF(AND(OR(LEFT(TH!L256,2)="15",LEFT(TH!M256,2)="15"),TK!$E$7=TH!F256),"x","")</f>
        <v/>
      </c>
      <c r="AA293" s="51" t="str">
        <f>IF(AND(B293&lt;=NKC!$N$8,B293&gt;=NKC!$M$8),"x","")</f>
        <v/>
      </c>
      <c r="AB293" s="909">
        <v>4</v>
      </c>
    </row>
    <row r="294" spans="1:33" s="588" customFormat="1" ht="15.75" customHeight="1">
      <c r="A294" s="203" t="str">
        <f>IF(B294&lt;&gt;"",IF(AND(B294&gt;=_TM1,B294&lt;=_TM2,OR(TH!L257="1111",TH!M257="1111")),TH!D257,""),"")</f>
        <v/>
      </c>
      <c r="B294" s="36">
        <f t="shared" si="18"/>
        <v>12</v>
      </c>
      <c r="C294" s="183">
        <f t="shared" si="20"/>
        <v>42712</v>
      </c>
      <c r="D294" s="190" t="s">
        <v>1014</v>
      </c>
      <c r="E294" s="183">
        <v>42712</v>
      </c>
      <c r="F294" s="188" t="s">
        <v>504</v>
      </c>
      <c r="G294" s="479" t="s">
        <v>1008</v>
      </c>
      <c r="H294" s="192" t="s">
        <v>501</v>
      </c>
      <c r="I294" s="255"/>
      <c r="J294" s="255"/>
      <c r="K294" s="596">
        <v>1585600</v>
      </c>
      <c r="L294" s="193" t="s">
        <v>9</v>
      </c>
      <c r="M294" s="193" t="s">
        <v>8</v>
      </c>
      <c r="N294" s="51" t="str">
        <f>IF(AND('331-CT'!$E$7=TH!H257,OR(L294="331",M294="331")),"331",IF(AND(OR(L294="131",M294="131"),H294='131-CT'!$E$7),"131",""))</f>
        <v/>
      </c>
      <c r="O294" s="887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IF(OR(TH!L257=TH!$W$7,M294=TH!$W$7),"x","")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IF(AND(OR(LEFT(TH!L257,2)="15",LEFT(TH!M257,2)="15"),'152-CT'!$J$8=TH!F257),"x","")</f>
        <v/>
      </c>
      <c r="Z294" s="51" t="str">
        <f>IF(AND(OR(LEFT(TH!L257,2)="15",LEFT(TH!M257,2)="15"),TK!$E$7=TH!F257),"x","")</f>
        <v/>
      </c>
      <c r="AA294" s="51" t="str">
        <f>IF(AND(B294&lt;=NKC!$N$8,B294&gt;=NKC!$M$8),"x","")</f>
        <v/>
      </c>
      <c r="AB294" s="909">
        <v>4</v>
      </c>
    </row>
    <row r="295" spans="1:33" s="588" customFormat="1" ht="15.75" customHeight="1">
      <c r="A295" s="203" t="str">
        <f>IF(B295&lt;&gt;"",IF(AND(B295&gt;=_TM1,B295&lt;=_TM2,OR(TH!L321="1111",TH!M321="1111")),TH!D321,""),"")</f>
        <v/>
      </c>
      <c r="B295" s="36">
        <f t="shared" si="18"/>
        <v>12</v>
      </c>
      <c r="C295" s="183">
        <f t="shared" si="20"/>
        <v>42713</v>
      </c>
      <c r="D295" s="183" t="s">
        <v>528</v>
      </c>
      <c r="E295" s="190">
        <v>42713</v>
      </c>
      <c r="F295" s="188" t="s">
        <v>543</v>
      </c>
      <c r="G295" s="191" t="s">
        <v>533</v>
      </c>
      <c r="H295" s="7" t="s">
        <v>896</v>
      </c>
      <c r="I295" s="255"/>
      <c r="J295" s="257"/>
      <c r="K295" s="37">
        <v>15576000</v>
      </c>
      <c r="L295" s="193" t="s">
        <v>24</v>
      </c>
      <c r="M295" s="597" t="s">
        <v>259</v>
      </c>
      <c r="N295" s="51" t="str">
        <f>IF(AND('331-CT'!$E$7=TH!H321,OR(L295="331",M295="331")),"331",IF(AND(OR(L295="131",M295="131"),H295='131-CT'!$E$7),"131",""))</f>
        <v/>
      </c>
      <c r="O295" s="887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>x</v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IF(OR(TH!L321=TH!$W$7,M295=TH!$W$7),"x","")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IF(AND(OR(LEFT(TH!L321,2)="15",LEFT(TH!M321,2)="15"),'152-CT'!$J$8=TH!F321),"x","")</f>
        <v/>
      </c>
      <c r="Z295" s="51" t="str">
        <f>IF(AND(OR(LEFT(TH!L321,2)="15",LEFT(TH!M321,2)="15"),TK!$E$7=TH!F321),"x","")</f>
        <v/>
      </c>
      <c r="AA295" s="51" t="str">
        <f>IF(AND(B295&lt;=NKC!$N$8,B295&gt;=NKC!$M$8),"x","")</f>
        <v/>
      </c>
      <c r="AB295" s="909"/>
      <c r="AF295" s="210"/>
      <c r="AG295" s="210"/>
    </row>
    <row r="296" spans="1:33" s="588" customFormat="1" ht="15.75" customHeight="1">
      <c r="A296" s="203" t="str">
        <f>IF(B296&lt;&gt;"",IF(AND(B296&gt;=_TM1,B296&lt;=_TM2,OR(TH!L320="1111",TH!M320="1111")),TH!D320,""),"")</f>
        <v/>
      </c>
      <c r="B296" s="36">
        <f t="shared" si="18"/>
        <v>12</v>
      </c>
      <c r="C296" s="183">
        <f t="shared" si="20"/>
        <v>42716</v>
      </c>
      <c r="D296" s="183" t="s">
        <v>528</v>
      </c>
      <c r="E296" s="190">
        <v>42716</v>
      </c>
      <c r="F296" s="188" t="s">
        <v>530</v>
      </c>
      <c r="G296" s="191" t="s">
        <v>533</v>
      </c>
      <c r="H296" s="192" t="s">
        <v>547</v>
      </c>
      <c r="I296" s="255"/>
      <c r="J296" s="257"/>
      <c r="K296" s="37">
        <v>4500000</v>
      </c>
      <c r="L296" s="193" t="s">
        <v>24</v>
      </c>
      <c r="M296" s="597" t="s">
        <v>47</v>
      </c>
      <c r="N296" s="51" t="str">
        <f>IF(AND('331-CT'!$E$7=TH!H320,OR(L296="331",M296="331")),"331",IF(AND(OR(L296="131",M296="131"),H296='131-CT'!$E$7),"131",""))</f>
        <v/>
      </c>
      <c r="O296" s="887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>x</v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IF(OR(TH!L320=TH!$W$7,M296=TH!$W$7),"x","")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IF(AND(OR(LEFT(TH!L320,2)="15",LEFT(TH!M320,2)="15"),'152-CT'!$J$8=TH!F320),"x","")</f>
        <v/>
      </c>
      <c r="Z296" s="51" t="str">
        <f>IF(AND(OR(LEFT(TH!L320,2)="15",LEFT(TH!M320,2)="15"),TK!$E$7=TH!F320),"x","")</f>
        <v/>
      </c>
      <c r="AA296" s="51" t="str">
        <f>IF(AND(B296&lt;=NKC!$N$8,B296&gt;=NKC!$M$8),"x","")</f>
        <v/>
      </c>
      <c r="AB296" s="909"/>
      <c r="AF296" s="210"/>
      <c r="AG296" s="210"/>
    </row>
    <row r="297" spans="1:33" s="588" customFormat="1" ht="15.75" customHeight="1">
      <c r="A297" s="203" t="str">
        <f>IF(B297&lt;&gt;"",IF(AND(B297&gt;=_TM1,B297&lt;=_TM2,OR(TH!L340="1111",TH!M340="1111")),TH!D340,""),"")</f>
        <v/>
      </c>
      <c r="B297" s="36">
        <f t="shared" si="18"/>
        <v>12</v>
      </c>
      <c r="C297" s="183">
        <f t="shared" si="20"/>
        <v>42716</v>
      </c>
      <c r="D297" s="183" t="s">
        <v>529</v>
      </c>
      <c r="E297" s="190">
        <v>42716</v>
      </c>
      <c r="F297" s="191" t="s">
        <v>524</v>
      </c>
      <c r="G297" s="191" t="s">
        <v>533</v>
      </c>
      <c r="H297" s="192"/>
      <c r="I297" s="255"/>
      <c r="J297" s="257"/>
      <c r="K297" s="37">
        <v>20000000</v>
      </c>
      <c r="L297" s="193" t="s">
        <v>8</v>
      </c>
      <c r="M297" s="597" t="s">
        <v>24</v>
      </c>
      <c r="N297" s="51" t="str">
        <f>IF(AND('331-CT'!$E$7=TH!H340,OR(L297="331",M297="331")),"331",IF(AND(OR(L297="131",M297="131"),H297='131-CT'!$E$7),"131",""))</f>
        <v/>
      </c>
      <c r="O297" s="887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>x</v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IF(OR(TH!L340=TH!$W$7,M297=TH!$W$7),"x","")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IF(AND(OR(LEFT(TH!L340,2)="15",LEFT(TH!M340,2)="15"),'152-CT'!$J$8=TH!F340),"x","")</f>
        <v/>
      </c>
      <c r="Z297" s="51" t="str">
        <f>IF(AND(OR(LEFT(TH!L340,2)="15",LEFT(TH!M340,2)="15"),TK!$E$7=TH!F340),"x","")</f>
        <v/>
      </c>
      <c r="AA297" s="51" t="str">
        <f>IF(AND(B297&lt;=NKC!$N$8,B297&gt;=NKC!$M$8),"x","")</f>
        <v/>
      </c>
      <c r="AB297" s="909"/>
      <c r="AF297" s="210"/>
      <c r="AG297" s="210"/>
    </row>
    <row r="298" spans="1:33" s="588" customFormat="1" ht="15.75" customHeight="1">
      <c r="A298" s="203" t="str">
        <f>IF(B298&lt;&gt;"",IF(AND(B298&gt;=_TM1,B298&lt;=_TM2,OR(TH!L341="1111",TH!M341="1111")),TH!D341,""),"")</f>
        <v/>
      </c>
      <c r="B298" s="36">
        <f t="shared" ref="B298:B361" si="21">IF(C298&lt;&gt;"",MONTH(C298),"")</f>
        <v>12</v>
      </c>
      <c r="C298" s="183">
        <f t="shared" si="20"/>
        <v>42716</v>
      </c>
      <c r="D298" s="183" t="s">
        <v>529</v>
      </c>
      <c r="E298" s="190">
        <v>42716</v>
      </c>
      <c r="F298" s="191" t="s">
        <v>545</v>
      </c>
      <c r="G298" s="191" t="s">
        <v>533</v>
      </c>
      <c r="H298" s="192"/>
      <c r="I298" s="255"/>
      <c r="J298" s="257"/>
      <c r="K298" s="37">
        <v>20000</v>
      </c>
      <c r="L298" s="193" t="s">
        <v>83</v>
      </c>
      <c r="M298" s="597" t="s">
        <v>24</v>
      </c>
      <c r="N298" s="51" t="str">
        <f>IF(AND('331-CT'!$E$7=TH!H341,OR(L298="331",M298="331")),"331",IF(AND(OR(L298="131",M298="131"),H298='131-CT'!$E$7),"131",""))</f>
        <v/>
      </c>
      <c r="O298" s="887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>x</v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IF(OR(TH!L341=TH!$W$7,M298=TH!$W$7),"x","")</f>
        <v>x</v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IF(AND(OR(LEFT(TH!L341,2)="15",LEFT(TH!M341,2)="15"),'152-CT'!$J$8=TH!F341),"x","")</f>
        <v/>
      </c>
      <c r="Z298" s="51" t="str">
        <f>IF(AND(OR(LEFT(TH!L341,2)="15",LEFT(TH!M341,2)="15"),TK!$E$7=TH!F341),"x","")</f>
        <v/>
      </c>
      <c r="AA298" s="51" t="str">
        <f>IF(AND(B298&lt;=NKC!$N$8,B298&gt;=NKC!$M$8),"x","")</f>
        <v/>
      </c>
      <c r="AB298" s="909">
        <v>4</v>
      </c>
      <c r="AF298" s="210"/>
      <c r="AG298" s="210"/>
    </row>
    <row r="299" spans="1:33" s="588" customFormat="1" ht="15.75" customHeight="1">
      <c r="A299" s="203" t="str">
        <f>IF(B299&lt;&gt;"",IF(AND(B299&gt;=_TM1,B299&lt;=_TM2,OR(TH!L342="1111",TH!M342="1111")),TH!D342,""),"")</f>
        <v/>
      </c>
      <c r="B299" s="36">
        <f t="shared" si="21"/>
        <v>12</v>
      </c>
      <c r="C299" s="183">
        <f t="shared" si="20"/>
        <v>42716</v>
      </c>
      <c r="D299" s="183" t="s">
        <v>529</v>
      </c>
      <c r="E299" s="190">
        <v>42716</v>
      </c>
      <c r="F299" s="191" t="s">
        <v>546</v>
      </c>
      <c r="G299" s="191" t="s">
        <v>533</v>
      </c>
      <c r="H299" s="192"/>
      <c r="I299" s="255"/>
      <c r="J299" s="257"/>
      <c r="K299" s="37">
        <v>2000</v>
      </c>
      <c r="L299" s="193" t="s">
        <v>9</v>
      </c>
      <c r="M299" s="597" t="s">
        <v>24</v>
      </c>
      <c r="N299" s="51" t="str">
        <f>IF(AND('331-CT'!$E$7=TH!H342,OR(L299="331",M299="331")),"331",IF(AND(OR(L299="131",M299="131"),H299='131-CT'!$E$7),"131",""))</f>
        <v/>
      </c>
      <c r="O299" s="887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>x</v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IF(OR(TH!L342=TH!$W$7,M299=TH!$W$7),"x","")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IF(AND(OR(LEFT(TH!L342,2)="15",LEFT(TH!M342,2)="15"),'152-CT'!$J$8=TH!F342),"x","")</f>
        <v/>
      </c>
      <c r="Z299" s="51" t="str">
        <f>IF(AND(OR(LEFT(TH!L342,2)="15",LEFT(TH!M342,2)="15"),TK!$E$7=TH!F342),"x","")</f>
        <v/>
      </c>
      <c r="AA299" s="51" t="str">
        <f>IF(AND(B299&lt;=NKC!$N$8,B299&gt;=NKC!$M$8),"x","")</f>
        <v/>
      </c>
      <c r="AB299" s="909">
        <v>4</v>
      </c>
      <c r="AF299" s="210"/>
      <c r="AG299" s="210"/>
    </row>
    <row r="300" spans="1:33" s="588" customFormat="1" ht="15.75" customHeight="1">
      <c r="A300" s="203" t="str">
        <f>IF(B300&lt;&gt;"",IF(AND(B300&gt;=_TM1,B300&lt;=_TM2,OR(TH!L318="1111",TH!M318="1111")),TH!D318,""),"")</f>
        <v/>
      </c>
      <c r="B300" s="36">
        <f t="shared" si="21"/>
        <v>12</v>
      </c>
      <c r="C300" s="183">
        <f t="shared" si="20"/>
        <v>42717</v>
      </c>
      <c r="D300" s="183" t="s">
        <v>528</v>
      </c>
      <c r="E300" s="190">
        <v>42717</v>
      </c>
      <c r="F300" s="188" t="s">
        <v>530</v>
      </c>
      <c r="G300" s="191" t="s">
        <v>533</v>
      </c>
      <c r="H300" s="192" t="s">
        <v>860</v>
      </c>
      <c r="I300" s="255"/>
      <c r="J300" s="257"/>
      <c r="K300" s="37">
        <v>13300000</v>
      </c>
      <c r="L300" s="193" t="s">
        <v>24</v>
      </c>
      <c r="M300" s="597" t="s">
        <v>47</v>
      </c>
      <c r="N300" s="51" t="str">
        <f>IF(AND('331-CT'!$E$7=TH!H318,OR(L300="331",M300="331")),"331",IF(AND(OR(L300="131",M300="131"),H300='131-CT'!$E$7),"131",""))</f>
        <v/>
      </c>
      <c r="O300" s="887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>x</v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IF(OR(TH!L318=TH!$W$7,M300=TH!$W$7),"x","")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IF(AND(OR(LEFT(TH!L318,2)="15",LEFT(TH!M318,2)="15"),'152-CT'!$J$8=TH!F318),"x","")</f>
        <v/>
      </c>
      <c r="Z300" s="51" t="str">
        <f>IF(AND(OR(LEFT(TH!L318,2)="15",LEFT(TH!M318,2)="15"),TK!$E$7=TH!F318),"x","")</f>
        <v/>
      </c>
      <c r="AA300" s="51" t="str">
        <f>IF(AND(B300&lt;=NKC!$N$8,B300&gt;=NKC!$M$8),"x","")</f>
        <v/>
      </c>
      <c r="AB300" s="909"/>
      <c r="AF300" s="210"/>
      <c r="AG300" s="210"/>
    </row>
    <row r="301" spans="1:33" s="588" customFormat="1" ht="15.75" customHeight="1">
      <c r="A301" s="203" t="str">
        <f>IF(B301&lt;&gt;"",IF(AND(B301&gt;=_TM1,B301&lt;=_TM2,OR(TH!L319="1111",TH!M319="1111")),TH!D319,""),"")</f>
        <v/>
      </c>
      <c r="B301" s="36">
        <f t="shared" si="21"/>
        <v>12</v>
      </c>
      <c r="C301" s="183">
        <f t="shared" si="20"/>
        <v>42717</v>
      </c>
      <c r="D301" s="183" t="s">
        <v>528</v>
      </c>
      <c r="E301" s="190">
        <v>42717</v>
      </c>
      <c r="F301" s="188" t="s">
        <v>543</v>
      </c>
      <c r="G301" s="191" t="s">
        <v>533</v>
      </c>
      <c r="H301" s="192" t="s">
        <v>745</v>
      </c>
      <c r="I301" s="255"/>
      <c r="J301" s="257"/>
      <c r="K301" s="37">
        <v>27324000</v>
      </c>
      <c r="L301" s="193" t="s">
        <v>24</v>
      </c>
      <c r="M301" s="597" t="s">
        <v>259</v>
      </c>
      <c r="N301" s="51" t="str">
        <f>IF(AND('331-CT'!$E$7=TH!H319,OR(L301="331",M301="331")),"331",IF(AND(OR(L301="131",M301="131"),H301='131-CT'!$E$7),"131",""))</f>
        <v/>
      </c>
      <c r="O301" s="887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>x</v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IF(OR(TH!L319=TH!$W$7,M301=TH!$W$7),"x","")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IF(AND(OR(LEFT(TH!L319,2)="15",LEFT(TH!M319,2)="15"),'152-CT'!$J$8=TH!F319),"x","")</f>
        <v/>
      </c>
      <c r="Z301" s="51" t="str">
        <f>IF(AND(OR(LEFT(TH!L319,2)="15",LEFT(TH!M319,2)="15"),TK!$E$7=TH!F319),"x","")</f>
        <v/>
      </c>
      <c r="AA301" s="51" t="str">
        <f>IF(AND(B301&lt;=NKC!$N$8,B301&gt;=NKC!$M$8),"x","")</f>
        <v/>
      </c>
      <c r="AB301" s="909"/>
      <c r="AF301" s="210"/>
      <c r="AG301" s="210"/>
    </row>
    <row r="302" spans="1:33" s="588" customFormat="1" ht="15.75" customHeight="1">
      <c r="A302" s="203" t="str">
        <f>IF(B302&lt;&gt;"",IF(AND(B302&gt;=_TM1,B302&lt;=_TM2,OR(TH!L333="1111",TH!M333="1111")),TH!D333,""),"")</f>
        <v/>
      </c>
      <c r="B302" s="36">
        <f t="shared" si="21"/>
        <v>12</v>
      </c>
      <c r="C302" s="183">
        <f t="shared" si="20"/>
        <v>42718</v>
      </c>
      <c r="D302" s="183" t="s">
        <v>529</v>
      </c>
      <c r="E302" s="190">
        <v>42718</v>
      </c>
      <c r="F302" s="191" t="s">
        <v>539</v>
      </c>
      <c r="G302" s="191" t="s">
        <v>533</v>
      </c>
      <c r="H302" s="192"/>
      <c r="I302" s="255"/>
      <c r="J302" s="257"/>
      <c r="K302" s="37">
        <v>20000</v>
      </c>
      <c r="L302" s="193" t="s">
        <v>83</v>
      </c>
      <c r="M302" s="597" t="s">
        <v>24</v>
      </c>
      <c r="N302" s="51" t="str">
        <f>IF(AND('331-CT'!$E$7=TH!H333,OR(L302="331",M302="331")),"331",IF(AND(OR(L302="131",M302="131"),H302='131-CT'!$E$7),"131",""))</f>
        <v/>
      </c>
      <c r="O302" s="887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>x</v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IF(OR(TH!L333=TH!$W$7,M302=TH!$W$7),"x","")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IF(AND(OR(LEFT(TH!L333,2)="15",LEFT(TH!M333,2)="15"),'152-CT'!$J$8=TH!F333),"x","")</f>
        <v/>
      </c>
      <c r="Z302" s="51" t="str">
        <f>IF(AND(OR(LEFT(TH!L333,2)="15",LEFT(TH!M333,2)="15"),TK!$E$7=TH!F333),"x","")</f>
        <v/>
      </c>
      <c r="AA302" s="51" t="str">
        <f>IF(AND(B302&lt;=NKC!$N$8,B302&gt;=NKC!$M$8),"x","")</f>
        <v/>
      </c>
      <c r="AB302" s="909">
        <v>4</v>
      </c>
      <c r="AF302" s="210"/>
      <c r="AG302" s="210"/>
    </row>
    <row r="303" spans="1:33" s="588" customFormat="1" ht="15.75" customHeight="1">
      <c r="A303" s="203" t="str">
        <f>IF(B303&lt;&gt;"",IF(AND(B303&gt;=_TM1,B303&lt;=_TM2,OR(TH!L334="1111",TH!M334="1111")),TH!D334,""),"")</f>
        <v/>
      </c>
      <c r="B303" s="36">
        <f t="shared" si="21"/>
        <v>12</v>
      </c>
      <c r="C303" s="183">
        <f t="shared" si="20"/>
        <v>42718</v>
      </c>
      <c r="D303" s="183" t="s">
        <v>529</v>
      </c>
      <c r="E303" s="190">
        <v>42718</v>
      </c>
      <c r="F303" s="191" t="s">
        <v>540</v>
      </c>
      <c r="G303" s="191" t="s">
        <v>533</v>
      </c>
      <c r="H303" s="192"/>
      <c r="I303" s="255"/>
      <c r="J303" s="257"/>
      <c r="K303" s="37">
        <v>2000</v>
      </c>
      <c r="L303" s="193" t="s">
        <v>9</v>
      </c>
      <c r="M303" s="597" t="s">
        <v>24</v>
      </c>
      <c r="N303" s="51" t="str">
        <f>IF(AND('331-CT'!$E$7=TH!H334,OR(L303="331",M303="331")),"331",IF(AND(OR(L303="131",M303="131"),H303='131-CT'!$E$7),"131",""))</f>
        <v/>
      </c>
      <c r="O303" s="887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>x</v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IF(OR(TH!L334=TH!$W$7,M303=TH!$W$7),"x","")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IF(AND(OR(LEFT(TH!L334,2)="15",LEFT(TH!M334,2)="15"),'152-CT'!$J$8=TH!F334),"x","")</f>
        <v/>
      </c>
      <c r="Z303" s="51" t="str">
        <f>IF(AND(OR(LEFT(TH!L334,2)="15",LEFT(TH!M334,2)="15"),TK!$E$7=TH!F334),"x","")</f>
        <v/>
      </c>
      <c r="AA303" s="51" t="str">
        <f>IF(AND(B303&lt;=NKC!$N$8,B303&gt;=NKC!$M$8),"x","")</f>
        <v/>
      </c>
      <c r="AB303" s="909">
        <v>4</v>
      </c>
      <c r="AF303" s="210"/>
      <c r="AG303" s="210"/>
    </row>
    <row r="304" spans="1:33" s="588" customFormat="1" ht="15.75" customHeight="1">
      <c r="A304" s="203" t="str">
        <f>IF(B304&lt;&gt;"",IF(AND(B304&gt;=_TM1,B304&lt;=_TM2,OR(TH!L337="1111",TH!M337="1111")),TH!D337,""),"")</f>
        <v/>
      </c>
      <c r="B304" s="36">
        <f t="shared" si="21"/>
        <v>12</v>
      </c>
      <c r="C304" s="183">
        <f t="shared" si="20"/>
        <v>42718</v>
      </c>
      <c r="D304" s="183" t="s">
        <v>529</v>
      </c>
      <c r="E304" s="190">
        <v>42718</v>
      </c>
      <c r="F304" s="191" t="s">
        <v>1040</v>
      </c>
      <c r="G304" s="191" t="s">
        <v>533</v>
      </c>
      <c r="H304" s="192" t="s">
        <v>684</v>
      </c>
      <c r="I304" s="255"/>
      <c r="J304" s="257"/>
      <c r="K304" s="37">
        <v>40700000</v>
      </c>
      <c r="L304" s="193" t="s">
        <v>8</v>
      </c>
      <c r="M304" s="597" t="s">
        <v>24</v>
      </c>
      <c r="N304" s="51" t="str">
        <f>IF(AND('331-CT'!$E$7=TH!H337,OR(L304="331",M304="331")),"331",IF(AND(OR(L304="131",M304="131"),H304='131-CT'!$E$7),"131",""))</f>
        <v/>
      </c>
      <c r="O304" s="887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>x</v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IF(OR(TH!L337=TH!$W$7,M304=TH!$W$7),"x","")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IF(AND(OR(LEFT(TH!L337,2)="15",LEFT(TH!M337,2)="15"),'152-CT'!$J$8=TH!F337),"x","")</f>
        <v/>
      </c>
      <c r="Z304" s="51" t="str">
        <f>IF(AND(OR(LEFT(TH!L337,2)="15",LEFT(TH!M337,2)="15"),TK!$E$7=TH!F337),"x","")</f>
        <v/>
      </c>
      <c r="AA304" s="51" t="str">
        <f>IF(AND(B304&lt;=NKC!$N$8,B304&gt;=NKC!$M$8),"x","")</f>
        <v/>
      </c>
      <c r="AB304" s="909"/>
      <c r="AF304" s="210"/>
      <c r="AG304" s="210"/>
    </row>
    <row r="305" spans="1:33" s="588" customFormat="1" ht="15.75" customHeight="1">
      <c r="A305" s="203" t="str">
        <f>IF(B305&lt;&gt;"",IF(AND(B305&gt;=_TM1,B305&lt;=_TM2,OR(TH!L338="1111",TH!M338="1111")),TH!D338,""),"")</f>
        <v/>
      </c>
      <c r="B305" s="36">
        <f t="shared" si="21"/>
        <v>12</v>
      </c>
      <c r="C305" s="183">
        <f t="shared" si="20"/>
        <v>42718</v>
      </c>
      <c r="D305" s="183" t="s">
        <v>529</v>
      </c>
      <c r="E305" s="190">
        <v>42718</v>
      </c>
      <c r="F305" s="191" t="s">
        <v>539</v>
      </c>
      <c r="G305" s="191" t="s">
        <v>533</v>
      </c>
      <c r="H305" s="192"/>
      <c r="I305" s="255"/>
      <c r="J305" s="257"/>
      <c r="K305" s="37">
        <v>20000</v>
      </c>
      <c r="L305" s="193" t="s">
        <v>83</v>
      </c>
      <c r="M305" s="597" t="s">
        <v>24</v>
      </c>
      <c r="N305" s="51" t="str">
        <f>IF(AND('331-CT'!$E$7=TH!H338,OR(L305="331",M305="331")),"331",IF(AND(OR(L305="131",M305="131"),H305='131-CT'!$E$7),"131",""))</f>
        <v/>
      </c>
      <c r="O305" s="887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>x</v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IF(OR(TH!L338=TH!$W$7,M305=TH!$W$7),"x","")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IF(AND(OR(LEFT(TH!L338,2)="15",LEFT(TH!M338,2)="15"),'152-CT'!$J$8=TH!F338),"x","")</f>
        <v/>
      </c>
      <c r="Z305" s="51" t="str">
        <f>IF(AND(OR(LEFT(TH!L338,2)="15",LEFT(TH!M338,2)="15"),TK!$E$7=TH!F338),"x","")</f>
        <v/>
      </c>
      <c r="AA305" s="51" t="str">
        <f>IF(AND(B305&lt;=NKC!$N$8,B305&gt;=NKC!$M$8),"x","")</f>
        <v/>
      </c>
      <c r="AB305" s="909">
        <v>4</v>
      </c>
      <c r="AF305" s="210"/>
      <c r="AG305" s="210"/>
    </row>
    <row r="306" spans="1:33" s="588" customFormat="1" ht="15.75" customHeight="1">
      <c r="A306" s="203" t="str">
        <f>IF(B306&lt;&gt;"",IF(AND(B306&gt;=_TM1,B306&lt;=_TM2,OR(TH!L339="1111",TH!M339="1111")),TH!D339,""),"")</f>
        <v/>
      </c>
      <c r="B306" s="36">
        <f t="shared" si="21"/>
        <v>12</v>
      </c>
      <c r="C306" s="183">
        <f t="shared" si="20"/>
        <v>42718</v>
      </c>
      <c r="D306" s="183" t="s">
        <v>529</v>
      </c>
      <c r="E306" s="190">
        <v>42718</v>
      </c>
      <c r="F306" s="191" t="s">
        <v>540</v>
      </c>
      <c r="G306" s="191" t="s">
        <v>533</v>
      </c>
      <c r="H306" s="192"/>
      <c r="I306" s="255"/>
      <c r="J306" s="257"/>
      <c r="K306" s="37">
        <v>2000</v>
      </c>
      <c r="L306" s="193" t="s">
        <v>9</v>
      </c>
      <c r="M306" s="597" t="s">
        <v>24</v>
      </c>
      <c r="N306" s="51" t="str">
        <f>IF(AND('331-CT'!$E$7=TH!H339,OR(L306="331",M306="331")),"331",IF(AND(OR(L306="131",M306="131"),H306='131-CT'!$E$7),"131",""))</f>
        <v/>
      </c>
      <c r="O306" s="887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>x</v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IF(OR(TH!L339=TH!$W$7,M306=TH!$W$7),"x","")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IF(AND(OR(LEFT(TH!L339,2)="15",LEFT(TH!M339,2)="15"),'152-CT'!$J$8=TH!F339),"x","")</f>
        <v/>
      </c>
      <c r="Z306" s="51" t="str">
        <f>IF(AND(OR(LEFT(TH!L339,2)="15",LEFT(TH!M339,2)="15"),TK!$E$7=TH!F339),"x","")</f>
        <v/>
      </c>
      <c r="AA306" s="51" t="str">
        <f>IF(AND(B306&lt;=NKC!$N$8,B306&gt;=NKC!$M$8),"x","")</f>
        <v/>
      </c>
      <c r="AB306" s="909">
        <v>4</v>
      </c>
      <c r="AF306" s="210"/>
      <c r="AG306" s="210"/>
    </row>
    <row r="307" spans="1:33" s="588" customFormat="1" ht="15.75" customHeight="1">
      <c r="A307" s="203" t="str">
        <f>IF(B307&lt;&gt;"",IF(AND(B307&gt;=_TM1,B307&lt;=_TM2,OR(TH!L258="1111",TH!M258="1111")),TH!D258,""),"")</f>
        <v/>
      </c>
      <c r="B307" s="36">
        <f t="shared" si="21"/>
        <v>12</v>
      </c>
      <c r="C307" s="183">
        <f t="shared" si="20"/>
        <v>42723</v>
      </c>
      <c r="D307" s="190" t="s">
        <v>1015</v>
      </c>
      <c r="E307" s="183">
        <v>42723</v>
      </c>
      <c r="F307" s="188" t="s">
        <v>503</v>
      </c>
      <c r="G307" s="479" t="s">
        <v>1007</v>
      </c>
      <c r="H307" s="192" t="s">
        <v>501</v>
      </c>
      <c r="I307" s="255">
        <v>6950</v>
      </c>
      <c r="J307" s="255">
        <v>800</v>
      </c>
      <c r="K307" s="37">
        <f>ROUND(I307*J307,0)</f>
        <v>5560000</v>
      </c>
      <c r="L307" s="193" t="s">
        <v>161</v>
      </c>
      <c r="M307" s="193" t="s">
        <v>8</v>
      </c>
      <c r="N307" s="51" t="str">
        <f>IF(AND('331-CT'!$E$7=TH!H258,OR(L307="331",M307="331")),"331",IF(AND(OR(L307="131",M307="131"),H307='131-CT'!$E$7),"131",""))</f>
        <v/>
      </c>
      <c r="O307" s="887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IF(OR(TH!L258=TH!$W$7,M307=TH!$W$7),"x","")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IF(AND(OR(LEFT(TH!L258,2)="15",LEFT(TH!M258,2)="15"),'152-CT'!$J$8=TH!F258),"x","")</f>
        <v/>
      </c>
      <c r="Z307" s="51" t="str">
        <f>IF(AND(OR(LEFT(TH!L258,2)="15",LEFT(TH!M258,2)="15"),TK!$E$7=TH!F258),"x","")</f>
        <v/>
      </c>
      <c r="AA307" s="51" t="str">
        <f>IF(AND(B307&lt;=NKC!$N$8,B307&gt;=NKC!$M$8),"x","")</f>
        <v/>
      </c>
      <c r="AB307" s="909">
        <v>4</v>
      </c>
    </row>
    <row r="308" spans="1:33" s="210" customFormat="1" ht="15.75" customHeight="1">
      <c r="A308" s="203" t="str">
        <f>IF(B308&lt;&gt;"",IF(AND(B308&gt;=_TM1,B308&lt;=_TM2,OR(TH!L259="1111",TH!M259="1111")),TH!D259,""),"")</f>
        <v/>
      </c>
      <c r="B308" s="36">
        <f t="shared" si="21"/>
        <v>12</v>
      </c>
      <c r="C308" s="183">
        <f t="shared" si="20"/>
        <v>42723</v>
      </c>
      <c r="D308" s="190" t="s">
        <v>1015</v>
      </c>
      <c r="E308" s="183">
        <v>42723</v>
      </c>
      <c r="F308" s="188" t="s">
        <v>504</v>
      </c>
      <c r="G308" s="479" t="s">
        <v>1007</v>
      </c>
      <c r="H308" s="192" t="s">
        <v>501</v>
      </c>
      <c r="I308" s="255"/>
      <c r="J308" s="255"/>
      <c r="K308" s="596">
        <v>556000</v>
      </c>
      <c r="L308" s="193" t="s">
        <v>9</v>
      </c>
      <c r="M308" s="193" t="s">
        <v>8</v>
      </c>
      <c r="N308" s="51" t="str">
        <f>IF(AND('331-CT'!$E$7=TH!H259,OR(L308="331",M308="331")),"331",IF(AND(OR(L308="131",M308="131"),H308='131-CT'!$E$7),"131",""))</f>
        <v/>
      </c>
      <c r="O308" s="887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IF(OR(TH!L259=TH!$W$7,M308=TH!$W$7),"x","")</f>
        <v>x</v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IF(AND(OR(LEFT(TH!L259,2)="15",LEFT(TH!M259,2)="15"),'152-CT'!$J$8=TH!F259),"x","")</f>
        <v/>
      </c>
      <c r="Z308" s="51" t="str">
        <f>IF(AND(OR(LEFT(TH!L259,2)="15",LEFT(TH!M259,2)="15"),TK!$E$7=TH!F259),"x","")</f>
        <v/>
      </c>
      <c r="AA308" s="51" t="str">
        <f>IF(AND(B308&lt;=NKC!$N$8,B308&gt;=NKC!$M$8),"x","")</f>
        <v/>
      </c>
      <c r="AB308" s="909">
        <v>4</v>
      </c>
      <c r="AC308" s="588"/>
      <c r="AD308" s="588"/>
      <c r="AE308" s="588"/>
      <c r="AF308" s="588"/>
      <c r="AG308" s="588"/>
    </row>
    <row r="309" spans="1:33" s="210" customFormat="1" ht="15.75" customHeight="1">
      <c r="A309" s="203" t="str">
        <f>IF(B309&lt;&gt;"",IF(AND(B309&gt;=_TM1,B309&lt;=_TM2,OR(TH!L317="1111",TH!M317="1111")),TH!D317,""),"")</f>
        <v/>
      </c>
      <c r="B309" s="36">
        <f t="shared" si="21"/>
        <v>12</v>
      </c>
      <c r="C309" s="183">
        <f t="shared" si="20"/>
        <v>42723</v>
      </c>
      <c r="D309" s="183" t="s">
        <v>528</v>
      </c>
      <c r="E309" s="190">
        <v>42723</v>
      </c>
      <c r="F309" s="188" t="s">
        <v>530</v>
      </c>
      <c r="G309" s="191" t="s">
        <v>533</v>
      </c>
      <c r="H309" s="192" t="s">
        <v>547</v>
      </c>
      <c r="I309" s="255"/>
      <c r="J309" s="257"/>
      <c r="K309" s="37">
        <v>11400000</v>
      </c>
      <c r="L309" s="193" t="s">
        <v>24</v>
      </c>
      <c r="M309" s="597" t="s">
        <v>47</v>
      </c>
      <c r="N309" s="51" t="str">
        <f>IF(AND('331-CT'!$E$7=TH!H317,OR(L309="331",M309="331")),"331",IF(AND(OR(L309="131",M309="131"),H309='131-CT'!$E$7),"131",""))</f>
        <v/>
      </c>
      <c r="O309" s="887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>x</v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IF(OR(TH!L317=TH!$W$7,M309=TH!$W$7),"x","")</f>
        <v>x</v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IF(AND(OR(LEFT(TH!L317,2)="15",LEFT(TH!M317,2)="15"),'152-CT'!$J$8=TH!F317),"x","")</f>
        <v/>
      </c>
      <c r="Z309" s="51" t="str">
        <f>IF(AND(OR(LEFT(TH!L317,2)="15",LEFT(TH!M317,2)="15"),TK!$E$7=TH!F317),"x","")</f>
        <v/>
      </c>
      <c r="AA309" s="51" t="str">
        <f>IF(AND(B309&lt;=NKC!$N$8,B309&gt;=NKC!$M$8),"x","")</f>
        <v/>
      </c>
      <c r="AB309" s="909"/>
      <c r="AC309" s="588"/>
      <c r="AD309" s="588"/>
      <c r="AE309" s="588"/>
    </row>
    <row r="310" spans="1:33" s="588" customFormat="1" ht="15.75" customHeight="1">
      <c r="A310" s="203" t="str">
        <f>IF(B310&lt;&gt;"",IF(AND(B310&gt;=_TM1,B310&lt;=_TM2,OR(TH!L332="1111",TH!M332="1111")),TH!D332,""),"")</f>
        <v/>
      </c>
      <c r="B310" s="36">
        <f t="shared" si="21"/>
        <v>12</v>
      </c>
      <c r="C310" s="183">
        <f t="shared" si="20"/>
        <v>42723</v>
      </c>
      <c r="D310" s="183" t="s">
        <v>529</v>
      </c>
      <c r="E310" s="190">
        <v>42723</v>
      </c>
      <c r="F310" s="191" t="s">
        <v>1039</v>
      </c>
      <c r="G310" s="191" t="s">
        <v>533</v>
      </c>
      <c r="H310" s="192" t="s">
        <v>684</v>
      </c>
      <c r="I310" s="255"/>
      <c r="J310" s="257"/>
      <c r="K310" s="37">
        <v>11286770</v>
      </c>
      <c r="L310" s="193" t="s">
        <v>56</v>
      </c>
      <c r="M310" s="597" t="s">
        <v>24</v>
      </c>
      <c r="N310" s="51" t="str">
        <f>IF(AND('331-CT'!$E$7=TH!H332,OR(L310="331",M310="331")),"331",IF(AND(OR(L310="131",M310="131"),H310='131-CT'!$E$7),"131",""))</f>
        <v/>
      </c>
      <c r="O310" s="887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>x</v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IF(OR(TH!L332=TH!$W$7,M310=TH!$W$7),"x","")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IF(AND(OR(LEFT(TH!L332,2)="15",LEFT(TH!M332,2)="15"),'152-CT'!$J$8=TH!F332),"x","")</f>
        <v/>
      </c>
      <c r="Z310" s="51" t="str">
        <f>IF(AND(OR(LEFT(TH!L332,2)="15",LEFT(TH!M332,2)="15"),TK!$E$7=TH!F332),"x","")</f>
        <v/>
      </c>
      <c r="AA310" s="51" t="str">
        <f>IF(AND(B310&lt;=NKC!$N$8,B310&gt;=NKC!$M$8),"x","")</f>
        <v/>
      </c>
      <c r="AB310" s="909"/>
      <c r="AF310" s="210"/>
      <c r="AG310" s="210"/>
    </row>
    <row r="311" spans="1:33" s="588" customFormat="1" ht="15.75" customHeight="1">
      <c r="A311" s="203" t="str">
        <f>IF(B311&lt;&gt;"",IF(AND(B311&gt;=_TM1,B311&lt;=_TM2,OR(TH!L335="1111",TH!M335="1111")),TH!D335,""),"")</f>
        <v/>
      </c>
      <c r="B311" s="36">
        <f t="shared" si="21"/>
        <v>12</v>
      </c>
      <c r="C311" s="183">
        <f t="shared" si="20"/>
        <v>42723</v>
      </c>
      <c r="D311" s="183" t="s">
        <v>529</v>
      </c>
      <c r="E311" s="190">
        <v>42723</v>
      </c>
      <c r="F311" s="191" t="s">
        <v>545</v>
      </c>
      <c r="G311" s="191" t="s">
        <v>533</v>
      </c>
      <c r="H311" s="192"/>
      <c r="I311" s="255"/>
      <c r="J311" s="257"/>
      <c r="K311" s="37">
        <v>20000</v>
      </c>
      <c r="L311" s="193" t="s">
        <v>83</v>
      </c>
      <c r="M311" s="597" t="s">
        <v>24</v>
      </c>
      <c r="N311" s="51" t="str">
        <f>IF(AND('331-CT'!$E$7=TH!H335,OR(L311="331",M311="331")),"331",IF(AND(OR(L311="131",M311="131"),H311='131-CT'!$E$7),"131",""))</f>
        <v/>
      </c>
      <c r="O311" s="887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>x</v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IF(OR(TH!L335=TH!$W$7,M311=TH!$W$7),"x","")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IF(AND(OR(LEFT(TH!L335,2)="15",LEFT(TH!M335,2)="15"),'152-CT'!$J$8=TH!F335),"x","")</f>
        <v/>
      </c>
      <c r="Z311" s="51" t="str">
        <f>IF(AND(OR(LEFT(TH!L335,2)="15",LEFT(TH!M335,2)="15"),TK!$E$7=TH!F335),"x","")</f>
        <v/>
      </c>
      <c r="AA311" s="51" t="str">
        <f>IF(AND(B311&lt;=NKC!$N$8,B311&gt;=NKC!$M$8),"x","")</f>
        <v/>
      </c>
      <c r="AB311" s="909">
        <v>4</v>
      </c>
      <c r="AF311" s="210"/>
      <c r="AG311" s="210"/>
    </row>
    <row r="312" spans="1:33" s="588" customFormat="1" ht="15.75" customHeight="1">
      <c r="A312" s="203" t="str">
        <f>IF(B312&lt;&gt;"",IF(AND(B312&gt;=_TM1,B312&lt;=_TM2,OR(TH!L336="1111",TH!M336="1111")),TH!D336,""),"")</f>
        <v/>
      </c>
      <c r="B312" s="36">
        <f t="shared" si="21"/>
        <v>12</v>
      </c>
      <c r="C312" s="183">
        <f t="shared" si="20"/>
        <v>42723</v>
      </c>
      <c r="D312" s="183" t="s">
        <v>529</v>
      </c>
      <c r="E312" s="190">
        <v>42723</v>
      </c>
      <c r="F312" s="191" t="s">
        <v>546</v>
      </c>
      <c r="G312" s="191" t="s">
        <v>533</v>
      </c>
      <c r="H312" s="192"/>
      <c r="I312" s="255"/>
      <c r="J312" s="257"/>
      <c r="K312" s="37">
        <v>2000</v>
      </c>
      <c r="L312" s="193" t="s">
        <v>9</v>
      </c>
      <c r="M312" s="597" t="s">
        <v>24</v>
      </c>
      <c r="N312" s="51" t="str">
        <f>IF(AND('331-CT'!$E$7=TH!H336,OR(L312="331",M312="331")),"331",IF(AND(OR(L312="131",M312="131"),H312='131-CT'!$E$7),"131",""))</f>
        <v/>
      </c>
      <c r="O312" s="887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>x</v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IF(OR(TH!L336=TH!$W$7,M312=TH!$W$7),"x","")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IF(AND(OR(LEFT(TH!L336,2)="15",LEFT(TH!M336,2)="15"),'152-CT'!$J$8=TH!F336),"x","")</f>
        <v/>
      </c>
      <c r="Z312" s="51" t="str">
        <f>IF(AND(OR(LEFT(TH!L336,2)="15",LEFT(TH!M336,2)="15"),TK!$E$7=TH!F336),"x","")</f>
        <v/>
      </c>
      <c r="AA312" s="51" t="str">
        <f>IF(AND(B312&lt;=NKC!$N$8,B312&gt;=NKC!$M$8),"x","")</f>
        <v/>
      </c>
      <c r="AB312" s="909">
        <v>4</v>
      </c>
      <c r="AF312" s="210"/>
      <c r="AG312" s="210"/>
    </row>
    <row r="313" spans="1:33" s="588" customFormat="1" ht="15.75" customHeight="1">
      <c r="A313" s="203" t="str">
        <f>IF(B313&lt;&gt;"",IF(AND(B313&gt;=_TM1,B313&lt;=_TM2,OR(TH!L316="1111",TH!M316="1111")),TH!D316,""),"")</f>
        <v/>
      </c>
      <c r="B313" s="36">
        <f t="shared" si="21"/>
        <v>12</v>
      </c>
      <c r="C313" s="183">
        <f t="shared" ref="C313:C342" si="22">E313</f>
        <v>42724</v>
      </c>
      <c r="D313" s="183" t="s">
        <v>528</v>
      </c>
      <c r="E313" s="190">
        <v>42724</v>
      </c>
      <c r="F313" s="188" t="s">
        <v>530</v>
      </c>
      <c r="G313" s="191" t="s">
        <v>533</v>
      </c>
      <c r="H313" s="192" t="s">
        <v>547</v>
      </c>
      <c r="I313" s="255"/>
      <c r="J313" s="257"/>
      <c r="K313" s="37">
        <v>30000000</v>
      </c>
      <c r="L313" s="193" t="s">
        <v>24</v>
      </c>
      <c r="M313" s="597" t="s">
        <v>47</v>
      </c>
      <c r="N313" s="51" t="str">
        <f>IF(AND('331-CT'!$E$7=TH!H316,OR(L313="331",M313="331")),"331",IF(AND(OR(L313="131",M313="131"),H313='131-CT'!$E$7),"131",""))</f>
        <v/>
      </c>
      <c r="O313" s="887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>x</v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IF(OR(TH!L316=TH!$W$7,M313=TH!$W$7),"x","")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IF(AND(OR(LEFT(TH!L316,2)="15",LEFT(TH!M316,2)="15"),'152-CT'!$J$8=TH!F316),"x","")</f>
        <v/>
      </c>
      <c r="Z313" s="51" t="str">
        <f>IF(AND(OR(LEFT(TH!L316,2)="15",LEFT(TH!M316,2)="15"),TK!$E$7=TH!F316),"x","")</f>
        <v/>
      </c>
      <c r="AA313" s="51" t="str">
        <f>IF(AND(B313&lt;=NKC!$N$8,B313&gt;=NKC!$M$8),"x","")</f>
        <v/>
      </c>
      <c r="AB313" s="909"/>
      <c r="AF313" s="210"/>
      <c r="AG313" s="210"/>
    </row>
    <row r="314" spans="1:33" s="588" customFormat="1" ht="15.75" customHeight="1">
      <c r="A314" s="203" t="str">
        <f>IF(B314&lt;&gt;"",IF(AND(B314&gt;=_TM1,B314&lt;=_TM2,OR(TH!L327="1111",TH!M327="1111")),TH!D327,""),"")</f>
        <v/>
      </c>
      <c r="B314" s="36">
        <f t="shared" si="21"/>
        <v>12</v>
      </c>
      <c r="C314" s="183">
        <f t="shared" si="22"/>
        <v>42724</v>
      </c>
      <c r="D314" s="183" t="s">
        <v>529</v>
      </c>
      <c r="E314" s="190">
        <v>42724</v>
      </c>
      <c r="F314" s="191" t="s">
        <v>524</v>
      </c>
      <c r="G314" s="191" t="s">
        <v>533</v>
      </c>
      <c r="H314" s="192"/>
      <c r="I314" s="255"/>
      <c r="J314" s="257"/>
      <c r="K314" s="37">
        <v>30000000</v>
      </c>
      <c r="L314" s="193" t="s">
        <v>8</v>
      </c>
      <c r="M314" s="597" t="s">
        <v>24</v>
      </c>
      <c r="N314" s="51" t="str">
        <f>IF(AND('331-CT'!$E$7=TH!H327,OR(L314="331",M314="331")),"331",IF(AND(OR(L314="131",M314="131"),H314='131-CT'!$E$7),"131",""))</f>
        <v/>
      </c>
      <c r="O314" s="887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>x</v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IF(OR(TH!L327=TH!$W$7,M314=TH!$W$7),"x","")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IF(AND(OR(LEFT(TH!L327,2)="15",LEFT(TH!M327,2)="15"),'152-CT'!$J$8=TH!F327),"x","")</f>
        <v/>
      </c>
      <c r="Z314" s="51" t="str">
        <f>IF(AND(OR(LEFT(TH!L327,2)="15",LEFT(TH!M327,2)="15"),TK!$E$7=TH!F327),"x","")</f>
        <v/>
      </c>
      <c r="AA314" s="51" t="str">
        <f>IF(AND(B314&lt;=NKC!$N$8,B314&gt;=NKC!$M$8),"x","")</f>
        <v/>
      </c>
      <c r="AB314" s="909"/>
      <c r="AF314" s="210"/>
      <c r="AG314" s="210"/>
    </row>
    <row r="315" spans="1:33" s="588" customFormat="1" ht="15.75" customHeight="1">
      <c r="A315" s="203" t="str">
        <f>IF(B315&lt;&gt;"",IF(AND(B315&gt;=_TM1,B315&lt;=_TM2,OR(TH!L328="1111",TH!M328="1111")),TH!D328,""),"")</f>
        <v/>
      </c>
      <c r="B315" s="36">
        <f t="shared" si="21"/>
        <v>12</v>
      </c>
      <c r="C315" s="183">
        <f t="shared" si="22"/>
        <v>42724</v>
      </c>
      <c r="D315" s="183" t="s">
        <v>529</v>
      </c>
      <c r="E315" s="190">
        <v>42724</v>
      </c>
      <c r="F315" s="191" t="s">
        <v>539</v>
      </c>
      <c r="G315" s="191" t="s">
        <v>533</v>
      </c>
      <c r="H315" s="192"/>
      <c r="I315" s="255"/>
      <c r="J315" s="257"/>
      <c r="K315" s="37">
        <v>20000</v>
      </c>
      <c r="L315" s="193" t="s">
        <v>83</v>
      </c>
      <c r="M315" s="597" t="s">
        <v>24</v>
      </c>
      <c r="N315" s="51" t="str">
        <f>IF(AND('331-CT'!$E$7=TH!H328,OR(L315="331",M315="331")),"331",IF(AND(OR(L315="131",M315="131"),H315='131-CT'!$E$7),"131",""))</f>
        <v/>
      </c>
      <c r="O315" s="887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>x</v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IF(OR(TH!L328=TH!$W$7,M315=TH!$W$7),"x","")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IF(AND(OR(LEFT(TH!L328,2)="15",LEFT(TH!M328,2)="15"),'152-CT'!$J$8=TH!F328),"x","")</f>
        <v/>
      </c>
      <c r="Z315" s="51" t="str">
        <f>IF(AND(OR(LEFT(TH!L328,2)="15",LEFT(TH!M328,2)="15"),TK!$E$7=TH!F328),"x","")</f>
        <v/>
      </c>
      <c r="AA315" s="51" t="str">
        <f>IF(AND(B315&lt;=NKC!$N$8,B315&gt;=NKC!$M$8),"x","")</f>
        <v/>
      </c>
      <c r="AB315" s="909">
        <v>4</v>
      </c>
      <c r="AF315" s="210"/>
      <c r="AG315" s="210"/>
    </row>
    <row r="316" spans="1:33" s="588" customFormat="1" ht="15.75" customHeight="1">
      <c r="A316" s="203" t="str">
        <f>IF(B316&lt;&gt;"",IF(AND(B316&gt;=_TM1,B316&lt;=_TM2,OR(TH!L329="1111",TH!M329="1111")),TH!D329,""),"")</f>
        <v/>
      </c>
      <c r="B316" s="36">
        <f t="shared" si="21"/>
        <v>12</v>
      </c>
      <c r="C316" s="183">
        <f t="shared" si="22"/>
        <v>42724</v>
      </c>
      <c r="D316" s="183" t="s">
        <v>529</v>
      </c>
      <c r="E316" s="190">
        <v>42724</v>
      </c>
      <c r="F316" s="191" t="s">
        <v>540</v>
      </c>
      <c r="G316" s="191" t="s">
        <v>533</v>
      </c>
      <c r="H316" s="192"/>
      <c r="I316" s="255"/>
      <c r="J316" s="257"/>
      <c r="K316" s="37">
        <v>2000</v>
      </c>
      <c r="L316" s="193" t="s">
        <v>9</v>
      </c>
      <c r="M316" s="597" t="s">
        <v>24</v>
      </c>
      <c r="N316" s="51" t="str">
        <f>IF(AND('331-CT'!$E$7=TH!H329,OR(L316="331",M316="331")),"331",IF(AND(OR(L316="131",M316="131"),H316='131-CT'!$E$7),"131",""))</f>
        <v/>
      </c>
      <c r="O316" s="887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>x</v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IF(OR(TH!L329=TH!$W$7,M316=TH!$W$7),"x","")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IF(AND(OR(LEFT(TH!L329,2)="15",LEFT(TH!M329,2)="15"),'152-CT'!$J$8=TH!F329),"x","")</f>
        <v/>
      </c>
      <c r="Z316" s="51" t="str">
        <f>IF(AND(OR(LEFT(TH!L329,2)="15",LEFT(TH!M329,2)="15"),TK!$E$7=TH!F329),"x","")</f>
        <v/>
      </c>
      <c r="AA316" s="51" t="str">
        <f>IF(AND(B316&lt;=NKC!$N$8,B316&gt;=NKC!$M$8),"x","")</f>
        <v/>
      </c>
      <c r="AB316" s="909">
        <v>4</v>
      </c>
      <c r="AF316" s="210"/>
      <c r="AG316" s="210"/>
    </row>
    <row r="317" spans="1:33" s="588" customFormat="1" ht="15.75" customHeight="1">
      <c r="A317" s="203" t="str">
        <f>IF(B317&lt;&gt;"",IF(AND(B317&gt;=_TM1,B317&lt;=_TM2,OR(TH!L330="1111",TH!M330="1111")),TH!D330,""),"")</f>
        <v/>
      </c>
      <c r="B317" s="36">
        <f t="shared" si="21"/>
        <v>12</v>
      </c>
      <c r="C317" s="183">
        <f t="shared" si="22"/>
        <v>42724</v>
      </c>
      <c r="D317" s="183" t="s">
        <v>529</v>
      </c>
      <c r="E317" s="190">
        <v>42724</v>
      </c>
      <c r="F317" s="191" t="s">
        <v>545</v>
      </c>
      <c r="G317" s="191" t="s">
        <v>533</v>
      </c>
      <c r="H317" s="192"/>
      <c r="I317" s="255"/>
      <c r="J317" s="257"/>
      <c r="K317" s="37">
        <v>20000</v>
      </c>
      <c r="L317" s="193" t="s">
        <v>83</v>
      </c>
      <c r="M317" s="597" t="s">
        <v>24</v>
      </c>
      <c r="N317" s="51" t="str">
        <f>IF(AND('331-CT'!$E$7=TH!H330,OR(L317="331",M317="331")),"331",IF(AND(OR(L317="131",M317="131"),H317='131-CT'!$E$7),"131",""))</f>
        <v/>
      </c>
      <c r="O317" s="887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>x</v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IF(OR(TH!L330=TH!$W$7,M317=TH!$W$7),"x","")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IF(AND(OR(LEFT(TH!L330,2)="15",LEFT(TH!M330,2)="15"),'152-CT'!$J$8=TH!F330),"x","")</f>
        <v/>
      </c>
      <c r="Z317" s="51" t="str">
        <f>IF(AND(OR(LEFT(TH!L330,2)="15",LEFT(TH!M330,2)="15"),TK!$E$7=TH!F330),"x","")</f>
        <v/>
      </c>
      <c r="AA317" s="51" t="str">
        <f>IF(AND(B317&lt;=NKC!$N$8,B317&gt;=NKC!$M$8),"x","")</f>
        <v/>
      </c>
      <c r="AB317" s="909">
        <v>4</v>
      </c>
      <c r="AF317" s="210"/>
      <c r="AG317" s="210"/>
    </row>
    <row r="318" spans="1:33" s="588" customFormat="1" ht="15.75" customHeight="1">
      <c r="A318" s="203" t="str">
        <f>IF(B318&lt;&gt;"",IF(AND(B318&gt;=_TM1,B318&lt;=_TM2,OR(TH!L331="1111",TH!M331="1111")),TH!D331,""),"")</f>
        <v/>
      </c>
      <c r="B318" s="36">
        <f t="shared" si="21"/>
        <v>12</v>
      </c>
      <c r="C318" s="183">
        <f t="shared" si="22"/>
        <v>42724</v>
      </c>
      <c r="D318" s="183" t="s">
        <v>529</v>
      </c>
      <c r="E318" s="190">
        <v>42724</v>
      </c>
      <c r="F318" s="191" t="s">
        <v>546</v>
      </c>
      <c r="G318" s="191" t="s">
        <v>533</v>
      </c>
      <c r="H318" s="192"/>
      <c r="I318" s="255"/>
      <c r="J318" s="257"/>
      <c r="K318" s="37">
        <v>2000</v>
      </c>
      <c r="L318" s="193" t="s">
        <v>9</v>
      </c>
      <c r="M318" s="597" t="s">
        <v>24</v>
      </c>
      <c r="N318" s="51" t="str">
        <f>IF(AND('331-CT'!$E$7=TH!H331,OR(L318="331",M318="331")),"331",IF(AND(OR(L318="131",M318="131"),H318='131-CT'!$E$7),"131",""))</f>
        <v/>
      </c>
      <c r="O318" s="887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>x</v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IF(OR(TH!L331=TH!$W$7,M318=TH!$W$7),"x","")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IF(AND(OR(LEFT(TH!L331,2)="15",LEFT(TH!M331,2)="15"),'152-CT'!$J$8=TH!F331),"x","")</f>
        <v/>
      </c>
      <c r="Z318" s="51" t="str">
        <f>IF(AND(OR(LEFT(TH!L331,2)="15",LEFT(TH!M331,2)="15"),TK!$E$7=TH!F331),"x","")</f>
        <v/>
      </c>
      <c r="AA318" s="51" t="str">
        <f>IF(AND(B318&lt;=NKC!$N$8,B318&gt;=NKC!$M$8),"x","")</f>
        <v/>
      </c>
      <c r="AB318" s="909">
        <v>4</v>
      </c>
      <c r="AF318" s="210"/>
      <c r="AG318" s="210"/>
    </row>
    <row r="319" spans="1:33" s="588" customFormat="1" ht="15.75" customHeight="1">
      <c r="A319" s="203" t="str">
        <f>IF(B319&lt;&gt;"",IF(AND(B319&gt;=_TM1,B319&lt;=_TM2,OR(TH!L315="1111",TH!M315="1111")),TH!D315,""),"")</f>
        <v/>
      </c>
      <c r="B319" s="36">
        <f t="shared" si="21"/>
        <v>12</v>
      </c>
      <c r="C319" s="183">
        <f t="shared" si="22"/>
        <v>42726</v>
      </c>
      <c r="D319" s="183" t="s">
        <v>528</v>
      </c>
      <c r="E319" s="190">
        <v>42726</v>
      </c>
      <c r="F319" s="188" t="s">
        <v>1038</v>
      </c>
      <c r="G319" s="191" t="s">
        <v>533</v>
      </c>
      <c r="H319" s="192"/>
      <c r="I319" s="255"/>
      <c r="J319" s="257"/>
      <c r="K319" s="37">
        <v>11286770</v>
      </c>
      <c r="L319" s="193" t="s">
        <v>24</v>
      </c>
      <c r="M319" s="597" t="s">
        <v>56</v>
      </c>
      <c r="N319" s="51" t="str">
        <f>IF(AND('331-CT'!$E$7=TH!H315,OR(L319="331",M319="331")),"331",IF(AND(OR(L319="131",M319="131"),H319='131-CT'!$E$7),"131",""))</f>
        <v/>
      </c>
      <c r="O319" s="887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>x</v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IF(OR(TH!L315=TH!$W$7,M319=TH!$W$7),"x","")</f>
        <v>x</v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IF(AND(OR(LEFT(TH!L315,2)="15",LEFT(TH!M315,2)="15"),'152-CT'!$J$8=TH!F315),"x","")</f>
        <v/>
      </c>
      <c r="Z319" s="51" t="str">
        <f>IF(AND(OR(LEFT(TH!L315,2)="15",LEFT(TH!M315,2)="15"),TK!$E$7=TH!F315),"x","")</f>
        <v/>
      </c>
      <c r="AA319" s="51" t="str">
        <f>IF(AND(B319&lt;=NKC!$N$8,B319&gt;=NKC!$M$8),"x","")</f>
        <v/>
      </c>
      <c r="AB319" s="909"/>
      <c r="AF319" s="210"/>
      <c r="AG319" s="210"/>
    </row>
    <row r="320" spans="1:33" s="588" customFormat="1" ht="15.75" customHeight="1">
      <c r="A320" s="203" t="str">
        <f>IF(B320&lt;&gt;"",IF(AND(B320&gt;=_TM1,B320&lt;=_TM2,OR(TH!L326="1111",TH!M326="1111")),TH!D326,""),"")</f>
        <v/>
      </c>
      <c r="B320" s="36">
        <f t="shared" si="21"/>
        <v>12</v>
      </c>
      <c r="C320" s="183">
        <f t="shared" si="22"/>
        <v>42726</v>
      </c>
      <c r="D320" s="183" t="s">
        <v>529</v>
      </c>
      <c r="E320" s="190">
        <v>42726</v>
      </c>
      <c r="F320" s="191" t="s">
        <v>544</v>
      </c>
      <c r="G320" s="191" t="s">
        <v>533</v>
      </c>
      <c r="H320" s="192" t="s">
        <v>547</v>
      </c>
      <c r="I320" s="255"/>
      <c r="J320" s="257"/>
      <c r="K320" s="37">
        <v>11300000</v>
      </c>
      <c r="L320" s="193" t="s">
        <v>47</v>
      </c>
      <c r="M320" s="597" t="s">
        <v>24</v>
      </c>
      <c r="N320" s="51" t="str">
        <f>IF(AND('331-CT'!$E$7=TH!H326,OR(L320="331",M320="331")),"331",IF(AND(OR(L320="131",M320="131"),H320='131-CT'!$E$7),"131",""))</f>
        <v/>
      </c>
      <c r="O320" s="887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>x</v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IF(OR(TH!L326=TH!$W$7,M320=TH!$W$7),"x","")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IF(AND(OR(LEFT(TH!L326,2)="15",LEFT(TH!M326,2)="15"),'152-CT'!$J$8=TH!F326),"x","")</f>
        <v/>
      </c>
      <c r="Z320" s="51" t="str">
        <f>IF(AND(OR(LEFT(TH!L326,2)="15",LEFT(TH!M326,2)="15"),TK!$E$7=TH!F326),"x","")</f>
        <v/>
      </c>
      <c r="AA320" s="51" t="str">
        <f>IF(AND(B320&lt;=NKC!$N$8,B320&gt;=NKC!$M$8),"x","")</f>
        <v/>
      </c>
      <c r="AB320" s="909"/>
      <c r="AF320" s="210"/>
      <c r="AG320" s="210"/>
    </row>
    <row r="321" spans="1:33" s="588" customFormat="1" ht="15.75" customHeight="1">
      <c r="A321" s="203" t="str">
        <f>IF(B321&lt;&gt;"",IF(AND(B321&gt;=_TM1,B321&lt;=_TM2,OR(TH!L260="1111",TH!M260="1111")),TH!D260,""),"")</f>
        <v/>
      </c>
      <c r="B321" s="36">
        <f t="shared" si="21"/>
        <v>12</v>
      </c>
      <c r="C321" s="183">
        <f t="shared" si="22"/>
        <v>42730</v>
      </c>
      <c r="D321" s="190"/>
      <c r="E321" s="190">
        <v>42730</v>
      </c>
      <c r="F321" s="188" t="s">
        <v>835</v>
      </c>
      <c r="G321" s="481" t="s">
        <v>1004</v>
      </c>
      <c r="H321" s="209" t="s">
        <v>1005</v>
      </c>
      <c r="I321" s="255"/>
      <c r="J321" s="255"/>
      <c r="K321" s="37">
        <v>5005727</v>
      </c>
      <c r="L321" s="193" t="s">
        <v>261</v>
      </c>
      <c r="M321" s="597" t="s">
        <v>47</v>
      </c>
      <c r="N321" s="51" t="str">
        <f>IF(AND('331-CT'!$E$7=TH!H260,OR(L321="331",M321="331")),"331",IF(AND(OR(L321="131",M321="131"),H321='131-CT'!$E$7),"131",""))</f>
        <v/>
      </c>
      <c r="O321" s="887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IF(OR(TH!L260=TH!$W$7,M321=TH!$W$7),"x","")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IF(AND(OR(LEFT(TH!L260,2)="15",LEFT(TH!M260,2)="15"),'152-CT'!$J$8=TH!F260),"x","")</f>
        <v/>
      </c>
      <c r="Z321" s="51" t="str">
        <f>IF(AND(OR(LEFT(TH!L260,2)="15",LEFT(TH!M260,2)="15"),TK!$E$7=TH!F260),"x","")</f>
        <v/>
      </c>
      <c r="AA321" s="51" t="str">
        <f>IF(AND(B321&lt;=NKC!$N$8,B321&gt;=NKC!$M$8),"x","")</f>
        <v/>
      </c>
      <c r="AB321" s="909">
        <v>4</v>
      </c>
      <c r="AD321" s="210"/>
      <c r="AE321" s="210"/>
      <c r="AF321" s="210"/>
      <c r="AG321" s="210"/>
    </row>
    <row r="322" spans="1:33" s="588" customFormat="1" ht="15.75" customHeight="1">
      <c r="A322" s="203" t="str">
        <f>IF(B322&lt;&gt;"",IF(AND(B322&gt;=_TM1,B322&lt;=_TM2,OR(TH!L261="1111",TH!M261="1111")),TH!D261,""),"")</f>
        <v/>
      </c>
      <c r="B322" s="36">
        <f t="shared" si="21"/>
        <v>12</v>
      </c>
      <c r="C322" s="183">
        <f t="shared" si="22"/>
        <v>42730</v>
      </c>
      <c r="D322" s="190"/>
      <c r="E322" s="190">
        <v>42730</v>
      </c>
      <c r="F322" s="188" t="s">
        <v>836</v>
      </c>
      <c r="G322" s="481" t="s">
        <v>1004</v>
      </c>
      <c r="H322" s="209" t="s">
        <v>1005</v>
      </c>
      <c r="I322" s="255"/>
      <c r="J322" s="255"/>
      <c r="K322" s="37">
        <v>500573</v>
      </c>
      <c r="L322" s="193" t="s">
        <v>9</v>
      </c>
      <c r="M322" s="597" t="s">
        <v>47</v>
      </c>
      <c r="N322" s="51" t="str">
        <f>IF(AND('331-CT'!$E$7=TH!H261,OR(L322="331",M322="331")),"331",IF(AND(OR(L322="131",M322="131"),H322='131-CT'!$E$7),"131",""))</f>
        <v/>
      </c>
      <c r="O322" s="887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IF(OR(TH!L261=TH!$W$7,M322=TH!$W$7),"x","")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IF(AND(OR(LEFT(TH!L261,2)="15",LEFT(TH!M261,2)="15"),'152-CT'!$J$8=TH!F261),"x","")</f>
        <v/>
      </c>
      <c r="Z322" s="51" t="str">
        <f>IF(AND(OR(LEFT(TH!L261,2)="15",LEFT(TH!M261,2)="15"),TK!$E$7=TH!F261),"x","")</f>
        <v/>
      </c>
      <c r="AA322" s="51" t="str">
        <f>IF(AND(B322&lt;=NKC!$N$8,B322&gt;=NKC!$M$8),"x","")</f>
        <v/>
      </c>
      <c r="AB322" s="909">
        <v>4</v>
      </c>
      <c r="AE322" s="210"/>
      <c r="AF322" s="210"/>
      <c r="AG322" s="210"/>
    </row>
    <row r="323" spans="1:33" s="588" customFormat="1" ht="15.75" customHeight="1">
      <c r="A323" s="203" t="str">
        <f>IF(B323&lt;&gt;"",IF(AND(B323&gt;=_TM1,B323&lt;=_TM2,OR(TH!L262="1111",TH!M262="1111")),TH!D262,""),"")</f>
        <v/>
      </c>
      <c r="B323" s="36">
        <f t="shared" si="21"/>
        <v>12</v>
      </c>
      <c r="C323" s="183">
        <f t="shared" si="22"/>
        <v>42730</v>
      </c>
      <c r="D323" s="190" t="s">
        <v>1016</v>
      </c>
      <c r="E323" s="190">
        <v>42730</v>
      </c>
      <c r="F323" s="188" t="s">
        <v>927</v>
      </c>
      <c r="G323" s="481" t="s">
        <v>828</v>
      </c>
      <c r="H323" s="192" t="s">
        <v>928</v>
      </c>
      <c r="I323" s="255">
        <v>400</v>
      </c>
      <c r="J323" s="255">
        <v>23500</v>
      </c>
      <c r="K323" s="37">
        <f>ROUND(I323*J323,0)</f>
        <v>9400000</v>
      </c>
      <c r="L323" s="193" t="s">
        <v>161</v>
      </c>
      <c r="M323" s="193" t="s">
        <v>8</v>
      </c>
      <c r="N323" s="51" t="str">
        <f>IF(AND('331-CT'!$E$7=TH!H262,OR(L323="331",M323="331")),"331",IF(AND(OR(L323="131",M323="131"),H323='131-CT'!$E$7),"131",""))</f>
        <v/>
      </c>
      <c r="O323" s="887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IF(OR(TH!L262=TH!$W$7,M323=TH!$W$7),"x","")</f>
        <v>x</v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IF(AND(OR(LEFT(TH!L262,2)="15",LEFT(TH!M262,2)="15"),'152-CT'!$J$8=TH!F262),"x","")</f>
        <v/>
      </c>
      <c r="Z323" s="51" t="str">
        <f>IF(AND(OR(LEFT(TH!L262,2)="15",LEFT(TH!M262,2)="15"),TK!$E$7=TH!F262),"x","")</f>
        <v/>
      </c>
      <c r="AA323" s="51" t="str">
        <f>IF(AND(B323&lt;=NKC!$N$8,B323&gt;=NKC!$M$8),"x","")</f>
        <v/>
      </c>
      <c r="AB323" s="909">
        <v>4</v>
      </c>
      <c r="AE323" s="210"/>
      <c r="AF323" s="210"/>
      <c r="AG323" s="210"/>
    </row>
    <row r="324" spans="1:33" s="588" customFormat="1" ht="15.75" customHeight="1">
      <c r="A324" s="203" t="str">
        <f>IF(B324&lt;&gt;"",IF(AND(B324&gt;=_TM1,B324&lt;=_TM2,OR(TH!L263="1111",TH!M263="1111")),TH!D263,""),"")</f>
        <v/>
      </c>
      <c r="B324" s="36">
        <f t="shared" si="21"/>
        <v>12</v>
      </c>
      <c r="C324" s="183">
        <f t="shared" si="22"/>
        <v>42730</v>
      </c>
      <c r="D324" s="190" t="s">
        <v>1016</v>
      </c>
      <c r="E324" s="190">
        <v>42730</v>
      </c>
      <c r="F324" s="188" t="s">
        <v>926</v>
      </c>
      <c r="G324" s="481" t="s">
        <v>828</v>
      </c>
      <c r="H324" s="192" t="s">
        <v>928</v>
      </c>
      <c r="I324" s="255"/>
      <c r="J324" s="255"/>
      <c r="K324" s="37">
        <v>940000</v>
      </c>
      <c r="L324" s="193" t="s">
        <v>9</v>
      </c>
      <c r="M324" s="193" t="s">
        <v>8</v>
      </c>
      <c r="N324" s="51" t="str">
        <f>IF(AND('331-CT'!$E$7=TH!H263,OR(L324="331",M324="331")),"331",IF(AND(OR(L324="131",M324="131"),H324='131-CT'!$E$7),"131",""))</f>
        <v/>
      </c>
      <c r="O324" s="887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IF(OR(TH!L263=TH!$W$7,M324=TH!$W$7),"x","")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IF(AND(OR(LEFT(TH!L263,2)="15",LEFT(TH!M263,2)="15"),'152-CT'!$J$8=TH!F263),"x","")</f>
        <v/>
      </c>
      <c r="Z324" s="51" t="str">
        <f>IF(AND(OR(LEFT(TH!L263,2)="15",LEFT(TH!M263,2)="15"),TK!$E$7=TH!F263),"x","")</f>
        <v/>
      </c>
      <c r="AA324" s="51" t="str">
        <f>IF(AND(B324&lt;=NKC!$N$8,B324&gt;=NKC!$M$8),"x","")</f>
        <v/>
      </c>
      <c r="AB324" s="909">
        <v>4</v>
      </c>
      <c r="AE324" s="210"/>
      <c r="AF324" s="210"/>
      <c r="AG324" s="210"/>
    </row>
    <row r="325" spans="1:33" s="588" customFormat="1" ht="15.75" customHeight="1">
      <c r="A325" s="203" t="str">
        <f>IF(B325&lt;&gt;"",IF(AND(B325&gt;=_TM1,B325&lt;=_TM2,OR(TH!L264="1111",TH!M264="1111")),TH!D264,""),"")</f>
        <v/>
      </c>
      <c r="B325" s="36">
        <f t="shared" si="21"/>
        <v>12</v>
      </c>
      <c r="C325" s="183">
        <f t="shared" si="22"/>
        <v>42730</v>
      </c>
      <c r="D325" s="190"/>
      <c r="E325" s="190">
        <v>42730</v>
      </c>
      <c r="F325" s="191" t="s">
        <v>524</v>
      </c>
      <c r="G325" s="481" t="s">
        <v>828</v>
      </c>
      <c r="H325" s="192" t="s">
        <v>928</v>
      </c>
      <c r="I325" s="255"/>
      <c r="J325" s="255"/>
      <c r="K325" s="37">
        <v>10340000</v>
      </c>
      <c r="L325" s="193" t="s">
        <v>8</v>
      </c>
      <c r="M325" s="597" t="s">
        <v>47</v>
      </c>
      <c r="N325" s="51" t="str">
        <f>IF(AND('331-CT'!$E$7=TH!H264,OR(L325="331",M325="331")),"331",IF(AND(OR(L325="131",M325="131"),H325='131-CT'!$E$7),"131",""))</f>
        <v/>
      </c>
      <c r="O325" s="887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IF(OR(TH!L264=TH!$W$7,M325=TH!$W$7),"x","")</f>
        <v>x</v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IF(AND(OR(LEFT(TH!L264,2)="15",LEFT(TH!M264,2)="15"),'152-CT'!$J$8=TH!F264),"x","")</f>
        <v/>
      </c>
      <c r="Z325" s="51" t="str">
        <f>IF(AND(OR(LEFT(TH!L264,2)="15",LEFT(TH!M264,2)="15"),TK!$E$7=TH!F264),"x","")</f>
        <v/>
      </c>
      <c r="AA325" s="51" t="str">
        <f>IF(AND(B325&lt;=NKC!$N$8,B325&gt;=NKC!$M$8),"x","")</f>
        <v/>
      </c>
      <c r="AB325" s="909"/>
      <c r="AD325" s="210"/>
      <c r="AE325" s="210"/>
      <c r="AF325" s="210"/>
      <c r="AG325" s="210"/>
    </row>
    <row r="326" spans="1:33" s="588" customFormat="1" ht="15.75" customHeight="1">
      <c r="A326" s="203" t="str">
        <f>IF(B326&lt;&gt;"",IF(AND(B326&gt;=_TM1,B326&lt;=_TM2,OR(TH!L265="1111",TH!M265="1111")),TH!D265,""),"")</f>
        <v/>
      </c>
      <c r="B326" s="36">
        <f t="shared" si="21"/>
        <v>12</v>
      </c>
      <c r="C326" s="183">
        <f t="shared" si="22"/>
        <v>42731</v>
      </c>
      <c r="D326" s="190" t="s">
        <v>1017</v>
      </c>
      <c r="E326" s="190">
        <v>42731</v>
      </c>
      <c r="F326" s="188" t="s">
        <v>929</v>
      </c>
      <c r="G326" s="481" t="s">
        <v>829</v>
      </c>
      <c r="H326" s="192" t="s">
        <v>928</v>
      </c>
      <c r="I326" s="255">
        <v>2000</v>
      </c>
      <c r="J326" s="255">
        <v>9000</v>
      </c>
      <c r="K326" s="37">
        <f>ROUND(I326*J326,0)</f>
        <v>18000000</v>
      </c>
      <c r="L326" s="193" t="s">
        <v>161</v>
      </c>
      <c r="M326" s="193" t="s">
        <v>8</v>
      </c>
      <c r="N326" s="51" t="str">
        <f>IF(AND('331-CT'!$E$7=TH!H265,OR(L326="331",M326="331")),"331",IF(AND(OR(L326="131",M326="131"),H326='131-CT'!$E$7),"131",""))</f>
        <v/>
      </c>
      <c r="O326" s="887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IF(OR(TH!L265=TH!$W$7,M326=TH!$W$7),"x","")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IF(AND(OR(LEFT(TH!L265,2)="15",LEFT(TH!M265,2)="15"),'152-CT'!$J$8=TH!F265),"x","")</f>
        <v/>
      </c>
      <c r="Z326" s="51" t="str">
        <f>IF(AND(OR(LEFT(TH!L265,2)="15",LEFT(TH!M265,2)="15"),TK!$E$7=TH!F265),"x","")</f>
        <v/>
      </c>
      <c r="AA326" s="51" t="str">
        <f>IF(AND(B326&lt;=NKC!$N$8,B326&gt;=NKC!$M$8),"x","")</f>
        <v/>
      </c>
      <c r="AB326" s="909">
        <v>4</v>
      </c>
      <c r="AE326" s="210"/>
      <c r="AF326" s="210"/>
      <c r="AG326" s="210"/>
    </row>
    <row r="327" spans="1:33" s="588" customFormat="1" ht="15.75" customHeight="1">
      <c r="A327" s="203" t="str">
        <f>IF(B327&lt;&gt;"",IF(AND(B327&gt;=_TM1,B327&lt;=_TM2,OR(TH!L266="1111",TH!M266="1111")),TH!D266,""),"")</f>
        <v/>
      </c>
      <c r="B327" s="36">
        <f t="shared" si="21"/>
        <v>12</v>
      </c>
      <c r="C327" s="183">
        <f t="shared" si="22"/>
        <v>42731</v>
      </c>
      <c r="D327" s="190" t="s">
        <v>1017</v>
      </c>
      <c r="E327" s="190">
        <v>42731</v>
      </c>
      <c r="F327" s="188" t="s">
        <v>936</v>
      </c>
      <c r="G327" s="481" t="s">
        <v>829</v>
      </c>
      <c r="H327" s="192" t="s">
        <v>928</v>
      </c>
      <c r="I327" s="255"/>
      <c r="J327" s="255"/>
      <c r="K327" s="37">
        <v>1800000</v>
      </c>
      <c r="L327" s="193" t="s">
        <v>9</v>
      </c>
      <c r="M327" s="193" t="s">
        <v>8</v>
      </c>
      <c r="N327" s="51" t="str">
        <f>IF(AND('331-CT'!$E$7=TH!H266,OR(L327="331",M327="331")),"331",IF(AND(OR(L327="131",M327="131"),H327='131-CT'!$E$7),"131",""))</f>
        <v/>
      </c>
      <c r="O327" s="887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IF(OR(TH!L266=TH!$W$7,M327=TH!$W$7),"x","")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IF(AND(OR(LEFT(TH!L266,2)="15",LEFT(TH!M266,2)="15"),'152-CT'!$J$8=TH!F266),"x","")</f>
        <v/>
      </c>
      <c r="Z327" s="51" t="str">
        <f>IF(AND(OR(LEFT(TH!L266,2)="15",LEFT(TH!M266,2)="15"),TK!$E$7=TH!F266),"x","")</f>
        <v/>
      </c>
      <c r="AA327" s="51" t="str">
        <f>IF(AND(B327&lt;=NKC!$N$8,B327&gt;=NKC!$M$8),"x","")</f>
        <v/>
      </c>
      <c r="AB327" s="909">
        <v>4</v>
      </c>
      <c r="AE327" s="210"/>
      <c r="AF327" s="210"/>
      <c r="AG327" s="210"/>
    </row>
    <row r="328" spans="1:33" s="588" customFormat="1" ht="15.75" customHeight="1">
      <c r="A328" s="203" t="str">
        <f>IF(B328&lt;&gt;"",IF(AND(B328&gt;=_TM1,B328&lt;=_TM2,OR(TH!L267="1111",TH!M267="1111")),TH!D267,""),"")</f>
        <v/>
      </c>
      <c r="B328" s="36">
        <f t="shared" si="21"/>
        <v>12</v>
      </c>
      <c r="C328" s="183">
        <f t="shared" si="22"/>
        <v>42731</v>
      </c>
      <c r="D328" s="190"/>
      <c r="E328" s="190">
        <v>42731</v>
      </c>
      <c r="F328" s="191" t="s">
        <v>524</v>
      </c>
      <c r="G328" s="481" t="s">
        <v>829</v>
      </c>
      <c r="H328" s="192" t="s">
        <v>928</v>
      </c>
      <c r="I328" s="255"/>
      <c r="J328" s="255"/>
      <c r="K328" s="37">
        <v>19800000</v>
      </c>
      <c r="L328" s="193" t="s">
        <v>8</v>
      </c>
      <c r="M328" s="597" t="s">
        <v>47</v>
      </c>
      <c r="N328" s="51" t="str">
        <f>IF(AND('331-CT'!$E$7=TH!H267,OR(L328="331",M328="331")),"331",IF(AND(OR(L328="131",M328="131"),H328='131-CT'!$E$7),"131",""))</f>
        <v/>
      </c>
      <c r="O328" s="887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IF(OR(TH!L267=TH!$W$7,M328=TH!$W$7),"x","")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IF(AND(OR(LEFT(TH!L267,2)="15",LEFT(TH!M267,2)="15"),'152-CT'!$J$8=TH!F267),"x","")</f>
        <v/>
      </c>
      <c r="Z328" s="51" t="str">
        <f>IF(AND(OR(LEFT(TH!L267,2)="15",LEFT(TH!M267,2)="15"),TK!$E$7=TH!F267),"x","")</f>
        <v/>
      </c>
      <c r="AA328" s="51" t="str">
        <f>IF(AND(B328&lt;=NKC!$N$8,B328&gt;=NKC!$M$8),"x","")</f>
        <v/>
      </c>
      <c r="AB328" s="909"/>
      <c r="AD328" s="210"/>
      <c r="AE328" s="210"/>
      <c r="AF328" s="210"/>
      <c r="AG328" s="210"/>
    </row>
    <row r="329" spans="1:33" s="588" customFormat="1" ht="15.75" customHeight="1">
      <c r="A329" s="203" t="str">
        <f>IF(B329&lt;&gt;"",IF(AND(B329&gt;=_TM1,B329&lt;=_TM2,OR(TH!L314="1111",TH!M314="1111")),TH!D314,""),"")</f>
        <v/>
      </c>
      <c r="B329" s="36">
        <f t="shared" si="21"/>
        <v>12</v>
      </c>
      <c r="C329" s="183">
        <f t="shared" si="22"/>
        <v>42731</v>
      </c>
      <c r="D329" s="183" t="s">
        <v>528</v>
      </c>
      <c r="E329" s="190">
        <v>42731</v>
      </c>
      <c r="F329" s="188" t="s">
        <v>543</v>
      </c>
      <c r="G329" s="191" t="s">
        <v>533</v>
      </c>
      <c r="H329" s="7" t="s">
        <v>683</v>
      </c>
      <c r="I329" s="255"/>
      <c r="J329" s="257"/>
      <c r="K329" s="37">
        <v>5689640</v>
      </c>
      <c r="L329" s="193" t="s">
        <v>24</v>
      </c>
      <c r="M329" s="597" t="s">
        <v>259</v>
      </c>
      <c r="N329" s="51" t="str">
        <f>IF(AND('331-CT'!$E$7=TH!H314,OR(L329="331",M329="331")),"331",IF(AND(OR(L329="131",M329="131"),H329='131-CT'!$E$7),"131",""))</f>
        <v/>
      </c>
      <c r="O329" s="887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>x</v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IF(OR(TH!L314=TH!$W$7,M329=TH!$W$7),"x","")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IF(AND(OR(LEFT(TH!L314,2)="15",LEFT(TH!M314,2)="15"),'152-CT'!$J$8=TH!F314),"x","")</f>
        <v/>
      </c>
      <c r="Z329" s="51" t="str">
        <f>IF(AND(OR(LEFT(TH!L314,2)="15",LEFT(TH!M314,2)="15"),TK!$E$7=TH!F314),"x","")</f>
        <v/>
      </c>
      <c r="AA329" s="51" t="str">
        <f>IF(AND(B329&lt;=NKC!$N$8,B329&gt;=NKC!$M$8),"x","")</f>
        <v/>
      </c>
      <c r="AB329" s="909"/>
      <c r="AF329" s="210"/>
      <c r="AG329" s="210"/>
    </row>
    <row r="330" spans="1:33" s="588" customFormat="1" ht="15.75" customHeight="1">
      <c r="A330" s="203" t="str">
        <f>IF(B330&lt;&gt;"",IF(AND(B330&gt;=_TM1,B330&lt;=_TM2,OR(TH!L268="1111",TH!M268="1111")),TH!D268,""),"")</f>
        <v/>
      </c>
      <c r="B330" s="36">
        <f t="shared" si="21"/>
        <v>12</v>
      </c>
      <c r="C330" s="183">
        <f t="shared" si="22"/>
        <v>42732</v>
      </c>
      <c r="D330" s="190" t="s">
        <v>1018</v>
      </c>
      <c r="E330" s="183">
        <v>42732</v>
      </c>
      <c r="F330" s="188" t="s">
        <v>503</v>
      </c>
      <c r="G330" s="479" t="s">
        <v>1003</v>
      </c>
      <c r="H330" s="192" t="s">
        <v>501</v>
      </c>
      <c r="I330" s="255">
        <v>19710</v>
      </c>
      <c r="J330" s="255">
        <v>800</v>
      </c>
      <c r="K330" s="37">
        <f>ROUND(I330*J330,0)</f>
        <v>15768000</v>
      </c>
      <c r="L330" s="193" t="s">
        <v>161</v>
      </c>
      <c r="M330" s="193" t="s">
        <v>8</v>
      </c>
      <c r="N330" s="51" t="str">
        <f>IF(AND('331-CT'!$E$7=TH!H268,OR(L330="331",M330="331")),"331",IF(AND(OR(L330="131",M330="131"),H330='131-CT'!$E$7),"131",""))</f>
        <v/>
      </c>
      <c r="O330" s="887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IF(OR(TH!L268=TH!$W$7,M330=TH!$W$7),"x","")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IF(AND(OR(LEFT(TH!L268,2)="15",LEFT(TH!M268,2)="15"),'152-CT'!$J$8=TH!F268),"x","")</f>
        <v/>
      </c>
      <c r="Z330" s="51" t="str">
        <f>IF(AND(OR(LEFT(TH!L268,2)="15",LEFT(TH!M268,2)="15"),TK!$E$7=TH!F268),"x","")</f>
        <v/>
      </c>
      <c r="AA330" s="51" t="str">
        <f>IF(AND(B330&lt;=NKC!$N$8,B330&gt;=NKC!$M$8),"x","")</f>
        <v/>
      </c>
      <c r="AB330" s="909">
        <v>4</v>
      </c>
    </row>
    <row r="331" spans="1:33" s="588" customFormat="1" ht="15.75" customHeight="1">
      <c r="A331" s="203" t="str">
        <f>IF(B331&lt;&gt;"",IF(AND(B331&gt;=_TM1,B331&lt;=_TM2,OR(TH!L269="1111",TH!M269="1111")),TH!D269,""),"")</f>
        <v/>
      </c>
      <c r="B331" s="36">
        <f t="shared" si="21"/>
        <v>12</v>
      </c>
      <c r="C331" s="183">
        <f t="shared" si="22"/>
        <v>42732</v>
      </c>
      <c r="D331" s="190" t="s">
        <v>1018</v>
      </c>
      <c r="E331" s="183">
        <v>42732</v>
      </c>
      <c r="F331" s="188" t="s">
        <v>504</v>
      </c>
      <c r="G331" s="479" t="s">
        <v>1003</v>
      </c>
      <c r="H331" s="192" t="s">
        <v>501</v>
      </c>
      <c r="I331" s="255"/>
      <c r="J331" s="255"/>
      <c r="K331" s="596">
        <v>1576800</v>
      </c>
      <c r="L331" s="193" t="s">
        <v>9</v>
      </c>
      <c r="M331" s="193" t="s">
        <v>8</v>
      </c>
      <c r="N331" s="51" t="str">
        <f>IF(AND('331-CT'!$E$7=TH!H269,OR(L331="331",M331="331")),"331",IF(AND(OR(L331="131",M331="131"),H331='131-CT'!$E$7),"131",""))</f>
        <v/>
      </c>
      <c r="O331" s="887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IF(OR(TH!L269=TH!$W$7,M331=TH!$W$7),"x","")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IF(AND(OR(LEFT(TH!L269,2)="15",LEFT(TH!M269,2)="15"),'152-CT'!$J$8=TH!F269),"x","")</f>
        <v/>
      </c>
      <c r="Z331" s="51" t="str">
        <f>IF(AND(OR(LEFT(TH!L269,2)="15",LEFT(TH!M269,2)="15"),TK!$E$7=TH!F269),"x","")</f>
        <v/>
      </c>
      <c r="AA331" s="51" t="str">
        <f>IF(AND(B331&lt;=NKC!$N$8,B331&gt;=NKC!$M$8),"x","")</f>
        <v/>
      </c>
      <c r="AB331" s="909">
        <v>4</v>
      </c>
    </row>
    <row r="332" spans="1:33" s="588" customFormat="1" ht="15.75" customHeight="1">
      <c r="A332" s="203" t="str">
        <f>IF(B332&lt;&gt;"",IF(AND(B332&gt;=_TM1,B332&lt;=_TM2,OR(TH!L325="1111",TH!M325="1111")),TH!D325,""),"")</f>
        <v/>
      </c>
      <c r="B332" s="36">
        <f t="shared" si="21"/>
        <v>12</v>
      </c>
      <c r="C332" s="183">
        <f t="shared" si="22"/>
        <v>42732</v>
      </c>
      <c r="D332" s="183" t="s">
        <v>529</v>
      </c>
      <c r="E332" s="190">
        <v>42732</v>
      </c>
      <c r="F332" s="191" t="s">
        <v>544</v>
      </c>
      <c r="G332" s="191" t="s">
        <v>533</v>
      </c>
      <c r="H332" s="192" t="s">
        <v>547</v>
      </c>
      <c r="I332" s="255"/>
      <c r="J332" s="257"/>
      <c r="K332" s="37">
        <v>5500000</v>
      </c>
      <c r="L332" s="193" t="s">
        <v>47</v>
      </c>
      <c r="M332" s="597" t="s">
        <v>24</v>
      </c>
      <c r="N332" s="51" t="str">
        <f>IF(AND('331-CT'!$E$7=TH!H325,OR(L332="331",M332="331")),"331",IF(AND(OR(L332="131",M332="131"),H332='131-CT'!$E$7),"131",""))</f>
        <v/>
      </c>
      <c r="O332" s="887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>x</v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IF(OR(TH!L325=TH!$W$7,M332=TH!$W$7),"x","")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IF(AND(OR(LEFT(TH!L325,2)="15",LEFT(TH!M325,2)="15"),'152-CT'!$J$8=TH!F325),"x","")</f>
        <v/>
      </c>
      <c r="Z332" s="51" t="str">
        <f>IF(AND(OR(LEFT(TH!L325,2)="15",LEFT(TH!M325,2)="15"),TK!$E$7=TH!F325),"x","")</f>
        <v/>
      </c>
      <c r="AA332" s="51" t="str">
        <f>IF(AND(B332&lt;=NKC!$N$8,B332&gt;=NKC!$M$8),"x","")</f>
        <v/>
      </c>
      <c r="AB332" s="909"/>
      <c r="AF332" s="210"/>
      <c r="AG332" s="210"/>
    </row>
    <row r="333" spans="1:33" s="588" customFormat="1" ht="15.75" customHeight="1">
      <c r="A333" s="203" t="str">
        <f>IF(B333&lt;&gt;"",IF(AND(B333&gt;=_TM1,B333&lt;=_TM2,OR(TH!L313="1111",TH!M313="1111")),TH!D313,""),"")</f>
        <v/>
      </c>
      <c r="B333" s="36">
        <f t="shared" si="21"/>
        <v>12</v>
      </c>
      <c r="C333" s="183">
        <f t="shared" si="22"/>
        <v>42733</v>
      </c>
      <c r="D333" s="183" t="s">
        <v>528</v>
      </c>
      <c r="E333" s="190">
        <v>42733</v>
      </c>
      <c r="F333" s="188" t="s">
        <v>543</v>
      </c>
      <c r="G333" s="191" t="s">
        <v>533</v>
      </c>
      <c r="H333" s="7" t="s">
        <v>959</v>
      </c>
      <c r="I333" s="255"/>
      <c r="J333" s="257"/>
      <c r="K333" s="37">
        <v>9494100</v>
      </c>
      <c r="L333" s="193" t="s">
        <v>24</v>
      </c>
      <c r="M333" s="597" t="s">
        <v>259</v>
      </c>
      <c r="N333" s="51" t="str">
        <f>IF(AND('331-CT'!$E$7=TH!H313,OR(L333="331",M333="331")),"331",IF(AND(OR(L333="131",M333="131"),H333='131-CT'!$E$7),"131",""))</f>
        <v/>
      </c>
      <c r="O333" s="887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>x</v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IF(OR(TH!L313=TH!$W$7,M333=TH!$W$7),"x","")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IF(AND(OR(LEFT(TH!L313,2)="15",LEFT(TH!M313,2)="15"),'152-CT'!$J$8=TH!F313),"x","")</f>
        <v/>
      </c>
      <c r="Z333" s="51" t="str">
        <f>IF(AND(OR(LEFT(TH!L313,2)="15",LEFT(TH!M313,2)="15"),TK!$E$7=TH!F313),"x","")</f>
        <v/>
      </c>
      <c r="AA333" s="51" t="str">
        <f>IF(AND(B333&lt;=NKC!$N$8,B333&gt;=NKC!$M$8),"x","")</f>
        <v/>
      </c>
      <c r="AB333" s="909"/>
      <c r="AF333" s="210"/>
      <c r="AG333" s="210"/>
    </row>
    <row r="334" spans="1:33" s="588" customFormat="1" ht="15.75" customHeight="1">
      <c r="A334" s="203" t="str">
        <f>IF(B334&lt;&gt;"",IF(AND(B334&gt;=_TM1,B334&lt;=_TM2,OR(TH!L270="1111",TH!M270="1111")),TH!D270,""),"")</f>
        <v/>
      </c>
      <c r="B334" s="36">
        <f t="shared" si="21"/>
        <v>12</v>
      </c>
      <c r="C334" s="183">
        <f t="shared" si="22"/>
        <v>42734</v>
      </c>
      <c r="D334" s="190" t="s">
        <v>1019</v>
      </c>
      <c r="E334" s="183">
        <v>42734</v>
      </c>
      <c r="F334" s="188" t="s">
        <v>503</v>
      </c>
      <c r="G334" s="479" t="s">
        <v>1006</v>
      </c>
      <c r="H334" s="192" t="s">
        <v>501</v>
      </c>
      <c r="I334" s="255">
        <v>7860</v>
      </c>
      <c r="J334" s="255">
        <v>800</v>
      </c>
      <c r="K334" s="37">
        <f>ROUND(I334*J334,0)</f>
        <v>6288000</v>
      </c>
      <c r="L334" s="193" t="s">
        <v>161</v>
      </c>
      <c r="M334" s="193" t="s">
        <v>8</v>
      </c>
      <c r="N334" s="51" t="str">
        <f>IF(AND('331-CT'!$E$7=TH!H270,OR(L334="331",M334="331")),"331",IF(AND(OR(L334="131",M334="131"),H334='131-CT'!$E$7),"131",""))</f>
        <v/>
      </c>
      <c r="O334" s="887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IF(OR(TH!L270=TH!$W$7,M334=TH!$W$7),"x","")</f>
        <v>x</v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IF(AND(OR(LEFT(TH!L270,2)="15",LEFT(TH!M270,2)="15"),'152-CT'!$J$8=TH!F270),"x","")</f>
        <v/>
      </c>
      <c r="Z334" s="51" t="str">
        <f>IF(AND(OR(LEFT(TH!L270,2)="15",LEFT(TH!M270,2)="15"),TK!$E$7=TH!F270),"x","")</f>
        <v/>
      </c>
      <c r="AA334" s="51" t="str">
        <f>IF(AND(B334&lt;=NKC!$N$8,B334&gt;=NKC!$M$8),"x","")</f>
        <v/>
      </c>
      <c r="AB334" s="909">
        <v>4</v>
      </c>
    </row>
    <row r="335" spans="1:33" s="588" customFormat="1" ht="15.75" customHeight="1">
      <c r="A335" s="203" t="str">
        <f>IF(B335&lt;&gt;"",IF(AND(B335&gt;=_TM1,B335&lt;=_TM2,OR(TH!L271="1111",TH!M271="1111")),TH!D271,""),"")</f>
        <v/>
      </c>
      <c r="B335" s="36">
        <f t="shared" si="21"/>
        <v>12</v>
      </c>
      <c r="C335" s="183">
        <f t="shared" si="22"/>
        <v>42734</v>
      </c>
      <c r="D335" s="190" t="s">
        <v>1019</v>
      </c>
      <c r="E335" s="183">
        <v>42734</v>
      </c>
      <c r="F335" s="188" t="s">
        <v>504</v>
      </c>
      <c r="G335" s="479" t="s">
        <v>1006</v>
      </c>
      <c r="H335" s="192" t="s">
        <v>501</v>
      </c>
      <c r="I335" s="255"/>
      <c r="J335" s="255"/>
      <c r="K335" s="596">
        <v>628800</v>
      </c>
      <c r="L335" s="193" t="s">
        <v>9</v>
      </c>
      <c r="M335" s="193" t="s">
        <v>8</v>
      </c>
      <c r="N335" s="51" t="str">
        <f>IF(AND('331-CT'!$E$7=TH!H271,OR(L335="331",M335="331")),"331",IF(AND(OR(L335="131",M335="131"),H335='131-CT'!$E$7),"131",""))</f>
        <v/>
      </c>
      <c r="O335" s="887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IF(OR(TH!L271=TH!$W$7,M335=TH!$W$7),"x","")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IF(AND(OR(LEFT(TH!L271,2)="15",LEFT(TH!M271,2)="15"),'152-CT'!$J$8=TH!F271),"x","")</f>
        <v/>
      </c>
      <c r="Z335" s="51" t="str">
        <f>IF(AND(OR(LEFT(TH!L271,2)="15",LEFT(TH!M271,2)="15"),TK!$E$7=TH!F271),"x","")</f>
        <v/>
      </c>
      <c r="AA335" s="51" t="str">
        <f>IF(AND(B335&lt;=NKC!$N$8,B335&gt;=NKC!$M$8),"x","")</f>
        <v/>
      </c>
      <c r="AB335" s="909">
        <v>4</v>
      </c>
    </row>
    <row r="336" spans="1:33" s="588" customFormat="1" ht="15.75" customHeight="1">
      <c r="A336" s="203" t="str">
        <f>IF(B336&lt;&gt;"",IF(AND(B336&gt;=_TM1,B336&lt;=_TM2,OR(TH!L312="1111",TH!M312="1111")),TH!D312,""),"")</f>
        <v/>
      </c>
      <c r="B336" s="36">
        <f t="shared" si="21"/>
        <v>12</v>
      </c>
      <c r="C336" s="183">
        <f t="shared" si="22"/>
        <v>42734</v>
      </c>
      <c r="D336" s="183" t="s">
        <v>528</v>
      </c>
      <c r="E336" s="190">
        <v>42734</v>
      </c>
      <c r="F336" s="188" t="s">
        <v>543</v>
      </c>
      <c r="G336" s="191" t="s">
        <v>533</v>
      </c>
      <c r="H336" s="7" t="s">
        <v>911</v>
      </c>
      <c r="I336" s="255"/>
      <c r="J336" s="257"/>
      <c r="K336" s="37">
        <v>14794287</v>
      </c>
      <c r="L336" s="193" t="s">
        <v>24</v>
      </c>
      <c r="M336" s="597" t="s">
        <v>259</v>
      </c>
      <c r="N336" s="51" t="str">
        <f>IF(AND('331-CT'!$E$7=TH!H312,OR(L336="331",M336="331")),"331",IF(AND(OR(L336="131",M336="131"),H336='131-CT'!$E$7),"131",""))</f>
        <v/>
      </c>
      <c r="O336" s="887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>x</v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IF(OR(TH!L312=TH!$W$7,M336=TH!$W$7),"x","")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IF(AND(OR(LEFT(TH!L312,2)="15",LEFT(TH!M312,2)="15"),'152-CT'!$J$8=TH!F312),"x","")</f>
        <v/>
      </c>
      <c r="Z336" s="51" t="str">
        <f>IF(AND(OR(LEFT(TH!L312,2)="15",LEFT(TH!M312,2)="15"),TK!$E$7=TH!F312),"x","")</f>
        <v/>
      </c>
      <c r="AA336" s="51" t="str">
        <f>IF(AND(B336&lt;=NKC!$N$8,B336&gt;=NKC!$M$8),"x","")</f>
        <v/>
      </c>
      <c r="AB336" s="909"/>
      <c r="AF336" s="210"/>
      <c r="AG336" s="210"/>
    </row>
    <row r="337" spans="1:33" s="588" customFormat="1" ht="15.75" customHeight="1">
      <c r="A337" s="203" t="str">
        <f>IF(B337&lt;&gt;"",IF(AND(B337&gt;=_TM1,B337&lt;=_TM2,OR(TH!L324="1111",TH!M324="1111")),TH!D324,""),"")</f>
        <v/>
      </c>
      <c r="B337" s="36">
        <f t="shared" si="21"/>
        <v>12</v>
      </c>
      <c r="C337" s="183">
        <f t="shared" si="22"/>
        <v>42734</v>
      </c>
      <c r="D337" s="183" t="s">
        <v>529</v>
      </c>
      <c r="E337" s="190">
        <v>42734</v>
      </c>
      <c r="F337" s="191" t="s">
        <v>544</v>
      </c>
      <c r="G337" s="191" t="s">
        <v>533</v>
      </c>
      <c r="H337" s="192" t="s">
        <v>534</v>
      </c>
      <c r="I337" s="255"/>
      <c r="J337" s="257"/>
      <c r="K337" s="37">
        <v>9500000</v>
      </c>
      <c r="L337" s="193" t="s">
        <v>47</v>
      </c>
      <c r="M337" s="597" t="s">
        <v>24</v>
      </c>
      <c r="N337" s="51" t="str">
        <f>IF(AND('331-CT'!$E$7=TH!H324,OR(L337="331",M337="331")),"331",IF(AND(OR(L337="131",M337="131"),H337='131-CT'!$E$7),"131",""))</f>
        <v/>
      </c>
      <c r="O337" s="887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>x</v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IF(OR(TH!L324=TH!$W$7,M337=TH!$W$7),"x","")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IF(AND(OR(LEFT(TH!L324,2)="15",LEFT(TH!M324,2)="15"),'152-CT'!$J$8=TH!F324),"x","")</f>
        <v/>
      </c>
      <c r="Z337" s="51" t="str">
        <f>IF(AND(OR(LEFT(TH!L324,2)="15",LEFT(TH!M324,2)="15"),TK!$E$7=TH!F324),"x","")</f>
        <v/>
      </c>
      <c r="AA337" s="51" t="str">
        <f>IF(AND(B337&lt;=NKC!$N$8,B337&gt;=NKC!$M$8),"x","")</f>
        <v/>
      </c>
      <c r="AB337" s="909"/>
      <c r="AF337" s="210"/>
      <c r="AG337" s="210"/>
    </row>
    <row r="338" spans="1:33" s="588" customFormat="1" ht="15.75" customHeight="1">
      <c r="A338" s="203" t="str">
        <f>IF(B338&lt;&gt;"",IF(AND(B338&gt;=_TM1,B338&lt;=_TM2,OR(TH!L272="1111",TH!M272="1111")),TH!D272,""),"")</f>
        <v/>
      </c>
      <c r="B338" s="36">
        <f t="shared" si="21"/>
        <v>12</v>
      </c>
      <c r="C338" s="183">
        <f t="shared" si="22"/>
        <v>42735</v>
      </c>
      <c r="D338" s="190" t="s">
        <v>1020</v>
      </c>
      <c r="E338" s="183">
        <v>42735</v>
      </c>
      <c r="F338" s="188" t="s">
        <v>944</v>
      </c>
      <c r="G338" s="481" t="s">
        <v>1021</v>
      </c>
      <c r="H338" s="7" t="s">
        <v>946</v>
      </c>
      <c r="I338" s="255">
        <v>25500</v>
      </c>
      <c r="J338" s="255">
        <v>8400</v>
      </c>
      <c r="K338" s="37">
        <f>ROUND(I338*J338,0)</f>
        <v>214200000</v>
      </c>
      <c r="L338" s="193" t="s">
        <v>159</v>
      </c>
      <c r="M338" s="597" t="s">
        <v>8</v>
      </c>
      <c r="N338" s="51" t="str">
        <f>IF(AND('331-CT'!$E$7=TH!H272,OR(L338="331",M338="331")),"331",IF(AND(OR(L338="131",M338="131"),H338='131-CT'!$E$7),"131",""))</f>
        <v/>
      </c>
      <c r="O338" s="887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IF(OR(TH!L272=TH!$W$7,M338=TH!$W$7),"x","")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IF(AND(OR(LEFT(TH!L272,2)="15",LEFT(TH!M272,2)="15"),'152-CT'!$J$8=TH!F272),"x","")</f>
        <v/>
      </c>
      <c r="Z338" s="51" t="str">
        <f>IF(AND(OR(LEFT(TH!L272,2)="15",LEFT(TH!M272,2)="15"),TK!$E$7=TH!F272),"x","")</f>
        <v/>
      </c>
      <c r="AA338" s="51" t="str">
        <f>IF(AND(B338&lt;=NKC!$N$8,B338&gt;=NKC!$M$8),"x","")</f>
        <v/>
      </c>
      <c r="AB338" s="909">
        <v>4</v>
      </c>
      <c r="AE338" s="210"/>
      <c r="AF338" s="210"/>
      <c r="AG338" s="210"/>
    </row>
    <row r="339" spans="1:33" s="588" customFormat="1" ht="15.75" customHeight="1">
      <c r="A339" s="203" t="str">
        <f>IF(B339&lt;&gt;"",IF(AND(B339&gt;=_TM1,B339&lt;=_TM2,OR(TH!L273="1111",TH!M273="1111")),TH!D273,""),"")</f>
        <v/>
      </c>
      <c r="B339" s="36">
        <f t="shared" si="21"/>
        <v>12</v>
      </c>
      <c r="C339" s="183">
        <f t="shared" si="22"/>
        <v>42735</v>
      </c>
      <c r="D339" s="190" t="s">
        <v>1020</v>
      </c>
      <c r="E339" s="183">
        <v>42735</v>
      </c>
      <c r="F339" s="188" t="s">
        <v>945</v>
      </c>
      <c r="G339" s="481" t="s">
        <v>1021</v>
      </c>
      <c r="H339" s="7" t="s">
        <v>946</v>
      </c>
      <c r="I339" s="255"/>
      <c r="J339" s="255"/>
      <c r="K339" s="37">
        <v>21420000</v>
      </c>
      <c r="L339" s="193" t="s">
        <v>9</v>
      </c>
      <c r="M339" s="193" t="s">
        <v>8</v>
      </c>
      <c r="N339" s="51" t="str">
        <f>IF(AND('331-CT'!$E$7=TH!H273,OR(L339="331",M339="331")),"331",IF(AND(OR(L339="131",M339="131"),H339='131-CT'!$E$7),"131",""))</f>
        <v/>
      </c>
      <c r="O339" s="887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IF(OR(TH!L273=TH!$W$7,M339=TH!$W$7),"x","")</f>
        <v>x</v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IF(AND(OR(LEFT(TH!L273,2)="15",LEFT(TH!M273,2)="15"),'152-CT'!$J$8=TH!F273),"x","")</f>
        <v/>
      </c>
      <c r="Z339" s="51" t="str">
        <f>IF(AND(OR(LEFT(TH!L273,2)="15",LEFT(TH!M273,2)="15"),TK!$E$7=TH!F273),"x","")</f>
        <v/>
      </c>
      <c r="AA339" s="51" t="str">
        <f>IF(AND(B339&lt;=NKC!$N$8,B339&gt;=NKC!$M$8),"x","")</f>
        <v/>
      </c>
      <c r="AB339" s="909">
        <v>4</v>
      </c>
      <c r="AE339" s="210"/>
      <c r="AF339" s="210"/>
      <c r="AG339" s="210"/>
    </row>
    <row r="340" spans="1:33" s="588" customFormat="1" ht="15.75" customHeight="1">
      <c r="A340" s="203" t="str">
        <f>IF(B340&lt;&gt;"",IF(AND(B340&gt;=_TM1,B340&lt;=_TM2,OR(TH!L311="1111",TH!M311="1111")),TH!D311,""),"")</f>
        <v/>
      </c>
      <c r="B340" s="36">
        <f t="shared" si="21"/>
        <v>12</v>
      </c>
      <c r="C340" s="183">
        <f t="shared" si="22"/>
        <v>42735</v>
      </c>
      <c r="D340" s="183" t="s">
        <v>528</v>
      </c>
      <c r="E340" s="190">
        <v>42735</v>
      </c>
      <c r="F340" s="188" t="s">
        <v>535</v>
      </c>
      <c r="G340" s="191" t="s">
        <v>533</v>
      </c>
      <c r="H340" s="192"/>
      <c r="I340" s="255"/>
      <c r="J340" s="257"/>
      <c r="K340" s="37">
        <v>2749</v>
      </c>
      <c r="L340" s="193" t="s">
        <v>24</v>
      </c>
      <c r="M340" s="597" t="s">
        <v>40</v>
      </c>
      <c r="N340" s="51" t="str">
        <f>IF(AND('331-CT'!$E$7=TH!H311,OR(L340="331",M340="331")),"331",IF(AND(OR(L340="131",M340="131"),H340='131-CT'!$E$7),"131",""))</f>
        <v/>
      </c>
      <c r="O340" s="887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>x</v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IF(OR(TH!L311=TH!$W$7,M340=TH!$W$7),"x","")</f>
        <v>x</v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IF(AND(OR(LEFT(TH!L311,2)="15",LEFT(TH!M311,2)="15"),'152-CT'!$J$8=TH!F311),"x","")</f>
        <v/>
      </c>
      <c r="Z340" s="51" t="str">
        <f>IF(AND(OR(LEFT(TH!L311,2)="15",LEFT(TH!M311,2)="15"),TK!$E$7=TH!F311),"x","")</f>
        <v/>
      </c>
      <c r="AA340" s="51" t="str">
        <f>IF(AND(B340&lt;=NKC!$N$8,B340&gt;=NKC!$M$8),"x","")</f>
        <v/>
      </c>
      <c r="AB340" s="909"/>
      <c r="AF340" s="210"/>
      <c r="AG340" s="210"/>
    </row>
    <row r="341" spans="1:33" s="588" customFormat="1" ht="15.75" customHeight="1">
      <c r="A341" s="203" t="str">
        <f>IF(B341&lt;&gt;"",IF(AND(B341&gt;=_TM1,B341&lt;=_TM2,OR(TH!L322="1111",TH!M322="1111")),TH!D322,""),"")</f>
        <v/>
      </c>
      <c r="B341" s="36">
        <f t="shared" si="21"/>
        <v>12</v>
      </c>
      <c r="C341" s="183">
        <f t="shared" si="22"/>
        <v>42735</v>
      </c>
      <c r="D341" s="183" t="s">
        <v>529</v>
      </c>
      <c r="E341" s="190">
        <v>42735</v>
      </c>
      <c r="F341" s="191" t="s">
        <v>536</v>
      </c>
      <c r="G341" s="191" t="s">
        <v>533</v>
      </c>
      <c r="H341" s="192"/>
      <c r="I341" s="255"/>
      <c r="J341" s="257"/>
      <c r="K341" s="37">
        <v>10000</v>
      </c>
      <c r="L341" s="193" t="s">
        <v>83</v>
      </c>
      <c r="M341" s="597" t="s">
        <v>24</v>
      </c>
      <c r="N341" s="51" t="str">
        <f>IF(AND('331-CT'!$E$7=TH!H322,OR(L341="331",M341="331")),"331",IF(AND(OR(L341="131",M341="131"),H341='131-CT'!$E$7),"131",""))</f>
        <v/>
      </c>
      <c r="O341" s="887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>x</v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IF(OR(TH!L322=TH!$W$7,M341=TH!$W$7),"x","")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IF(AND(OR(LEFT(TH!L322,2)="15",LEFT(TH!M322,2)="15"),'152-CT'!$J$8=TH!F322),"x","")</f>
        <v/>
      </c>
      <c r="Z341" s="51" t="str">
        <f>IF(AND(OR(LEFT(TH!L322,2)="15",LEFT(TH!M322,2)="15"),TK!$E$7=TH!F322),"x","")</f>
        <v/>
      </c>
      <c r="AA341" s="51" t="str">
        <f>IF(AND(B341&lt;=NKC!$N$8,B341&gt;=NKC!$M$8),"x","")</f>
        <v/>
      </c>
      <c r="AB341" s="909">
        <v>4</v>
      </c>
      <c r="AF341" s="210"/>
      <c r="AG341" s="210"/>
    </row>
    <row r="342" spans="1:33" s="588" customFormat="1" ht="15.75" customHeight="1">
      <c r="A342" s="203" t="str">
        <f>IF(B342&lt;&gt;"",IF(AND(B342&gt;=_TM1,B342&lt;=_TM2,OR(TH!L323="1111",TH!M323="1111")),TH!D323,""),"")</f>
        <v/>
      </c>
      <c r="B342" s="36">
        <f t="shared" si="21"/>
        <v>12</v>
      </c>
      <c r="C342" s="183">
        <f t="shared" si="22"/>
        <v>42735</v>
      </c>
      <c r="D342" s="183" t="s">
        <v>529</v>
      </c>
      <c r="E342" s="190">
        <v>42735</v>
      </c>
      <c r="F342" s="191" t="s">
        <v>537</v>
      </c>
      <c r="G342" s="191" t="s">
        <v>533</v>
      </c>
      <c r="H342" s="192"/>
      <c r="I342" s="255"/>
      <c r="J342" s="257"/>
      <c r="K342" s="37">
        <v>1000</v>
      </c>
      <c r="L342" s="193" t="s">
        <v>9</v>
      </c>
      <c r="M342" s="597" t="s">
        <v>24</v>
      </c>
      <c r="N342" s="51" t="str">
        <f>IF(AND('331-CT'!$E$7=TH!H323,OR(L342="331",M342="331")),"331",IF(AND(OR(L342="131",M342="131"),H342='131-CT'!$E$7),"131",""))</f>
        <v/>
      </c>
      <c r="O342" s="887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>x</v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IF(OR(TH!L323=TH!$W$7,M342=TH!$W$7),"x","")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IF(AND(OR(LEFT(TH!L323,2)="15",LEFT(TH!M323,2)="15"),'152-CT'!$J$8=TH!F323),"x","")</f>
        <v/>
      </c>
      <c r="Z342" s="51" t="str">
        <f>IF(AND(OR(LEFT(TH!L323,2)="15",LEFT(TH!M323,2)="15"),TK!$E$7=TH!F323),"x","")</f>
        <v/>
      </c>
      <c r="AA342" s="51" t="str">
        <f>IF(AND(B342&lt;=NKC!$N$8,B342&gt;=NKC!$M$8),"x","")</f>
        <v/>
      </c>
      <c r="AB342" s="909">
        <v>4</v>
      </c>
      <c r="AF342" s="210"/>
      <c r="AG342" s="210"/>
    </row>
    <row r="343" spans="1:33" s="210" customFormat="1" ht="15.75" customHeight="1">
      <c r="A343" s="203" t="str">
        <f>IF(B343&lt;&gt;"",IF(AND(B343&gt;=_TM1,B343&lt;=_TM2,OR(TH!L343="1111",TH!M343="1111")),TH!D343,""),"")</f>
        <v/>
      </c>
      <c r="B343" s="36">
        <f t="shared" ref="B343:B406" si="23">IF(C343&lt;&gt;"",MONTH(C343),"")</f>
        <v>7</v>
      </c>
      <c r="C343" s="183">
        <f t="shared" ref="C343:C406" si="24">E343</f>
        <v>42566</v>
      </c>
      <c r="D343" s="183" t="s">
        <v>611</v>
      </c>
      <c r="E343" s="190">
        <v>42566</v>
      </c>
      <c r="F343" s="191" t="s">
        <v>552</v>
      </c>
      <c r="G343" s="479" t="s">
        <v>761</v>
      </c>
      <c r="H343" s="44" t="s">
        <v>554</v>
      </c>
      <c r="I343" s="255">
        <v>73</v>
      </c>
      <c r="J343" s="255">
        <v>21849</v>
      </c>
      <c r="K343" s="37">
        <f>ROUND(I343*J343,0)</f>
        <v>1594977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87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09"/>
      <c r="AC343" s="588"/>
    </row>
    <row r="344" spans="1:33" s="210" customFormat="1" ht="15.75" customHeight="1">
      <c r="A344" s="203" t="str">
        <f>IF(B344&lt;&gt;"",IF(AND(B344&gt;=_TM1,B344&lt;=_TM2,OR(TH!L344="1111",TH!M344="1111")),TH!D344,""),"")</f>
        <v/>
      </c>
      <c r="B344" s="36">
        <f t="shared" si="23"/>
        <v>7</v>
      </c>
      <c r="C344" s="183">
        <f t="shared" si="24"/>
        <v>42566</v>
      </c>
      <c r="D344" s="183" t="s">
        <v>611</v>
      </c>
      <c r="E344" s="190">
        <v>42566</v>
      </c>
      <c r="F344" s="191" t="s">
        <v>553</v>
      </c>
      <c r="G344" s="479" t="s">
        <v>761</v>
      </c>
      <c r="H344" s="44" t="s">
        <v>554</v>
      </c>
      <c r="I344" s="255"/>
      <c r="J344" s="255"/>
      <c r="K344" s="37">
        <v>159497</v>
      </c>
      <c r="L344" s="193" t="s">
        <v>259</v>
      </c>
      <c r="M344" s="597" t="s">
        <v>364</v>
      </c>
      <c r="N344" s="51" t="str">
        <f>IF(AND('331-CT'!$E$7=TH!H344,OR(L344="331",M344="331")),"331",IF(AND(OR(L344="131",M344="131"),H344='131-CT'!$E$7),"131",""))</f>
        <v/>
      </c>
      <c r="O344" s="887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09"/>
      <c r="AC344" s="588"/>
      <c r="AD344" s="588"/>
    </row>
    <row r="345" spans="1:33" s="210" customFormat="1" ht="15.75" customHeight="1">
      <c r="A345" s="203">
        <f>IF(B345&lt;&gt;"",IF(AND(B345&gt;=_TM1,B345&lt;=_TM2,OR(TH!L345="1111",TH!M345="1111")),TH!D345,""),"")</f>
        <v>0</v>
      </c>
      <c r="B345" s="36">
        <f t="shared" si="23"/>
        <v>7</v>
      </c>
      <c r="C345" s="183">
        <f t="shared" si="24"/>
        <v>42566</v>
      </c>
      <c r="D345" s="183"/>
      <c r="E345" s="190">
        <v>42566</v>
      </c>
      <c r="F345" s="191" t="s">
        <v>543</v>
      </c>
      <c r="G345" s="479" t="s">
        <v>761</v>
      </c>
      <c r="H345" s="44" t="s">
        <v>554</v>
      </c>
      <c r="I345" s="255"/>
      <c r="J345" s="255"/>
      <c r="K345" s="37">
        <v>1754474</v>
      </c>
      <c r="L345" s="193" t="s">
        <v>47</v>
      </c>
      <c r="M345" s="597" t="s">
        <v>259</v>
      </c>
      <c r="N345" s="51" t="str">
        <f>IF(AND('331-CT'!$E$7=TH!H345,OR(L345="331",M345="331")),"331",IF(AND(OR(L345="131",M345="131"),H345='131-CT'!$E$7),"131",""))</f>
        <v/>
      </c>
      <c r="O345" s="887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09"/>
      <c r="AC345" s="588"/>
      <c r="AD345" s="588"/>
    </row>
    <row r="346" spans="1:33" s="210" customFormat="1" ht="15.75" customHeight="1">
      <c r="A346" s="203" t="str">
        <f>IF(B346&lt;&gt;"",IF(AND(B346&gt;=_TM1,B346&lt;=_TM2,OR(TH!L346="1111",TH!M346="1111")),TH!D346,""),"")</f>
        <v/>
      </c>
      <c r="B346" s="36">
        <f t="shared" si="23"/>
        <v>7</v>
      </c>
      <c r="C346" s="183">
        <f t="shared" si="24"/>
        <v>42566</v>
      </c>
      <c r="D346" s="183" t="s">
        <v>612</v>
      </c>
      <c r="E346" s="190">
        <v>42566</v>
      </c>
      <c r="F346" s="188" t="s">
        <v>556</v>
      </c>
      <c r="G346" s="479" t="s">
        <v>762</v>
      </c>
      <c r="H346" s="7" t="s">
        <v>410</v>
      </c>
      <c r="I346" s="255">
        <v>100</v>
      </c>
      <c r="J346" s="255">
        <v>10000</v>
      </c>
      <c r="K346" s="37">
        <f>ROUND(I346*J346,0)</f>
        <v>1000000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87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09"/>
      <c r="AC346" s="588"/>
      <c r="AD346" s="588"/>
      <c r="AE346" s="588"/>
    </row>
    <row r="347" spans="1:33" s="210" customFormat="1" ht="15.75" customHeight="1">
      <c r="A347" s="203" t="str">
        <f>IF(B347&lt;&gt;"",IF(AND(B347&gt;=_TM1,B347&lt;=_TM2,OR(TH!L347="1111",TH!M347="1111")),TH!D347,""),"")</f>
        <v/>
      </c>
      <c r="B347" s="36">
        <f t="shared" si="23"/>
        <v>7</v>
      </c>
      <c r="C347" s="183">
        <f t="shared" si="24"/>
        <v>42566</v>
      </c>
      <c r="D347" s="183" t="s">
        <v>612</v>
      </c>
      <c r="E347" s="190">
        <v>42566</v>
      </c>
      <c r="F347" s="188" t="s">
        <v>557</v>
      </c>
      <c r="G347" s="479" t="s">
        <v>762</v>
      </c>
      <c r="H347" s="7" t="s">
        <v>410</v>
      </c>
      <c r="I347" s="255">
        <v>116</v>
      </c>
      <c r="J347" s="255">
        <v>73100</v>
      </c>
      <c r="K347" s="37">
        <f>ROUND(I347*J347,0)</f>
        <v>8479600</v>
      </c>
      <c r="L347" s="193" t="s">
        <v>259</v>
      </c>
      <c r="M347" s="597" t="s">
        <v>174</v>
      </c>
      <c r="N347" s="51" t="str">
        <f>IF(AND('331-CT'!$E$7=TH!H347,OR(L347="331",M347="331")),"331",IF(AND(OR(L347="131",M347="131"),H347='131-CT'!$E$7),"131",""))</f>
        <v/>
      </c>
      <c r="O347" s="887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09"/>
      <c r="AC347" s="588"/>
      <c r="AD347" s="588"/>
      <c r="AE347" s="588"/>
    </row>
    <row r="348" spans="1:33" s="210" customFormat="1" ht="15.75" customHeight="1">
      <c r="A348" s="203" t="str">
        <f>IF(B348&lt;&gt;"",IF(AND(B348&gt;=_TM1,B348&lt;=_TM2,OR(TH!L348="1111",TH!M348="1111")),TH!D348,""),"")</f>
        <v/>
      </c>
      <c r="B348" s="36">
        <f t="shared" si="23"/>
        <v>7</v>
      </c>
      <c r="C348" s="183">
        <f t="shared" si="24"/>
        <v>42566</v>
      </c>
      <c r="D348" s="183" t="s">
        <v>612</v>
      </c>
      <c r="E348" s="190">
        <v>42566</v>
      </c>
      <c r="F348" s="188" t="s">
        <v>555</v>
      </c>
      <c r="G348" s="479" t="s">
        <v>762</v>
      </c>
      <c r="H348" s="7" t="s">
        <v>410</v>
      </c>
      <c r="I348" s="255"/>
      <c r="J348" s="255"/>
      <c r="K348" s="37">
        <v>947960</v>
      </c>
      <c r="L348" s="193" t="s">
        <v>259</v>
      </c>
      <c r="M348" s="597" t="s">
        <v>364</v>
      </c>
      <c r="N348" s="51" t="str">
        <f>IF(AND('331-CT'!$E$7=TH!H348,OR(L348="331",M348="331")),"331",IF(AND(OR(L348="131",M348="131"),H348='131-CT'!$E$7),"131",""))</f>
        <v/>
      </c>
      <c r="O348" s="887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09"/>
      <c r="AC348" s="588"/>
      <c r="AD348" s="588"/>
      <c r="AE348" s="588"/>
    </row>
    <row r="349" spans="1:33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23"/>
        <v>7</v>
      </c>
      <c r="C349" s="183">
        <f t="shared" si="24"/>
        <v>42566</v>
      </c>
      <c r="D349" s="183" t="s">
        <v>613</v>
      </c>
      <c r="E349" s="190">
        <v>42566</v>
      </c>
      <c r="F349" s="188" t="s">
        <v>558</v>
      </c>
      <c r="G349" s="479" t="s">
        <v>763</v>
      </c>
      <c r="H349" s="7" t="s">
        <v>412</v>
      </c>
      <c r="I349" s="255">
        <v>220</v>
      </c>
      <c r="J349" s="255">
        <v>28000</v>
      </c>
      <c r="K349" s="37">
        <f>ROUND(I349*J349,0)</f>
        <v>6160000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87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09"/>
      <c r="AC349" s="588"/>
    </row>
    <row r="350" spans="1:33" s="210" customFormat="1" ht="15.75" customHeight="1">
      <c r="A350" s="203" t="str">
        <f>IF(B350&lt;&gt;"",IF(AND(B350&gt;=_TM1,B350&lt;=_TM2,OR(TH!L350="1111",TH!M350="1111")),TH!D350,""),"")</f>
        <v/>
      </c>
      <c r="B350" s="36">
        <f t="shared" si="23"/>
        <v>7</v>
      </c>
      <c r="C350" s="183">
        <f t="shared" si="24"/>
        <v>42566</v>
      </c>
      <c r="D350" s="183" t="s">
        <v>613</v>
      </c>
      <c r="E350" s="190">
        <v>42566</v>
      </c>
      <c r="F350" s="188" t="s">
        <v>559</v>
      </c>
      <c r="G350" s="479" t="s">
        <v>763</v>
      </c>
      <c r="H350" s="7" t="s">
        <v>412</v>
      </c>
      <c r="I350" s="255">
        <v>357</v>
      </c>
      <c r="J350" s="255">
        <v>9600</v>
      </c>
      <c r="K350" s="37">
        <f>ROUND(I350*J350,0)</f>
        <v>3427200</v>
      </c>
      <c r="L350" s="193" t="s">
        <v>259</v>
      </c>
      <c r="M350" s="597" t="s">
        <v>174</v>
      </c>
      <c r="N350" s="51" t="str">
        <f>IF(AND('331-CT'!$E$7=TH!H350,OR(L350="331",M350="331")),"331",IF(AND(OR(L350="131",M350="131"),H350='131-CT'!$E$7),"131",""))</f>
        <v/>
      </c>
      <c r="O350" s="887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09"/>
      <c r="AC350" s="588"/>
      <c r="AD350" s="588"/>
    </row>
    <row r="351" spans="1:33" s="210" customFormat="1" ht="15.75" customHeight="1">
      <c r="A351" s="203" t="str">
        <f>IF(B351&lt;&gt;"",IF(AND(B351&gt;=_TM1,B351&lt;=_TM2,OR(TH!L351="1111",TH!M351="1111")),TH!D351,""),"")</f>
        <v/>
      </c>
      <c r="B351" s="36">
        <f t="shared" si="23"/>
        <v>7</v>
      </c>
      <c r="C351" s="183">
        <f t="shared" si="24"/>
        <v>42566</v>
      </c>
      <c r="D351" s="183" t="s">
        <v>613</v>
      </c>
      <c r="E351" s="190">
        <v>42566</v>
      </c>
      <c r="F351" s="188" t="s">
        <v>560</v>
      </c>
      <c r="G351" s="479" t="s">
        <v>763</v>
      </c>
      <c r="H351" s="7" t="s">
        <v>412</v>
      </c>
      <c r="I351" s="255">
        <v>70</v>
      </c>
      <c r="J351" s="255">
        <v>14400</v>
      </c>
      <c r="K351" s="37">
        <f>ROUND(I351*J351,0)</f>
        <v>1008000</v>
      </c>
      <c r="L351" s="193" t="s">
        <v>259</v>
      </c>
      <c r="M351" s="597" t="s">
        <v>174</v>
      </c>
      <c r="N351" s="51" t="str">
        <f>IF(AND('331-CT'!$E$7=TH!H351,OR(L351="331",M351="331")),"331",IF(AND(OR(L351="131",M351="131"),H351='131-CT'!$E$7),"131",""))</f>
        <v/>
      </c>
      <c r="O351" s="887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09"/>
      <c r="AC351" s="588"/>
    </row>
    <row r="352" spans="1:33" s="210" customFormat="1" ht="15.75" customHeight="1">
      <c r="A352" s="203" t="str">
        <f>IF(B352&lt;&gt;"",IF(AND(B352&gt;=_TM1,B352&lt;=_TM2,OR(TH!L352="1111",TH!M352="1111")),TH!D352,""),"")</f>
        <v/>
      </c>
      <c r="B352" s="36">
        <f t="shared" si="23"/>
        <v>7</v>
      </c>
      <c r="C352" s="183">
        <f t="shared" si="24"/>
        <v>42567</v>
      </c>
      <c r="D352" s="183" t="s">
        <v>613</v>
      </c>
      <c r="E352" s="190">
        <v>42567</v>
      </c>
      <c r="F352" s="188" t="s">
        <v>555</v>
      </c>
      <c r="G352" s="479" t="s">
        <v>763</v>
      </c>
      <c r="H352" s="7" t="s">
        <v>412</v>
      </c>
      <c r="I352" s="255"/>
      <c r="J352" s="255"/>
      <c r="K352" s="37">
        <v>1059520</v>
      </c>
      <c r="L352" s="193" t="s">
        <v>259</v>
      </c>
      <c r="M352" s="597" t="s">
        <v>364</v>
      </c>
      <c r="N352" s="51" t="str">
        <f>IF(AND('331-CT'!$E$7=TH!H352,OR(L352="331",M352="331")),"331",IF(AND(OR(L352="131",M352="131"),H352='131-CT'!$E$7),"131",""))</f>
        <v/>
      </c>
      <c r="O352" s="887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09"/>
      <c r="AC352" s="588"/>
      <c r="AD352" s="588"/>
    </row>
    <row r="353" spans="1:30" s="210" customFormat="1" ht="15.75" customHeight="1">
      <c r="A353" s="203" t="str">
        <f>IF(B353&lt;&gt;"",IF(AND(B353&gt;=_TM1,B353&lt;=_TM2,OR(TH!L353="1111",TH!M353="1111")),TH!D353,""),"")</f>
        <v/>
      </c>
      <c r="B353" s="36">
        <f t="shared" si="23"/>
        <v>7</v>
      </c>
      <c r="C353" s="183">
        <f t="shared" si="24"/>
        <v>42567</v>
      </c>
      <c r="D353" s="183" t="s">
        <v>614</v>
      </c>
      <c r="E353" s="190">
        <v>42567</v>
      </c>
      <c r="F353" s="188" t="s">
        <v>561</v>
      </c>
      <c r="G353" s="479" t="s">
        <v>764</v>
      </c>
      <c r="H353" s="7" t="s">
        <v>408</v>
      </c>
      <c r="I353" s="255">
        <v>300</v>
      </c>
      <c r="J353" s="255">
        <v>13400</v>
      </c>
      <c r="K353" s="37">
        <f>ROUND(I353*J353,0)</f>
        <v>4020000</v>
      </c>
      <c r="L353" s="193" t="s">
        <v>259</v>
      </c>
      <c r="M353" s="597" t="s">
        <v>174</v>
      </c>
      <c r="N353" s="51" t="str">
        <f>IF(AND('331-CT'!$E$7=TH!H353,OR(L353="331",M353="331")),"331",IF(AND(OR(L353="131",M353="131"),H353='131-CT'!$E$7),"131",""))</f>
        <v/>
      </c>
      <c r="O353" s="887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09"/>
      <c r="AC353" s="588"/>
      <c r="AD353" s="588"/>
    </row>
    <row r="354" spans="1:30" s="210" customFormat="1" ht="15.75" customHeight="1">
      <c r="A354" s="203" t="str">
        <f>IF(B354&lt;&gt;"",IF(AND(B354&gt;=_TM1,B354&lt;=_TM2,OR(TH!L354="1111",TH!M354="1111")),TH!D354,""),"")</f>
        <v/>
      </c>
      <c r="B354" s="36">
        <f t="shared" si="23"/>
        <v>7</v>
      </c>
      <c r="C354" s="183">
        <f t="shared" si="24"/>
        <v>42567</v>
      </c>
      <c r="D354" s="183" t="s">
        <v>614</v>
      </c>
      <c r="E354" s="190">
        <v>42567</v>
      </c>
      <c r="F354" s="188" t="s">
        <v>561</v>
      </c>
      <c r="G354" s="479" t="s">
        <v>764</v>
      </c>
      <c r="H354" s="7" t="s">
        <v>408</v>
      </c>
      <c r="I354" s="255">
        <v>500</v>
      </c>
      <c r="J354" s="255">
        <v>13800</v>
      </c>
      <c r="K354" s="37">
        <f>ROUND(I354*J354,0)</f>
        <v>6900000</v>
      </c>
      <c r="L354" s="193" t="s">
        <v>259</v>
      </c>
      <c r="M354" s="597" t="s">
        <v>174</v>
      </c>
      <c r="N354" s="51" t="str">
        <f>IF(AND('331-CT'!$E$7=TH!H354,OR(L354="331",M354="331")),"331",IF(AND(OR(L354="131",M354="131"),H354='131-CT'!$E$7),"131",""))</f>
        <v/>
      </c>
      <c r="O354" s="887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09"/>
      <c r="AC354" s="588"/>
    </row>
    <row r="355" spans="1:30" s="210" customFormat="1" ht="15.75" customHeight="1">
      <c r="A355" s="203" t="str">
        <f>IF(B355&lt;&gt;"",IF(AND(B355&gt;=_TM1,B355&lt;=_TM2,OR(TH!L355="1111",TH!M355="1111")),TH!D355,""),"")</f>
        <v/>
      </c>
      <c r="B355" s="36">
        <f t="shared" si="23"/>
        <v>7</v>
      </c>
      <c r="C355" s="183">
        <f t="shared" si="24"/>
        <v>42567</v>
      </c>
      <c r="D355" s="183" t="s">
        <v>614</v>
      </c>
      <c r="E355" s="190">
        <v>42567</v>
      </c>
      <c r="F355" s="188" t="s">
        <v>418</v>
      </c>
      <c r="G355" s="479" t="s">
        <v>764</v>
      </c>
      <c r="H355" s="7" t="s">
        <v>408</v>
      </c>
      <c r="I355" s="255">
        <v>1600</v>
      </c>
      <c r="J355" s="255">
        <v>1300</v>
      </c>
      <c r="K355" s="37">
        <f>ROUND(I355*J355,0)</f>
        <v>2080000</v>
      </c>
      <c r="L355" s="193" t="s">
        <v>259</v>
      </c>
      <c r="M355" s="597" t="s">
        <v>174</v>
      </c>
      <c r="N355" s="51" t="str">
        <f>IF(AND('331-CT'!$E$7=TH!H355,OR(L355="331",M355="331")),"331",IF(AND(OR(L355="131",M355="131"),H355='131-CT'!$E$7),"131",""))</f>
        <v/>
      </c>
      <c r="O355" s="887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09"/>
      <c r="AC355" s="588"/>
      <c r="AD355" s="588"/>
    </row>
    <row r="356" spans="1:30" s="210" customFormat="1" ht="15.75" customHeight="1">
      <c r="A356" s="203" t="str">
        <f>IF(B356&lt;&gt;"",IF(AND(B356&gt;=_TM1,B356&lt;=_TM2,OR(TH!L356="1111",TH!M356="1111")),TH!D356,""),"")</f>
        <v/>
      </c>
      <c r="B356" s="36">
        <f t="shared" si="23"/>
        <v>7</v>
      </c>
      <c r="C356" s="183">
        <f t="shared" si="24"/>
        <v>42567</v>
      </c>
      <c r="D356" s="183" t="s">
        <v>614</v>
      </c>
      <c r="E356" s="190">
        <v>42567</v>
      </c>
      <c r="F356" s="188" t="s">
        <v>555</v>
      </c>
      <c r="G356" s="479" t="s">
        <v>764</v>
      </c>
      <c r="H356" s="7" t="s">
        <v>408</v>
      </c>
      <c r="I356" s="255"/>
      <c r="J356" s="255"/>
      <c r="K356" s="37">
        <v>1300000</v>
      </c>
      <c r="L356" s="193" t="s">
        <v>259</v>
      </c>
      <c r="M356" s="597" t="s">
        <v>364</v>
      </c>
      <c r="N356" s="51" t="str">
        <f>IF(AND('331-CT'!$E$7=TH!H356,OR(L356="331",M356="331")),"331",IF(AND(OR(L356="131",M356="131"),H356='131-CT'!$E$7),"131",""))</f>
        <v/>
      </c>
      <c r="O356" s="887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909"/>
      <c r="AC356" s="588"/>
      <c r="AD356" s="588"/>
    </row>
    <row r="357" spans="1:30" s="210" customFormat="1" ht="15.75" customHeight="1">
      <c r="A357" s="203" t="str">
        <f>IF(B357&lt;&gt;"",IF(AND(B357&gt;=_TM1,B357&lt;=_TM2,OR(TH!L357="1111",TH!M357="1111")),TH!D357,""),"")</f>
        <v/>
      </c>
      <c r="B357" s="36">
        <f t="shared" si="23"/>
        <v>7</v>
      </c>
      <c r="C357" s="183">
        <f t="shared" si="24"/>
        <v>42567</v>
      </c>
      <c r="D357" s="183" t="s">
        <v>615</v>
      </c>
      <c r="E357" s="190">
        <v>42567</v>
      </c>
      <c r="F357" s="188" t="s">
        <v>562</v>
      </c>
      <c r="G357" s="479" t="s">
        <v>765</v>
      </c>
      <c r="H357" s="7" t="s">
        <v>409</v>
      </c>
      <c r="I357" s="255">
        <v>1005</v>
      </c>
      <c r="J357" s="255">
        <v>11000</v>
      </c>
      <c r="K357" s="37">
        <f>ROUND(I357*J357,0)</f>
        <v>11055000</v>
      </c>
      <c r="L357" s="193" t="s">
        <v>259</v>
      </c>
      <c r="M357" s="597" t="s">
        <v>174</v>
      </c>
      <c r="N357" s="51" t="str">
        <f>IF(AND('331-CT'!$E$7=TH!H357,OR(L357="331",M357="331")),"331",IF(AND(OR(L357="131",M357="131"),H357='131-CT'!$E$7),"131",""))</f>
        <v/>
      </c>
      <c r="O357" s="887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909"/>
      <c r="AC357" s="588"/>
    </row>
    <row r="358" spans="1:30" s="210" customFormat="1" ht="15.75" customHeight="1">
      <c r="A358" s="203" t="str">
        <f>IF(B358&lt;&gt;"",IF(AND(B358&gt;=_TM1,B358&lt;=_TM2,OR(TH!L358="1111",TH!M358="1111")),TH!D358,""),"")</f>
        <v/>
      </c>
      <c r="B358" s="36">
        <f t="shared" si="23"/>
        <v>7</v>
      </c>
      <c r="C358" s="183">
        <f t="shared" si="24"/>
        <v>42567</v>
      </c>
      <c r="D358" s="183" t="s">
        <v>615</v>
      </c>
      <c r="E358" s="190">
        <v>42567</v>
      </c>
      <c r="F358" s="188" t="s">
        <v>555</v>
      </c>
      <c r="G358" s="479" t="s">
        <v>765</v>
      </c>
      <c r="H358" s="7" t="s">
        <v>409</v>
      </c>
      <c r="I358" s="255"/>
      <c r="J358" s="255"/>
      <c r="K358" s="37">
        <v>1105500</v>
      </c>
      <c r="L358" s="193" t="s">
        <v>259</v>
      </c>
      <c r="M358" s="597" t="s">
        <v>364</v>
      </c>
      <c r="N358" s="51" t="str">
        <f>IF(AND('331-CT'!$E$7=TH!H358,OR(L358="331",M358="331")),"331",IF(AND(OR(L358="131",M358="131"),H358='131-CT'!$E$7),"131",""))</f>
        <v/>
      </c>
      <c r="O358" s="887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909"/>
      <c r="AC358" s="588"/>
      <c r="AD358" s="588"/>
    </row>
    <row r="359" spans="1:30" s="210" customFormat="1" ht="15.75" customHeight="1">
      <c r="A359" s="203" t="str">
        <f>IF(B359&lt;&gt;"",IF(AND(B359&gt;=_TM1,B359&lt;=_TM2,OR(TH!L359="1111",TH!M359="1111")),TH!D359,""),"")</f>
        <v/>
      </c>
      <c r="B359" s="36">
        <f t="shared" si="23"/>
        <v>7</v>
      </c>
      <c r="C359" s="183">
        <f t="shared" si="24"/>
        <v>42569</v>
      </c>
      <c r="D359" s="183" t="s">
        <v>616</v>
      </c>
      <c r="E359" s="190">
        <v>42569</v>
      </c>
      <c r="F359" s="188" t="s">
        <v>563</v>
      </c>
      <c r="G359" s="479" t="s">
        <v>766</v>
      </c>
      <c r="H359" s="7" t="s">
        <v>676</v>
      </c>
      <c r="I359" s="255">
        <v>254</v>
      </c>
      <c r="J359" s="255">
        <v>10300</v>
      </c>
      <c r="K359" s="37">
        <f>ROUND(I359*J359,0)</f>
        <v>2616200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>131</v>
      </c>
      <c r="O359" s="887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909"/>
      <c r="AC359" s="588"/>
      <c r="AD359" s="588"/>
    </row>
    <row r="360" spans="1:30" s="210" customFormat="1" ht="15.75" customHeight="1">
      <c r="A360" s="203" t="str">
        <f>IF(B360&lt;&gt;"",IF(AND(B360&gt;=_TM1,B360&lt;=_TM2,OR(TH!L360="1111",TH!M360="1111")),TH!D360,""),"")</f>
        <v/>
      </c>
      <c r="B360" s="36">
        <f t="shared" si="23"/>
        <v>7</v>
      </c>
      <c r="C360" s="183">
        <f t="shared" si="24"/>
        <v>42569</v>
      </c>
      <c r="D360" s="183" t="s">
        <v>616</v>
      </c>
      <c r="E360" s="190">
        <v>42569</v>
      </c>
      <c r="F360" s="188" t="s">
        <v>555</v>
      </c>
      <c r="G360" s="479" t="s">
        <v>766</v>
      </c>
      <c r="H360" s="7" t="s">
        <v>676</v>
      </c>
      <c r="I360" s="255"/>
      <c r="J360" s="255"/>
      <c r="K360" s="37">
        <v>261620</v>
      </c>
      <c r="L360" s="193" t="s">
        <v>259</v>
      </c>
      <c r="M360" s="597" t="s">
        <v>364</v>
      </c>
      <c r="N360" s="51" t="str">
        <f>IF(AND('331-CT'!$E$7=TH!H360,OR(L360="331",M360="331")),"331",IF(AND(OR(L360="131",M360="131"),H360='131-CT'!$E$7),"131",""))</f>
        <v>131</v>
      </c>
      <c r="O360" s="887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909"/>
      <c r="AC360" s="588"/>
      <c r="AD360" s="588"/>
    </row>
    <row r="361" spans="1:30" s="210" customFormat="1" ht="15.75" customHeight="1">
      <c r="A361" s="203">
        <f>IF(B361&lt;&gt;"",IF(AND(B361&gt;=_TM1,B361&lt;=_TM2,OR(TH!L361="1111",TH!M361="1111")),TH!D361,""),"")</f>
        <v>0</v>
      </c>
      <c r="B361" s="36">
        <f t="shared" si="23"/>
        <v>7</v>
      </c>
      <c r="C361" s="183">
        <f t="shared" si="24"/>
        <v>42569</v>
      </c>
      <c r="D361" s="183"/>
      <c r="E361" s="190">
        <v>42569</v>
      </c>
      <c r="F361" s="191" t="s">
        <v>543</v>
      </c>
      <c r="G361" s="479" t="s">
        <v>766</v>
      </c>
      <c r="H361" s="7" t="s">
        <v>676</v>
      </c>
      <c r="I361" s="255"/>
      <c r="J361" s="255"/>
      <c r="K361" s="37">
        <v>2877820</v>
      </c>
      <c r="L361" s="193" t="s">
        <v>47</v>
      </c>
      <c r="M361" s="597" t="s">
        <v>259</v>
      </c>
      <c r="N361" s="51" t="str">
        <f>IF(AND('331-CT'!$E$7=TH!H361,OR(L361="331",M361="331")),"331",IF(AND(OR(L361="131",M361="131"),H361='131-CT'!$E$7),"131",""))</f>
        <v>131</v>
      </c>
      <c r="O361" s="887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909"/>
      <c r="AC361" s="588"/>
      <c r="AD361" s="588"/>
    </row>
    <row r="362" spans="1:30" s="210" customFormat="1" ht="15.75" customHeight="1">
      <c r="A362" s="203" t="str">
        <f>IF(B362&lt;&gt;"",IF(AND(B362&gt;=_TM1,B362&lt;=_TM2,OR(TH!L362="1111",TH!M362="1111")),TH!D362,""),"")</f>
        <v/>
      </c>
      <c r="B362" s="36">
        <f t="shared" si="23"/>
        <v>7</v>
      </c>
      <c r="C362" s="183">
        <f t="shared" si="24"/>
        <v>42569</v>
      </c>
      <c r="D362" s="183" t="s">
        <v>617</v>
      </c>
      <c r="E362" s="190">
        <v>42569</v>
      </c>
      <c r="F362" s="188" t="s">
        <v>564</v>
      </c>
      <c r="G362" s="479" t="s">
        <v>767</v>
      </c>
      <c r="H362" s="7" t="s">
        <v>676</v>
      </c>
      <c r="I362" s="255">
        <v>75</v>
      </c>
      <c r="J362" s="255">
        <v>10800</v>
      </c>
      <c r="K362" s="37">
        <f>ROUND(I362*J362,0)</f>
        <v>810000</v>
      </c>
      <c r="L362" s="193" t="s">
        <v>259</v>
      </c>
      <c r="M362" s="597" t="s">
        <v>174</v>
      </c>
      <c r="N362" s="51" t="str">
        <f>IF(AND('331-CT'!$E$7=TH!H362,OR(L362="331",M362="331")),"331",IF(AND(OR(L362="131",M362="131"),H362='131-CT'!$E$7),"131",""))</f>
        <v>131</v>
      </c>
      <c r="O362" s="887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909"/>
      <c r="AC362" s="588"/>
      <c r="AD362" s="588"/>
    </row>
    <row r="363" spans="1:30" s="210" customFormat="1" ht="15.75" customHeight="1">
      <c r="A363" s="203" t="str">
        <f>IF(B363&lt;&gt;"",IF(AND(B363&gt;=_TM1,B363&lt;=_TM2,OR(TH!L363="1111",TH!M363="1111")),TH!D363,""),"")</f>
        <v/>
      </c>
      <c r="B363" s="36">
        <f t="shared" si="23"/>
        <v>7</v>
      </c>
      <c r="C363" s="183">
        <f t="shared" si="24"/>
        <v>42569</v>
      </c>
      <c r="D363" s="183" t="s">
        <v>617</v>
      </c>
      <c r="E363" s="190">
        <v>42569</v>
      </c>
      <c r="F363" s="188" t="s">
        <v>555</v>
      </c>
      <c r="G363" s="479" t="s">
        <v>767</v>
      </c>
      <c r="H363" s="7" t="s">
        <v>676</v>
      </c>
      <c r="I363" s="255"/>
      <c r="J363" s="255"/>
      <c r="K363" s="37">
        <v>81000</v>
      </c>
      <c r="L363" s="193" t="s">
        <v>259</v>
      </c>
      <c r="M363" s="597" t="s">
        <v>364</v>
      </c>
      <c r="N363" s="51" t="str">
        <f>IF(AND('331-CT'!$E$7=TH!H363,OR(L363="331",M363="331")),"331",IF(AND(OR(L363="131",M363="131"),H363='131-CT'!$E$7),"131",""))</f>
        <v>131</v>
      </c>
      <c r="O363" s="887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909"/>
      <c r="AC363" s="588"/>
    </row>
    <row r="364" spans="1:30" s="210" customFormat="1" ht="15.75" customHeight="1">
      <c r="A364" s="203">
        <f>IF(B364&lt;&gt;"",IF(AND(B364&gt;=_TM1,B364&lt;=_TM2,OR(TH!L364="1111",TH!M364="1111")),TH!D364,""),"")</f>
        <v>0</v>
      </c>
      <c r="B364" s="36">
        <f t="shared" si="23"/>
        <v>7</v>
      </c>
      <c r="C364" s="183">
        <f t="shared" si="24"/>
        <v>42569</v>
      </c>
      <c r="D364" s="183"/>
      <c r="E364" s="190">
        <v>42569</v>
      </c>
      <c r="F364" s="191" t="s">
        <v>543</v>
      </c>
      <c r="G364" s="479" t="s">
        <v>767</v>
      </c>
      <c r="H364" s="7" t="s">
        <v>676</v>
      </c>
      <c r="I364" s="255"/>
      <c r="J364" s="255"/>
      <c r="K364" s="37">
        <v>891000</v>
      </c>
      <c r="L364" s="193" t="s">
        <v>47</v>
      </c>
      <c r="M364" s="597" t="s">
        <v>259</v>
      </c>
      <c r="N364" s="51" t="str">
        <f>IF(AND('331-CT'!$E$7=TH!H364,OR(L364="331",M364="331")),"331",IF(AND(OR(L364="131",M364="131"),H364='131-CT'!$E$7),"131",""))</f>
        <v>131</v>
      </c>
      <c r="O364" s="887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909"/>
      <c r="AC364" s="588"/>
    </row>
    <row r="365" spans="1:30" s="210" customFormat="1" ht="15.75" customHeight="1">
      <c r="A365" s="203" t="str">
        <f>IF(B365&lt;&gt;"",IF(AND(B365&gt;=_TM1,B365&lt;=_TM2,OR(TH!L365="1111",TH!M365="1111")),TH!D365,""),"")</f>
        <v/>
      </c>
      <c r="B365" s="36">
        <f t="shared" si="23"/>
        <v>7</v>
      </c>
      <c r="C365" s="183">
        <f t="shared" si="24"/>
        <v>42571</v>
      </c>
      <c r="D365" s="183" t="s">
        <v>618</v>
      </c>
      <c r="E365" s="190">
        <v>42571</v>
      </c>
      <c r="F365" s="188" t="s">
        <v>567</v>
      </c>
      <c r="G365" s="479" t="s">
        <v>768</v>
      </c>
      <c r="H365" s="7" t="s">
        <v>565</v>
      </c>
      <c r="I365" s="255">
        <v>500</v>
      </c>
      <c r="J365" s="255">
        <v>3200</v>
      </c>
      <c r="K365" s="37">
        <f>ROUND(I365*J365,0)</f>
        <v>1600000</v>
      </c>
      <c r="L365" s="193" t="s">
        <v>259</v>
      </c>
      <c r="M365" s="597" t="s">
        <v>174</v>
      </c>
      <c r="N365" s="51" t="str">
        <f>IF(AND('331-CT'!$E$7=TH!H365,OR(L365="331",M365="331")),"331",IF(AND(OR(L365="131",M365="131"),H365='131-CT'!$E$7),"131",""))</f>
        <v/>
      </c>
      <c r="O365" s="887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909"/>
      <c r="AC365" s="588"/>
      <c r="AD365" s="588"/>
    </row>
    <row r="366" spans="1:30" s="210" customFormat="1" ht="15.75" customHeight="1">
      <c r="A366" s="203" t="str">
        <f>IF(B366&lt;&gt;"",IF(AND(B366&gt;=_TM1,B366&lt;=_TM2,OR(TH!L366="1111",TH!M366="1111")),TH!D366,""),"")</f>
        <v/>
      </c>
      <c r="B366" s="36">
        <f t="shared" si="23"/>
        <v>7</v>
      </c>
      <c r="C366" s="183">
        <f t="shared" si="24"/>
        <v>42571</v>
      </c>
      <c r="D366" s="183" t="s">
        <v>618</v>
      </c>
      <c r="E366" s="190">
        <v>42571</v>
      </c>
      <c r="F366" s="188" t="s">
        <v>568</v>
      </c>
      <c r="G366" s="479" t="s">
        <v>768</v>
      </c>
      <c r="H366" s="7" t="s">
        <v>565</v>
      </c>
      <c r="I366" s="255">
        <v>300</v>
      </c>
      <c r="J366" s="255">
        <v>2200</v>
      </c>
      <c r="K366" s="37">
        <f>ROUND(I366*J366,0)</f>
        <v>660000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87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909"/>
      <c r="AC366" s="588"/>
    </row>
    <row r="367" spans="1:30" s="210" customFormat="1" ht="15.75" customHeight="1">
      <c r="A367" s="203" t="str">
        <f>IF(B367&lt;&gt;"",IF(AND(B367&gt;=_TM1,B367&lt;=_TM2,OR(TH!L367="1111",TH!M367="1111")),TH!D367,""),"")</f>
        <v/>
      </c>
      <c r="B367" s="36">
        <f t="shared" si="23"/>
        <v>7</v>
      </c>
      <c r="C367" s="183">
        <f t="shared" si="24"/>
        <v>42571</v>
      </c>
      <c r="D367" s="183" t="s">
        <v>618</v>
      </c>
      <c r="E367" s="190">
        <v>42571</v>
      </c>
      <c r="F367" s="188" t="s">
        <v>566</v>
      </c>
      <c r="G367" s="479" t="s">
        <v>768</v>
      </c>
      <c r="H367" s="7" t="s">
        <v>565</v>
      </c>
      <c r="I367" s="255"/>
      <c r="J367" s="255"/>
      <c r="K367" s="37">
        <v>226000</v>
      </c>
      <c r="L367" s="193" t="s">
        <v>259</v>
      </c>
      <c r="M367" s="597" t="s">
        <v>364</v>
      </c>
      <c r="N367" s="51" t="str">
        <f>IF(AND('331-CT'!$E$7=TH!H367,OR(L367="331",M367="331")),"331",IF(AND(OR(L367="131",M367="131"),H367='131-CT'!$E$7),"131",""))</f>
        <v/>
      </c>
      <c r="O367" s="887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909"/>
      <c r="AC367" s="588"/>
      <c r="AD367" s="588"/>
    </row>
    <row r="368" spans="1:30" s="210" customFormat="1" ht="15.75" customHeight="1">
      <c r="A368" s="203">
        <f>IF(B368&lt;&gt;"",IF(AND(B368&gt;=_TM1,B368&lt;=_TM2,OR(TH!L368="1111",TH!M368="1111")),TH!D368,""),"")</f>
        <v>0</v>
      </c>
      <c r="B368" s="36">
        <f t="shared" si="23"/>
        <v>7</v>
      </c>
      <c r="C368" s="183">
        <f t="shared" si="24"/>
        <v>42571</v>
      </c>
      <c r="D368" s="183"/>
      <c r="E368" s="190">
        <v>42571</v>
      </c>
      <c r="F368" s="191" t="s">
        <v>543</v>
      </c>
      <c r="G368" s="479" t="s">
        <v>768</v>
      </c>
      <c r="H368" s="7" t="s">
        <v>565</v>
      </c>
      <c r="I368" s="255"/>
      <c r="J368" s="255"/>
      <c r="K368" s="37">
        <v>2486000</v>
      </c>
      <c r="L368" s="193" t="s">
        <v>47</v>
      </c>
      <c r="M368" s="597" t="s">
        <v>259</v>
      </c>
      <c r="N368" s="51" t="str">
        <f>IF(AND('331-CT'!$E$7=TH!H368,OR(L368="331",M368="331")),"331",IF(AND(OR(L368="131",M368="131"),H368='131-CT'!$E$7),"131",""))</f>
        <v/>
      </c>
      <c r="O368" s="887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909"/>
      <c r="AC368" s="588"/>
      <c r="AD368" s="588"/>
    </row>
    <row r="369" spans="1:31" s="210" customFormat="1" ht="15.75" customHeight="1">
      <c r="A369" s="203" t="str">
        <f>IF(B369&lt;&gt;"",IF(AND(B369&gt;=_TM1,B369&lt;=_TM2,OR(TH!L369="1111",TH!M369="1111")),TH!D369,""),"")</f>
        <v/>
      </c>
      <c r="B369" s="36">
        <f t="shared" si="23"/>
        <v>7</v>
      </c>
      <c r="C369" s="183">
        <f t="shared" si="24"/>
        <v>42571</v>
      </c>
      <c r="D369" s="183" t="s">
        <v>619</v>
      </c>
      <c r="E369" s="190">
        <v>42571</v>
      </c>
      <c r="F369" s="188" t="s">
        <v>569</v>
      </c>
      <c r="G369" s="479" t="s">
        <v>769</v>
      </c>
      <c r="H369" s="7" t="s">
        <v>678</v>
      </c>
      <c r="I369" s="255">
        <v>1559</v>
      </c>
      <c r="J369" s="255">
        <v>5900</v>
      </c>
      <c r="K369" s="37">
        <f>ROUND(I369*J369,0)</f>
        <v>9198100</v>
      </c>
      <c r="L369" s="193" t="s">
        <v>259</v>
      </c>
      <c r="M369" s="597" t="s">
        <v>174</v>
      </c>
      <c r="N369" s="51" t="str">
        <f>IF(AND('331-CT'!$E$7=TH!H369,OR(L369="331",M369="331")),"331",IF(AND(OR(L369="131",M369="131"),H369='131-CT'!$E$7),"131",""))</f>
        <v/>
      </c>
      <c r="O369" s="887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09"/>
      <c r="AC369" s="588"/>
    </row>
    <row r="370" spans="1:31" s="210" customFormat="1" ht="15.75" customHeight="1">
      <c r="A370" s="203" t="str">
        <f>IF(B370&lt;&gt;"",IF(AND(B370&gt;=_TM1,B370&lt;=_TM2,OR(TH!L370="1111",TH!M370="1111")),TH!D370,""),"")</f>
        <v/>
      </c>
      <c r="B370" s="36">
        <f t="shared" si="23"/>
        <v>7</v>
      </c>
      <c r="C370" s="183">
        <f t="shared" si="24"/>
        <v>42571</v>
      </c>
      <c r="D370" s="183" t="s">
        <v>619</v>
      </c>
      <c r="E370" s="190">
        <v>42571</v>
      </c>
      <c r="F370" s="188" t="s">
        <v>555</v>
      </c>
      <c r="G370" s="479" t="s">
        <v>769</v>
      </c>
      <c r="H370" s="7" t="s">
        <v>678</v>
      </c>
      <c r="I370" s="255"/>
      <c r="J370" s="255"/>
      <c r="K370" s="37">
        <v>919810</v>
      </c>
      <c r="L370" s="193" t="s">
        <v>259</v>
      </c>
      <c r="M370" s="597" t="s">
        <v>364</v>
      </c>
      <c r="N370" s="51" t="str">
        <f>IF(AND('331-CT'!$E$7=TH!H370,OR(L370="331",M370="331")),"331",IF(AND(OR(L370="131",M370="131"),H370='131-CT'!$E$7),"131",""))</f>
        <v/>
      </c>
      <c r="O370" s="887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09"/>
      <c r="AC370" s="588"/>
      <c r="AD370" s="588"/>
    </row>
    <row r="371" spans="1:31" s="210" customFormat="1" ht="15.75" customHeight="1">
      <c r="A371" s="203" t="str">
        <f>IF(B371&lt;&gt;"",IF(AND(B371&gt;=_TM1,B371&lt;=_TM2,OR(TH!L371="1111",TH!M371="1111")),TH!D371,""),"")</f>
        <v/>
      </c>
      <c r="B371" s="36">
        <f t="shared" si="23"/>
        <v>7</v>
      </c>
      <c r="C371" s="183">
        <f t="shared" si="24"/>
        <v>42572</v>
      </c>
      <c r="D371" s="183" t="s">
        <v>620</v>
      </c>
      <c r="E371" s="190">
        <v>42572</v>
      </c>
      <c r="F371" s="188" t="s">
        <v>571</v>
      </c>
      <c r="G371" s="479" t="s">
        <v>770</v>
      </c>
      <c r="H371" s="7" t="s">
        <v>677</v>
      </c>
      <c r="I371" s="255">
        <v>102</v>
      </c>
      <c r="J371" s="255">
        <v>7900</v>
      </c>
      <c r="K371" s="37">
        <f>ROUND(I371*J371,0)</f>
        <v>805800</v>
      </c>
      <c r="L371" s="193" t="s">
        <v>259</v>
      </c>
      <c r="M371" s="597" t="s">
        <v>174</v>
      </c>
      <c r="N371" s="51" t="str">
        <f>IF(AND('331-CT'!$E$7=TH!H371,OR(L371="331",M371="331")),"331",IF(AND(OR(L371="131",M371="131"),H371='131-CT'!$E$7),"131",""))</f>
        <v/>
      </c>
      <c r="O371" s="887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09"/>
      <c r="AC371" s="588"/>
      <c r="AD371" s="588"/>
      <c r="AE371" s="588"/>
    </row>
    <row r="372" spans="1:31" s="210" customFormat="1" ht="15.75" customHeight="1">
      <c r="A372" s="203" t="str">
        <f>IF(B372&lt;&gt;"",IF(AND(B372&gt;=_TM1,B372&lt;=_TM2,OR(TH!L372="1111",TH!M372="1111")),TH!D372,""),"")</f>
        <v/>
      </c>
      <c r="B372" s="36">
        <f t="shared" si="23"/>
        <v>7</v>
      </c>
      <c r="C372" s="183">
        <f t="shared" si="24"/>
        <v>42572</v>
      </c>
      <c r="D372" s="183" t="s">
        <v>620</v>
      </c>
      <c r="E372" s="190">
        <v>42572</v>
      </c>
      <c r="F372" s="188" t="s">
        <v>570</v>
      </c>
      <c r="G372" s="479" t="s">
        <v>770</v>
      </c>
      <c r="H372" s="7" t="s">
        <v>677</v>
      </c>
      <c r="I372" s="255">
        <v>103</v>
      </c>
      <c r="J372" s="255">
        <v>12900</v>
      </c>
      <c r="K372" s="37">
        <f>ROUND(I372*J372,0)</f>
        <v>1328700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/>
      </c>
      <c r="O372" s="887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09"/>
      <c r="AC372" s="588"/>
    </row>
    <row r="373" spans="1:31" s="210" customFormat="1" ht="15.75" customHeight="1">
      <c r="A373" s="203" t="str">
        <f>IF(B373&lt;&gt;"",IF(AND(B373&gt;=_TM1,B373&lt;=_TM2,OR(TH!L373="1111",TH!M373="1111")),TH!D373,""),"")</f>
        <v/>
      </c>
      <c r="B373" s="36">
        <f t="shared" si="23"/>
        <v>7</v>
      </c>
      <c r="C373" s="183">
        <f t="shared" si="24"/>
        <v>42572</v>
      </c>
      <c r="D373" s="183" t="s">
        <v>620</v>
      </c>
      <c r="E373" s="190">
        <v>42572</v>
      </c>
      <c r="F373" s="188" t="s">
        <v>555</v>
      </c>
      <c r="G373" s="479" t="s">
        <v>770</v>
      </c>
      <c r="H373" s="7" t="s">
        <v>677</v>
      </c>
      <c r="I373" s="255"/>
      <c r="J373" s="255"/>
      <c r="K373" s="37">
        <v>213450</v>
      </c>
      <c r="L373" s="193" t="s">
        <v>259</v>
      </c>
      <c r="M373" s="597" t="s">
        <v>364</v>
      </c>
      <c r="N373" s="51" t="str">
        <f>IF(AND('331-CT'!$E$7=TH!H373,OR(L373="331",M373="331")),"331",IF(AND(OR(L373="131",M373="131"),H373='131-CT'!$E$7),"131",""))</f>
        <v/>
      </c>
      <c r="O373" s="887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09"/>
      <c r="AC373" s="588"/>
      <c r="AD373" s="588"/>
    </row>
    <row r="374" spans="1:31" s="210" customFormat="1" ht="15.75" customHeight="1">
      <c r="A374" s="203" t="str">
        <f>IF(B374&lt;&gt;"",IF(AND(B374&gt;=_TM1,B374&lt;=_TM2,OR(TH!L374="1111",TH!M374="1111")),TH!D374,""),"")</f>
        <v/>
      </c>
      <c r="B374" s="36">
        <f t="shared" si="23"/>
        <v>7</v>
      </c>
      <c r="C374" s="183">
        <f t="shared" si="24"/>
        <v>42573</v>
      </c>
      <c r="D374" s="183" t="s">
        <v>621</v>
      </c>
      <c r="E374" s="190">
        <v>42573</v>
      </c>
      <c r="F374" s="188" t="s">
        <v>708</v>
      </c>
      <c r="G374" s="479" t="s">
        <v>771</v>
      </c>
      <c r="H374" s="7" t="s">
        <v>413</v>
      </c>
      <c r="I374" s="255">
        <v>250</v>
      </c>
      <c r="J374" s="255">
        <v>12400</v>
      </c>
      <c r="K374" s="37">
        <f>ROUND(I374*J374,0)</f>
        <v>3100000</v>
      </c>
      <c r="L374" s="193" t="s">
        <v>259</v>
      </c>
      <c r="M374" s="597" t="s">
        <v>174</v>
      </c>
      <c r="N374" s="51" t="str">
        <f>IF(AND('331-CT'!$E$7=TH!H374,OR(L374="331",M374="331")),"331",IF(AND(OR(L374="131",M374="131"),H374='131-CT'!$E$7),"131",""))</f>
        <v/>
      </c>
      <c r="O374" s="887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09"/>
      <c r="AC374" s="588"/>
      <c r="AD374" s="588"/>
    </row>
    <row r="375" spans="1:31" s="210" customFormat="1" ht="15.75" customHeight="1">
      <c r="A375" s="203" t="str">
        <f>IF(B375&lt;&gt;"",IF(AND(B375&gt;=_TM1,B375&lt;=_TM2,OR(TH!L375="1111",TH!M375="1111")),TH!D375,""),"")</f>
        <v/>
      </c>
      <c r="B375" s="36">
        <f t="shared" si="23"/>
        <v>7</v>
      </c>
      <c r="C375" s="183">
        <f t="shared" si="24"/>
        <v>42573</v>
      </c>
      <c r="D375" s="183" t="s">
        <v>621</v>
      </c>
      <c r="E375" s="190">
        <v>42573</v>
      </c>
      <c r="F375" s="188" t="s">
        <v>709</v>
      </c>
      <c r="G375" s="479" t="s">
        <v>771</v>
      </c>
      <c r="H375" s="7" t="s">
        <v>413</v>
      </c>
      <c r="I375" s="255">
        <v>200</v>
      </c>
      <c r="J375" s="255">
        <v>14200</v>
      </c>
      <c r="K375" s="37">
        <f>ROUND(I375*J375,0)</f>
        <v>2840000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87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09"/>
      <c r="AC375" s="588"/>
      <c r="AD375" s="588"/>
      <c r="AE375" s="588"/>
    </row>
    <row r="376" spans="1:31" s="210" customFormat="1" ht="15.75" customHeight="1">
      <c r="A376" s="203" t="str">
        <f>IF(B376&lt;&gt;"",IF(AND(B376&gt;=_TM1,B376&lt;=_TM2,OR(TH!L376="1111",TH!M376="1111")),TH!D376,""),"")</f>
        <v/>
      </c>
      <c r="B376" s="36">
        <f t="shared" si="23"/>
        <v>7</v>
      </c>
      <c r="C376" s="183">
        <f t="shared" si="24"/>
        <v>42573</v>
      </c>
      <c r="D376" s="183" t="s">
        <v>621</v>
      </c>
      <c r="E376" s="190">
        <v>42573</v>
      </c>
      <c r="F376" s="188" t="s">
        <v>710</v>
      </c>
      <c r="G376" s="479" t="s">
        <v>771</v>
      </c>
      <c r="H376" s="7" t="s">
        <v>413</v>
      </c>
      <c r="I376" s="255">
        <v>300</v>
      </c>
      <c r="J376" s="255">
        <v>16500</v>
      </c>
      <c r="K376" s="37">
        <f>ROUND(I376*J376,0)</f>
        <v>4950000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87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09"/>
      <c r="AC376" s="588"/>
      <c r="AD376" s="588"/>
    </row>
    <row r="377" spans="1:31" s="210" customFormat="1" ht="15.75" customHeight="1">
      <c r="A377" s="203" t="str">
        <f>IF(B377&lt;&gt;"",IF(AND(B377&gt;=_TM1,B377&lt;=_TM2,OR(TH!L377="1111",TH!M377="1111")),TH!D377,""),"")</f>
        <v/>
      </c>
      <c r="B377" s="36">
        <f t="shared" si="23"/>
        <v>7</v>
      </c>
      <c r="C377" s="183">
        <f t="shared" si="24"/>
        <v>42573</v>
      </c>
      <c r="D377" s="183" t="s">
        <v>621</v>
      </c>
      <c r="E377" s="190">
        <v>42573</v>
      </c>
      <c r="F377" s="188" t="s">
        <v>711</v>
      </c>
      <c r="G377" s="479" t="s">
        <v>771</v>
      </c>
      <c r="H377" s="7" t="s">
        <v>413</v>
      </c>
      <c r="I377" s="255">
        <v>300</v>
      </c>
      <c r="J377" s="255">
        <v>24500</v>
      </c>
      <c r="K377" s="37">
        <f>ROUND(I377*J377,0)</f>
        <v>7350000</v>
      </c>
      <c r="L377" s="193" t="s">
        <v>259</v>
      </c>
      <c r="M377" s="597" t="s">
        <v>174</v>
      </c>
      <c r="N377" s="51" t="str">
        <f>IF(AND('331-CT'!$E$7=TH!H377,OR(L377="331",M377="331")),"331",IF(AND(OR(L377="131",M377="131"),H377='131-CT'!$E$7),"131",""))</f>
        <v/>
      </c>
      <c r="O377" s="887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09"/>
      <c r="AC377" s="588"/>
    </row>
    <row r="378" spans="1:31" s="210" customFormat="1" ht="15.75" customHeight="1">
      <c r="A378" s="203" t="str">
        <f>IF(B378&lt;&gt;"",IF(AND(B378&gt;=_TM1,B378&lt;=_TM2,OR(TH!L378="1111",TH!M378="1111")),TH!D378,""),"")</f>
        <v/>
      </c>
      <c r="B378" s="36">
        <f t="shared" si="23"/>
        <v>7</v>
      </c>
      <c r="C378" s="183">
        <f t="shared" si="24"/>
        <v>42573</v>
      </c>
      <c r="D378" s="183" t="s">
        <v>621</v>
      </c>
      <c r="E378" s="190">
        <v>42573</v>
      </c>
      <c r="F378" s="188" t="s">
        <v>884</v>
      </c>
      <c r="G378" s="479" t="s">
        <v>771</v>
      </c>
      <c r="H378" s="7" t="s">
        <v>413</v>
      </c>
      <c r="I378" s="255">
        <v>200</v>
      </c>
      <c r="J378" s="255">
        <v>25500</v>
      </c>
      <c r="K378" s="37">
        <f>ROUND(I378*J378,0)</f>
        <v>5100000</v>
      </c>
      <c r="L378" s="193" t="s">
        <v>259</v>
      </c>
      <c r="M378" s="597" t="s">
        <v>174</v>
      </c>
      <c r="N378" s="51" t="str">
        <f>IF(AND('331-CT'!$E$7=TH!H378,OR(L378="331",M378="331")),"331",IF(AND(OR(L378="131",M378="131"),H378='131-CT'!$E$7),"131",""))</f>
        <v/>
      </c>
      <c r="O378" s="887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09"/>
      <c r="AC378" s="588"/>
      <c r="AD378" s="588"/>
    </row>
    <row r="379" spans="1:31" s="210" customFormat="1" ht="15.75" customHeight="1">
      <c r="A379" s="203" t="str">
        <f>IF(B379&lt;&gt;"",IF(AND(B379&gt;=_TM1,B379&lt;=_TM2,OR(TH!L379="1111",TH!M379="1111")),TH!D379,""),"")</f>
        <v/>
      </c>
      <c r="B379" s="36">
        <f t="shared" si="23"/>
        <v>7</v>
      </c>
      <c r="C379" s="183">
        <f t="shared" si="24"/>
        <v>42573</v>
      </c>
      <c r="D379" s="183" t="s">
        <v>621</v>
      </c>
      <c r="E379" s="190">
        <v>42573</v>
      </c>
      <c r="F379" s="188" t="s">
        <v>555</v>
      </c>
      <c r="G379" s="479" t="s">
        <v>771</v>
      </c>
      <c r="H379" s="7" t="s">
        <v>413</v>
      </c>
      <c r="I379" s="255"/>
      <c r="J379" s="255"/>
      <c r="K379" s="37">
        <v>2334000</v>
      </c>
      <c r="L379" s="193" t="s">
        <v>259</v>
      </c>
      <c r="M379" s="597" t="s">
        <v>364</v>
      </c>
      <c r="N379" s="51" t="str">
        <f>IF(AND('331-CT'!$E$7=TH!H379,OR(L379="331",M379="331")),"331",IF(AND(OR(L379="131",M379="131"),H379='131-CT'!$E$7),"131",""))</f>
        <v/>
      </c>
      <c r="O379" s="887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09"/>
      <c r="AC379" s="588"/>
      <c r="AD379" s="588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23"/>
        <v>7</v>
      </c>
      <c r="C380" s="183">
        <f t="shared" si="24"/>
        <v>42574</v>
      </c>
      <c r="D380" s="183" t="s">
        <v>622</v>
      </c>
      <c r="E380" s="190">
        <v>42574</v>
      </c>
      <c r="F380" s="188" t="s">
        <v>717</v>
      </c>
      <c r="G380" s="479" t="s">
        <v>772</v>
      </c>
      <c r="H380" s="7" t="s">
        <v>412</v>
      </c>
      <c r="I380" s="255">
        <v>530</v>
      </c>
      <c r="J380" s="255">
        <v>17800</v>
      </c>
      <c r="K380" s="37">
        <f>ROUND(I380*J380,0)</f>
        <v>9434000</v>
      </c>
      <c r="L380" s="193" t="s">
        <v>259</v>
      </c>
      <c r="M380" s="597" t="s">
        <v>174</v>
      </c>
      <c r="N380" s="51" t="str">
        <f>IF(AND('331-CT'!$E$7=TH!H380,OR(L380="331",M380="331")),"331",IF(AND(OR(L380="131",M380="131"),H380='131-CT'!$E$7),"131",""))</f>
        <v/>
      </c>
      <c r="O380" s="887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09"/>
      <c r="AC380" s="588"/>
    </row>
    <row r="381" spans="1:31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23"/>
        <v>7</v>
      </c>
      <c r="C381" s="183">
        <f t="shared" si="24"/>
        <v>42574</v>
      </c>
      <c r="D381" s="183" t="s">
        <v>622</v>
      </c>
      <c r="E381" s="190">
        <v>42574</v>
      </c>
      <c r="F381" s="188" t="s">
        <v>559</v>
      </c>
      <c r="G381" s="479" t="s">
        <v>772</v>
      </c>
      <c r="H381" s="7" t="s">
        <v>412</v>
      </c>
      <c r="I381" s="255">
        <v>33</v>
      </c>
      <c r="J381" s="255">
        <v>9600</v>
      </c>
      <c r="K381" s="37">
        <f>ROUND(I381*J381,0)</f>
        <v>316800</v>
      </c>
      <c r="L381" s="193" t="s">
        <v>259</v>
      </c>
      <c r="M381" s="597" t="s">
        <v>174</v>
      </c>
      <c r="N381" s="51" t="str">
        <f>IF(AND('331-CT'!$E$7=TH!H381,OR(L381="331",M381="331")),"331",IF(AND(OR(L381="131",M381="131"),H381='131-CT'!$E$7),"131",""))</f>
        <v/>
      </c>
      <c r="O381" s="887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09"/>
      <c r="AC381" s="588"/>
      <c r="AD381" s="588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23"/>
        <v>7</v>
      </c>
      <c r="C382" s="183">
        <f t="shared" si="24"/>
        <v>42574</v>
      </c>
      <c r="D382" s="183" t="s">
        <v>622</v>
      </c>
      <c r="E382" s="190">
        <v>42574</v>
      </c>
      <c r="F382" s="188" t="s">
        <v>718</v>
      </c>
      <c r="G382" s="479" t="s">
        <v>772</v>
      </c>
      <c r="H382" s="7" t="s">
        <v>412</v>
      </c>
      <c r="I382" s="255">
        <v>630</v>
      </c>
      <c r="J382" s="255">
        <v>9700</v>
      </c>
      <c r="K382" s="37">
        <f>ROUND(I382*J382,0)</f>
        <v>6111000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87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09"/>
      <c r="AC382" s="588"/>
      <c r="AD382" s="588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23"/>
        <v>7</v>
      </c>
      <c r="C383" s="183">
        <f t="shared" si="24"/>
        <v>42574</v>
      </c>
      <c r="D383" s="183" t="s">
        <v>622</v>
      </c>
      <c r="E383" s="190">
        <v>42574</v>
      </c>
      <c r="F383" s="188" t="s">
        <v>724</v>
      </c>
      <c r="G383" s="479" t="s">
        <v>772</v>
      </c>
      <c r="H383" s="7" t="s">
        <v>412</v>
      </c>
      <c r="I383" s="255">
        <v>352</v>
      </c>
      <c r="J383" s="255">
        <v>13700</v>
      </c>
      <c r="K383" s="37">
        <f>ROUND(I383*J383,0)</f>
        <v>4822400</v>
      </c>
      <c r="L383" s="193" t="s">
        <v>259</v>
      </c>
      <c r="M383" s="597" t="s">
        <v>174</v>
      </c>
      <c r="N383" s="51" t="str">
        <f>IF(AND('331-CT'!$E$7=TH!H383,OR(L383="331",M383="331")),"331",IF(AND(OR(L383="131",M383="131"),H383='131-CT'!$E$7),"131",""))</f>
        <v/>
      </c>
      <c r="O383" s="887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09"/>
      <c r="AC383" s="588"/>
      <c r="AD383" s="588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23"/>
        <v>7</v>
      </c>
      <c r="C384" s="183">
        <f t="shared" si="24"/>
        <v>42574</v>
      </c>
      <c r="D384" s="183" t="s">
        <v>622</v>
      </c>
      <c r="E384" s="190">
        <v>42574</v>
      </c>
      <c r="F384" s="188" t="s">
        <v>555</v>
      </c>
      <c r="G384" s="479" t="s">
        <v>772</v>
      </c>
      <c r="H384" s="7" t="s">
        <v>412</v>
      </c>
      <c r="I384" s="255"/>
      <c r="J384" s="255"/>
      <c r="K384" s="37">
        <v>2068420</v>
      </c>
      <c r="L384" s="193" t="s">
        <v>259</v>
      </c>
      <c r="M384" s="597" t="s">
        <v>364</v>
      </c>
      <c r="N384" s="51" t="str">
        <f>IF(AND('331-CT'!$E$7=TH!H384,OR(L384="331",M384="331")),"331",IF(AND(OR(L384="131",M384="131"),H384='131-CT'!$E$7),"131",""))</f>
        <v/>
      </c>
      <c r="O384" s="887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09"/>
      <c r="AC384" s="588"/>
      <c r="AD384" s="588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23"/>
        <v>7</v>
      </c>
      <c r="C385" s="183">
        <f t="shared" si="24"/>
        <v>42574</v>
      </c>
      <c r="D385" s="183" t="s">
        <v>623</v>
      </c>
      <c r="E385" s="190">
        <v>42574</v>
      </c>
      <c r="F385" s="188" t="s">
        <v>572</v>
      </c>
      <c r="G385" s="479" t="s">
        <v>773</v>
      </c>
      <c r="H385" s="7" t="s">
        <v>679</v>
      </c>
      <c r="I385" s="255">
        <v>350</v>
      </c>
      <c r="J385" s="255">
        <v>13600</v>
      </c>
      <c r="K385" s="37">
        <f>ROUND(I385*J385,0)</f>
        <v>4760000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/>
      </c>
      <c r="O385" s="887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09"/>
      <c r="AC385" s="588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23"/>
        <v>7</v>
      </c>
      <c r="C386" s="183">
        <f t="shared" si="24"/>
        <v>42574</v>
      </c>
      <c r="D386" s="183" t="s">
        <v>623</v>
      </c>
      <c r="E386" s="190">
        <v>42574</v>
      </c>
      <c r="F386" s="188" t="s">
        <v>555</v>
      </c>
      <c r="G386" s="479" t="s">
        <v>773</v>
      </c>
      <c r="H386" s="7" t="s">
        <v>679</v>
      </c>
      <c r="I386" s="255"/>
      <c r="J386" s="255"/>
      <c r="K386" s="37">
        <v>476000</v>
      </c>
      <c r="L386" s="193" t="s">
        <v>259</v>
      </c>
      <c r="M386" s="597" t="s">
        <v>364</v>
      </c>
      <c r="N386" s="51" t="str">
        <f>IF(AND('331-CT'!$E$7=TH!H386,OR(L386="331",M386="331")),"331",IF(AND(OR(L386="131",M386="131"),H386='131-CT'!$E$7),"131",""))</f>
        <v/>
      </c>
      <c r="O386" s="887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09"/>
      <c r="AC386" s="588"/>
      <c r="AD386" s="588"/>
    </row>
    <row r="387" spans="1:31" s="210" customFormat="1" ht="15.75" customHeight="1">
      <c r="A387" s="203">
        <f>IF(B387&lt;&gt;"",IF(AND(B387&gt;=_TM1,B387&lt;=_TM2,OR(TH!L387="1111",TH!M387="1111")),TH!D387,""),"")</f>
        <v>0</v>
      </c>
      <c r="B387" s="36">
        <f t="shared" si="23"/>
        <v>7</v>
      </c>
      <c r="C387" s="183">
        <f t="shared" si="24"/>
        <v>42574</v>
      </c>
      <c r="D387" s="183"/>
      <c r="E387" s="190">
        <v>42574</v>
      </c>
      <c r="F387" s="191" t="s">
        <v>543</v>
      </c>
      <c r="G387" s="479" t="s">
        <v>773</v>
      </c>
      <c r="H387" s="7" t="s">
        <v>679</v>
      </c>
      <c r="I387" s="255"/>
      <c r="J387" s="255"/>
      <c r="K387" s="37">
        <v>5236000</v>
      </c>
      <c r="L387" s="193" t="s">
        <v>47</v>
      </c>
      <c r="M387" s="597" t="s">
        <v>259</v>
      </c>
      <c r="N387" s="51" t="str">
        <f>IF(AND('331-CT'!$E$7=TH!H387,OR(L387="331",M387="331")),"331",IF(AND(OR(L387="131",M387="131"),H387='131-CT'!$E$7),"131",""))</f>
        <v/>
      </c>
      <c r="O387" s="887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10"/>
      <c r="AC387" s="588"/>
      <c r="AD387" s="588"/>
      <c r="AE387" s="588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 t="shared" si="23"/>
        <v>7</v>
      </c>
      <c r="C388" s="183">
        <f t="shared" si="24"/>
        <v>42577</v>
      </c>
      <c r="D388" s="183" t="s">
        <v>624</v>
      </c>
      <c r="E388" s="190">
        <v>42577</v>
      </c>
      <c r="F388" s="188" t="s">
        <v>573</v>
      </c>
      <c r="G388" s="479" t="s">
        <v>774</v>
      </c>
      <c r="H388" s="7" t="s">
        <v>407</v>
      </c>
      <c r="I388" s="255">
        <v>473</v>
      </c>
      <c r="J388" s="255">
        <v>13000</v>
      </c>
      <c r="K388" s="37">
        <f>ROUND(I388*J388,0)</f>
        <v>6149000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87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09"/>
      <c r="AC388" s="588"/>
      <c r="AD388" s="588"/>
      <c r="AE388" s="588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 t="shared" si="23"/>
        <v>7</v>
      </c>
      <c r="C389" s="183">
        <f t="shared" si="24"/>
        <v>42577</v>
      </c>
      <c r="D389" s="183" t="s">
        <v>624</v>
      </c>
      <c r="E389" s="190">
        <v>42577</v>
      </c>
      <c r="F389" s="188" t="s">
        <v>555</v>
      </c>
      <c r="G389" s="479" t="s">
        <v>774</v>
      </c>
      <c r="H389" s="7" t="s">
        <v>407</v>
      </c>
      <c r="I389" s="255"/>
      <c r="J389" s="255"/>
      <c r="K389" s="37">
        <v>614900</v>
      </c>
      <c r="L389" s="193" t="s">
        <v>259</v>
      </c>
      <c r="M389" s="597" t="s">
        <v>364</v>
      </c>
      <c r="N389" s="51" t="str">
        <f>IF(AND('331-CT'!$E$7=TH!H389,OR(L389="331",M389="331")),"331",IF(AND(OR(L389="131",M389="131"),H389='131-CT'!$E$7),"131",""))</f>
        <v/>
      </c>
      <c r="O389" s="887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09"/>
      <c r="AC389" s="588"/>
      <c r="AD389" s="588"/>
      <c r="AE389" s="588"/>
    </row>
    <row r="390" spans="1:31" s="210" customFormat="1" ht="15.75" customHeight="1">
      <c r="A390" s="203" t="str">
        <f>IF(B390&lt;&gt;"",IF(AND(B390&gt;=_TM1,B390&lt;=_TM2,OR(TH!L390="1111",TH!M390="1111")),TH!D390,""),"")</f>
        <v/>
      </c>
      <c r="B390" s="36">
        <f t="shared" si="23"/>
        <v>7</v>
      </c>
      <c r="C390" s="183">
        <f t="shared" si="24"/>
        <v>42580</v>
      </c>
      <c r="D390" s="183" t="s">
        <v>625</v>
      </c>
      <c r="E390" s="190">
        <v>42580</v>
      </c>
      <c r="F390" s="188" t="s">
        <v>574</v>
      </c>
      <c r="G390" s="479" t="s">
        <v>775</v>
      </c>
      <c r="H390" s="7" t="s">
        <v>407</v>
      </c>
      <c r="I390" s="255">
        <v>302</v>
      </c>
      <c r="J390" s="255">
        <v>10500</v>
      </c>
      <c r="K390" s="37">
        <f>ROUND(I390*J390,0)</f>
        <v>3171000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87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09"/>
      <c r="AC390" s="588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36">
        <f t="shared" si="23"/>
        <v>7</v>
      </c>
      <c r="C391" s="183">
        <f t="shared" si="24"/>
        <v>42580</v>
      </c>
      <c r="D391" s="183" t="s">
        <v>625</v>
      </c>
      <c r="E391" s="190">
        <v>42580</v>
      </c>
      <c r="F391" s="188" t="s">
        <v>575</v>
      </c>
      <c r="G391" s="479" t="s">
        <v>775</v>
      </c>
      <c r="H391" s="7" t="s">
        <v>407</v>
      </c>
      <c r="I391" s="255">
        <v>527</v>
      </c>
      <c r="J391" s="255">
        <v>10500</v>
      </c>
      <c r="K391" s="37">
        <f>ROUND(I391*J391,0)</f>
        <v>5533500</v>
      </c>
      <c r="L391" s="193" t="s">
        <v>259</v>
      </c>
      <c r="M391" s="597" t="s">
        <v>174</v>
      </c>
      <c r="N391" s="51" t="str">
        <f>IF(AND('331-CT'!$E$7=TH!H391,OR(L391="331",M391="331")),"331",IF(AND(OR(L391="131",M391="131"),H391='131-CT'!$E$7),"131",""))</f>
        <v/>
      </c>
      <c r="O391" s="887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09"/>
      <c r="AC391" s="588"/>
      <c r="AD391" s="588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36">
        <f t="shared" si="23"/>
        <v>7</v>
      </c>
      <c r="C392" s="183">
        <f t="shared" si="24"/>
        <v>42580</v>
      </c>
      <c r="D392" s="183" t="s">
        <v>625</v>
      </c>
      <c r="E392" s="190">
        <v>42580</v>
      </c>
      <c r="F392" s="188" t="s">
        <v>555</v>
      </c>
      <c r="G392" s="479" t="s">
        <v>775</v>
      </c>
      <c r="H392" s="7" t="s">
        <v>407</v>
      </c>
      <c r="I392" s="255"/>
      <c r="J392" s="255"/>
      <c r="K392" s="37">
        <v>870450</v>
      </c>
      <c r="L392" s="193" t="s">
        <v>259</v>
      </c>
      <c r="M392" s="597" t="s">
        <v>364</v>
      </c>
      <c r="N392" s="51" t="str">
        <f>IF(AND('331-CT'!$E$7=TH!H392,OR(L392="331",M392="331")),"331",IF(AND(OR(L392="131",M392="131"),H392='131-CT'!$E$7),"131",""))</f>
        <v/>
      </c>
      <c r="O392" s="887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09"/>
      <c r="AC392" s="588"/>
      <c r="AD392" s="588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23"/>
        <v>7</v>
      </c>
      <c r="C393" s="183">
        <f t="shared" si="24"/>
        <v>42580</v>
      </c>
      <c r="D393" s="183" t="s">
        <v>626</v>
      </c>
      <c r="E393" s="190">
        <v>42580</v>
      </c>
      <c r="F393" s="188" t="s">
        <v>711</v>
      </c>
      <c r="G393" s="479" t="s">
        <v>776</v>
      </c>
      <c r="H393" s="7" t="s">
        <v>413</v>
      </c>
      <c r="I393" s="255">
        <v>100</v>
      </c>
      <c r="J393" s="255">
        <v>19700</v>
      </c>
      <c r="K393" s="37">
        <f>ROUND(I393*J393,0)</f>
        <v>1970000</v>
      </c>
      <c r="L393" s="193" t="s">
        <v>259</v>
      </c>
      <c r="M393" s="597" t="s">
        <v>174</v>
      </c>
      <c r="N393" s="51" t="str">
        <f>IF(AND('331-CT'!$E$7=TH!H393,OR(L393="331",M393="331")),"331",IF(AND(OR(L393="131",M393="131"),H393='131-CT'!$E$7),"131",""))</f>
        <v/>
      </c>
      <c r="O393" s="887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09"/>
      <c r="AC393" s="588"/>
      <c r="AD393" s="588"/>
    </row>
    <row r="394" spans="1:31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23"/>
        <v>7</v>
      </c>
      <c r="C394" s="183">
        <f t="shared" si="24"/>
        <v>42580</v>
      </c>
      <c r="D394" s="183" t="s">
        <v>626</v>
      </c>
      <c r="E394" s="190">
        <v>42580</v>
      </c>
      <c r="F394" s="188" t="s">
        <v>884</v>
      </c>
      <c r="G394" s="479" t="s">
        <v>776</v>
      </c>
      <c r="H394" s="7" t="s">
        <v>413</v>
      </c>
      <c r="I394" s="255">
        <v>100</v>
      </c>
      <c r="J394" s="255">
        <v>20100</v>
      </c>
      <c r="K394" s="37">
        <f>ROUND(I394*J394,0)</f>
        <v>2010000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/>
      </c>
      <c r="O394" s="887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09"/>
      <c r="AC394" s="588"/>
      <c r="AD394" s="588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23"/>
        <v>7</v>
      </c>
      <c r="C395" s="183">
        <f t="shared" si="24"/>
        <v>42580</v>
      </c>
      <c r="D395" s="183" t="s">
        <v>626</v>
      </c>
      <c r="E395" s="190">
        <v>42580</v>
      </c>
      <c r="F395" s="188" t="s">
        <v>555</v>
      </c>
      <c r="G395" s="479" t="s">
        <v>776</v>
      </c>
      <c r="H395" s="7" t="s">
        <v>413</v>
      </c>
      <c r="I395" s="255"/>
      <c r="J395" s="255"/>
      <c r="K395" s="37">
        <v>398000</v>
      </c>
      <c r="L395" s="193" t="s">
        <v>259</v>
      </c>
      <c r="M395" s="597" t="s">
        <v>364</v>
      </c>
      <c r="N395" s="51" t="str">
        <f>IF(AND('331-CT'!$E$7=TH!H395,OR(L395="331",M395="331")),"331",IF(AND(OR(L395="131",M395="131"),H395='131-CT'!$E$7),"131",""))</f>
        <v/>
      </c>
      <c r="O395" s="887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09"/>
      <c r="AC395" s="588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23"/>
        <v>8</v>
      </c>
      <c r="C396" s="183">
        <f t="shared" si="24"/>
        <v>42583</v>
      </c>
      <c r="D396" s="183" t="s">
        <v>627</v>
      </c>
      <c r="E396" s="190">
        <v>42583</v>
      </c>
      <c r="F396" s="188" t="s">
        <v>569</v>
      </c>
      <c r="G396" s="479" t="s">
        <v>777</v>
      </c>
      <c r="H396" s="7" t="s">
        <v>678</v>
      </c>
      <c r="I396" s="7">
        <v>500</v>
      </c>
      <c r="J396" s="255">
        <v>5900</v>
      </c>
      <c r="K396" s="37">
        <f>ROUND(I396*J396,0)</f>
        <v>2950000</v>
      </c>
      <c r="L396" s="193" t="s">
        <v>259</v>
      </c>
      <c r="M396" s="597" t="s">
        <v>174</v>
      </c>
      <c r="N396" s="51" t="str">
        <f>IF(AND('331-CT'!$E$7=TH!H396,OR(L396="331",M396="331")),"331",IF(AND(OR(L396="131",M396="131"),H396='131-CT'!$E$7),"131",""))</f>
        <v/>
      </c>
      <c r="O396" s="887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09"/>
      <c r="AC396" s="588"/>
      <c r="AD396" s="588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23"/>
        <v>8</v>
      </c>
      <c r="C397" s="183">
        <f t="shared" si="24"/>
        <v>42583</v>
      </c>
      <c r="D397" s="183" t="s">
        <v>627</v>
      </c>
      <c r="E397" s="190">
        <v>42583</v>
      </c>
      <c r="F397" s="188" t="s">
        <v>555</v>
      </c>
      <c r="G397" s="479" t="s">
        <v>777</v>
      </c>
      <c r="H397" s="7" t="s">
        <v>678</v>
      </c>
      <c r="I397" s="255"/>
      <c r="J397" s="255"/>
      <c r="K397" s="37">
        <v>295000</v>
      </c>
      <c r="L397" s="193" t="s">
        <v>259</v>
      </c>
      <c r="M397" s="597" t="s">
        <v>364</v>
      </c>
      <c r="N397" s="51" t="str">
        <f>IF(AND('331-CT'!$E$7=TH!H397,OR(L397="331",M397="331")),"331",IF(AND(OR(L397="131",M397="131"),H397='131-CT'!$E$7),"131",""))</f>
        <v/>
      </c>
      <c r="O397" s="887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09"/>
      <c r="AC397" s="588"/>
      <c r="AD397" s="588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23"/>
        <v>8</v>
      </c>
      <c r="C398" s="183">
        <f t="shared" si="24"/>
        <v>42584</v>
      </c>
      <c r="D398" s="183" t="s">
        <v>628</v>
      </c>
      <c r="E398" s="190">
        <v>42584</v>
      </c>
      <c r="F398" s="188" t="s">
        <v>576</v>
      </c>
      <c r="G398" s="479" t="s">
        <v>778</v>
      </c>
      <c r="H398" s="7" t="s">
        <v>415</v>
      </c>
      <c r="I398" s="255">
        <v>606</v>
      </c>
      <c r="J398" s="255">
        <v>6000</v>
      </c>
      <c r="K398" s="37">
        <f>ROUND(I398*J398,0)</f>
        <v>3636000</v>
      </c>
      <c r="L398" s="193" t="s">
        <v>259</v>
      </c>
      <c r="M398" s="597" t="s">
        <v>174</v>
      </c>
      <c r="N398" s="51" t="str">
        <f>IF(AND('331-CT'!$E$7=TH!H398,OR(L398="331",M398="331")),"331",IF(AND(OR(L398="131",M398="131"),H398='131-CT'!$E$7),"131",""))</f>
        <v/>
      </c>
      <c r="O398" s="887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09"/>
      <c r="AC398" s="588"/>
      <c r="AD398" s="588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23"/>
        <v>8</v>
      </c>
      <c r="C399" s="183">
        <f t="shared" si="24"/>
        <v>42584</v>
      </c>
      <c r="D399" s="183" t="s">
        <v>628</v>
      </c>
      <c r="E399" s="190">
        <v>42584</v>
      </c>
      <c r="F399" s="188" t="s">
        <v>577</v>
      </c>
      <c r="G399" s="479" t="s">
        <v>778</v>
      </c>
      <c r="H399" s="7" t="s">
        <v>415</v>
      </c>
      <c r="I399" s="255">
        <v>404</v>
      </c>
      <c r="J399" s="255">
        <v>8600</v>
      </c>
      <c r="K399" s="37">
        <f>ROUND(I399*J399,0)</f>
        <v>3474400</v>
      </c>
      <c r="L399" s="193" t="s">
        <v>259</v>
      </c>
      <c r="M399" s="597" t="s">
        <v>174</v>
      </c>
      <c r="N399" s="51" t="str">
        <f>IF(AND('331-CT'!$E$7=TH!H399,OR(L399="331",M399="331")),"331",IF(AND(OR(L399="131",M399="131"),H399='131-CT'!$E$7),"131",""))</f>
        <v/>
      </c>
      <c r="O399" s="887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09"/>
      <c r="AC399" s="588"/>
      <c r="AD399" s="588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23"/>
        <v>8</v>
      </c>
      <c r="C400" s="183">
        <f t="shared" si="24"/>
        <v>42584</v>
      </c>
      <c r="D400" s="183" t="s">
        <v>628</v>
      </c>
      <c r="E400" s="190">
        <v>42584</v>
      </c>
      <c r="F400" s="188" t="s">
        <v>578</v>
      </c>
      <c r="G400" s="479" t="s">
        <v>778</v>
      </c>
      <c r="H400" s="7" t="s">
        <v>415</v>
      </c>
      <c r="I400" s="255">
        <v>304</v>
      </c>
      <c r="J400" s="255">
        <v>14200</v>
      </c>
      <c r="K400" s="37">
        <f>ROUND(I400*J400,0)</f>
        <v>4316800</v>
      </c>
      <c r="L400" s="193" t="s">
        <v>259</v>
      </c>
      <c r="M400" s="597" t="s">
        <v>174</v>
      </c>
      <c r="N400" s="51" t="str">
        <f>IF(AND('331-CT'!$E$7=TH!H400,OR(L400="331",M400="331")),"331",IF(AND(OR(L400="131",M400="131"),H400='131-CT'!$E$7),"131",""))</f>
        <v/>
      </c>
      <c r="O400" s="887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09"/>
      <c r="AC400" s="588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23"/>
        <v>8</v>
      </c>
      <c r="C401" s="183">
        <f t="shared" si="24"/>
        <v>42584</v>
      </c>
      <c r="D401" s="183" t="s">
        <v>628</v>
      </c>
      <c r="E401" s="190">
        <v>42584</v>
      </c>
      <c r="F401" s="188" t="s">
        <v>555</v>
      </c>
      <c r="G401" s="479" t="s">
        <v>778</v>
      </c>
      <c r="H401" s="7" t="s">
        <v>415</v>
      </c>
      <c r="I401" s="255"/>
      <c r="J401" s="255"/>
      <c r="K401" s="37">
        <v>1142720</v>
      </c>
      <c r="L401" s="193" t="s">
        <v>259</v>
      </c>
      <c r="M401" s="597" t="s">
        <v>364</v>
      </c>
      <c r="N401" s="51" t="str">
        <f>IF(AND('331-CT'!$E$7=TH!H401,OR(L401="331",M401="331")),"331",IF(AND(OR(L401="131",M401="131"),H401='131-CT'!$E$7),"131",""))</f>
        <v/>
      </c>
      <c r="O401" s="887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09"/>
      <c r="AC401" s="588"/>
      <c r="AD401" s="588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23"/>
        <v>8</v>
      </c>
      <c r="C402" s="183">
        <f t="shared" si="24"/>
        <v>42584</v>
      </c>
      <c r="D402" s="183" t="s">
        <v>629</v>
      </c>
      <c r="E402" s="190">
        <v>42584</v>
      </c>
      <c r="F402" s="188" t="s">
        <v>579</v>
      </c>
      <c r="G402" s="479" t="s">
        <v>779</v>
      </c>
      <c r="H402" s="7" t="s">
        <v>406</v>
      </c>
      <c r="I402" s="255">
        <v>1335</v>
      </c>
      <c r="J402" s="255">
        <v>5000</v>
      </c>
      <c r="K402" s="37">
        <f>ROUND(I402*J402,0)</f>
        <v>6675000</v>
      </c>
      <c r="L402" s="193" t="s">
        <v>259</v>
      </c>
      <c r="M402" s="597" t="s">
        <v>174</v>
      </c>
      <c r="N402" s="51" t="str">
        <f>IF(AND('331-CT'!$E$7=TH!H402,OR(L402="331",M402="331")),"331",IF(AND(OR(L402="131",M402="131"),H402='131-CT'!$E$7),"131",""))</f>
        <v/>
      </c>
      <c r="O402" s="887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09"/>
      <c r="AC402" s="588"/>
      <c r="AD402" s="588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23"/>
        <v>8</v>
      </c>
      <c r="C403" s="183">
        <f t="shared" si="24"/>
        <v>42584</v>
      </c>
      <c r="D403" s="183" t="s">
        <v>629</v>
      </c>
      <c r="E403" s="190">
        <v>42584</v>
      </c>
      <c r="F403" s="188" t="s">
        <v>580</v>
      </c>
      <c r="G403" s="479" t="s">
        <v>779</v>
      </c>
      <c r="H403" s="7" t="s">
        <v>406</v>
      </c>
      <c r="I403" s="255">
        <v>302</v>
      </c>
      <c r="J403" s="255">
        <v>5100</v>
      </c>
      <c r="K403" s="37">
        <f>ROUND(I403*J403,0)</f>
        <v>1540200</v>
      </c>
      <c r="L403" s="193" t="s">
        <v>259</v>
      </c>
      <c r="M403" s="597" t="s">
        <v>174</v>
      </c>
      <c r="N403" s="51" t="str">
        <f>IF(AND('331-CT'!$E$7=TH!H403,OR(L403="331",M403="331")),"331",IF(AND(OR(L403="131",M403="131"),H403='131-CT'!$E$7),"131",""))</f>
        <v/>
      </c>
      <c r="O403" s="887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09"/>
      <c r="AC403" s="588"/>
      <c r="AD403" s="588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 t="shared" si="23"/>
        <v>8</v>
      </c>
      <c r="C404" s="183">
        <f t="shared" si="24"/>
        <v>42584</v>
      </c>
      <c r="D404" s="183" t="s">
        <v>629</v>
      </c>
      <c r="E404" s="190">
        <v>42584</v>
      </c>
      <c r="F404" s="188" t="s">
        <v>581</v>
      </c>
      <c r="G404" s="479" t="s">
        <v>779</v>
      </c>
      <c r="H404" s="7" t="s">
        <v>406</v>
      </c>
      <c r="I404" s="255">
        <v>420</v>
      </c>
      <c r="J404" s="255">
        <v>9700</v>
      </c>
      <c r="K404" s="37">
        <f>ROUND(I404*J404,0)</f>
        <v>4074000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/>
      </c>
      <c r="O404" s="887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09"/>
      <c r="AC404" s="588"/>
      <c r="AD404" s="588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 t="shared" si="23"/>
        <v>8</v>
      </c>
      <c r="C405" s="183">
        <f t="shared" si="24"/>
        <v>42584</v>
      </c>
      <c r="D405" s="183" t="s">
        <v>629</v>
      </c>
      <c r="E405" s="190">
        <v>42584</v>
      </c>
      <c r="F405" s="188" t="s">
        <v>555</v>
      </c>
      <c r="G405" s="479" t="s">
        <v>779</v>
      </c>
      <c r="H405" s="7" t="s">
        <v>406</v>
      </c>
      <c r="I405" s="255"/>
      <c r="J405" s="255"/>
      <c r="K405" s="37">
        <v>1228920</v>
      </c>
      <c r="L405" s="193" t="s">
        <v>259</v>
      </c>
      <c r="M405" s="597" t="s">
        <v>364</v>
      </c>
      <c r="N405" s="51" t="str">
        <f>IF(AND('331-CT'!$E$7=TH!H405,OR(L405="331",M405="331")),"331",IF(AND(OR(L405="131",M405="131"),H405='131-CT'!$E$7),"131",""))</f>
        <v/>
      </c>
      <c r="O405" s="887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09"/>
      <c r="AC405" s="588"/>
      <c r="AD405" s="588"/>
    </row>
    <row r="406" spans="1:31" s="210" customFormat="1" ht="15.75" customHeight="1">
      <c r="A406" s="203" t="str">
        <f>IF(B406&lt;&gt;"",IF(AND(B406&gt;=_TM1,B406&lt;=_TM2,OR(TH!L406="1111",TH!M406="1111")),TH!D406,""),"")</f>
        <v/>
      </c>
      <c r="B406" s="36">
        <f t="shared" si="23"/>
        <v>8</v>
      </c>
      <c r="C406" s="183">
        <f t="shared" si="24"/>
        <v>42585</v>
      </c>
      <c r="D406" s="183" t="s">
        <v>630</v>
      </c>
      <c r="E406" s="190">
        <v>42585</v>
      </c>
      <c r="F406" s="188" t="s">
        <v>582</v>
      </c>
      <c r="G406" s="479" t="s">
        <v>780</v>
      </c>
      <c r="H406" s="7" t="s">
        <v>407</v>
      </c>
      <c r="I406" s="255">
        <v>427</v>
      </c>
      <c r="J406" s="255">
        <v>10200</v>
      </c>
      <c r="K406" s="37">
        <f>ROUND(I406*J406,0)</f>
        <v>4355400</v>
      </c>
      <c r="L406" s="193" t="s">
        <v>259</v>
      </c>
      <c r="M406" s="597" t="s">
        <v>174</v>
      </c>
      <c r="N406" s="51" t="str">
        <f>IF(AND('331-CT'!$E$7=TH!H406,OR(L406="331",M406="331")),"331",IF(AND(OR(L406="131",M406="131"),H406='131-CT'!$E$7),"131",""))</f>
        <v/>
      </c>
      <c r="O406" s="887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09"/>
      <c r="AC406" s="588"/>
      <c r="AD406" s="588"/>
    </row>
    <row r="407" spans="1:31" s="210" customFormat="1" ht="15.75" customHeight="1">
      <c r="A407" s="203" t="str">
        <f>IF(B407&lt;&gt;"",IF(AND(B407&gt;=_TM1,B407&lt;=_TM2,OR(TH!L407="1111",TH!M407="1111")),TH!D407,""),"")</f>
        <v/>
      </c>
      <c r="B407" s="36">
        <f t="shared" ref="B407:B470" si="25">IF(C407&lt;&gt;"",MONTH(C407),"")</f>
        <v>8</v>
      </c>
      <c r="C407" s="183">
        <f t="shared" ref="C407:C470" si="26">E407</f>
        <v>42585</v>
      </c>
      <c r="D407" s="183" t="s">
        <v>630</v>
      </c>
      <c r="E407" s="190">
        <v>42585</v>
      </c>
      <c r="F407" s="188" t="s">
        <v>555</v>
      </c>
      <c r="G407" s="479" t="s">
        <v>780</v>
      </c>
      <c r="H407" s="7" t="s">
        <v>407</v>
      </c>
      <c r="I407" s="255"/>
      <c r="J407" s="255"/>
      <c r="K407" s="37">
        <v>435540</v>
      </c>
      <c r="L407" s="193" t="s">
        <v>259</v>
      </c>
      <c r="M407" s="597" t="s">
        <v>364</v>
      </c>
      <c r="N407" s="51" t="str">
        <f>IF(AND('331-CT'!$E$7=TH!H407,OR(L407="331",M407="331")),"331",IF(AND(OR(L407="131",M407="131"),H407='131-CT'!$E$7),"131",""))</f>
        <v/>
      </c>
      <c r="O407" s="887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09"/>
      <c r="AC407" s="588"/>
    </row>
    <row r="408" spans="1:31" s="210" customFormat="1" ht="15.75" customHeight="1">
      <c r="A408" s="203" t="str">
        <f>IF(B408&lt;&gt;"",IF(AND(B408&gt;=_TM1,B408&lt;=_TM2,OR(TH!L408="1111",TH!M408="1111")),TH!D408,""),"")</f>
        <v/>
      </c>
      <c r="B408" s="36">
        <f t="shared" si="25"/>
        <v>8</v>
      </c>
      <c r="C408" s="183">
        <f t="shared" si="26"/>
        <v>42588</v>
      </c>
      <c r="D408" s="183" t="s">
        <v>631</v>
      </c>
      <c r="E408" s="190">
        <v>42588</v>
      </c>
      <c r="F408" s="188" t="s">
        <v>597</v>
      </c>
      <c r="G408" s="479" t="s">
        <v>781</v>
      </c>
      <c r="H408" s="7" t="s">
        <v>677</v>
      </c>
      <c r="I408" s="255">
        <v>108</v>
      </c>
      <c r="J408" s="255">
        <v>6400</v>
      </c>
      <c r="K408" s="37">
        <f>ROUND(I408*J408,0)</f>
        <v>691200</v>
      </c>
      <c r="L408" s="193" t="s">
        <v>259</v>
      </c>
      <c r="M408" s="597" t="s">
        <v>174</v>
      </c>
      <c r="N408" s="51" t="str">
        <f>IF(AND('331-CT'!$E$7=TH!H408,OR(L408="331",M408="331")),"331",IF(AND(OR(L408="131",M408="131"),H408='131-CT'!$E$7),"131",""))</f>
        <v/>
      </c>
      <c r="O408" s="887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09"/>
      <c r="AC408" s="588"/>
      <c r="AD408" s="588"/>
    </row>
    <row r="409" spans="1:31" s="210" customFormat="1" ht="15.75" customHeight="1">
      <c r="A409" s="203" t="str">
        <f>IF(B409&lt;&gt;"",IF(AND(B409&gt;=_TM1,B409&lt;=_TM2,OR(TH!L409="1111",TH!M409="1111")),TH!D409,""),"")</f>
        <v/>
      </c>
      <c r="B409" s="36">
        <f t="shared" si="25"/>
        <v>8</v>
      </c>
      <c r="C409" s="183">
        <f t="shared" si="26"/>
        <v>42588</v>
      </c>
      <c r="D409" s="183" t="s">
        <v>631</v>
      </c>
      <c r="E409" s="190">
        <v>42588</v>
      </c>
      <c r="F409" s="188" t="s">
        <v>726</v>
      </c>
      <c r="G409" s="479" t="s">
        <v>781</v>
      </c>
      <c r="H409" s="7" t="s">
        <v>677</v>
      </c>
      <c r="I409" s="255">
        <v>103</v>
      </c>
      <c r="J409" s="255">
        <v>9400</v>
      </c>
      <c r="K409" s="37">
        <f>ROUND(I409*J409,0)</f>
        <v>968200</v>
      </c>
      <c r="L409" s="193" t="s">
        <v>259</v>
      </c>
      <c r="M409" s="597" t="s">
        <v>174</v>
      </c>
      <c r="N409" s="51" t="str">
        <f>IF(AND('331-CT'!$E$7=TH!H409,OR(L409="331",M409="331")),"331",IF(AND(OR(L409="131",M409="131"),H409='131-CT'!$E$7),"131",""))</f>
        <v/>
      </c>
      <c r="O409" s="887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09"/>
      <c r="AC409" s="588"/>
      <c r="AD409" s="588"/>
    </row>
    <row r="410" spans="1:31" s="210" customFormat="1" ht="15.75" customHeight="1">
      <c r="A410" s="203" t="str">
        <f>IF(B410&lt;&gt;"",IF(AND(B410&gt;=_TM1,B410&lt;=_TM2,OR(TH!L410="1111",TH!M410="1111")),TH!D410,""),"")</f>
        <v/>
      </c>
      <c r="B410" s="36">
        <f t="shared" si="25"/>
        <v>8</v>
      </c>
      <c r="C410" s="183">
        <f t="shared" si="26"/>
        <v>42588</v>
      </c>
      <c r="D410" s="183" t="s">
        <v>631</v>
      </c>
      <c r="E410" s="190">
        <v>42588</v>
      </c>
      <c r="F410" s="188" t="s">
        <v>555</v>
      </c>
      <c r="G410" s="479" t="s">
        <v>781</v>
      </c>
      <c r="H410" s="7" t="s">
        <v>677</v>
      </c>
      <c r="I410" s="255"/>
      <c r="J410" s="255"/>
      <c r="K410" s="37">
        <v>165940</v>
      </c>
      <c r="L410" s="193" t="s">
        <v>259</v>
      </c>
      <c r="M410" s="597" t="s">
        <v>364</v>
      </c>
      <c r="N410" s="51" t="str">
        <f>IF(AND('331-CT'!$E$7=TH!H410,OR(L410="331",M410="331")),"331",IF(AND(OR(L410="131",M410="131"),H410='131-CT'!$E$7),"131",""))</f>
        <v/>
      </c>
      <c r="O410" s="887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09"/>
      <c r="AC410" s="588"/>
      <c r="AD410" s="588"/>
    </row>
    <row r="411" spans="1:31" s="210" customFormat="1" ht="15.75" customHeight="1">
      <c r="A411" s="203" t="str">
        <f>IF(B411&lt;&gt;"",IF(AND(B411&gt;=_TM1,B411&lt;=_TM2,OR(TH!L411="1111",TH!M411="1111")),TH!D411,""),"")</f>
        <v/>
      </c>
      <c r="B411" s="36">
        <f t="shared" si="25"/>
        <v>8</v>
      </c>
      <c r="C411" s="183">
        <f t="shared" si="26"/>
        <v>42591</v>
      </c>
      <c r="D411" s="183" t="s">
        <v>632</v>
      </c>
      <c r="E411" s="190">
        <v>42591</v>
      </c>
      <c r="F411" s="188" t="s">
        <v>583</v>
      </c>
      <c r="G411" s="479" t="s">
        <v>782</v>
      </c>
      <c r="H411" s="192" t="s">
        <v>675</v>
      </c>
      <c r="I411" s="255">
        <v>490</v>
      </c>
      <c r="J411" s="255">
        <v>11000</v>
      </c>
      <c r="K411" s="37">
        <f>ROUND(I411*J411,0)</f>
        <v>5390000</v>
      </c>
      <c r="L411" s="193" t="s">
        <v>259</v>
      </c>
      <c r="M411" s="597" t="s">
        <v>174</v>
      </c>
      <c r="N411" s="51" t="str">
        <f>IF(AND('331-CT'!$E$7=TH!H411,OR(L411="331",M411="331")),"331",IF(AND(OR(L411="131",M411="131"),H411='131-CT'!$E$7),"131",""))</f>
        <v/>
      </c>
      <c r="O411" s="887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09"/>
      <c r="AC411" s="588"/>
      <c r="AD411" s="588"/>
    </row>
    <row r="412" spans="1:31" s="210" customFormat="1" ht="15.75" customHeight="1">
      <c r="A412" s="203" t="str">
        <f>IF(B412&lt;&gt;"",IF(AND(B412&gt;=_TM1,B412&lt;=_TM2,OR(TH!L412="1111",TH!M412="1111")),TH!D412,""),"")</f>
        <v/>
      </c>
      <c r="B412" s="36">
        <f t="shared" si="25"/>
        <v>8</v>
      </c>
      <c r="C412" s="183">
        <f t="shared" si="26"/>
        <v>42591</v>
      </c>
      <c r="D412" s="183" t="s">
        <v>632</v>
      </c>
      <c r="E412" s="190">
        <v>42591</v>
      </c>
      <c r="F412" s="188" t="s">
        <v>555</v>
      </c>
      <c r="G412" s="479" t="s">
        <v>782</v>
      </c>
      <c r="H412" s="192" t="s">
        <v>675</v>
      </c>
      <c r="I412" s="255"/>
      <c r="J412" s="255"/>
      <c r="K412" s="37">
        <v>539000</v>
      </c>
      <c r="L412" s="193" t="s">
        <v>259</v>
      </c>
      <c r="M412" s="597" t="s">
        <v>364</v>
      </c>
      <c r="N412" s="51" t="str">
        <f>IF(AND('331-CT'!$E$7=TH!H412,OR(L412="331",M412="331")),"331",IF(AND(OR(L412="131",M412="131"),H412='131-CT'!$E$7),"131",""))</f>
        <v/>
      </c>
      <c r="O412" s="887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09"/>
      <c r="AC412" s="588"/>
      <c r="AD412" s="588"/>
      <c r="AE412" s="588"/>
    </row>
    <row r="413" spans="1:31" s="210" customFormat="1" ht="15.75" customHeight="1">
      <c r="A413" s="203">
        <f>IF(B413&lt;&gt;"",IF(AND(B413&gt;=_TM1,B413&lt;=_TM2,OR(TH!L413="1111",TH!M413="1111")),TH!D413,""),"")</f>
        <v>0</v>
      </c>
      <c r="B413" s="36">
        <f t="shared" si="25"/>
        <v>8</v>
      </c>
      <c r="C413" s="183">
        <f t="shared" si="26"/>
        <v>42591</v>
      </c>
      <c r="D413" s="183"/>
      <c r="E413" s="190">
        <v>42591</v>
      </c>
      <c r="F413" s="191" t="s">
        <v>543</v>
      </c>
      <c r="G413" s="479" t="s">
        <v>782</v>
      </c>
      <c r="H413" s="192" t="s">
        <v>675</v>
      </c>
      <c r="I413" s="255"/>
      <c r="J413" s="255"/>
      <c r="K413" s="37">
        <v>5929000</v>
      </c>
      <c r="L413" s="193" t="s">
        <v>47</v>
      </c>
      <c r="M413" s="597" t="s">
        <v>259</v>
      </c>
      <c r="N413" s="51" t="str">
        <f>IF(AND('331-CT'!$E$7=TH!H413,OR(L413="331",M413="331")),"331",IF(AND(OR(L413="131",M413="131"),H413='131-CT'!$E$7),"131",""))</f>
        <v/>
      </c>
      <c r="O413" s="887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09"/>
      <c r="AC413" s="588"/>
      <c r="AD413" s="588"/>
      <c r="AE413" s="588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25"/>
        <v>8</v>
      </c>
      <c r="C414" s="183">
        <f t="shared" si="26"/>
        <v>42592</v>
      </c>
      <c r="D414" s="183" t="s">
        <v>633</v>
      </c>
      <c r="E414" s="190">
        <v>42592</v>
      </c>
      <c r="F414" s="188" t="s">
        <v>585</v>
      </c>
      <c r="G414" s="479" t="s">
        <v>783</v>
      </c>
      <c r="H414" s="192" t="s">
        <v>584</v>
      </c>
      <c r="I414" s="255">
        <v>403</v>
      </c>
      <c r="J414" s="255">
        <v>20000</v>
      </c>
      <c r="K414" s="37">
        <f>ROUND(I414*J414,0)</f>
        <v>8060000</v>
      </c>
      <c r="L414" s="193" t="s">
        <v>259</v>
      </c>
      <c r="M414" s="597" t="s">
        <v>174</v>
      </c>
      <c r="N414" s="51" t="str">
        <f>IF(AND('331-CT'!$E$7=TH!H414,OR(L414="331",M414="331")),"331",IF(AND(OR(L414="131",M414="131"),H414='131-CT'!$E$7),"131",""))</f>
        <v/>
      </c>
      <c r="O414" s="887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09"/>
      <c r="AC414" s="588"/>
      <c r="AD414" s="588"/>
      <c r="AE414" s="588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25"/>
        <v>8</v>
      </c>
      <c r="C415" s="183">
        <f t="shared" si="26"/>
        <v>42592</v>
      </c>
      <c r="D415" s="183" t="s">
        <v>633</v>
      </c>
      <c r="E415" s="190">
        <v>42592</v>
      </c>
      <c r="F415" s="188" t="s">
        <v>555</v>
      </c>
      <c r="G415" s="479" t="s">
        <v>783</v>
      </c>
      <c r="H415" s="192" t="s">
        <v>584</v>
      </c>
      <c r="I415" s="255"/>
      <c r="J415" s="255"/>
      <c r="K415" s="37">
        <v>806000</v>
      </c>
      <c r="L415" s="193" t="s">
        <v>259</v>
      </c>
      <c r="M415" s="597" t="s">
        <v>364</v>
      </c>
      <c r="N415" s="51" t="str">
        <f>IF(AND('331-CT'!$E$7=TH!H415,OR(L415="331",M415="331")),"331",IF(AND(OR(L415="131",M415="131"),H415='131-CT'!$E$7),"131",""))</f>
        <v/>
      </c>
      <c r="O415" s="887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09"/>
      <c r="AC415" s="588"/>
      <c r="AD415" s="588"/>
      <c r="AE415" s="588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 t="shared" si="25"/>
        <v>8</v>
      </c>
      <c r="C416" s="183">
        <f t="shared" si="26"/>
        <v>42592</v>
      </c>
      <c r="D416" s="183" t="s">
        <v>634</v>
      </c>
      <c r="E416" s="190">
        <v>42592</v>
      </c>
      <c r="F416" s="188" t="s">
        <v>709</v>
      </c>
      <c r="G416" s="479" t="s">
        <v>784</v>
      </c>
      <c r="H416" s="7" t="s">
        <v>413</v>
      </c>
      <c r="I416" s="255">
        <v>30</v>
      </c>
      <c r="J416" s="255">
        <v>14200</v>
      </c>
      <c r="K416" s="37">
        <f>ROUND(I416*J416,0)</f>
        <v>426000</v>
      </c>
      <c r="L416" s="193" t="s">
        <v>259</v>
      </c>
      <c r="M416" s="597" t="s">
        <v>174</v>
      </c>
      <c r="N416" s="51" t="str">
        <f>IF(AND('331-CT'!$E$7=TH!H416,OR(L416="331",M416="331")),"331",IF(AND(OR(L416="131",M416="131"),H416='131-CT'!$E$7),"131",""))</f>
        <v/>
      </c>
      <c r="O416" s="887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09"/>
      <c r="AC416" s="588"/>
      <c r="AD416" s="588"/>
      <c r="AE416" s="588"/>
    </row>
    <row r="417" spans="1:31" s="210" customFormat="1" ht="15.75" customHeight="1">
      <c r="A417" s="203" t="str">
        <f>IF(B417&lt;&gt;"",IF(AND(B417&gt;=_TM1,B417&lt;=_TM2,OR(TH!L417="1111",TH!M417="1111")),TH!D417,""),"")</f>
        <v/>
      </c>
      <c r="B417" s="36">
        <f t="shared" si="25"/>
        <v>8</v>
      </c>
      <c r="C417" s="183">
        <f t="shared" si="26"/>
        <v>42592</v>
      </c>
      <c r="D417" s="183" t="s">
        <v>634</v>
      </c>
      <c r="E417" s="190">
        <v>42592</v>
      </c>
      <c r="F417" s="188" t="s">
        <v>712</v>
      </c>
      <c r="G417" s="479" t="s">
        <v>784</v>
      </c>
      <c r="H417" s="7" t="s">
        <v>413</v>
      </c>
      <c r="I417" s="255">
        <v>30</v>
      </c>
      <c r="J417" s="255">
        <v>15300</v>
      </c>
      <c r="K417" s="37">
        <f>ROUND(I417*J417,0)</f>
        <v>459000</v>
      </c>
      <c r="L417" s="193" t="s">
        <v>259</v>
      </c>
      <c r="M417" s="597" t="s">
        <v>174</v>
      </c>
      <c r="N417" s="51" t="str">
        <f>IF(AND('331-CT'!$E$7=TH!H417,OR(L417="331",M417="331")),"331",IF(AND(OR(L417="131",M417="131"),H417='131-CT'!$E$7),"131",""))</f>
        <v/>
      </c>
      <c r="O417" s="887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09"/>
      <c r="AC417" s="588"/>
      <c r="AD417" s="588"/>
      <c r="AE417" s="588"/>
    </row>
    <row r="418" spans="1:31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25"/>
        <v>8</v>
      </c>
      <c r="C418" s="183">
        <f t="shared" si="26"/>
        <v>42592</v>
      </c>
      <c r="D418" s="183" t="s">
        <v>634</v>
      </c>
      <c r="E418" s="190">
        <v>42592</v>
      </c>
      <c r="F418" s="188" t="s">
        <v>710</v>
      </c>
      <c r="G418" s="479" t="s">
        <v>784</v>
      </c>
      <c r="H418" s="7" t="s">
        <v>413</v>
      </c>
      <c r="I418" s="255">
        <v>30</v>
      </c>
      <c r="J418" s="255">
        <v>16500</v>
      </c>
      <c r="K418" s="37">
        <f>ROUND(I418*J418,0)</f>
        <v>495000</v>
      </c>
      <c r="L418" s="193" t="s">
        <v>259</v>
      </c>
      <c r="M418" s="597" t="s">
        <v>174</v>
      </c>
      <c r="N418" s="51" t="str">
        <f>IF(AND('331-CT'!$E$7=TH!H418,OR(L418="331",M418="331")),"331",IF(AND(OR(L418="131",M418="131"),H418='131-CT'!$E$7),"131",""))</f>
        <v/>
      </c>
      <c r="O418" s="887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09"/>
      <c r="AC418" s="588"/>
      <c r="AD418" s="588"/>
      <c r="AE418" s="588"/>
    </row>
    <row r="419" spans="1:31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25"/>
        <v>8</v>
      </c>
      <c r="C419" s="183">
        <f t="shared" si="26"/>
        <v>42592</v>
      </c>
      <c r="D419" s="183" t="s">
        <v>634</v>
      </c>
      <c r="E419" s="190">
        <v>42592</v>
      </c>
      <c r="F419" s="188" t="s">
        <v>711</v>
      </c>
      <c r="G419" s="479" t="s">
        <v>784</v>
      </c>
      <c r="H419" s="7" t="s">
        <v>413</v>
      </c>
      <c r="I419" s="255">
        <v>100</v>
      </c>
      <c r="J419" s="255">
        <v>19700</v>
      </c>
      <c r="K419" s="37">
        <f>ROUND(I419*J419,0)</f>
        <v>1970000</v>
      </c>
      <c r="L419" s="193" t="s">
        <v>259</v>
      </c>
      <c r="M419" s="597" t="s">
        <v>174</v>
      </c>
      <c r="N419" s="51" t="str">
        <f>IF(AND('331-CT'!$E$7=TH!H419,OR(L419="331",M419="331")),"331",IF(AND(OR(L419="131",M419="131"),H419='131-CT'!$E$7),"131",""))</f>
        <v/>
      </c>
      <c r="O419" s="887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09"/>
      <c r="AC419" s="588"/>
      <c r="AD419" s="588"/>
      <c r="AE419" s="588"/>
    </row>
    <row r="420" spans="1:31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si="25"/>
        <v>8</v>
      </c>
      <c r="C420" s="183">
        <f t="shared" si="26"/>
        <v>42592</v>
      </c>
      <c r="D420" s="183" t="s">
        <v>634</v>
      </c>
      <c r="E420" s="190">
        <v>42592</v>
      </c>
      <c r="F420" s="188" t="s">
        <v>884</v>
      </c>
      <c r="G420" s="479" t="s">
        <v>784</v>
      </c>
      <c r="H420" s="7" t="s">
        <v>413</v>
      </c>
      <c r="I420" s="255">
        <v>60</v>
      </c>
      <c r="J420" s="255">
        <v>20100</v>
      </c>
      <c r="K420" s="37">
        <f>ROUND(I420*J420,0)</f>
        <v>1206000</v>
      </c>
      <c r="L420" s="193" t="s">
        <v>259</v>
      </c>
      <c r="M420" s="597" t="s">
        <v>174</v>
      </c>
      <c r="N420" s="51" t="str">
        <f>IF(AND('331-CT'!$E$7=TH!H420,OR(L420="331",M420="331")),"331",IF(AND(OR(L420="131",M420="131"),H420='131-CT'!$E$7),"131",""))</f>
        <v/>
      </c>
      <c r="O420" s="887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09"/>
      <c r="AC420" s="588"/>
      <c r="AD420" s="588"/>
      <c r="AE420" s="588"/>
    </row>
    <row r="421" spans="1:31" s="210" customFormat="1" ht="15.75" customHeight="1">
      <c r="A421" s="203" t="str">
        <f>IF(B421&lt;&gt;"",IF(AND(B421&gt;=_TM1,B421&lt;=_TM2,OR(TH!L421="1111",TH!M421="1111")),TH!D421,""),"")</f>
        <v/>
      </c>
      <c r="B421" s="36">
        <f t="shared" si="25"/>
        <v>8</v>
      </c>
      <c r="C421" s="183">
        <f t="shared" si="26"/>
        <v>42592</v>
      </c>
      <c r="D421" s="183" t="s">
        <v>634</v>
      </c>
      <c r="E421" s="190">
        <v>42592</v>
      </c>
      <c r="F421" s="188" t="s">
        <v>555</v>
      </c>
      <c r="G421" s="479" t="s">
        <v>784</v>
      </c>
      <c r="H421" s="7" t="s">
        <v>413</v>
      </c>
      <c r="I421" s="255"/>
      <c r="J421" s="255"/>
      <c r="K421" s="37">
        <v>455600</v>
      </c>
      <c r="L421" s="193" t="s">
        <v>259</v>
      </c>
      <c r="M421" s="597" t="s">
        <v>364</v>
      </c>
      <c r="N421" s="51" t="str">
        <f>IF(AND('331-CT'!$E$7=TH!H421,OR(L421="331",M421="331")),"331",IF(AND(OR(L421="131",M421="131"),H421='131-CT'!$E$7),"131",""))</f>
        <v/>
      </c>
      <c r="O421" s="887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09"/>
      <c r="AC421" s="588"/>
      <c r="AD421" s="588"/>
      <c r="AE421" s="588"/>
    </row>
    <row r="422" spans="1:31" s="210" customFormat="1" ht="15.75" customHeight="1">
      <c r="A422" s="203" t="str">
        <f>IF(B422&lt;&gt;"",IF(AND(B422&gt;=_TM1,B422&lt;=_TM2,OR(TH!L422="1111",TH!M422="1111")),TH!D422,""),"")</f>
        <v/>
      </c>
      <c r="B422" s="36">
        <f t="shared" si="25"/>
        <v>8</v>
      </c>
      <c r="C422" s="183">
        <f t="shared" si="26"/>
        <v>42592</v>
      </c>
      <c r="D422" s="183" t="s">
        <v>635</v>
      </c>
      <c r="E422" s="190">
        <v>42592</v>
      </c>
      <c r="F422" s="188" t="s">
        <v>585</v>
      </c>
      <c r="G422" s="479" t="s">
        <v>785</v>
      </c>
      <c r="H422" s="192" t="s">
        <v>584</v>
      </c>
      <c r="I422" s="255">
        <v>403</v>
      </c>
      <c r="J422" s="255">
        <v>20000</v>
      </c>
      <c r="K422" s="37">
        <f>ROUND(I422*J422,0)</f>
        <v>8060000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/>
      </c>
      <c r="O422" s="887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09"/>
      <c r="AC422" s="588"/>
      <c r="AD422" s="588"/>
      <c r="AE422" s="588"/>
    </row>
    <row r="423" spans="1:31" s="210" customFormat="1" ht="15.75" customHeight="1">
      <c r="A423" s="203" t="str">
        <f>IF(B423&lt;&gt;"",IF(AND(B423&gt;=_TM1,B423&lt;=_TM2,OR(TH!L423="1111",TH!M423="1111")),TH!D423,""),"")</f>
        <v/>
      </c>
      <c r="B423" s="36">
        <f t="shared" si="25"/>
        <v>8</v>
      </c>
      <c r="C423" s="183">
        <f t="shared" si="26"/>
        <v>42592</v>
      </c>
      <c r="D423" s="183" t="s">
        <v>635</v>
      </c>
      <c r="E423" s="190">
        <v>42592</v>
      </c>
      <c r="F423" s="188" t="s">
        <v>555</v>
      </c>
      <c r="G423" s="479" t="s">
        <v>785</v>
      </c>
      <c r="H423" s="192" t="s">
        <v>584</v>
      </c>
      <c r="I423" s="255"/>
      <c r="J423" s="255"/>
      <c r="K423" s="37">
        <v>806000</v>
      </c>
      <c r="L423" s="193" t="s">
        <v>259</v>
      </c>
      <c r="M423" s="597" t="s">
        <v>364</v>
      </c>
      <c r="N423" s="51" t="str">
        <f>IF(AND('331-CT'!$E$7=TH!H423,OR(L423="331",M423="331")),"331",IF(AND(OR(L423="131",M423="131"),H423='131-CT'!$E$7),"131",""))</f>
        <v/>
      </c>
      <c r="O423" s="887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09"/>
      <c r="AC423" s="588"/>
      <c r="AD423" s="588"/>
      <c r="AE423" s="588"/>
    </row>
    <row r="424" spans="1:31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25"/>
        <v>8</v>
      </c>
      <c r="C424" s="183">
        <f t="shared" si="26"/>
        <v>42594</v>
      </c>
      <c r="D424" s="183" t="s">
        <v>636</v>
      </c>
      <c r="E424" s="190">
        <v>42594</v>
      </c>
      <c r="F424" s="905" t="s">
        <v>719</v>
      </c>
      <c r="G424" s="479" t="s">
        <v>786</v>
      </c>
      <c r="H424" s="7" t="s">
        <v>412</v>
      </c>
      <c r="I424" s="255">
        <v>1330</v>
      </c>
      <c r="J424" s="255">
        <v>9360</v>
      </c>
      <c r="K424" s="37">
        <f t="shared" ref="K424:K429" si="27">ROUND(I424*J424,0)</f>
        <v>12448800</v>
      </c>
      <c r="L424" s="193" t="s">
        <v>259</v>
      </c>
      <c r="M424" s="597" t="s">
        <v>174</v>
      </c>
      <c r="N424" s="51" t="str">
        <f>IF(AND('331-CT'!$E$7=TH!H424,OR(L424="331",M424="331")),"331",IF(AND(OR(L424="131",M424="131"),H424='131-CT'!$E$7),"131",""))</f>
        <v/>
      </c>
      <c r="O424" s="887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09"/>
      <c r="AC424" s="588"/>
      <c r="AD424" s="588"/>
      <c r="AE424" s="588"/>
    </row>
    <row r="425" spans="1:31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25"/>
        <v>8</v>
      </c>
      <c r="C425" s="183">
        <f t="shared" si="26"/>
        <v>42594</v>
      </c>
      <c r="D425" s="183" t="s">
        <v>636</v>
      </c>
      <c r="E425" s="190">
        <v>42594</v>
      </c>
      <c r="F425" s="188" t="s">
        <v>719</v>
      </c>
      <c r="G425" s="479" t="s">
        <v>786</v>
      </c>
      <c r="H425" s="7" t="s">
        <v>412</v>
      </c>
      <c r="I425" s="255">
        <v>80</v>
      </c>
      <c r="J425" s="255">
        <v>9200</v>
      </c>
      <c r="K425" s="37">
        <f t="shared" si="27"/>
        <v>736000</v>
      </c>
      <c r="L425" s="193" t="s">
        <v>259</v>
      </c>
      <c r="M425" s="597" t="s">
        <v>174</v>
      </c>
      <c r="N425" s="51" t="str">
        <f>IF(AND('331-CT'!$E$7=TH!H425,OR(L425="331",M425="331")),"331",IF(AND(OR(L425="131",M425="131"),H425='131-CT'!$E$7),"131",""))</f>
        <v/>
      </c>
      <c r="O425" s="887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09"/>
      <c r="AC425" s="588"/>
      <c r="AD425" s="588"/>
      <c r="AE425" s="588"/>
    </row>
    <row r="426" spans="1:31" s="210" customFormat="1" ht="15.75" customHeight="1">
      <c r="A426" s="203" t="str">
        <f>IF(B426&lt;&gt;"",IF(AND(B426&gt;=_TM1,B426&lt;=_TM2,OR(TH!L426="1111",TH!M426="1111")),TH!D426,""),"")</f>
        <v/>
      </c>
      <c r="B426" s="36">
        <f t="shared" si="25"/>
        <v>8</v>
      </c>
      <c r="C426" s="183">
        <f t="shared" si="26"/>
        <v>42594</v>
      </c>
      <c r="D426" s="183" t="s">
        <v>636</v>
      </c>
      <c r="E426" s="190">
        <v>42594</v>
      </c>
      <c r="F426" s="191" t="s">
        <v>720</v>
      </c>
      <c r="G426" s="479" t="s">
        <v>786</v>
      </c>
      <c r="H426" s="7" t="s">
        <v>412</v>
      </c>
      <c r="I426" s="255">
        <v>35</v>
      </c>
      <c r="J426" s="255">
        <v>9300</v>
      </c>
      <c r="K426" s="37">
        <f t="shared" si="27"/>
        <v>325500</v>
      </c>
      <c r="L426" s="193" t="s">
        <v>259</v>
      </c>
      <c r="M426" s="597" t="s">
        <v>174</v>
      </c>
      <c r="N426" s="51" t="str">
        <f>IF(AND('331-CT'!$E$7=TH!H426,OR(L426="331",M426="331")),"331",IF(AND(OR(L426="131",M426="131"),H426='131-CT'!$E$7),"131",""))</f>
        <v/>
      </c>
      <c r="O426" s="887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09"/>
      <c r="AC426" s="588"/>
      <c r="AD426" s="588"/>
    </row>
    <row r="427" spans="1:31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25"/>
        <v>8</v>
      </c>
      <c r="C427" s="183">
        <f t="shared" si="26"/>
        <v>42594</v>
      </c>
      <c r="D427" s="183" t="s">
        <v>636</v>
      </c>
      <c r="E427" s="190">
        <v>42594</v>
      </c>
      <c r="F427" s="188" t="s">
        <v>721</v>
      </c>
      <c r="G427" s="479" t="s">
        <v>786</v>
      </c>
      <c r="H427" s="7" t="s">
        <v>412</v>
      </c>
      <c r="I427" s="255">
        <v>90</v>
      </c>
      <c r="J427" s="255">
        <v>7500</v>
      </c>
      <c r="K427" s="37">
        <f t="shared" si="27"/>
        <v>675000</v>
      </c>
      <c r="L427" s="193" t="s">
        <v>259</v>
      </c>
      <c r="M427" s="597" t="s">
        <v>174</v>
      </c>
      <c r="N427" s="51" t="str">
        <f>IF(AND('331-CT'!$E$7=TH!H427,OR(L427="331",M427="331")),"331",IF(AND(OR(L427="131",M427="131"),H427='131-CT'!$E$7),"131",""))</f>
        <v/>
      </c>
      <c r="O427" s="887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09"/>
      <c r="AC427" s="588"/>
      <c r="AD427" s="588"/>
    </row>
    <row r="428" spans="1:31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25"/>
        <v>8</v>
      </c>
      <c r="C428" s="183">
        <f t="shared" si="26"/>
        <v>42594</v>
      </c>
      <c r="D428" s="183" t="s">
        <v>636</v>
      </c>
      <c r="E428" s="190">
        <v>42594</v>
      </c>
      <c r="F428" s="191" t="s">
        <v>722</v>
      </c>
      <c r="G428" s="479" t="s">
        <v>786</v>
      </c>
      <c r="H428" s="7" t="s">
        <v>412</v>
      </c>
      <c r="I428" s="255">
        <v>650</v>
      </c>
      <c r="J428" s="255">
        <v>6200</v>
      </c>
      <c r="K428" s="37">
        <f t="shared" si="27"/>
        <v>4030000</v>
      </c>
      <c r="L428" s="193" t="s">
        <v>259</v>
      </c>
      <c r="M428" s="597" t="s">
        <v>174</v>
      </c>
      <c r="N428" s="51" t="str">
        <f>IF(AND('331-CT'!$E$7=TH!H428,OR(L428="331",M428="331")),"331",IF(AND(OR(L428="131",M428="131"),H428='131-CT'!$E$7),"131",""))</f>
        <v/>
      </c>
      <c r="O428" s="887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09"/>
      <c r="AC428" s="588"/>
      <c r="AD428" s="588"/>
    </row>
    <row r="429" spans="1:31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25"/>
        <v>8</v>
      </c>
      <c r="C429" s="183">
        <f t="shared" si="26"/>
        <v>42594</v>
      </c>
      <c r="D429" s="183" t="s">
        <v>636</v>
      </c>
      <c r="E429" s="190">
        <v>42594</v>
      </c>
      <c r="F429" s="188" t="s">
        <v>723</v>
      </c>
      <c r="G429" s="479" t="s">
        <v>786</v>
      </c>
      <c r="H429" s="7" t="s">
        <v>412</v>
      </c>
      <c r="I429" s="255">
        <v>210</v>
      </c>
      <c r="J429" s="255">
        <v>9500</v>
      </c>
      <c r="K429" s="37">
        <f t="shared" si="27"/>
        <v>1995000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7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09"/>
      <c r="AC429" s="588"/>
    </row>
    <row r="430" spans="1:31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25"/>
        <v>8</v>
      </c>
      <c r="C430" s="183">
        <f t="shared" si="26"/>
        <v>42594</v>
      </c>
      <c r="D430" s="183" t="s">
        <v>636</v>
      </c>
      <c r="E430" s="190">
        <v>42594</v>
      </c>
      <c r="F430" s="188" t="s">
        <v>555</v>
      </c>
      <c r="G430" s="479" t="s">
        <v>786</v>
      </c>
      <c r="H430" s="7" t="s">
        <v>412</v>
      </c>
      <c r="I430" s="255"/>
      <c r="J430" s="255"/>
      <c r="K430" s="37">
        <v>2021030</v>
      </c>
      <c r="L430" s="193" t="s">
        <v>259</v>
      </c>
      <c r="M430" s="597" t="s">
        <v>364</v>
      </c>
      <c r="N430" s="51" t="str">
        <f>IF(AND('331-CT'!$E$7=TH!H430,OR(L430="331",M430="331")),"331",IF(AND(OR(L430="131",M430="131"),H430='131-CT'!$E$7),"131",""))</f>
        <v/>
      </c>
      <c r="O430" s="887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09"/>
      <c r="AC430" s="588"/>
      <c r="AD430" s="588"/>
    </row>
    <row r="431" spans="1:31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25"/>
        <v>8</v>
      </c>
      <c r="C431" s="183">
        <f t="shared" si="26"/>
        <v>42597</v>
      </c>
      <c r="D431" s="183" t="s">
        <v>637</v>
      </c>
      <c r="E431" s="190">
        <v>42597</v>
      </c>
      <c r="F431" s="188" t="s">
        <v>586</v>
      </c>
      <c r="G431" s="479" t="s">
        <v>787</v>
      </c>
      <c r="H431" s="7" t="s">
        <v>680</v>
      </c>
      <c r="I431" s="255">
        <v>429</v>
      </c>
      <c r="J431" s="255">
        <v>6000</v>
      </c>
      <c r="K431" s="37">
        <f>ROUND(I431*J431,0)</f>
        <v>2574000</v>
      </c>
      <c r="L431" s="193" t="s">
        <v>259</v>
      </c>
      <c r="M431" s="597" t="s">
        <v>174</v>
      </c>
      <c r="N431" s="51" t="str">
        <f>IF(AND('331-CT'!$E$7=TH!H431,OR(L431="331",M431="331")),"331",IF(AND(OR(L431="131",M431="131"),H431='131-CT'!$E$7),"131",""))</f>
        <v/>
      </c>
      <c r="O431" s="887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09"/>
      <c r="AC431" s="588"/>
    </row>
    <row r="432" spans="1:31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25"/>
        <v>8</v>
      </c>
      <c r="C432" s="183">
        <f t="shared" si="26"/>
        <v>42597</v>
      </c>
      <c r="D432" s="183" t="s">
        <v>637</v>
      </c>
      <c r="E432" s="190">
        <v>42597</v>
      </c>
      <c r="F432" s="188" t="s">
        <v>587</v>
      </c>
      <c r="G432" s="479" t="s">
        <v>787</v>
      </c>
      <c r="H432" s="7" t="s">
        <v>680</v>
      </c>
      <c r="I432" s="255">
        <v>370</v>
      </c>
      <c r="J432" s="255">
        <v>6600</v>
      </c>
      <c r="K432" s="37">
        <f>ROUND(I432*J432,0)</f>
        <v>2442000</v>
      </c>
      <c r="L432" s="193" t="s">
        <v>259</v>
      </c>
      <c r="M432" s="597" t="s">
        <v>174</v>
      </c>
      <c r="N432" s="51" t="str">
        <f>IF(AND('331-CT'!$E$7=TH!H432,OR(L432="331",M432="331")),"331",IF(AND(OR(L432="131",M432="131"),H432='131-CT'!$E$7),"131",""))</f>
        <v/>
      </c>
      <c r="O432" s="887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09"/>
      <c r="AC432" s="588"/>
      <c r="AD432" s="588"/>
    </row>
    <row r="433" spans="1:31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si="25"/>
        <v>8</v>
      </c>
      <c r="C433" s="183">
        <f t="shared" si="26"/>
        <v>42597</v>
      </c>
      <c r="D433" s="183" t="s">
        <v>637</v>
      </c>
      <c r="E433" s="190">
        <v>42597</v>
      </c>
      <c r="F433" s="188" t="s">
        <v>555</v>
      </c>
      <c r="G433" s="479" t="s">
        <v>787</v>
      </c>
      <c r="H433" s="7" t="s">
        <v>680</v>
      </c>
      <c r="I433" s="255"/>
      <c r="J433" s="255"/>
      <c r="K433" s="37">
        <v>501600</v>
      </c>
      <c r="L433" s="193" t="s">
        <v>259</v>
      </c>
      <c r="M433" s="597" t="s">
        <v>364</v>
      </c>
      <c r="N433" s="51" t="str">
        <f>IF(AND('331-CT'!$E$7=TH!H433,OR(L433="331",M433="331")),"331",IF(AND(OR(L433="131",M433="131"),H433='131-CT'!$E$7),"131",""))</f>
        <v/>
      </c>
      <c r="O433" s="887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09"/>
      <c r="AC433" s="588"/>
    </row>
    <row r="434" spans="1:31" s="210" customFormat="1" ht="15.75" customHeight="1">
      <c r="A434" s="203" t="str">
        <f>IF(B434&lt;&gt;"",IF(AND(B434&gt;=_TM1,B434&lt;=_TM2,OR(TH!L434="1111",TH!M434="1111")),TH!D434,""),"")</f>
        <v/>
      </c>
      <c r="B434" s="36">
        <f t="shared" si="25"/>
        <v>8</v>
      </c>
      <c r="C434" s="183">
        <f t="shared" si="26"/>
        <v>42597</v>
      </c>
      <c r="D434" s="183" t="s">
        <v>638</v>
      </c>
      <c r="E434" s="190">
        <v>42597</v>
      </c>
      <c r="F434" s="188" t="s">
        <v>588</v>
      </c>
      <c r="G434" s="479" t="s">
        <v>788</v>
      </c>
      <c r="H434" s="7" t="s">
        <v>410</v>
      </c>
      <c r="I434" s="255">
        <v>130</v>
      </c>
      <c r="J434" s="255">
        <v>47449</v>
      </c>
      <c r="K434" s="37">
        <f>ROUND(I434*J434,0)</f>
        <v>6168370</v>
      </c>
      <c r="L434" s="193" t="s">
        <v>259</v>
      </c>
      <c r="M434" s="597" t="s">
        <v>174</v>
      </c>
      <c r="N434" s="51" t="str">
        <f>IF(AND('331-CT'!$E$7=TH!H434,OR(L434="331",M434="331")),"331",IF(AND(OR(L434="131",M434="131"),H434='131-CT'!$E$7),"131",""))</f>
        <v/>
      </c>
      <c r="O434" s="887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09"/>
      <c r="AC434" s="588"/>
      <c r="AD434" s="588"/>
    </row>
    <row r="435" spans="1:31" s="210" customFormat="1" ht="15.75" customHeight="1">
      <c r="A435" s="203" t="str">
        <f>IF(B435&lt;&gt;"",IF(AND(B435&gt;=_TM1,B435&lt;=_TM2,OR(TH!L435="1111",TH!M435="1111")),TH!D435,""),"")</f>
        <v/>
      </c>
      <c r="B435" s="36">
        <f t="shared" si="25"/>
        <v>8</v>
      </c>
      <c r="C435" s="183">
        <f t="shared" si="26"/>
        <v>42597</v>
      </c>
      <c r="D435" s="183" t="s">
        <v>638</v>
      </c>
      <c r="E435" s="190">
        <v>42597</v>
      </c>
      <c r="F435" s="188" t="s">
        <v>555</v>
      </c>
      <c r="G435" s="479" t="s">
        <v>788</v>
      </c>
      <c r="H435" s="7" t="s">
        <v>410</v>
      </c>
      <c r="I435" s="255"/>
      <c r="J435" s="255"/>
      <c r="K435" s="37">
        <v>616837</v>
      </c>
      <c r="L435" s="193" t="s">
        <v>259</v>
      </c>
      <c r="M435" s="597" t="s">
        <v>364</v>
      </c>
      <c r="N435" s="51" t="str">
        <f>IF(AND('331-CT'!$E$7=TH!H435,OR(L435="331",M435="331")),"331",IF(AND(OR(L435="131",M435="131"),H435='131-CT'!$E$7),"131",""))</f>
        <v/>
      </c>
      <c r="O435" s="887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09"/>
      <c r="AC435" s="588"/>
      <c r="AD435" s="588"/>
      <c r="AE435" s="588"/>
    </row>
    <row r="436" spans="1:31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25"/>
        <v>8</v>
      </c>
      <c r="C436" s="183">
        <f t="shared" si="26"/>
        <v>42599</v>
      </c>
      <c r="D436" s="183" t="s">
        <v>639</v>
      </c>
      <c r="E436" s="190">
        <v>42599</v>
      </c>
      <c r="F436" s="188" t="s">
        <v>589</v>
      </c>
      <c r="G436" s="479" t="s">
        <v>789</v>
      </c>
      <c r="H436" s="7" t="s">
        <v>407</v>
      </c>
      <c r="I436" s="255">
        <v>309</v>
      </c>
      <c r="J436" s="255">
        <v>7500</v>
      </c>
      <c r="K436" s="37">
        <f>ROUND(I436*J436,0)</f>
        <v>2317500</v>
      </c>
      <c r="L436" s="193" t="s">
        <v>259</v>
      </c>
      <c r="M436" s="597" t="s">
        <v>174</v>
      </c>
      <c r="N436" s="51" t="str">
        <f>IF(AND('331-CT'!$E$7=TH!H436,OR(L436="331",M436="331")),"331",IF(AND(OR(L436="131",M436="131"),H436='131-CT'!$E$7),"131",""))</f>
        <v/>
      </c>
      <c r="O436" s="887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09"/>
      <c r="AC436" s="588"/>
    </row>
    <row r="437" spans="1:31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25"/>
        <v>8</v>
      </c>
      <c r="C437" s="183">
        <f t="shared" si="26"/>
        <v>42599</v>
      </c>
      <c r="D437" s="183" t="s">
        <v>639</v>
      </c>
      <c r="E437" s="190">
        <v>42599</v>
      </c>
      <c r="F437" s="188" t="s">
        <v>555</v>
      </c>
      <c r="G437" s="479" t="s">
        <v>789</v>
      </c>
      <c r="H437" s="7" t="s">
        <v>407</v>
      </c>
      <c r="I437" s="255"/>
      <c r="J437" s="255"/>
      <c r="K437" s="37">
        <v>231750</v>
      </c>
      <c r="L437" s="193" t="s">
        <v>259</v>
      </c>
      <c r="M437" s="597" t="s">
        <v>364</v>
      </c>
      <c r="N437" s="51" t="str">
        <f>IF(AND('331-CT'!$E$7=TH!H437,OR(L437="331",M437="331")),"331",IF(AND(OR(L437="131",M437="131"),H437='131-CT'!$E$7),"131",""))</f>
        <v/>
      </c>
      <c r="O437" s="887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09"/>
      <c r="AC437" s="588"/>
      <c r="AD437" s="588"/>
      <c r="AE437" s="588"/>
    </row>
    <row r="438" spans="1:31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25"/>
        <v>8</v>
      </c>
      <c r="C438" s="183">
        <f t="shared" si="26"/>
        <v>42599</v>
      </c>
      <c r="D438" s="183" t="s">
        <v>640</v>
      </c>
      <c r="E438" s="190">
        <v>42599</v>
      </c>
      <c r="F438" s="188" t="s">
        <v>590</v>
      </c>
      <c r="G438" s="479" t="s">
        <v>790</v>
      </c>
      <c r="H438" s="7" t="s">
        <v>676</v>
      </c>
      <c r="I438" s="255">
        <v>19</v>
      </c>
      <c r="J438" s="255">
        <v>10800</v>
      </c>
      <c r="K438" s="37">
        <f>ROUND(I438*J438,0)</f>
        <v>205200</v>
      </c>
      <c r="L438" s="193" t="s">
        <v>259</v>
      </c>
      <c r="M438" s="597" t="s">
        <v>174</v>
      </c>
      <c r="N438" s="51" t="str">
        <f>IF(AND('331-CT'!$E$7=TH!H438,OR(L438="331",M438="331")),"331",IF(AND(OR(L438="131",M438="131"),H438='131-CT'!$E$7),"131",""))</f>
        <v>131</v>
      </c>
      <c r="O438" s="887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09"/>
      <c r="AC438" s="588"/>
      <c r="AD438" s="588"/>
      <c r="AE438" s="588"/>
    </row>
    <row r="439" spans="1:31" s="210" customFormat="1" ht="15.75" customHeight="1">
      <c r="A439" s="203" t="str">
        <f>IF(B439&lt;&gt;"",IF(AND(B439&gt;=_TM1,B439&lt;=_TM2,OR(TH!L439="1111",TH!M439="1111")),TH!D439,""),"")</f>
        <v/>
      </c>
      <c r="B439" s="36">
        <f t="shared" si="25"/>
        <v>8</v>
      </c>
      <c r="C439" s="183">
        <f t="shared" si="26"/>
        <v>42599</v>
      </c>
      <c r="D439" s="183" t="s">
        <v>640</v>
      </c>
      <c r="E439" s="190">
        <v>42599</v>
      </c>
      <c r="F439" s="188" t="s">
        <v>591</v>
      </c>
      <c r="G439" s="479" t="s">
        <v>790</v>
      </c>
      <c r="H439" s="7" t="s">
        <v>676</v>
      </c>
      <c r="I439" s="255">
        <v>206</v>
      </c>
      <c r="J439" s="255">
        <v>9300</v>
      </c>
      <c r="K439" s="37">
        <f>ROUND(I439*J439,0)</f>
        <v>1915800</v>
      </c>
      <c r="L439" s="193" t="s">
        <v>259</v>
      </c>
      <c r="M439" s="597" t="s">
        <v>174</v>
      </c>
      <c r="N439" s="51" t="str">
        <f>IF(AND('331-CT'!$E$7=TH!H439,OR(L439="331",M439="331")),"331",IF(AND(OR(L439="131",M439="131"),H439='131-CT'!$E$7),"131",""))</f>
        <v>131</v>
      </c>
      <c r="O439" s="887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09"/>
      <c r="AC439" s="588"/>
      <c r="AD439" s="588"/>
      <c r="AE439" s="588"/>
    </row>
    <row r="440" spans="1:31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25"/>
        <v>8</v>
      </c>
      <c r="C440" s="183">
        <f t="shared" si="26"/>
        <v>42599</v>
      </c>
      <c r="D440" s="183" t="s">
        <v>640</v>
      </c>
      <c r="E440" s="190">
        <v>42599</v>
      </c>
      <c r="F440" s="188" t="s">
        <v>555</v>
      </c>
      <c r="G440" s="479" t="s">
        <v>790</v>
      </c>
      <c r="H440" s="7" t="s">
        <v>676</v>
      </c>
      <c r="I440" s="255"/>
      <c r="J440" s="255"/>
      <c r="K440" s="37">
        <v>212100</v>
      </c>
      <c r="L440" s="193" t="s">
        <v>259</v>
      </c>
      <c r="M440" s="597" t="s">
        <v>364</v>
      </c>
      <c r="N440" s="51" t="str">
        <f>IF(AND('331-CT'!$E$7=TH!H440,OR(L440="331",M440="331")),"331",IF(AND(OR(L440="131",M440="131"),H440='131-CT'!$E$7),"131",""))</f>
        <v>131</v>
      </c>
      <c r="O440" s="887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09"/>
      <c r="AC440" s="588"/>
      <c r="AD440" s="588"/>
      <c r="AE440" s="588"/>
    </row>
    <row r="441" spans="1:31" s="210" customFormat="1" ht="15.75" customHeight="1">
      <c r="A441" s="203">
        <f>IF(B441&lt;&gt;"",IF(AND(B441&gt;=_TM1,B441&lt;=_TM2,OR(TH!L441="1111",TH!M441="1111")),TH!D441,""),"")</f>
        <v>0</v>
      </c>
      <c r="B441" s="36">
        <f t="shared" si="25"/>
        <v>8</v>
      </c>
      <c r="C441" s="183">
        <f t="shared" si="26"/>
        <v>42599</v>
      </c>
      <c r="D441" s="183"/>
      <c r="E441" s="190">
        <v>42599</v>
      </c>
      <c r="F441" s="191" t="s">
        <v>543</v>
      </c>
      <c r="G441" s="479" t="s">
        <v>790</v>
      </c>
      <c r="H441" s="7" t="s">
        <v>676</v>
      </c>
      <c r="I441" s="255"/>
      <c r="J441" s="255"/>
      <c r="K441" s="37">
        <v>2333100</v>
      </c>
      <c r="L441" s="193" t="s">
        <v>47</v>
      </c>
      <c r="M441" s="597" t="s">
        <v>259</v>
      </c>
      <c r="N441" s="51" t="str">
        <f>IF(AND('331-CT'!$E$7=TH!H441,OR(L441="331",M441="331")),"331",IF(AND(OR(L441="131",M441="131"),H441='131-CT'!$E$7),"131",""))</f>
        <v>131</v>
      </c>
      <c r="O441" s="887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09"/>
      <c r="AC441" s="588"/>
      <c r="AD441" s="588"/>
      <c r="AE441" s="588"/>
    </row>
    <row r="442" spans="1:31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25"/>
        <v>8</v>
      </c>
      <c r="C442" s="183">
        <f t="shared" si="26"/>
        <v>42601</v>
      </c>
      <c r="D442" s="183" t="s">
        <v>641</v>
      </c>
      <c r="E442" s="190">
        <v>42601</v>
      </c>
      <c r="F442" s="188" t="s">
        <v>591</v>
      </c>
      <c r="G442" s="479" t="s">
        <v>791</v>
      </c>
      <c r="H442" s="7" t="s">
        <v>610</v>
      </c>
      <c r="I442" s="255">
        <v>166</v>
      </c>
      <c r="J442" s="255">
        <v>10200</v>
      </c>
      <c r="K442" s="37">
        <f>ROUND(I442*J442,0)</f>
        <v>1693200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7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09"/>
      <c r="AC442" s="588"/>
      <c r="AD442" s="588"/>
      <c r="AE442" s="588"/>
    </row>
    <row r="443" spans="1:31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25"/>
        <v>8</v>
      </c>
      <c r="C443" s="183">
        <f t="shared" si="26"/>
        <v>42601</v>
      </c>
      <c r="D443" s="183" t="s">
        <v>641</v>
      </c>
      <c r="E443" s="190">
        <v>42601</v>
      </c>
      <c r="F443" s="188" t="s">
        <v>592</v>
      </c>
      <c r="G443" s="479" t="s">
        <v>791</v>
      </c>
      <c r="H443" s="7" t="s">
        <v>610</v>
      </c>
      <c r="I443" s="255"/>
      <c r="J443" s="255"/>
      <c r="K443" s="37">
        <v>169320</v>
      </c>
      <c r="L443" s="193" t="s">
        <v>259</v>
      </c>
      <c r="M443" s="597" t="s">
        <v>364</v>
      </c>
      <c r="N443" s="51" t="str">
        <f>IF(AND('331-CT'!$E$7=TH!H443,OR(L443="331",M443="331")),"331",IF(AND(OR(L443="131",M443="131"),H443='131-CT'!$E$7),"131",""))</f>
        <v/>
      </c>
      <c r="O443" s="887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09"/>
      <c r="AC443" s="588"/>
      <c r="AD443" s="588"/>
      <c r="AE443" s="588"/>
    </row>
    <row r="444" spans="1:31" s="210" customFormat="1" ht="15.75" customHeight="1">
      <c r="A444" s="203">
        <f>IF(B444&lt;&gt;"",IF(AND(B444&gt;=_TM1,B444&lt;=_TM2,OR(TH!L444="1111",TH!M444="1111")),TH!D444,""),"")</f>
        <v>0</v>
      </c>
      <c r="B444" s="36">
        <f t="shared" si="25"/>
        <v>8</v>
      </c>
      <c r="C444" s="183">
        <f t="shared" si="26"/>
        <v>42601</v>
      </c>
      <c r="D444" s="183"/>
      <c r="E444" s="190">
        <v>42601</v>
      </c>
      <c r="F444" s="191" t="s">
        <v>543</v>
      </c>
      <c r="G444" s="479" t="s">
        <v>791</v>
      </c>
      <c r="H444" s="7" t="s">
        <v>610</v>
      </c>
      <c r="I444" s="255"/>
      <c r="J444" s="255"/>
      <c r="K444" s="37">
        <v>1862520</v>
      </c>
      <c r="L444" s="193" t="s">
        <v>47</v>
      </c>
      <c r="M444" s="597" t="s">
        <v>259</v>
      </c>
      <c r="N444" s="51" t="str">
        <f>IF(AND('331-CT'!$E$7=TH!H444,OR(L444="331",M444="331")),"331",IF(AND(OR(L444="131",M444="131"),H444='131-CT'!$E$7),"131",""))</f>
        <v/>
      </c>
      <c r="O444" s="887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>x</v>
      </c>
      <c r="AB444" s="909"/>
      <c r="AC444" s="588"/>
      <c r="AD444" s="588"/>
      <c r="AE444" s="588"/>
    </row>
    <row r="445" spans="1:31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25"/>
        <v>8</v>
      </c>
      <c r="C445" s="183">
        <f t="shared" si="26"/>
        <v>42602</v>
      </c>
      <c r="D445" s="183" t="s">
        <v>642</v>
      </c>
      <c r="E445" s="190">
        <v>42602</v>
      </c>
      <c r="F445" s="188" t="s">
        <v>569</v>
      </c>
      <c r="G445" s="479" t="s">
        <v>792</v>
      </c>
      <c r="H445" s="7" t="s">
        <v>678</v>
      </c>
      <c r="I445" s="255">
        <f>620+320</f>
        <v>940</v>
      </c>
      <c r="J445" s="255">
        <v>5900</v>
      </c>
      <c r="K445" s="37">
        <f>ROUND(I445*J445,0)</f>
        <v>5546000</v>
      </c>
      <c r="L445" s="193" t="s">
        <v>259</v>
      </c>
      <c r="M445" s="597" t="s">
        <v>174</v>
      </c>
      <c r="N445" s="51" t="str">
        <f>IF(AND('331-CT'!$E$7=TH!H445,OR(L445="331",M445="331")),"331",IF(AND(OR(L445="131",M445="131"),H445='131-CT'!$E$7),"131",""))</f>
        <v/>
      </c>
      <c r="O445" s="887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>x</v>
      </c>
      <c r="AB445" s="909"/>
      <c r="AC445" s="588"/>
      <c r="AD445" s="588"/>
      <c r="AE445" s="588"/>
    </row>
    <row r="446" spans="1:31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25"/>
        <v>8</v>
      </c>
      <c r="C446" s="183">
        <f t="shared" si="26"/>
        <v>42602</v>
      </c>
      <c r="D446" s="183" t="s">
        <v>642</v>
      </c>
      <c r="E446" s="190">
        <v>42602</v>
      </c>
      <c r="F446" s="188" t="s">
        <v>555</v>
      </c>
      <c r="G446" s="479" t="s">
        <v>792</v>
      </c>
      <c r="H446" s="7" t="s">
        <v>678</v>
      </c>
      <c r="I446" s="255"/>
      <c r="J446" s="255"/>
      <c r="K446" s="37">
        <v>554600</v>
      </c>
      <c r="L446" s="193" t="s">
        <v>259</v>
      </c>
      <c r="M446" s="597" t="s">
        <v>364</v>
      </c>
      <c r="N446" s="51" t="str">
        <f>IF(AND('331-CT'!$E$7=TH!H446,OR(L446="331",M446="331")),"331",IF(AND(OR(L446="131",M446="131"),H446='131-CT'!$E$7),"131",""))</f>
        <v/>
      </c>
      <c r="O446" s="887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>x</v>
      </c>
      <c r="AB446" s="909"/>
      <c r="AC446" s="588"/>
      <c r="AD446" s="588"/>
      <c r="AE446" s="588"/>
    </row>
    <row r="447" spans="1:31" s="210" customFormat="1" ht="15.75" customHeight="1">
      <c r="A447" s="203" t="str">
        <f>IF(B447&lt;&gt;"",IF(AND(B447&gt;=_TM1,B447&lt;=_TM2,OR(TH!L447="1111",TH!M447="1111")),TH!D447,""),"")</f>
        <v/>
      </c>
      <c r="B447" s="36">
        <f t="shared" si="25"/>
        <v>8</v>
      </c>
      <c r="C447" s="183">
        <f t="shared" si="26"/>
        <v>42605</v>
      </c>
      <c r="D447" s="183" t="s">
        <v>643</v>
      </c>
      <c r="E447" s="190">
        <v>42605</v>
      </c>
      <c r="F447" s="188" t="s">
        <v>747</v>
      </c>
      <c r="G447" s="479" t="s">
        <v>793</v>
      </c>
      <c r="H447" s="7" t="s">
        <v>410</v>
      </c>
      <c r="I447" s="255">
        <v>58</v>
      </c>
      <c r="J447" s="255">
        <v>16070</v>
      </c>
      <c r="K447" s="37">
        <f>ROUND(I447*J447,0)</f>
        <v>932060</v>
      </c>
      <c r="L447" s="193" t="s">
        <v>259</v>
      </c>
      <c r="M447" s="597" t="s">
        <v>174</v>
      </c>
      <c r="N447" s="51" t="str">
        <f>IF(AND('331-CT'!$E$7=TH!H447,OR(L447="331",M447="331")),"331",IF(AND(OR(L447="131",M447="131"),H447='131-CT'!$E$7),"131",""))</f>
        <v/>
      </c>
      <c r="O447" s="887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>x</v>
      </c>
      <c r="AB447" s="909"/>
      <c r="AC447" s="588"/>
      <c r="AD447" s="588"/>
      <c r="AE447" s="588"/>
    </row>
    <row r="448" spans="1:31" s="210" customFormat="1" ht="15.75" customHeight="1">
      <c r="A448" s="203" t="str">
        <f>IF(B448&lt;&gt;"",IF(AND(B448&gt;=_TM1,B448&lt;=_TM2,OR(TH!L448="1111",TH!M448="1111")),TH!D448,""),"")</f>
        <v/>
      </c>
      <c r="B448" s="36">
        <f t="shared" si="25"/>
        <v>8</v>
      </c>
      <c r="C448" s="183">
        <f t="shared" si="26"/>
        <v>42605</v>
      </c>
      <c r="D448" s="183" t="s">
        <v>643</v>
      </c>
      <c r="E448" s="190">
        <v>42605</v>
      </c>
      <c r="F448" s="188" t="s">
        <v>557</v>
      </c>
      <c r="G448" s="479" t="s">
        <v>793</v>
      </c>
      <c r="H448" s="7" t="s">
        <v>410</v>
      </c>
      <c r="I448" s="255">
        <v>56</v>
      </c>
      <c r="J448" s="255">
        <v>73100</v>
      </c>
      <c r="K448" s="37">
        <f>ROUND(I448*J448,0)</f>
        <v>4093600</v>
      </c>
      <c r="L448" s="193" t="s">
        <v>259</v>
      </c>
      <c r="M448" s="597" t="s">
        <v>174</v>
      </c>
      <c r="N448" s="51" t="str">
        <f>IF(AND('331-CT'!$E$7=TH!H448,OR(L448="331",M448="331")),"331",IF(AND(OR(L448="131",M448="131"),H448='131-CT'!$E$7),"131",""))</f>
        <v/>
      </c>
      <c r="O448" s="887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>x</v>
      </c>
      <c r="AB448" s="909"/>
      <c r="AC448" s="588"/>
      <c r="AD448" s="588"/>
    </row>
    <row r="449" spans="1:30" s="210" customFormat="1" ht="15.75" customHeight="1">
      <c r="A449" s="203" t="str">
        <f>IF(B449&lt;&gt;"",IF(AND(B449&gt;=_TM1,B449&lt;=_TM2,OR(TH!L449="1111",TH!M449="1111")),TH!D449,""),"")</f>
        <v/>
      </c>
      <c r="B449" s="36">
        <f t="shared" si="25"/>
        <v>8</v>
      </c>
      <c r="C449" s="183">
        <f t="shared" si="26"/>
        <v>42605</v>
      </c>
      <c r="D449" s="183" t="s">
        <v>643</v>
      </c>
      <c r="E449" s="190">
        <v>42605</v>
      </c>
      <c r="F449" s="188" t="s">
        <v>555</v>
      </c>
      <c r="G449" s="479" t="s">
        <v>793</v>
      </c>
      <c r="H449" s="7" t="s">
        <v>410</v>
      </c>
      <c r="I449" s="255"/>
      <c r="J449" s="255"/>
      <c r="K449" s="37">
        <v>502566</v>
      </c>
      <c r="L449" s="193" t="s">
        <v>259</v>
      </c>
      <c r="M449" s="597" t="s">
        <v>364</v>
      </c>
      <c r="N449" s="51" t="str">
        <f>IF(AND('331-CT'!$E$7=TH!H449,OR(L449="331",M449="331")),"331",IF(AND(OR(L449="131",M449="131"),H449='131-CT'!$E$7),"131",""))</f>
        <v/>
      </c>
      <c r="O449" s="887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>x</v>
      </c>
      <c r="AB449" s="909"/>
      <c r="AC449" s="588"/>
      <c r="AD449" s="588"/>
    </row>
    <row r="450" spans="1:30" s="210" customFormat="1" ht="15.75" customHeight="1">
      <c r="A450" s="203" t="str">
        <f>IF(B450&lt;&gt;"",IF(AND(B450&gt;=_TM1,B450&lt;=_TM2,OR(TH!L450="1111",TH!M450="1111")),TH!D450,""),"")</f>
        <v/>
      </c>
      <c r="B450" s="36">
        <f t="shared" si="25"/>
        <v>8</v>
      </c>
      <c r="C450" s="183">
        <f t="shared" si="26"/>
        <v>42607</v>
      </c>
      <c r="D450" s="183" t="s">
        <v>644</v>
      </c>
      <c r="E450" s="190">
        <v>42607</v>
      </c>
      <c r="F450" s="188" t="s">
        <v>715</v>
      </c>
      <c r="G450" s="479" t="s">
        <v>794</v>
      </c>
      <c r="H450" s="7" t="s">
        <v>412</v>
      </c>
      <c r="I450" s="255">
        <f>160+110*8</f>
        <v>1040</v>
      </c>
      <c r="J450" s="255">
        <v>15100</v>
      </c>
      <c r="K450" s="37">
        <f>ROUND(I450*J450,0)</f>
        <v>15704000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7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>x</v>
      </c>
      <c r="AB450" s="909"/>
      <c r="AC450" s="588"/>
    </row>
    <row r="451" spans="1:30" s="210" customFormat="1" ht="15.75" customHeight="1">
      <c r="A451" s="203" t="str">
        <f>IF(B451&lt;&gt;"",IF(AND(B451&gt;=_TM1,B451&lt;=_TM2,OR(TH!L451="1111",TH!M451="1111")),TH!D451,""),"")</f>
        <v/>
      </c>
      <c r="B451" s="36">
        <f t="shared" si="25"/>
        <v>8</v>
      </c>
      <c r="C451" s="183">
        <f t="shared" si="26"/>
        <v>42607</v>
      </c>
      <c r="D451" s="183" t="s">
        <v>644</v>
      </c>
      <c r="E451" s="190">
        <v>42607</v>
      </c>
      <c r="F451" s="188" t="s">
        <v>555</v>
      </c>
      <c r="G451" s="479" t="s">
        <v>794</v>
      </c>
      <c r="H451" s="7" t="s">
        <v>412</v>
      </c>
      <c r="I451" s="255"/>
      <c r="J451" s="255"/>
      <c r="K451" s="37">
        <v>1570400</v>
      </c>
      <c r="L451" s="193" t="s">
        <v>259</v>
      </c>
      <c r="M451" s="597" t="s">
        <v>364</v>
      </c>
      <c r="N451" s="51" t="str">
        <f>IF(AND('331-CT'!$E$7=TH!H451,OR(L451="331",M451="331")),"331",IF(AND(OR(L451="131",M451="131"),H451='131-CT'!$E$7),"131",""))</f>
        <v/>
      </c>
      <c r="O451" s="887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>x</v>
      </c>
      <c r="AB451" s="909"/>
      <c r="AC451" s="588"/>
      <c r="AD451" s="588"/>
    </row>
    <row r="452" spans="1:30" s="210" customFormat="1" ht="15.75" customHeight="1">
      <c r="A452" s="203" t="str">
        <f>IF(B452&lt;&gt;"",IF(AND(B452&gt;=_TM1,B452&lt;=_TM2,OR(TH!L452="1111",TH!M452="1111")),TH!D452,""),"")</f>
        <v/>
      </c>
      <c r="B452" s="36">
        <f t="shared" si="25"/>
        <v>8</v>
      </c>
      <c r="C452" s="183">
        <f t="shared" si="26"/>
        <v>42607</v>
      </c>
      <c r="D452" s="183" t="s">
        <v>645</v>
      </c>
      <c r="E452" s="190">
        <v>42607</v>
      </c>
      <c r="F452" s="188" t="s">
        <v>715</v>
      </c>
      <c r="G452" s="479" t="s">
        <v>795</v>
      </c>
      <c r="H452" s="7" t="s">
        <v>412</v>
      </c>
      <c r="I452" s="255">
        <v>110</v>
      </c>
      <c r="J452" s="255">
        <v>15100</v>
      </c>
      <c r="K452" s="37">
        <f>ROUND(I452*J452,0)</f>
        <v>1661000</v>
      </c>
      <c r="L452" s="193" t="s">
        <v>259</v>
      </c>
      <c r="M452" s="597" t="s">
        <v>174</v>
      </c>
      <c r="N452" s="51" t="str">
        <f>IF(AND('331-CT'!$E$7=TH!H452,OR(L452="331",M452="331")),"331",IF(AND(OR(L452="131",M452="131"),H452='131-CT'!$E$7),"131",""))</f>
        <v/>
      </c>
      <c r="O452" s="887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>x</v>
      </c>
      <c r="AB452" s="909"/>
      <c r="AC452" s="588"/>
      <c r="AD452" s="588"/>
    </row>
    <row r="453" spans="1:30" s="210" customFormat="1" ht="15.75" customHeight="1">
      <c r="A453" s="203" t="str">
        <f>IF(B453&lt;&gt;"",IF(AND(B453&gt;=_TM1,B453&lt;=_TM2,OR(TH!L453="1111",TH!M453="1111")),TH!D453,""),"")</f>
        <v/>
      </c>
      <c r="B453" s="36">
        <f t="shared" si="25"/>
        <v>8</v>
      </c>
      <c r="C453" s="183">
        <f t="shared" si="26"/>
        <v>42607</v>
      </c>
      <c r="D453" s="183" t="s">
        <v>645</v>
      </c>
      <c r="E453" s="190">
        <v>42607</v>
      </c>
      <c r="F453" s="188" t="s">
        <v>555</v>
      </c>
      <c r="G453" s="479" t="s">
        <v>795</v>
      </c>
      <c r="H453" s="7" t="s">
        <v>412</v>
      </c>
      <c r="I453" s="255"/>
      <c r="J453" s="255"/>
      <c r="K453" s="37">
        <v>166100</v>
      </c>
      <c r="L453" s="193" t="s">
        <v>259</v>
      </c>
      <c r="M453" s="597" t="s">
        <v>364</v>
      </c>
      <c r="N453" s="51" t="str">
        <f>IF(AND('331-CT'!$E$7=TH!H453,OR(L453="331",M453="331")),"331",IF(AND(OR(L453="131",M453="131"),H453='131-CT'!$E$7),"131",""))</f>
        <v/>
      </c>
      <c r="O453" s="887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>x</v>
      </c>
      <c r="AB453" s="909"/>
      <c r="AC453" s="588"/>
      <c r="AD453" s="588"/>
    </row>
    <row r="454" spans="1:30" s="210" customFormat="1" ht="15.75" customHeight="1">
      <c r="A454" s="203" t="str">
        <f>IF(B454&lt;&gt;"",IF(AND(B454&gt;=_TM1,B454&lt;=_TM2,OR(TH!L454="1111",TH!M454="1111")),TH!D454,""),"")</f>
        <v/>
      </c>
      <c r="B454" s="36">
        <f t="shared" si="25"/>
        <v>8</v>
      </c>
      <c r="C454" s="183">
        <f t="shared" si="26"/>
        <v>42608</v>
      </c>
      <c r="D454" s="183" t="s">
        <v>646</v>
      </c>
      <c r="E454" s="190">
        <v>42608</v>
      </c>
      <c r="F454" s="188" t="s">
        <v>593</v>
      </c>
      <c r="G454" s="479" t="s">
        <v>796</v>
      </c>
      <c r="H454" s="192" t="s">
        <v>681</v>
      </c>
      <c r="I454" s="255">
        <v>120</v>
      </c>
      <c r="J454" s="255">
        <v>19000</v>
      </c>
      <c r="K454" s="37">
        <f>ROUND(I454*J454,0)</f>
        <v>2280000</v>
      </c>
      <c r="L454" s="193" t="s">
        <v>259</v>
      </c>
      <c r="M454" s="597" t="s">
        <v>174</v>
      </c>
      <c r="N454" s="51" t="str">
        <f>IF(AND('331-CT'!$E$7=TH!H454,OR(L454="331",M454="331")),"331",IF(AND(OR(L454="131",M454="131"),H454='131-CT'!$E$7),"131",""))</f>
        <v/>
      </c>
      <c r="O454" s="887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>x</v>
      </c>
      <c r="AB454" s="909"/>
      <c r="AC454" s="588"/>
      <c r="AD454" s="588"/>
    </row>
    <row r="455" spans="1:30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25"/>
        <v>8</v>
      </c>
      <c r="C455" s="183">
        <f t="shared" si="26"/>
        <v>42608</v>
      </c>
      <c r="D455" s="183" t="s">
        <v>646</v>
      </c>
      <c r="E455" s="190">
        <v>42608</v>
      </c>
      <c r="F455" s="188" t="s">
        <v>594</v>
      </c>
      <c r="G455" s="479" t="s">
        <v>796</v>
      </c>
      <c r="H455" s="192" t="s">
        <v>681</v>
      </c>
      <c r="I455" s="255">
        <v>240</v>
      </c>
      <c r="J455" s="255">
        <v>1750</v>
      </c>
      <c r="K455" s="37">
        <f>ROUND(I455*J455,0)</f>
        <v>420000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7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>x</v>
      </c>
      <c r="AB455" s="909"/>
      <c r="AC455" s="588"/>
      <c r="AD455" s="588"/>
    </row>
    <row r="456" spans="1:30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25"/>
        <v>8</v>
      </c>
      <c r="C456" s="183">
        <f t="shared" si="26"/>
        <v>42608</v>
      </c>
      <c r="D456" s="183" t="s">
        <v>646</v>
      </c>
      <c r="E456" s="190">
        <v>42608</v>
      </c>
      <c r="F456" s="188" t="s">
        <v>555</v>
      </c>
      <c r="G456" s="479" t="s">
        <v>796</v>
      </c>
      <c r="H456" s="192" t="s">
        <v>681</v>
      </c>
      <c r="I456" s="255"/>
      <c r="J456" s="255"/>
      <c r="K456" s="37">
        <v>270000</v>
      </c>
      <c r="L456" s="193" t="s">
        <v>259</v>
      </c>
      <c r="M456" s="597" t="s">
        <v>364</v>
      </c>
      <c r="N456" s="51" t="str">
        <f>IF(AND('331-CT'!$E$7=TH!H456,OR(L456="331",M456="331")),"331",IF(AND(OR(L456="131",M456="131"),H456='131-CT'!$E$7),"131",""))</f>
        <v/>
      </c>
      <c r="O456" s="887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>x</v>
      </c>
      <c r="AB456" s="909"/>
      <c r="AC456" s="588"/>
      <c r="AD456" s="588"/>
    </row>
    <row r="457" spans="1:30" s="210" customFormat="1" ht="15.75" customHeight="1">
      <c r="A457" s="203">
        <f>IF(B457&lt;&gt;"",IF(AND(B457&gt;=_TM1,B457&lt;=_TM2,OR(TH!L457="1111",TH!M457="1111")),TH!D457,""),"")</f>
        <v>0</v>
      </c>
      <c r="B457" s="36">
        <f t="shared" si="25"/>
        <v>8</v>
      </c>
      <c r="C457" s="183">
        <f t="shared" si="26"/>
        <v>42608</v>
      </c>
      <c r="D457" s="183"/>
      <c r="E457" s="190">
        <v>42608</v>
      </c>
      <c r="F457" s="191" t="s">
        <v>543</v>
      </c>
      <c r="G457" s="479" t="s">
        <v>796</v>
      </c>
      <c r="H457" s="192" t="s">
        <v>681</v>
      </c>
      <c r="I457" s="255"/>
      <c r="J457" s="255"/>
      <c r="K457" s="37">
        <v>2970000</v>
      </c>
      <c r="L457" s="193" t="s">
        <v>47</v>
      </c>
      <c r="M457" s="597" t="s">
        <v>259</v>
      </c>
      <c r="N457" s="51" t="str">
        <f>IF(AND('331-CT'!$E$7=TH!H457,OR(L457="331",M457="331")),"331",IF(AND(OR(L457="131",M457="131"),H457='131-CT'!$E$7),"131",""))</f>
        <v/>
      </c>
      <c r="O457" s="887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>x</v>
      </c>
      <c r="AB457" s="909"/>
      <c r="AC457" s="588"/>
      <c r="AD457" s="588"/>
    </row>
    <row r="458" spans="1:30" s="210" customFormat="1" ht="15.75" customHeight="1">
      <c r="A458" s="203" t="str">
        <f>IF(B458&lt;&gt;"",IF(AND(B458&gt;=_TM1,B458&lt;=_TM2,OR(TH!L458="1111",TH!M458="1111")),TH!D458,""),"")</f>
        <v/>
      </c>
      <c r="B458" s="36">
        <f t="shared" si="25"/>
        <v>8</v>
      </c>
      <c r="C458" s="183">
        <f t="shared" si="26"/>
        <v>42608</v>
      </c>
      <c r="D458" s="183" t="s">
        <v>647</v>
      </c>
      <c r="E458" s="190">
        <v>42608</v>
      </c>
      <c r="F458" s="188" t="s">
        <v>574</v>
      </c>
      <c r="G458" s="479" t="s">
        <v>797</v>
      </c>
      <c r="H458" s="7" t="s">
        <v>407</v>
      </c>
      <c r="I458" s="255">
        <v>513</v>
      </c>
      <c r="J458" s="255">
        <v>10500</v>
      </c>
      <c r="K458" s="37">
        <f>ROUND(I458*J458,0)</f>
        <v>5386500</v>
      </c>
      <c r="L458" s="193" t="s">
        <v>259</v>
      </c>
      <c r="M458" s="597" t="s">
        <v>174</v>
      </c>
      <c r="N458" s="51" t="str">
        <f>IF(AND('331-CT'!$E$7=TH!H458,OR(L458="331",M458="331")),"331",IF(AND(OR(L458="131",M458="131"),H458='131-CT'!$E$7),"131",""))</f>
        <v/>
      </c>
      <c r="O458" s="887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>x</v>
      </c>
      <c r="AB458" s="909"/>
      <c r="AC458" s="588"/>
    </row>
    <row r="459" spans="1:30" s="210" customFormat="1" ht="15.75" customHeight="1">
      <c r="A459" s="203" t="str">
        <f>IF(B459&lt;&gt;"",IF(AND(B459&gt;=_TM1,B459&lt;=_TM2,OR(TH!L459="1111",TH!M459="1111")),TH!D459,""),"")</f>
        <v/>
      </c>
      <c r="B459" s="36">
        <f t="shared" si="25"/>
        <v>8</v>
      </c>
      <c r="C459" s="183">
        <f t="shared" si="26"/>
        <v>42608</v>
      </c>
      <c r="D459" s="183" t="s">
        <v>647</v>
      </c>
      <c r="E459" s="190">
        <v>42608</v>
      </c>
      <c r="F459" s="188" t="s">
        <v>555</v>
      </c>
      <c r="G459" s="479" t="s">
        <v>797</v>
      </c>
      <c r="H459" s="7" t="s">
        <v>407</v>
      </c>
      <c r="I459" s="255"/>
      <c r="J459" s="255"/>
      <c r="K459" s="37">
        <v>538650</v>
      </c>
      <c r="L459" s="193" t="s">
        <v>259</v>
      </c>
      <c r="M459" s="597" t="s">
        <v>364</v>
      </c>
      <c r="N459" s="51" t="str">
        <f>IF(AND('331-CT'!$E$7=TH!H459,OR(L459="331",M459="331")),"331",IF(AND(OR(L459="131",M459="131"),H459='131-CT'!$E$7),"131",""))</f>
        <v/>
      </c>
      <c r="O459" s="887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>x</v>
      </c>
      <c r="AB459" s="909"/>
      <c r="AC459" s="588"/>
      <c r="AD459" s="588"/>
    </row>
    <row r="460" spans="1:30" s="210" customFormat="1" ht="15.75" customHeight="1">
      <c r="A460" s="203" t="str">
        <f>IF(B460&lt;&gt;"",IF(AND(B460&gt;=_TM1,B460&lt;=_TM2,OR(TH!L460="1111",TH!M460="1111")),TH!D460,""),"")</f>
        <v/>
      </c>
      <c r="B460" s="36">
        <f t="shared" si="25"/>
        <v>8</v>
      </c>
      <c r="C460" s="183">
        <f t="shared" si="26"/>
        <v>42608</v>
      </c>
      <c r="D460" s="183" t="s">
        <v>648</v>
      </c>
      <c r="E460" s="190">
        <v>42608</v>
      </c>
      <c r="F460" s="188" t="s">
        <v>595</v>
      </c>
      <c r="G460" s="479" t="s">
        <v>798</v>
      </c>
      <c r="H460" s="7" t="s">
        <v>682</v>
      </c>
      <c r="I460" s="255">
        <v>1000</v>
      </c>
      <c r="J460" s="255">
        <v>7700</v>
      </c>
      <c r="K460" s="37">
        <f>ROUND(I460*J460,0)</f>
        <v>7700000</v>
      </c>
      <c r="L460" s="193" t="s">
        <v>259</v>
      </c>
      <c r="M460" s="597" t="s">
        <v>174</v>
      </c>
      <c r="N460" s="51" t="str">
        <f>IF(AND('331-CT'!$E$7=TH!H460,OR(L460="331",M460="331")),"331",IF(AND(OR(L460="131",M460="131"),H460='131-CT'!$E$7),"131",""))</f>
        <v/>
      </c>
      <c r="O460" s="887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>x</v>
      </c>
      <c r="AB460" s="909"/>
      <c r="AC460" s="588"/>
    </row>
    <row r="461" spans="1:30" s="210" customFormat="1" ht="15.75" customHeight="1">
      <c r="A461" s="203" t="str">
        <f>IF(B461&lt;&gt;"",IF(AND(B461&gt;=_TM1,B461&lt;=_TM2,OR(TH!L461="1111",TH!M461="1111")),TH!D461,""),"")</f>
        <v/>
      </c>
      <c r="B461" s="36">
        <f t="shared" si="25"/>
        <v>8</v>
      </c>
      <c r="C461" s="183">
        <f t="shared" si="26"/>
        <v>42608</v>
      </c>
      <c r="D461" s="183" t="s">
        <v>648</v>
      </c>
      <c r="E461" s="190">
        <v>42608</v>
      </c>
      <c r="F461" s="188" t="s">
        <v>596</v>
      </c>
      <c r="G461" s="479" t="s">
        <v>798</v>
      </c>
      <c r="H461" s="7" t="s">
        <v>682</v>
      </c>
      <c r="I461" s="255">
        <v>970</v>
      </c>
      <c r="J461" s="255">
        <v>6400</v>
      </c>
      <c r="K461" s="37">
        <f>ROUND(I461*J461,0)</f>
        <v>6208000</v>
      </c>
      <c r="L461" s="193" t="s">
        <v>259</v>
      </c>
      <c r="M461" s="597" t="s">
        <v>174</v>
      </c>
      <c r="N461" s="51" t="str">
        <f>IF(AND('331-CT'!$E$7=TH!H461,OR(L461="331",M461="331")),"331",IF(AND(OR(L461="131",M461="131"),H461='131-CT'!$E$7),"131",""))</f>
        <v/>
      </c>
      <c r="O461" s="887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>x</v>
      </c>
      <c r="AB461" s="909"/>
      <c r="AC461" s="588"/>
      <c r="AD461" s="588"/>
    </row>
    <row r="462" spans="1:30" s="210" customFormat="1" ht="15.75" customHeight="1">
      <c r="A462" s="203" t="str">
        <f>IF(B462&lt;&gt;"",IF(AND(B462&gt;=_TM1,B462&lt;=_TM2,OR(TH!L462="1111",TH!M462="1111")),TH!D462,""),"")</f>
        <v/>
      </c>
      <c r="B462" s="36">
        <f t="shared" si="25"/>
        <v>8</v>
      </c>
      <c r="C462" s="183">
        <f t="shared" si="26"/>
        <v>42608</v>
      </c>
      <c r="D462" s="183" t="s">
        <v>648</v>
      </c>
      <c r="E462" s="190">
        <v>42608</v>
      </c>
      <c r="F462" s="188" t="s">
        <v>555</v>
      </c>
      <c r="G462" s="479" t="s">
        <v>798</v>
      </c>
      <c r="H462" s="7" t="s">
        <v>682</v>
      </c>
      <c r="I462" s="255"/>
      <c r="J462" s="255"/>
      <c r="K462" s="37">
        <v>1390800</v>
      </c>
      <c r="L462" s="193" t="s">
        <v>259</v>
      </c>
      <c r="M462" s="597" t="s">
        <v>364</v>
      </c>
      <c r="N462" s="51" t="str">
        <f>IF(AND('331-CT'!$E$7=TH!H462,OR(L462="331",M462="331")),"331",IF(AND(OR(L462="131",M462="131"),H462='131-CT'!$E$7),"131",""))</f>
        <v/>
      </c>
      <c r="O462" s="887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>x</v>
      </c>
      <c r="AB462" s="909"/>
      <c r="AC462" s="588"/>
    </row>
    <row r="463" spans="1:30" s="210" customFormat="1" ht="15.75" customHeight="1">
      <c r="A463" s="203" t="str">
        <f>IF(B463&lt;&gt;"",IF(AND(B463&gt;=_TM1,B463&lt;=_TM2,OR(TH!L463="1111",TH!M463="1111")),TH!D463,""),"")</f>
        <v/>
      </c>
      <c r="B463" s="36">
        <f t="shared" si="25"/>
        <v>8</v>
      </c>
      <c r="C463" s="183">
        <f t="shared" si="26"/>
        <v>42609</v>
      </c>
      <c r="D463" s="183" t="s">
        <v>649</v>
      </c>
      <c r="E463" s="190">
        <v>42609</v>
      </c>
      <c r="F463" s="188" t="s">
        <v>597</v>
      </c>
      <c r="G463" s="479" t="s">
        <v>799</v>
      </c>
      <c r="H463" s="7" t="s">
        <v>677</v>
      </c>
      <c r="I463" s="255">
        <v>203</v>
      </c>
      <c r="J463" s="255">
        <v>6400</v>
      </c>
      <c r="K463" s="37">
        <f>ROUND(I463*J463,0)</f>
        <v>1299200</v>
      </c>
      <c r="L463" s="193" t="s">
        <v>259</v>
      </c>
      <c r="M463" s="597" t="s">
        <v>174</v>
      </c>
      <c r="N463" s="51" t="str">
        <f>IF(AND('331-CT'!$E$7=TH!H463,OR(L463="331",M463="331")),"331",IF(AND(OR(L463="131",M463="131"),H463='131-CT'!$E$7),"131",""))</f>
        <v/>
      </c>
      <c r="O463" s="887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>x</v>
      </c>
      <c r="AB463" s="909"/>
      <c r="AC463" s="588"/>
      <c r="AD463" s="588"/>
    </row>
    <row r="464" spans="1:30" s="210" customFormat="1" ht="15.75" customHeight="1">
      <c r="A464" s="203" t="str">
        <f>IF(B464&lt;&gt;"",IF(AND(B464&gt;=_TM1,B464&lt;=_TM2,OR(TH!L464="1111",TH!M464="1111")),TH!D464,""),"")</f>
        <v/>
      </c>
      <c r="B464" s="36">
        <f t="shared" si="25"/>
        <v>8</v>
      </c>
      <c r="C464" s="183">
        <f t="shared" si="26"/>
        <v>42609</v>
      </c>
      <c r="D464" s="183" t="s">
        <v>649</v>
      </c>
      <c r="E464" s="190">
        <v>42609</v>
      </c>
      <c r="F464" s="188" t="s">
        <v>555</v>
      </c>
      <c r="G464" s="479" t="s">
        <v>799</v>
      </c>
      <c r="H464" s="7" t="s">
        <v>677</v>
      </c>
      <c r="I464" s="255"/>
      <c r="J464" s="255"/>
      <c r="K464" s="37">
        <v>129920</v>
      </c>
      <c r="L464" s="193" t="s">
        <v>259</v>
      </c>
      <c r="M464" s="597" t="s">
        <v>364</v>
      </c>
      <c r="N464" s="51" t="str">
        <f>IF(AND('331-CT'!$E$7=TH!H464,OR(L464="331",M464="331")),"331",IF(AND(OR(L464="131",M464="131"),H464='131-CT'!$E$7),"131",""))</f>
        <v/>
      </c>
      <c r="O464" s="887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>x</v>
      </c>
      <c r="AB464" s="909"/>
      <c r="AC464" s="588"/>
      <c r="AD464" s="588"/>
    </row>
    <row r="465" spans="1:30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25"/>
        <v>8</v>
      </c>
      <c r="C465" s="183">
        <f t="shared" si="26"/>
        <v>42611</v>
      </c>
      <c r="D465" s="183" t="s">
        <v>650</v>
      </c>
      <c r="E465" s="190">
        <v>42611</v>
      </c>
      <c r="F465" s="188" t="s">
        <v>588</v>
      </c>
      <c r="G465" s="479" t="s">
        <v>800</v>
      </c>
      <c r="H465" s="7" t="s">
        <v>410</v>
      </c>
      <c r="I465" s="255">
        <v>160</v>
      </c>
      <c r="J465" s="255">
        <v>47449</v>
      </c>
      <c r="K465" s="37">
        <f>ROUND(I465*J465,0)</f>
        <v>7591840</v>
      </c>
      <c r="L465" s="193" t="s">
        <v>259</v>
      </c>
      <c r="M465" s="597" t="s">
        <v>174</v>
      </c>
      <c r="N465" s="51" t="str">
        <f>IF(AND('331-CT'!$E$7=TH!H465,OR(L465="331",M465="331")),"331",IF(AND(OR(L465="131",M465="131"),H465='131-CT'!$E$7),"131",""))</f>
        <v/>
      </c>
      <c r="O465" s="887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>x</v>
      </c>
      <c r="AB465" s="909"/>
      <c r="AC465" s="588"/>
      <c r="AD465" s="588"/>
    </row>
    <row r="466" spans="1:30" s="210" customFormat="1" ht="15.75" customHeight="1">
      <c r="A466" s="203" t="str">
        <f>IF(B466&lt;&gt;"",IF(AND(B466&gt;=_TM1,B466&lt;=_TM2,OR(TH!L466="1111",TH!M466="1111")),TH!D466,""),"")</f>
        <v/>
      </c>
      <c r="B466" s="36">
        <f t="shared" si="25"/>
        <v>8</v>
      </c>
      <c r="C466" s="183">
        <f t="shared" si="26"/>
        <v>42611</v>
      </c>
      <c r="D466" s="183" t="s">
        <v>650</v>
      </c>
      <c r="E466" s="190">
        <v>42611</v>
      </c>
      <c r="F466" s="188" t="s">
        <v>555</v>
      </c>
      <c r="G466" s="479" t="s">
        <v>800</v>
      </c>
      <c r="H466" s="7" t="s">
        <v>410</v>
      </c>
      <c r="I466" s="255"/>
      <c r="J466" s="255"/>
      <c r="K466" s="37">
        <v>759184</v>
      </c>
      <c r="L466" s="193" t="s">
        <v>259</v>
      </c>
      <c r="M466" s="597" t="s">
        <v>364</v>
      </c>
      <c r="N466" s="51" t="str">
        <f>IF(AND('331-CT'!$E$7=TH!H466,OR(L466="331",M466="331")),"331",IF(AND(OR(L466="131",M466="131"),H466='131-CT'!$E$7),"131",""))</f>
        <v/>
      </c>
      <c r="O466" s="887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>x</v>
      </c>
      <c r="AB466" s="909"/>
      <c r="AC466" s="588"/>
      <c r="AD466" s="588"/>
    </row>
    <row r="467" spans="1:30" s="210" customFormat="1" ht="15.75" customHeight="1">
      <c r="A467" s="203" t="str">
        <f>IF(B467&lt;&gt;"",IF(AND(B467&gt;=_TM1,B467&lt;=_TM2,OR(TH!L467="1111",TH!M467="1111")),TH!D467,""),"")</f>
        <v/>
      </c>
      <c r="B467" s="36">
        <f t="shared" si="25"/>
        <v>8</v>
      </c>
      <c r="C467" s="183">
        <f t="shared" si="26"/>
        <v>42612</v>
      </c>
      <c r="D467" s="183" t="s">
        <v>651</v>
      </c>
      <c r="E467" s="190">
        <v>42612</v>
      </c>
      <c r="F467" s="188" t="s">
        <v>411</v>
      </c>
      <c r="G467" s="479" t="s">
        <v>801</v>
      </c>
      <c r="H467" s="7" t="s">
        <v>680</v>
      </c>
      <c r="I467" s="255">
        <v>500</v>
      </c>
      <c r="J467" s="255">
        <v>12950</v>
      </c>
      <c r="K467" s="37">
        <f>ROUND(I467*J467,0)</f>
        <v>6475000</v>
      </c>
      <c r="L467" s="193" t="s">
        <v>259</v>
      </c>
      <c r="M467" s="597" t="s">
        <v>174</v>
      </c>
      <c r="N467" s="51" t="str">
        <f>IF(AND('331-CT'!$E$7=TH!H467,OR(L467="331",M467="331")),"331",IF(AND(OR(L467="131",M467="131"),H467='131-CT'!$E$7),"131",""))</f>
        <v/>
      </c>
      <c r="O467" s="887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>x</v>
      </c>
      <c r="AB467" s="909"/>
      <c r="AC467" s="588"/>
      <c r="AD467" s="588"/>
    </row>
    <row r="468" spans="1:30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25"/>
        <v>8</v>
      </c>
      <c r="C468" s="183">
        <f t="shared" si="26"/>
        <v>42612</v>
      </c>
      <c r="D468" s="183" t="s">
        <v>651</v>
      </c>
      <c r="E468" s="190">
        <v>42612</v>
      </c>
      <c r="F468" s="188" t="s">
        <v>598</v>
      </c>
      <c r="G468" s="479" t="s">
        <v>801</v>
      </c>
      <c r="H468" s="7" t="s">
        <v>680</v>
      </c>
      <c r="I468" s="255"/>
      <c r="J468" s="255"/>
      <c r="K468" s="37">
        <v>647500</v>
      </c>
      <c r="L468" s="193" t="s">
        <v>259</v>
      </c>
      <c r="M468" s="597" t="s">
        <v>364</v>
      </c>
      <c r="N468" s="51" t="str">
        <f>IF(AND('331-CT'!$E$7=TH!H468,OR(L468="331",M468="331")),"331",IF(AND(OR(L468="131",M468="131"),H468='131-CT'!$E$7),"131",""))</f>
        <v/>
      </c>
      <c r="O468" s="887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>x</v>
      </c>
      <c r="AB468" s="909"/>
      <c r="AC468" s="588"/>
      <c r="AD468" s="588"/>
    </row>
    <row r="469" spans="1:30" s="210" customFormat="1" ht="15.75" customHeight="1">
      <c r="A469" s="203" t="str">
        <f>IF(B469&lt;&gt;"",IF(AND(B469&gt;=_TM1,B469&lt;=_TM2,OR(TH!L469="1111",TH!M469="1111")),TH!D469,""),"")</f>
        <v/>
      </c>
      <c r="B469" s="36">
        <f t="shared" si="25"/>
        <v>8</v>
      </c>
      <c r="C469" s="183">
        <f t="shared" si="26"/>
        <v>42613</v>
      </c>
      <c r="D469" s="183" t="s">
        <v>652</v>
      </c>
      <c r="E469" s="190">
        <v>42613</v>
      </c>
      <c r="F469" s="188" t="s">
        <v>561</v>
      </c>
      <c r="G469" s="479" t="s">
        <v>802</v>
      </c>
      <c r="H469" s="7" t="s">
        <v>408</v>
      </c>
      <c r="I469" s="255">
        <v>1500</v>
      </c>
      <c r="J469" s="255">
        <v>13800</v>
      </c>
      <c r="K469" s="37">
        <f>ROUND(I469*J469,0)</f>
        <v>20700000</v>
      </c>
      <c r="L469" s="193" t="s">
        <v>259</v>
      </c>
      <c r="M469" s="597" t="s">
        <v>174</v>
      </c>
      <c r="N469" s="51" t="str">
        <f>IF(AND('331-CT'!$E$7=TH!H469,OR(L469="331",M469="331")),"331",IF(AND(OR(L469="131",M469="131"),H469='131-CT'!$E$7),"131",""))</f>
        <v/>
      </c>
      <c r="O469" s="887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>x</v>
      </c>
      <c r="AB469" s="909"/>
      <c r="AC469" s="588"/>
      <c r="AD469" s="588"/>
    </row>
    <row r="470" spans="1:30" s="210" customFormat="1" ht="15.75" customHeight="1">
      <c r="A470" s="203" t="str">
        <f>IF(B470&lt;&gt;"",IF(AND(B470&gt;=_TM1,B470&lt;=_TM2,OR(TH!L470="1111",TH!M470="1111")),TH!D470,""),"")</f>
        <v/>
      </c>
      <c r="B470" s="36">
        <f t="shared" si="25"/>
        <v>8</v>
      </c>
      <c r="C470" s="183">
        <f t="shared" si="26"/>
        <v>42613</v>
      </c>
      <c r="D470" s="183" t="s">
        <v>652</v>
      </c>
      <c r="E470" s="190">
        <v>42613</v>
      </c>
      <c r="F470" s="188" t="s">
        <v>561</v>
      </c>
      <c r="G470" s="479" t="s">
        <v>802</v>
      </c>
      <c r="H470" s="7" t="s">
        <v>408</v>
      </c>
      <c r="I470" s="255">
        <v>400</v>
      </c>
      <c r="J470" s="255">
        <v>13400</v>
      </c>
      <c r="K470" s="37">
        <f>ROUND(I470*J470,0)</f>
        <v>5360000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87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>x</v>
      </c>
      <c r="AB470" s="909"/>
      <c r="AC470" s="588"/>
      <c r="AD470" s="588"/>
    </row>
    <row r="471" spans="1:30" s="210" customFormat="1" ht="15.75" customHeight="1">
      <c r="A471" s="203" t="str">
        <f>IF(B471&lt;&gt;"",IF(AND(B471&gt;=_TM1,B471&lt;=_TM2,OR(TH!L471="1111",TH!M471="1111")),TH!D471,""),"")</f>
        <v/>
      </c>
      <c r="B471" s="36">
        <f t="shared" ref="B471:B534" si="28">IF(C471&lt;&gt;"",MONTH(C471),"")</f>
        <v>8</v>
      </c>
      <c r="C471" s="183">
        <f t="shared" ref="C471:C534" si="29">E471</f>
        <v>42613</v>
      </c>
      <c r="D471" s="183" t="s">
        <v>652</v>
      </c>
      <c r="E471" s="190">
        <v>42613</v>
      </c>
      <c r="F471" s="188" t="s">
        <v>418</v>
      </c>
      <c r="G471" s="479" t="s">
        <v>802</v>
      </c>
      <c r="H471" s="7" t="s">
        <v>408</v>
      </c>
      <c r="I471" s="255">
        <v>3800</v>
      </c>
      <c r="J471" s="255">
        <v>1300</v>
      </c>
      <c r="K471" s="37">
        <f>ROUND(I471*J471,0)</f>
        <v>4940000</v>
      </c>
      <c r="L471" s="193" t="s">
        <v>259</v>
      </c>
      <c r="M471" s="597" t="s">
        <v>174</v>
      </c>
      <c r="N471" s="51" t="str">
        <f>IF(AND('331-CT'!$E$7=TH!H471,OR(L471="331",M471="331")),"331",IF(AND(OR(L471="131",M471="131"),H471='131-CT'!$E$7),"131",""))</f>
        <v/>
      </c>
      <c r="O471" s="887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>x</v>
      </c>
      <c r="AB471" s="909"/>
      <c r="AC471" s="588"/>
    </row>
    <row r="472" spans="1:30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28"/>
        <v>8</v>
      </c>
      <c r="C472" s="183">
        <f t="shared" si="29"/>
        <v>42613</v>
      </c>
      <c r="D472" s="183" t="s">
        <v>652</v>
      </c>
      <c r="E472" s="190">
        <v>42613</v>
      </c>
      <c r="F472" s="188" t="s">
        <v>555</v>
      </c>
      <c r="G472" s="479" t="s">
        <v>802</v>
      </c>
      <c r="H472" s="7" t="s">
        <v>408</v>
      </c>
      <c r="I472" s="255"/>
      <c r="J472" s="255"/>
      <c r="K472" s="37">
        <v>3100000</v>
      </c>
      <c r="L472" s="193" t="s">
        <v>259</v>
      </c>
      <c r="M472" s="597" t="s">
        <v>364</v>
      </c>
      <c r="N472" s="51" t="str">
        <f>IF(AND('331-CT'!$E$7=TH!H472,OR(L472="331",M472="331")),"331",IF(AND(OR(L472="131",M472="131"),H472='131-CT'!$E$7),"131",""))</f>
        <v/>
      </c>
      <c r="O472" s="887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>x</v>
      </c>
      <c r="AB472" s="909"/>
      <c r="AC472" s="588"/>
      <c r="AD472" s="588"/>
    </row>
    <row r="473" spans="1:30" s="210" customFormat="1" ht="15.75" customHeight="1">
      <c r="A473" s="203" t="str">
        <f>IF(B473&lt;&gt;"",IF(AND(B473&gt;=_TM1,B473&lt;=_TM2,OR(TH!L473="1111",TH!M473="1111")),TH!D473,""),"")</f>
        <v/>
      </c>
      <c r="B473" s="36">
        <f t="shared" si="28"/>
        <v>8</v>
      </c>
      <c r="C473" s="183">
        <f t="shared" si="29"/>
        <v>42613</v>
      </c>
      <c r="D473" s="183" t="s">
        <v>653</v>
      </c>
      <c r="E473" s="190">
        <v>42613</v>
      </c>
      <c r="F473" s="188" t="s">
        <v>579</v>
      </c>
      <c r="G473" s="479" t="s">
        <v>803</v>
      </c>
      <c r="H473" s="7" t="s">
        <v>406</v>
      </c>
      <c r="I473" s="255">
        <v>819</v>
      </c>
      <c r="J473" s="255">
        <v>5000</v>
      </c>
      <c r="K473" s="37">
        <f>ROUND(I473*J473,0)</f>
        <v>4095000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87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>x</v>
      </c>
      <c r="AB473" s="909"/>
      <c r="AC473" s="588"/>
      <c r="AD473" s="588"/>
    </row>
    <row r="474" spans="1:30" s="210" customFormat="1" ht="15.75" customHeight="1">
      <c r="A474" s="203" t="str">
        <f>IF(B474&lt;&gt;"",IF(AND(B474&gt;=_TM1,B474&lt;=_TM2,OR(TH!L474="1111",TH!M474="1111")),TH!D474,""),"")</f>
        <v/>
      </c>
      <c r="B474" s="36">
        <f t="shared" si="28"/>
        <v>8</v>
      </c>
      <c r="C474" s="183">
        <f t="shared" si="29"/>
        <v>42613</v>
      </c>
      <c r="D474" s="183" t="s">
        <v>653</v>
      </c>
      <c r="E474" s="190">
        <v>42613</v>
      </c>
      <c r="F474" s="188" t="s">
        <v>605</v>
      </c>
      <c r="G474" s="479" t="s">
        <v>803</v>
      </c>
      <c r="H474" s="7" t="s">
        <v>406</v>
      </c>
      <c r="I474" s="255">
        <v>610</v>
      </c>
      <c r="J474" s="255">
        <v>5550</v>
      </c>
      <c r="K474" s="37">
        <f>ROUND(I474*J474,0)</f>
        <v>3385500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7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>x</v>
      </c>
      <c r="AB474" s="909"/>
      <c r="AC474" s="588"/>
    </row>
    <row r="475" spans="1:30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28"/>
        <v>8</v>
      </c>
      <c r="C475" s="183">
        <f t="shared" si="29"/>
        <v>42613</v>
      </c>
      <c r="D475" s="183" t="s">
        <v>653</v>
      </c>
      <c r="E475" s="190">
        <v>42613</v>
      </c>
      <c r="F475" s="188" t="s">
        <v>581</v>
      </c>
      <c r="G475" s="479" t="s">
        <v>803</v>
      </c>
      <c r="H475" s="7" t="s">
        <v>406</v>
      </c>
      <c r="I475" s="255">
        <v>599</v>
      </c>
      <c r="J475" s="255">
        <v>9700</v>
      </c>
      <c r="K475" s="37">
        <f>ROUND(I475*J475,0)</f>
        <v>5810300</v>
      </c>
      <c r="L475" s="193" t="s">
        <v>259</v>
      </c>
      <c r="M475" s="597" t="s">
        <v>174</v>
      </c>
      <c r="N475" s="51" t="str">
        <f>IF(AND('331-CT'!$E$7=TH!H475,OR(L475="331",M475="331")),"331",IF(AND(OR(L475="131",M475="131"),H475='131-CT'!$E$7),"131",""))</f>
        <v/>
      </c>
      <c r="O475" s="887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>x</v>
      </c>
      <c r="AB475" s="909"/>
      <c r="AC475" s="588"/>
      <c r="AD475" s="588"/>
    </row>
    <row r="476" spans="1:30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28"/>
        <v>8</v>
      </c>
      <c r="C476" s="183">
        <f t="shared" si="29"/>
        <v>42613</v>
      </c>
      <c r="D476" s="183" t="s">
        <v>653</v>
      </c>
      <c r="E476" s="190">
        <v>42613</v>
      </c>
      <c r="F476" s="188" t="s">
        <v>686</v>
      </c>
      <c r="G476" s="479" t="s">
        <v>803</v>
      </c>
      <c r="H476" s="7" t="s">
        <v>406</v>
      </c>
      <c r="I476" s="255">
        <v>305</v>
      </c>
      <c r="J476" s="255">
        <v>10670</v>
      </c>
      <c r="K476" s="37">
        <f>ROUND(I476*J476,0)</f>
        <v>3254350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7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>x</v>
      </c>
      <c r="AB476" s="909"/>
      <c r="AC476" s="588"/>
      <c r="AD476" s="588"/>
    </row>
    <row r="477" spans="1:30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28"/>
        <v>8</v>
      </c>
      <c r="C477" s="183">
        <f t="shared" si="29"/>
        <v>42613</v>
      </c>
      <c r="D477" s="183" t="s">
        <v>653</v>
      </c>
      <c r="E477" s="190">
        <v>42613</v>
      </c>
      <c r="F477" s="188" t="s">
        <v>555</v>
      </c>
      <c r="G477" s="479" t="s">
        <v>803</v>
      </c>
      <c r="H477" s="7" t="s">
        <v>406</v>
      </c>
      <c r="I477" s="255"/>
      <c r="J477" s="255"/>
      <c r="K477" s="37">
        <v>1654515</v>
      </c>
      <c r="L477" s="193" t="s">
        <v>259</v>
      </c>
      <c r="M477" s="597" t="s">
        <v>364</v>
      </c>
      <c r="N477" s="51" t="str">
        <f>IF(AND('331-CT'!$E$7=TH!H477,OR(L477="331",M477="331")),"331",IF(AND(OR(L477="131",M477="131"),H477='131-CT'!$E$7),"131",""))</f>
        <v/>
      </c>
      <c r="O477" s="887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>x</v>
      </c>
      <c r="AB477" s="909"/>
      <c r="AC477" s="588"/>
      <c r="AD477" s="588"/>
    </row>
    <row r="478" spans="1:30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28"/>
        <v>9</v>
      </c>
      <c r="C478" s="183">
        <f t="shared" si="29"/>
        <v>42614</v>
      </c>
      <c r="D478" s="183" t="s">
        <v>654</v>
      </c>
      <c r="E478" s="190">
        <v>42614</v>
      </c>
      <c r="F478" s="188" t="s">
        <v>599</v>
      </c>
      <c r="G478" s="479" t="s">
        <v>804</v>
      </c>
      <c r="H478" s="7" t="s">
        <v>683</v>
      </c>
      <c r="I478" s="255">
        <v>504</v>
      </c>
      <c r="J478" s="255">
        <v>6400</v>
      </c>
      <c r="K478" s="37">
        <f>ROUND(I478*J478,0)</f>
        <v>3225600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7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>x</v>
      </c>
      <c r="AB478" s="909"/>
      <c r="AC478" s="588"/>
      <c r="AD478" s="588"/>
    </row>
    <row r="479" spans="1:30" s="210" customFormat="1" ht="15.75" customHeight="1">
      <c r="A479" s="203" t="str">
        <f>IF(B479&lt;&gt;"",IF(AND(B479&gt;=_TM1,B479&lt;=_TM2,OR(TH!L479="1111",TH!M479="1111")),TH!D479,""),"")</f>
        <v/>
      </c>
      <c r="B479" s="36">
        <f t="shared" si="28"/>
        <v>9</v>
      </c>
      <c r="C479" s="183">
        <f t="shared" si="29"/>
        <v>42614</v>
      </c>
      <c r="D479" s="183" t="s">
        <v>654</v>
      </c>
      <c r="E479" s="190">
        <v>42614</v>
      </c>
      <c r="F479" s="188" t="s">
        <v>555</v>
      </c>
      <c r="G479" s="479" t="s">
        <v>804</v>
      </c>
      <c r="H479" s="7" t="s">
        <v>683</v>
      </c>
      <c r="I479" s="255"/>
      <c r="J479" s="255"/>
      <c r="K479" s="37">
        <v>322560</v>
      </c>
      <c r="L479" s="193" t="s">
        <v>259</v>
      </c>
      <c r="M479" s="597" t="s">
        <v>364</v>
      </c>
      <c r="N479" s="51" t="str">
        <f>IF(AND('331-CT'!$E$7=TH!H479,OR(L479="331",M479="331")),"331",IF(AND(OR(L479="131",M479="131"),H479='131-CT'!$E$7),"131",""))</f>
        <v/>
      </c>
      <c r="O479" s="887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>x</v>
      </c>
      <c r="AB479" s="909"/>
      <c r="AC479" s="588"/>
    </row>
    <row r="480" spans="1:30" s="210" customFormat="1" ht="15.75" customHeight="1">
      <c r="A480" s="203" t="str">
        <f>IF(B480&lt;&gt;"",IF(AND(B480&gt;=_TM1,B480&lt;=_TM2,OR(TH!L480="1111",TH!M480="1111")),TH!D480,""),"")</f>
        <v/>
      </c>
      <c r="B480" s="36">
        <f t="shared" si="28"/>
        <v>9</v>
      </c>
      <c r="C480" s="183">
        <f t="shared" si="29"/>
        <v>42614</v>
      </c>
      <c r="D480" s="183" t="s">
        <v>655</v>
      </c>
      <c r="E480" s="190">
        <v>42614</v>
      </c>
      <c r="F480" s="188" t="s">
        <v>600</v>
      </c>
      <c r="G480" s="479" t="s">
        <v>805</v>
      </c>
      <c r="H480" s="7" t="s">
        <v>412</v>
      </c>
      <c r="I480" s="255">
        <f>1330*2</f>
        <v>2660</v>
      </c>
      <c r="J480" s="255">
        <v>7350</v>
      </c>
      <c r="K480" s="37">
        <f>ROUND(I480*J480,0)</f>
        <v>19551000</v>
      </c>
      <c r="L480" s="193" t="s">
        <v>259</v>
      </c>
      <c r="M480" s="597" t="s">
        <v>174</v>
      </c>
      <c r="N480" s="51" t="str">
        <f>IF(AND('331-CT'!$E$7=TH!H480,OR(L480="331",M480="331")),"331",IF(AND(OR(L480="131",M480="131"),H480='131-CT'!$E$7),"131",""))</f>
        <v/>
      </c>
      <c r="O480" s="887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>x</v>
      </c>
      <c r="AB480" s="909"/>
      <c r="AC480" s="588"/>
      <c r="AD480" s="588"/>
    </row>
    <row r="481" spans="1:30" s="210" customFormat="1" ht="15.75" customHeight="1">
      <c r="A481" s="203" t="str">
        <f>IF(B481&lt;&gt;"",IF(AND(B481&gt;=_TM1,B481&lt;=_TM2,OR(TH!L481="1111",TH!M481="1111")),TH!D481,""),"")</f>
        <v/>
      </c>
      <c r="B481" s="36">
        <f t="shared" si="28"/>
        <v>9</v>
      </c>
      <c r="C481" s="183">
        <f t="shared" si="29"/>
        <v>42614</v>
      </c>
      <c r="D481" s="183" t="s">
        <v>655</v>
      </c>
      <c r="E481" s="190">
        <v>42614</v>
      </c>
      <c r="F481" s="188" t="s">
        <v>555</v>
      </c>
      <c r="G481" s="479" t="s">
        <v>805</v>
      </c>
      <c r="H481" s="7" t="s">
        <v>412</v>
      </c>
      <c r="I481" s="255"/>
      <c r="J481" s="255"/>
      <c r="K481" s="37">
        <v>1955100</v>
      </c>
      <c r="L481" s="193" t="s">
        <v>259</v>
      </c>
      <c r="M481" s="597" t="s">
        <v>364</v>
      </c>
      <c r="N481" s="51" t="str">
        <f>IF(AND('331-CT'!$E$7=TH!H481,OR(L481="331",M481="331")),"331",IF(AND(OR(L481="131",M481="131"),H481='131-CT'!$E$7),"131",""))</f>
        <v/>
      </c>
      <c r="O481" s="887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>x</v>
      </c>
      <c r="AB481" s="909"/>
      <c r="AC481" s="588"/>
      <c r="AD481" s="588"/>
    </row>
    <row r="482" spans="1:30" s="210" customFormat="1" ht="15.75" customHeight="1">
      <c r="A482" s="203" t="str">
        <f>IF(B482&lt;&gt;"",IF(AND(B482&gt;=_TM1,B482&lt;=_TM2,OR(TH!L482="1111",TH!M482="1111")),TH!D482,""),"")</f>
        <v/>
      </c>
      <c r="B482" s="36">
        <f t="shared" si="28"/>
        <v>9</v>
      </c>
      <c r="C482" s="183">
        <f t="shared" si="29"/>
        <v>42618</v>
      </c>
      <c r="D482" s="183" t="s">
        <v>656</v>
      </c>
      <c r="E482" s="190">
        <v>42618</v>
      </c>
      <c r="F482" s="188" t="s">
        <v>713</v>
      </c>
      <c r="G482" s="479" t="s">
        <v>806</v>
      </c>
      <c r="H482" s="7" t="s">
        <v>412</v>
      </c>
      <c r="I482" s="255">
        <f>412</f>
        <v>412</v>
      </c>
      <c r="J482" s="255">
        <v>11800</v>
      </c>
      <c r="K482" s="37">
        <f>ROUND(I482*J482,0)</f>
        <v>4861600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87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>x</v>
      </c>
      <c r="AB482" s="909"/>
      <c r="AC482" s="588"/>
      <c r="AD482" s="588"/>
    </row>
    <row r="483" spans="1:30" s="210" customFormat="1" ht="15.75" customHeight="1">
      <c r="A483" s="203" t="str">
        <f>IF(B483&lt;&gt;"",IF(AND(B483&gt;=_TM1,B483&lt;=_TM2,OR(TH!L483="1111",TH!M483="1111")),TH!D483,""),"")</f>
        <v/>
      </c>
      <c r="B483" s="36">
        <f t="shared" si="28"/>
        <v>9</v>
      </c>
      <c r="C483" s="183">
        <f t="shared" si="29"/>
        <v>42618</v>
      </c>
      <c r="D483" s="183" t="s">
        <v>656</v>
      </c>
      <c r="E483" s="190">
        <v>42618</v>
      </c>
      <c r="F483" s="188" t="s">
        <v>559</v>
      </c>
      <c r="G483" s="479" t="s">
        <v>806</v>
      </c>
      <c r="H483" s="7" t="s">
        <v>412</v>
      </c>
      <c r="I483" s="255">
        <f>102+51+51+102+76</f>
        <v>382</v>
      </c>
      <c r="J483" s="255">
        <v>9400</v>
      </c>
      <c r="K483" s="37">
        <f>ROUND(I483*J483,0)</f>
        <v>3590800</v>
      </c>
      <c r="L483" s="193" t="s">
        <v>259</v>
      </c>
      <c r="M483" s="597" t="s">
        <v>174</v>
      </c>
      <c r="N483" s="51" t="str">
        <f>IF(AND('331-CT'!$E$7=TH!H483,OR(L483="331",M483="331")),"331",IF(AND(OR(L483="131",M483="131"),H483='131-CT'!$E$7),"131",""))</f>
        <v/>
      </c>
      <c r="O483" s="887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>x</v>
      </c>
      <c r="AB483" s="909"/>
      <c r="AC483" s="588"/>
      <c r="AD483" s="588"/>
    </row>
    <row r="484" spans="1:30" s="210" customFormat="1" ht="15.75" customHeight="1">
      <c r="A484" s="203" t="str">
        <f>IF(B484&lt;&gt;"",IF(AND(B484&gt;=_TM1,B484&lt;=_TM2,OR(TH!L484="1111",TH!M484="1111")),TH!D484,""),"")</f>
        <v/>
      </c>
      <c r="B484" s="36">
        <f t="shared" si="28"/>
        <v>9</v>
      </c>
      <c r="C484" s="183">
        <f t="shared" si="29"/>
        <v>42618</v>
      </c>
      <c r="D484" s="183" t="s">
        <v>656</v>
      </c>
      <c r="E484" s="190">
        <v>42618</v>
      </c>
      <c r="F484" s="188" t="s">
        <v>559</v>
      </c>
      <c r="G484" s="479" t="s">
        <v>806</v>
      </c>
      <c r="H484" s="7" t="s">
        <v>412</v>
      </c>
      <c r="I484" s="255">
        <v>110</v>
      </c>
      <c r="J484" s="255">
        <v>16700</v>
      </c>
      <c r="K484" s="37">
        <f>ROUND(I484*J484,0)</f>
        <v>1837000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7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>x</v>
      </c>
      <c r="AB484" s="909"/>
      <c r="AC484" s="588"/>
      <c r="AD484" s="588"/>
    </row>
    <row r="485" spans="1:30" s="210" customFormat="1" ht="15.75" customHeight="1">
      <c r="A485" s="203" t="str">
        <f>IF(B485&lt;&gt;"",IF(AND(B485&gt;=_TM1,B485&lt;=_TM2,OR(TH!L485="1111",TH!M485="1111")),TH!D485,""),"")</f>
        <v/>
      </c>
      <c r="B485" s="36">
        <f t="shared" si="28"/>
        <v>9</v>
      </c>
      <c r="C485" s="183">
        <f t="shared" si="29"/>
        <v>42618</v>
      </c>
      <c r="D485" s="183" t="s">
        <v>656</v>
      </c>
      <c r="E485" s="190">
        <v>42618</v>
      </c>
      <c r="F485" s="188" t="s">
        <v>714</v>
      </c>
      <c r="G485" s="479" t="s">
        <v>806</v>
      </c>
      <c r="H485" s="7" t="s">
        <v>412</v>
      </c>
      <c r="I485" s="255">
        <v>110</v>
      </c>
      <c r="J485" s="255">
        <v>6300</v>
      </c>
      <c r="K485" s="37">
        <f>ROUND(I485*J485,0)</f>
        <v>693000</v>
      </c>
      <c r="L485" s="193" t="s">
        <v>259</v>
      </c>
      <c r="M485" s="597" t="s">
        <v>174</v>
      </c>
      <c r="N485" s="51" t="str">
        <f>IF(AND('331-CT'!$E$7=TH!H485,OR(L485="331",M485="331")),"331",IF(AND(OR(L485="131",M485="131"),H485='131-CT'!$E$7),"131",""))</f>
        <v/>
      </c>
      <c r="O485" s="887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>x</v>
      </c>
      <c r="AB485" s="909"/>
      <c r="AC485" s="588"/>
    </row>
    <row r="486" spans="1:30" s="210" customFormat="1" ht="15.75" customHeight="1">
      <c r="A486" s="203" t="str">
        <f>IF(B486&lt;&gt;"",IF(AND(B486&gt;=_TM1,B486&lt;=_TM2,OR(TH!L486="1111",TH!M486="1111")),TH!D486,""),"")</f>
        <v/>
      </c>
      <c r="B486" s="36">
        <f t="shared" si="28"/>
        <v>9</v>
      </c>
      <c r="C486" s="183">
        <f t="shared" si="29"/>
        <v>42618</v>
      </c>
      <c r="D486" s="183" t="s">
        <v>656</v>
      </c>
      <c r="E486" s="190">
        <v>42618</v>
      </c>
      <c r="F486" s="188" t="s">
        <v>555</v>
      </c>
      <c r="G486" s="479" t="s">
        <v>806</v>
      </c>
      <c r="H486" s="7" t="s">
        <v>412</v>
      </c>
      <c r="I486" s="255"/>
      <c r="J486" s="255"/>
      <c r="K486" s="37">
        <v>1098240</v>
      </c>
      <c r="L486" s="193" t="s">
        <v>259</v>
      </c>
      <c r="M486" s="597" t="s">
        <v>364</v>
      </c>
      <c r="N486" s="51" t="str">
        <f>IF(AND('331-CT'!$E$7=TH!H486,OR(L486="331",M486="331")),"331",IF(AND(OR(L486="131",M486="131"),H486='131-CT'!$E$7),"131",""))</f>
        <v/>
      </c>
      <c r="O486" s="887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>x</v>
      </c>
      <c r="AB486" s="909"/>
      <c r="AC486" s="588"/>
      <c r="AD486" s="588"/>
    </row>
    <row r="487" spans="1:30" s="210" customFormat="1" ht="15.75" customHeight="1">
      <c r="A487" s="203" t="str">
        <f>IF(B487&lt;&gt;"",IF(AND(B487&gt;=_TM1,B487&lt;=_TM2,OR(TH!L487="1111",TH!M487="1111")),TH!D487,""),"")</f>
        <v/>
      </c>
      <c r="B487" s="36">
        <f t="shared" si="28"/>
        <v>9</v>
      </c>
      <c r="C487" s="183">
        <f t="shared" si="29"/>
        <v>42618</v>
      </c>
      <c r="D487" s="183" t="s">
        <v>657</v>
      </c>
      <c r="E487" s="190">
        <v>42618</v>
      </c>
      <c r="F487" s="188" t="s">
        <v>715</v>
      </c>
      <c r="G487" s="479" t="s">
        <v>807</v>
      </c>
      <c r="H487" s="7" t="s">
        <v>412</v>
      </c>
      <c r="I487" s="255">
        <f>13+13+13+13+13</f>
        <v>65</v>
      </c>
      <c r="J487" s="255">
        <v>15600</v>
      </c>
      <c r="K487" s="37">
        <f>ROUND(I487*J487,0)</f>
        <v>1014000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87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>x</v>
      </c>
      <c r="AB487" s="909"/>
      <c r="AC487" s="588"/>
      <c r="AD487" s="588"/>
    </row>
    <row r="488" spans="1:30" s="210" customFormat="1" ht="15.75" customHeight="1">
      <c r="A488" s="203" t="str">
        <f>IF(B488&lt;&gt;"",IF(AND(B488&gt;=_TM1,B488&lt;=_TM2,OR(TH!L488="1111",TH!M488="1111")),TH!D488,""),"")</f>
        <v/>
      </c>
      <c r="B488" s="36">
        <f t="shared" si="28"/>
        <v>9</v>
      </c>
      <c r="C488" s="183">
        <f t="shared" si="29"/>
        <v>42618</v>
      </c>
      <c r="D488" s="183" t="s">
        <v>657</v>
      </c>
      <c r="E488" s="190">
        <v>42618</v>
      </c>
      <c r="F488" s="188" t="s">
        <v>716</v>
      </c>
      <c r="G488" s="479" t="s">
        <v>807</v>
      </c>
      <c r="H488" s="7" t="s">
        <v>412</v>
      </c>
      <c r="I488" s="255">
        <f>580+337</f>
        <v>917</v>
      </c>
      <c r="J488" s="255">
        <v>7900</v>
      </c>
      <c r="K488" s="37">
        <f>ROUND(I488*J488,0)</f>
        <v>7244300</v>
      </c>
      <c r="L488" s="193" t="s">
        <v>259</v>
      </c>
      <c r="M488" s="597" t="s">
        <v>174</v>
      </c>
      <c r="N488" s="51" t="str">
        <f>IF(AND('331-CT'!$E$7=TH!H488,OR(L488="331",M488="331")),"331",IF(AND(OR(L488="131",M488="131"),H488='131-CT'!$E$7),"131",""))</f>
        <v/>
      </c>
      <c r="O488" s="887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>x</v>
      </c>
      <c r="AB488" s="909"/>
      <c r="AC488" s="588"/>
      <c r="AD488" s="588"/>
    </row>
    <row r="489" spans="1:30" s="210" customFormat="1" ht="15.75" customHeight="1">
      <c r="A489" s="203" t="str">
        <f>IF(B489&lt;&gt;"",IF(AND(B489&gt;=_TM1,B489&lt;=_TM2,OR(TH!L489="1111",TH!M489="1111")),TH!D489,""),"")</f>
        <v/>
      </c>
      <c r="B489" s="36">
        <f t="shared" si="28"/>
        <v>9</v>
      </c>
      <c r="C489" s="183">
        <f t="shared" si="29"/>
        <v>42618</v>
      </c>
      <c r="D489" s="183" t="s">
        <v>657</v>
      </c>
      <c r="E489" s="190">
        <v>42618</v>
      </c>
      <c r="F489" s="188" t="s">
        <v>559</v>
      </c>
      <c r="G489" s="479" t="s">
        <v>807</v>
      </c>
      <c r="H489" s="7" t="s">
        <v>412</v>
      </c>
      <c r="I489" s="255">
        <v>72</v>
      </c>
      <c r="J489" s="255">
        <v>9400</v>
      </c>
      <c r="K489" s="37">
        <f>ROUND(I489*J489,0)</f>
        <v>676800</v>
      </c>
      <c r="L489" s="193" t="s">
        <v>259</v>
      </c>
      <c r="M489" s="597" t="s">
        <v>174</v>
      </c>
      <c r="N489" s="51" t="str">
        <f>IF(AND('331-CT'!$E$7=TH!H489,OR(L489="331",M489="331")),"331",IF(AND(OR(L489="131",M489="131"),H489='131-CT'!$E$7),"131",""))</f>
        <v/>
      </c>
      <c r="O489" s="887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>x</v>
      </c>
      <c r="AB489" s="909"/>
      <c r="AC489" s="588"/>
      <c r="AD489" s="588"/>
    </row>
    <row r="490" spans="1:30" s="210" customFormat="1" ht="15.75" customHeight="1">
      <c r="A490" s="203" t="str">
        <f>IF(B490&lt;&gt;"",IF(AND(B490&gt;=_TM1,B490&lt;=_TM2,OR(TH!L490="1111",TH!M490="1111")),TH!D490,""),"")</f>
        <v/>
      </c>
      <c r="B490" s="36">
        <f t="shared" si="28"/>
        <v>9</v>
      </c>
      <c r="C490" s="183">
        <f t="shared" si="29"/>
        <v>42618</v>
      </c>
      <c r="D490" s="183" t="s">
        <v>657</v>
      </c>
      <c r="E490" s="190">
        <v>42618</v>
      </c>
      <c r="F490" s="188" t="s">
        <v>555</v>
      </c>
      <c r="G490" s="479" t="s">
        <v>807</v>
      </c>
      <c r="H490" s="7" t="s">
        <v>412</v>
      </c>
      <c r="I490" s="255"/>
      <c r="J490" s="255"/>
      <c r="K490" s="37">
        <v>893510</v>
      </c>
      <c r="L490" s="193" t="s">
        <v>259</v>
      </c>
      <c r="M490" s="597" t="s">
        <v>364</v>
      </c>
      <c r="N490" s="51" t="str">
        <f>IF(AND('331-CT'!$E$7=TH!H490,OR(L490="331",M490="331")),"331",IF(AND(OR(L490="131",M490="131"),H490='131-CT'!$E$7),"131",""))</f>
        <v/>
      </c>
      <c r="O490" s="887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>x</v>
      </c>
      <c r="AB490" s="909"/>
      <c r="AC490" s="588"/>
      <c r="AD490" s="588"/>
    </row>
    <row r="491" spans="1:30" s="210" customFormat="1" ht="15.75" customHeight="1">
      <c r="A491" s="203" t="str">
        <f>IF(B491&lt;&gt;"",IF(AND(B491&gt;=_TM1,B491&lt;=_TM2,OR(TH!L491="1111",TH!M491="1111")),TH!D491,""),"")</f>
        <v/>
      </c>
      <c r="B491" s="36">
        <f t="shared" si="28"/>
        <v>9</v>
      </c>
      <c r="C491" s="183">
        <f t="shared" si="29"/>
        <v>42619</v>
      </c>
      <c r="D491" s="183" t="s">
        <v>658</v>
      </c>
      <c r="E491" s="190">
        <v>42619</v>
      </c>
      <c r="F491" s="188" t="s">
        <v>569</v>
      </c>
      <c r="G491" s="479" t="s">
        <v>808</v>
      </c>
      <c r="H491" s="7" t="s">
        <v>678</v>
      </c>
      <c r="I491" s="255">
        <f>523+513</f>
        <v>1036</v>
      </c>
      <c r="J491" s="255">
        <v>5900</v>
      </c>
      <c r="K491" s="37">
        <f>ROUND(I491*J491,0)</f>
        <v>6112400</v>
      </c>
      <c r="L491" s="193" t="s">
        <v>259</v>
      </c>
      <c r="M491" s="597" t="s">
        <v>174</v>
      </c>
      <c r="N491" s="51" t="str">
        <f>IF(AND('331-CT'!$E$7=TH!H491,OR(L491="331",M491="331")),"331",IF(AND(OR(L491="131",M491="131"),H491='131-CT'!$E$7),"131",""))</f>
        <v/>
      </c>
      <c r="O491" s="887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>x</v>
      </c>
      <c r="AB491" s="909"/>
      <c r="AC491" s="588"/>
      <c r="AD491" s="588"/>
    </row>
    <row r="492" spans="1:30" s="210" customFormat="1" ht="15.75" customHeight="1">
      <c r="A492" s="203" t="str">
        <f>IF(B492&lt;&gt;"",IF(AND(B492&gt;=_TM1,B492&lt;=_TM2,OR(TH!L492="1111",TH!M492="1111")),TH!D492,""),"")</f>
        <v/>
      </c>
      <c r="B492" s="36">
        <f t="shared" si="28"/>
        <v>9</v>
      </c>
      <c r="C492" s="183">
        <f t="shared" si="29"/>
        <v>42619</v>
      </c>
      <c r="D492" s="183" t="s">
        <v>658</v>
      </c>
      <c r="E492" s="190">
        <v>42619</v>
      </c>
      <c r="F492" s="188" t="s">
        <v>555</v>
      </c>
      <c r="G492" s="479" t="s">
        <v>808</v>
      </c>
      <c r="H492" s="7" t="s">
        <v>678</v>
      </c>
      <c r="I492" s="255"/>
      <c r="J492" s="255"/>
      <c r="K492" s="37">
        <v>611240</v>
      </c>
      <c r="L492" s="193" t="s">
        <v>259</v>
      </c>
      <c r="M492" s="597" t="s">
        <v>364</v>
      </c>
      <c r="N492" s="51" t="str">
        <f>IF(AND('331-CT'!$E$7=TH!H492,OR(L492="331",M492="331")),"331",IF(AND(OR(L492="131",M492="131"),H492='131-CT'!$E$7),"131",""))</f>
        <v/>
      </c>
      <c r="O492" s="887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>x</v>
      </c>
      <c r="AB492" s="909"/>
      <c r="AC492" s="588"/>
    </row>
    <row r="493" spans="1:30" s="210" customFormat="1" ht="15.75" customHeight="1">
      <c r="A493" s="203" t="str">
        <f>IF(B493&lt;&gt;"",IF(AND(B493&gt;=_TM1,B493&lt;=_TM2,OR(TH!L493="1111",TH!M493="1111")),TH!D493,""),"")</f>
        <v/>
      </c>
      <c r="B493" s="36">
        <f t="shared" si="28"/>
        <v>9</v>
      </c>
      <c r="C493" s="183">
        <f t="shared" si="29"/>
        <v>42619</v>
      </c>
      <c r="D493" s="183" t="s">
        <v>659</v>
      </c>
      <c r="E493" s="190">
        <v>42619</v>
      </c>
      <c r="F493" s="188" t="s">
        <v>591</v>
      </c>
      <c r="G493" s="479" t="s">
        <v>809</v>
      </c>
      <c r="H493" s="7" t="s">
        <v>676</v>
      </c>
      <c r="I493" s="255">
        <v>212</v>
      </c>
      <c r="J493" s="255">
        <v>9300</v>
      </c>
      <c r="K493" s="37">
        <f>ROUND(I493*J493,0)</f>
        <v>1971600</v>
      </c>
      <c r="L493" s="193" t="s">
        <v>259</v>
      </c>
      <c r="M493" s="597" t="s">
        <v>174</v>
      </c>
      <c r="N493" s="51" t="str">
        <f>IF(AND('331-CT'!$E$7=TH!H493,OR(L493="331",M493="331")),"331",IF(AND(OR(L493="131",M493="131"),H493='131-CT'!$E$7),"131",""))</f>
        <v>131</v>
      </c>
      <c r="O493" s="887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>x</v>
      </c>
      <c r="AB493" s="909"/>
      <c r="AC493" s="588"/>
      <c r="AD493" s="588"/>
    </row>
    <row r="494" spans="1:30" s="210" customFormat="1" ht="15.75" customHeight="1">
      <c r="A494" s="203" t="str">
        <f>IF(B494&lt;&gt;"",IF(AND(B494&gt;=_TM1,B494&lt;=_TM2,OR(TH!L494="1111",TH!M494="1111")),TH!D494,""),"")</f>
        <v/>
      </c>
      <c r="B494" s="36">
        <f t="shared" si="28"/>
        <v>9</v>
      </c>
      <c r="C494" s="183">
        <f t="shared" si="29"/>
        <v>42619</v>
      </c>
      <c r="D494" s="183" t="s">
        <v>659</v>
      </c>
      <c r="E494" s="190">
        <v>42619</v>
      </c>
      <c r="F494" s="188" t="s">
        <v>601</v>
      </c>
      <c r="G494" s="479" t="s">
        <v>809</v>
      </c>
      <c r="H494" s="7" t="s">
        <v>676</v>
      </c>
      <c r="I494" s="255"/>
      <c r="J494" s="255"/>
      <c r="K494" s="37">
        <v>197160</v>
      </c>
      <c r="L494" s="193" t="s">
        <v>259</v>
      </c>
      <c r="M494" s="597" t="s">
        <v>364</v>
      </c>
      <c r="N494" s="51" t="str">
        <f>IF(AND('331-CT'!$E$7=TH!H494,OR(L494="331",M494="331")),"331",IF(AND(OR(L494="131",M494="131"),H494='131-CT'!$E$7),"131",""))</f>
        <v>131</v>
      </c>
      <c r="O494" s="887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>x</v>
      </c>
      <c r="AB494" s="909"/>
      <c r="AC494" s="588"/>
      <c r="AD494" s="588"/>
    </row>
    <row r="495" spans="1:30" s="210" customFormat="1" ht="15.75" customHeight="1">
      <c r="A495" s="203">
        <f>IF(B495&lt;&gt;"",IF(AND(B495&gt;=_TM1,B495&lt;=_TM2,OR(TH!L495="1111",TH!M495="1111")),TH!D495,""),"")</f>
        <v>0</v>
      </c>
      <c r="B495" s="36">
        <f t="shared" si="28"/>
        <v>9</v>
      </c>
      <c r="C495" s="183">
        <f t="shared" si="29"/>
        <v>42619</v>
      </c>
      <c r="D495" s="183"/>
      <c r="E495" s="190">
        <v>42619</v>
      </c>
      <c r="F495" s="191" t="s">
        <v>543</v>
      </c>
      <c r="G495" s="479" t="s">
        <v>809</v>
      </c>
      <c r="H495" s="7" t="s">
        <v>676</v>
      </c>
      <c r="I495" s="255"/>
      <c r="J495" s="255"/>
      <c r="K495" s="37">
        <v>2168760</v>
      </c>
      <c r="L495" s="193" t="s">
        <v>47</v>
      </c>
      <c r="M495" s="597" t="s">
        <v>259</v>
      </c>
      <c r="N495" s="51" t="str">
        <f>IF(AND('331-CT'!$E$7=TH!H495,OR(L495="331",M495="331")),"331",IF(AND(OR(L495="131",M495="131"),H495='131-CT'!$E$7),"131",""))</f>
        <v>131</v>
      </c>
      <c r="O495" s="887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>x</v>
      </c>
      <c r="AB495" s="909"/>
      <c r="AC495" s="588"/>
      <c r="AD495" s="588"/>
    </row>
    <row r="496" spans="1:30" s="210" customFormat="1" ht="15.75" customHeight="1">
      <c r="A496" s="203" t="str">
        <f>IF(B496&lt;&gt;"",IF(AND(B496&gt;=_TM1,B496&lt;=_TM2,OR(TH!L496="1111",TH!M496="1111")),TH!D496,""),"")</f>
        <v/>
      </c>
      <c r="B496" s="36">
        <f t="shared" si="28"/>
        <v>9</v>
      </c>
      <c r="C496" s="183">
        <f t="shared" si="29"/>
        <v>42619</v>
      </c>
      <c r="D496" s="183" t="s">
        <v>660</v>
      </c>
      <c r="E496" s="190">
        <v>42619</v>
      </c>
      <c r="F496" s="188" t="s">
        <v>726</v>
      </c>
      <c r="G496" s="479" t="s">
        <v>810</v>
      </c>
      <c r="H496" s="7" t="s">
        <v>677</v>
      </c>
      <c r="I496" s="255">
        <v>212</v>
      </c>
      <c r="J496" s="255">
        <v>9400</v>
      </c>
      <c r="K496" s="37">
        <f>ROUND(I496*J496,0)</f>
        <v>1992800</v>
      </c>
      <c r="L496" s="193" t="s">
        <v>259</v>
      </c>
      <c r="M496" s="597" t="s">
        <v>174</v>
      </c>
      <c r="N496" s="51" t="str">
        <f>IF(AND('331-CT'!$E$7=TH!H496,OR(L496="331",M496="331")),"331",IF(AND(OR(L496="131",M496="131"),H496='131-CT'!$E$7),"131",""))</f>
        <v/>
      </c>
      <c r="O496" s="887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>x</v>
      </c>
      <c r="AB496" s="909"/>
      <c r="AC496" s="588"/>
      <c r="AD496" s="588"/>
    </row>
    <row r="497" spans="1:30" s="210" customFormat="1" ht="15.75" customHeight="1">
      <c r="A497" s="203" t="str">
        <f>IF(B497&lt;&gt;"",IF(AND(B497&gt;=_TM1,B497&lt;=_TM2,OR(TH!L497="1111",TH!M497="1111")),TH!D497,""),"")</f>
        <v/>
      </c>
      <c r="B497" s="36">
        <f t="shared" si="28"/>
        <v>9</v>
      </c>
      <c r="C497" s="183">
        <f t="shared" si="29"/>
        <v>42619</v>
      </c>
      <c r="D497" s="183" t="s">
        <v>660</v>
      </c>
      <c r="E497" s="190">
        <v>42619</v>
      </c>
      <c r="F497" s="188" t="s">
        <v>555</v>
      </c>
      <c r="G497" s="479" t="s">
        <v>810</v>
      </c>
      <c r="H497" s="7" t="s">
        <v>677</v>
      </c>
      <c r="I497" s="255"/>
      <c r="J497" s="255"/>
      <c r="K497" s="37">
        <v>199280</v>
      </c>
      <c r="L497" s="193" t="s">
        <v>259</v>
      </c>
      <c r="M497" s="597" t="s">
        <v>364</v>
      </c>
      <c r="N497" s="51" t="str">
        <f>IF(AND('331-CT'!$E$7=TH!H497,OR(L497="331",M497="331")),"331",IF(AND(OR(L497="131",M497="131"),H497='131-CT'!$E$7),"131",""))</f>
        <v/>
      </c>
      <c r="O497" s="887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>x</v>
      </c>
      <c r="AB497" s="909"/>
      <c r="AC497" s="588"/>
      <c r="AD497" s="588"/>
    </row>
    <row r="498" spans="1:30" s="210" customFormat="1" ht="15.75" customHeight="1">
      <c r="A498" s="203" t="str">
        <f>IF(B498&lt;&gt;"",IF(AND(B498&gt;=_TM1,B498&lt;=_TM2,OR(TH!L498="1111",TH!M498="1111")),TH!D498,""),"")</f>
        <v/>
      </c>
      <c r="B498" s="36">
        <f t="shared" si="28"/>
        <v>9</v>
      </c>
      <c r="C498" s="183">
        <f t="shared" si="29"/>
        <v>42619</v>
      </c>
      <c r="D498" s="183" t="s">
        <v>661</v>
      </c>
      <c r="E498" s="190">
        <v>42619</v>
      </c>
      <c r="F498" s="188" t="s">
        <v>591</v>
      </c>
      <c r="G498" s="479" t="s">
        <v>811</v>
      </c>
      <c r="H498" s="7" t="s">
        <v>610</v>
      </c>
      <c r="I498" s="255">
        <f>65+62+55+65</f>
        <v>247</v>
      </c>
      <c r="J498" s="255">
        <v>10200</v>
      </c>
      <c r="K498" s="37">
        <f>ROUND(I498*J498,0)</f>
        <v>2519400</v>
      </c>
      <c r="L498" s="193" t="s">
        <v>259</v>
      </c>
      <c r="M498" s="597" t="s">
        <v>174</v>
      </c>
      <c r="N498" s="51" t="str">
        <f>IF(AND('331-CT'!$E$7=TH!H498,OR(L498="331",M498="331")),"331",IF(AND(OR(L498="131",M498="131"),H498='131-CT'!$E$7),"131",""))</f>
        <v/>
      </c>
      <c r="O498" s="887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>x</v>
      </c>
      <c r="AB498" s="909"/>
      <c r="AC498" s="588"/>
      <c r="AD498" s="588"/>
    </row>
    <row r="499" spans="1:30" s="210" customFormat="1" ht="15.75" customHeight="1">
      <c r="A499" s="203" t="str">
        <f>IF(B499&lt;&gt;"",IF(AND(B499&gt;=_TM1,B499&lt;=_TM2,OR(TH!L499="1111",TH!M499="1111")),TH!D499,""),"")</f>
        <v/>
      </c>
      <c r="B499" s="36">
        <f t="shared" si="28"/>
        <v>9</v>
      </c>
      <c r="C499" s="183">
        <f t="shared" si="29"/>
        <v>42619</v>
      </c>
      <c r="D499" s="183" t="s">
        <v>661</v>
      </c>
      <c r="E499" s="190">
        <v>42619</v>
      </c>
      <c r="F499" s="188" t="s">
        <v>601</v>
      </c>
      <c r="G499" s="479" t="s">
        <v>811</v>
      </c>
      <c r="H499" s="7" t="s">
        <v>610</v>
      </c>
      <c r="I499" s="255"/>
      <c r="J499" s="255"/>
      <c r="K499" s="37">
        <v>251940</v>
      </c>
      <c r="L499" s="193" t="s">
        <v>259</v>
      </c>
      <c r="M499" s="597" t="s">
        <v>364</v>
      </c>
      <c r="N499" s="51" t="str">
        <f>IF(AND('331-CT'!$E$7=TH!H499,OR(L499="331",M499="331")),"331",IF(AND(OR(L499="131",M499="131"),H499='131-CT'!$E$7),"131",""))</f>
        <v/>
      </c>
      <c r="O499" s="887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>x</v>
      </c>
      <c r="AB499" s="909"/>
      <c r="AC499" s="588"/>
      <c r="AD499" s="588"/>
    </row>
    <row r="500" spans="1:30" s="210" customFormat="1" ht="15.75" customHeight="1">
      <c r="A500" s="203">
        <f>IF(B500&lt;&gt;"",IF(AND(B500&gt;=_TM1,B500&lt;=_TM2,OR(TH!L500="1111",TH!M500="1111")),TH!D500,""),"")</f>
        <v>0</v>
      </c>
      <c r="B500" s="36">
        <f t="shared" si="28"/>
        <v>9</v>
      </c>
      <c r="C500" s="183">
        <f t="shared" si="29"/>
        <v>42619</v>
      </c>
      <c r="D500" s="183"/>
      <c r="E500" s="190">
        <v>42619</v>
      </c>
      <c r="F500" s="191" t="s">
        <v>543</v>
      </c>
      <c r="G500" s="479" t="s">
        <v>811</v>
      </c>
      <c r="H500" s="7" t="s">
        <v>610</v>
      </c>
      <c r="I500" s="255"/>
      <c r="J500" s="255"/>
      <c r="K500" s="37">
        <v>2771340</v>
      </c>
      <c r="L500" s="193" t="s">
        <v>47</v>
      </c>
      <c r="M500" s="597" t="s">
        <v>259</v>
      </c>
      <c r="N500" s="51" t="str">
        <f>IF(AND('331-CT'!$E$7=TH!H500,OR(L500="331",M500="331")),"331",IF(AND(OR(L500="131",M500="131"),H500='131-CT'!$E$7),"131",""))</f>
        <v/>
      </c>
      <c r="O500" s="887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>x</v>
      </c>
      <c r="AB500" s="909"/>
      <c r="AC500" s="588"/>
      <c r="AD500" s="588"/>
    </row>
    <row r="501" spans="1:30" s="210" customFormat="1" ht="15.75" customHeight="1">
      <c r="A501" s="203" t="str">
        <f>IF(B501&lt;&gt;"",IF(AND(B501&gt;=_TM1,B501&lt;=_TM2,OR(TH!L501="1111",TH!M501="1111")),TH!D501,""),"")</f>
        <v/>
      </c>
      <c r="B501" s="36">
        <f t="shared" si="28"/>
        <v>9</v>
      </c>
      <c r="C501" s="183">
        <f t="shared" si="29"/>
        <v>42620</v>
      </c>
      <c r="D501" s="183" t="s">
        <v>662</v>
      </c>
      <c r="E501" s="190">
        <v>42620</v>
      </c>
      <c r="F501" s="188" t="s">
        <v>588</v>
      </c>
      <c r="G501" s="479" t="s">
        <v>812</v>
      </c>
      <c r="H501" s="7" t="s">
        <v>410</v>
      </c>
      <c r="I501" s="255">
        <v>60</v>
      </c>
      <c r="J501" s="255">
        <v>47449</v>
      </c>
      <c r="K501" s="37">
        <f>ROUND(I501*J501,0)</f>
        <v>2846940</v>
      </c>
      <c r="L501" s="193" t="s">
        <v>259</v>
      </c>
      <c r="M501" s="597" t="s">
        <v>174</v>
      </c>
      <c r="N501" s="51" t="str">
        <f>IF(AND('331-CT'!$E$7=TH!H501,OR(L501="331",M501="331")),"331",IF(AND(OR(L501="131",M501="131"),H501='131-CT'!$E$7),"131",""))</f>
        <v/>
      </c>
      <c r="O501" s="887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>x</v>
      </c>
      <c r="AB501" s="909"/>
      <c r="AC501" s="588"/>
    </row>
    <row r="502" spans="1:30" s="210" customFormat="1" ht="15.75" customHeight="1">
      <c r="A502" s="203" t="str">
        <f>IF(B502&lt;&gt;"",IF(AND(B502&gt;=_TM1,B502&lt;=_TM2,OR(TH!L502="1111",TH!M502="1111")),TH!D502,""),"")</f>
        <v/>
      </c>
      <c r="B502" s="36">
        <f t="shared" si="28"/>
        <v>9</v>
      </c>
      <c r="C502" s="183">
        <f t="shared" si="29"/>
        <v>42620</v>
      </c>
      <c r="D502" s="183" t="s">
        <v>662</v>
      </c>
      <c r="E502" s="190">
        <v>42620</v>
      </c>
      <c r="F502" s="188" t="s">
        <v>728</v>
      </c>
      <c r="G502" s="479" t="s">
        <v>812</v>
      </c>
      <c r="H502" s="7" t="s">
        <v>410</v>
      </c>
      <c r="I502" s="255">
        <v>20</v>
      </c>
      <c r="J502" s="255">
        <v>54530</v>
      </c>
      <c r="K502" s="37">
        <f>ROUND(I502*J502,0)</f>
        <v>1090600</v>
      </c>
      <c r="L502" s="193" t="s">
        <v>259</v>
      </c>
      <c r="M502" s="597" t="s">
        <v>174</v>
      </c>
      <c r="N502" s="51" t="str">
        <f>IF(AND('331-CT'!$E$7=TH!H502,OR(L502="331",M502="331")),"331",IF(AND(OR(L502="131",M502="131"),H502='131-CT'!$E$7),"131",""))</f>
        <v/>
      </c>
      <c r="O502" s="887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>x</v>
      </c>
      <c r="AB502" s="909"/>
      <c r="AC502" s="588"/>
      <c r="AD502" s="588"/>
    </row>
    <row r="503" spans="1:30" s="210" customFormat="1" ht="15.75" customHeight="1">
      <c r="A503" s="203" t="str">
        <f>IF(B503&lt;&gt;"",IF(AND(B503&gt;=_TM1,B503&lt;=_TM2,OR(TH!L503="1111",TH!M503="1111")),TH!D503,""),"")</f>
        <v/>
      </c>
      <c r="B503" s="36">
        <f t="shared" si="28"/>
        <v>9</v>
      </c>
      <c r="C503" s="183">
        <f t="shared" si="29"/>
        <v>42620</v>
      </c>
      <c r="D503" s="183" t="s">
        <v>662</v>
      </c>
      <c r="E503" s="190">
        <v>42620</v>
      </c>
      <c r="F503" s="188" t="s">
        <v>555</v>
      </c>
      <c r="G503" s="479" t="s">
        <v>812</v>
      </c>
      <c r="H503" s="7" t="s">
        <v>410</v>
      </c>
      <c r="I503" s="255"/>
      <c r="J503" s="255"/>
      <c r="K503" s="37">
        <v>393754</v>
      </c>
      <c r="L503" s="193" t="s">
        <v>259</v>
      </c>
      <c r="M503" s="597" t="s">
        <v>364</v>
      </c>
      <c r="N503" s="51" t="str">
        <f>IF(AND('331-CT'!$E$7=TH!H503,OR(L503="331",M503="331")),"331",IF(AND(OR(L503="131",M503="131"),H503='131-CT'!$E$7),"131",""))</f>
        <v/>
      </c>
      <c r="O503" s="887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>x</v>
      </c>
      <c r="AB503" s="909"/>
      <c r="AC503" s="588"/>
      <c r="AD503" s="588"/>
    </row>
    <row r="504" spans="1:30" s="210" customFormat="1" ht="15.75" customHeight="1">
      <c r="A504" s="203" t="str">
        <f>IF(B504&lt;&gt;"",IF(AND(B504&gt;=_TM1,B504&lt;=_TM2,OR(TH!L504="1111",TH!M504="1111")),TH!D504,""),"")</f>
        <v/>
      </c>
      <c r="B504" s="36">
        <f t="shared" si="28"/>
        <v>9</v>
      </c>
      <c r="C504" s="183">
        <f t="shared" si="29"/>
        <v>42621</v>
      </c>
      <c r="D504" s="183" t="s">
        <v>663</v>
      </c>
      <c r="E504" s="190">
        <v>42621</v>
      </c>
      <c r="F504" s="188" t="s">
        <v>602</v>
      </c>
      <c r="G504" s="479" t="s">
        <v>813</v>
      </c>
      <c r="H504" s="7" t="s">
        <v>682</v>
      </c>
      <c r="I504" s="255">
        <v>1027</v>
      </c>
      <c r="J504" s="255">
        <v>6700</v>
      </c>
      <c r="K504" s="37">
        <f>ROUND(I504*J504,0)</f>
        <v>6880900</v>
      </c>
      <c r="L504" s="193" t="s">
        <v>259</v>
      </c>
      <c r="M504" s="597" t="s">
        <v>174</v>
      </c>
      <c r="N504" s="51" t="str">
        <f>IF(AND('331-CT'!$E$7=TH!H504,OR(L504="331",M504="331")),"331",IF(AND(OR(L504="131",M504="131"),H504='131-CT'!$E$7),"131",""))</f>
        <v/>
      </c>
      <c r="O504" s="887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>x</v>
      </c>
      <c r="AB504" s="909"/>
      <c r="AC504" s="588"/>
      <c r="AD504" s="588"/>
    </row>
    <row r="505" spans="1:30" s="210" customFormat="1" ht="15.75" customHeight="1">
      <c r="A505" s="203" t="str">
        <f>IF(B505&lt;&gt;"",IF(AND(B505&gt;=_TM1,B505&lt;=_TM2,OR(TH!L505="1111",TH!M505="1111")),TH!D505,""),"")</f>
        <v/>
      </c>
      <c r="B505" s="36">
        <f t="shared" si="28"/>
        <v>9</v>
      </c>
      <c r="C505" s="183">
        <f t="shared" si="29"/>
        <v>42621</v>
      </c>
      <c r="D505" s="183" t="s">
        <v>663</v>
      </c>
      <c r="E505" s="190">
        <v>42621</v>
      </c>
      <c r="F505" s="188" t="s">
        <v>555</v>
      </c>
      <c r="G505" s="479" t="s">
        <v>813</v>
      </c>
      <c r="H505" s="7" t="s">
        <v>682</v>
      </c>
      <c r="I505" s="255"/>
      <c r="J505" s="255"/>
      <c r="K505" s="37">
        <v>688090</v>
      </c>
      <c r="L505" s="193" t="s">
        <v>259</v>
      </c>
      <c r="M505" s="597" t="s">
        <v>364</v>
      </c>
      <c r="N505" s="51" t="str">
        <f>IF(AND('331-CT'!$E$7=TH!H505,OR(L505="331",M505="331")),"331",IF(AND(OR(L505="131",M505="131"),H505='131-CT'!$E$7),"131",""))</f>
        <v/>
      </c>
      <c r="O505" s="887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>x</v>
      </c>
      <c r="AB505" s="909"/>
      <c r="AC505" s="588"/>
      <c r="AD505" s="588"/>
    </row>
    <row r="506" spans="1:30" s="210" customFormat="1" ht="15.75" customHeight="1">
      <c r="A506" s="203" t="str">
        <f>IF(B506&lt;&gt;"",IF(AND(B506&gt;=_TM1,B506&lt;=_TM2,OR(TH!L506="1111",TH!M506="1111")),TH!D506,""),"")</f>
        <v/>
      </c>
      <c r="B506" s="36">
        <f t="shared" si="28"/>
        <v>9</v>
      </c>
      <c r="C506" s="183">
        <f t="shared" si="29"/>
        <v>42621</v>
      </c>
      <c r="D506" s="183" t="s">
        <v>664</v>
      </c>
      <c r="E506" s="190">
        <v>42621</v>
      </c>
      <c r="F506" s="188" t="s">
        <v>708</v>
      </c>
      <c r="G506" s="479" t="s">
        <v>814</v>
      </c>
      <c r="H506" s="7" t="s">
        <v>413</v>
      </c>
      <c r="I506" s="255">
        <v>300</v>
      </c>
      <c r="J506" s="255">
        <v>12400</v>
      </c>
      <c r="K506" s="37">
        <f>ROUND(I506*J506,0)</f>
        <v>3720000</v>
      </c>
      <c r="L506" s="193" t="s">
        <v>259</v>
      </c>
      <c r="M506" s="597" t="s">
        <v>174</v>
      </c>
      <c r="N506" s="51" t="str">
        <f>IF(AND('331-CT'!$E$7=TH!H506,OR(L506="331",M506="331")),"331",IF(AND(OR(L506="131",M506="131"),H506='131-CT'!$E$7),"131",""))</f>
        <v/>
      </c>
      <c r="O506" s="887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>x</v>
      </c>
      <c r="AB506" s="909"/>
      <c r="AC506" s="588"/>
      <c r="AD506" s="588"/>
    </row>
    <row r="507" spans="1:30" s="210" customFormat="1" ht="15.75" customHeight="1">
      <c r="A507" s="203" t="str">
        <f>IF(B507&lt;&gt;"",IF(AND(B507&gt;=_TM1,B507&lt;=_TM2,OR(TH!L507="1111",TH!M507="1111")),TH!D507,""),"")</f>
        <v/>
      </c>
      <c r="B507" s="36">
        <f t="shared" si="28"/>
        <v>9</v>
      </c>
      <c r="C507" s="183">
        <f t="shared" si="29"/>
        <v>42621</v>
      </c>
      <c r="D507" s="183" t="s">
        <v>664</v>
      </c>
      <c r="E507" s="190">
        <v>42621</v>
      </c>
      <c r="F507" s="188" t="s">
        <v>709</v>
      </c>
      <c r="G507" s="479" t="s">
        <v>814</v>
      </c>
      <c r="H507" s="7" t="s">
        <v>413</v>
      </c>
      <c r="I507" s="255">
        <v>300</v>
      </c>
      <c r="J507" s="255">
        <v>14200</v>
      </c>
      <c r="K507" s="37">
        <f>ROUND(I507*J507,0)</f>
        <v>4260000</v>
      </c>
      <c r="L507" s="193" t="s">
        <v>259</v>
      </c>
      <c r="M507" s="597" t="s">
        <v>174</v>
      </c>
      <c r="N507" s="51" t="str">
        <f>IF(AND('331-CT'!$E$7=TH!H507,OR(L507="331",M507="331")),"331",IF(AND(OR(L507="131",M507="131"),H507='131-CT'!$E$7),"131",""))</f>
        <v/>
      </c>
      <c r="O507" s="887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>x</v>
      </c>
      <c r="AB507" s="909"/>
      <c r="AC507" s="588"/>
      <c r="AD507" s="588"/>
    </row>
    <row r="508" spans="1:30" s="210" customFormat="1" ht="15.75" customHeight="1">
      <c r="A508" s="203" t="str">
        <f>IF(B508&lt;&gt;"",IF(AND(B508&gt;=_TM1,B508&lt;=_TM2,OR(TH!L508="1111",TH!M508="1111")),TH!D508,""),"")</f>
        <v/>
      </c>
      <c r="B508" s="36">
        <f t="shared" si="28"/>
        <v>9</v>
      </c>
      <c r="C508" s="183">
        <f t="shared" si="29"/>
        <v>42621</v>
      </c>
      <c r="D508" s="183" t="s">
        <v>664</v>
      </c>
      <c r="E508" s="190">
        <v>42621</v>
      </c>
      <c r="F508" s="188" t="s">
        <v>712</v>
      </c>
      <c r="G508" s="479" t="s">
        <v>814</v>
      </c>
      <c r="H508" s="7" t="s">
        <v>413</v>
      </c>
      <c r="I508" s="255">
        <v>300</v>
      </c>
      <c r="J508" s="255">
        <v>15300</v>
      </c>
      <c r="K508" s="37">
        <f>ROUND(I508*J508,0)</f>
        <v>4590000</v>
      </c>
      <c r="L508" s="193" t="s">
        <v>259</v>
      </c>
      <c r="M508" s="597" t="s">
        <v>174</v>
      </c>
      <c r="N508" s="51" t="str">
        <f>IF(AND('331-CT'!$E$7=TH!H508,OR(L508="331",M508="331")),"331",IF(AND(OR(L508="131",M508="131"),H508='131-CT'!$E$7),"131",""))</f>
        <v/>
      </c>
      <c r="O508" s="887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>x</v>
      </c>
      <c r="AB508" s="909"/>
      <c r="AC508" s="588"/>
    </row>
    <row r="509" spans="1:30" s="210" customFormat="1" ht="15.75" customHeight="1">
      <c r="A509" s="203" t="str">
        <f>IF(B509&lt;&gt;"",IF(AND(B509&gt;=_TM1,B509&lt;=_TM2,OR(TH!L509="1111",TH!M509="1111")),TH!D509,""),"")</f>
        <v/>
      </c>
      <c r="B509" s="36">
        <f t="shared" si="28"/>
        <v>9</v>
      </c>
      <c r="C509" s="183">
        <f t="shared" si="29"/>
        <v>42621</v>
      </c>
      <c r="D509" s="183" t="s">
        <v>664</v>
      </c>
      <c r="E509" s="190">
        <v>42621</v>
      </c>
      <c r="F509" s="188" t="s">
        <v>710</v>
      </c>
      <c r="G509" s="479" t="s">
        <v>814</v>
      </c>
      <c r="H509" s="7" t="s">
        <v>413</v>
      </c>
      <c r="I509" s="255">
        <v>300</v>
      </c>
      <c r="J509" s="255">
        <v>16500</v>
      </c>
      <c r="K509" s="37">
        <f>ROUND(I509*J509,0)</f>
        <v>4950000</v>
      </c>
      <c r="L509" s="193" t="s">
        <v>259</v>
      </c>
      <c r="M509" s="597" t="s">
        <v>174</v>
      </c>
      <c r="N509" s="51" t="str">
        <f>IF(AND('331-CT'!$E$7=TH!H509,OR(L509="331",M509="331")),"331",IF(AND(OR(L509="131",M509="131"),H509='131-CT'!$E$7),"131",""))</f>
        <v/>
      </c>
      <c r="O509" s="887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>x</v>
      </c>
      <c r="AB509" s="909"/>
      <c r="AC509" s="588"/>
      <c r="AD509" s="588"/>
    </row>
    <row r="510" spans="1:30" s="210" customFormat="1" ht="15.75" customHeight="1">
      <c r="A510" s="203" t="str">
        <f>IF(B510&lt;&gt;"",IF(AND(B510&gt;=_TM1,B510&lt;=_TM2,OR(TH!L510="1111",TH!M510="1111")),TH!D510,""),"")</f>
        <v/>
      </c>
      <c r="B510" s="36">
        <f t="shared" si="28"/>
        <v>9</v>
      </c>
      <c r="C510" s="183">
        <f t="shared" si="29"/>
        <v>42621</v>
      </c>
      <c r="D510" s="183" t="s">
        <v>664</v>
      </c>
      <c r="E510" s="190">
        <v>42621</v>
      </c>
      <c r="F510" s="188" t="s">
        <v>711</v>
      </c>
      <c r="G510" s="479" t="s">
        <v>814</v>
      </c>
      <c r="H510" s="7" t="s">
        <v>413</v>
      </c>
      <c r="I510" s="255">
        <v>300</v>
      </c>
      <c r="J510" s="255">
        <v>19700</v>
      </c>
      <c r="K510" s="37">
        <f>ROUND(I510*J510,0)</f>
        <v>5910000</v>
      </c>
      <c r="L510" s="193" t="s">
        <v>259</v>
      </c>
      <c r="M510" s="597" t="s">
        <v>174</v>
      </c>
      <c r="N510" s="51" t="str">
        <f>IF(AND('331-CT'!$E$7=TH!H510,OR(L510="331",M510="331")),"331",IF(AND(OR(L510="131",M510="131"),H510='131-CT'!$E$7),"131",""))</f>
        <v/>
      </c>
      <c r="O510" s="887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>x</v>
      </c>
      <c r="AB510" s="909"/>
      <c r="AC510" s="588"/>
      <c r="AD510" s="588"/>
    </row>
    <row r="511" spans="1:30" s="210" customFormat="1" ht="15.75" customHeight="1">
      <c r="A511" s="203" t="str">
        <f>IF(B511&lt;&gt;"",IF(AND(B511&gt;=_TM1,B511&lt;=_TM2,OR(TH!L511="1111",TH!M511="1111")),TH!D511,""),"")</f>
        <v/>
      </c>
      <c r="B511" s="36">
        <f t="shared" si="28"/>
        <v>9</v>
      </c>
      <c r="C511" s="183">
        <f t="shared" si="29"/>
        <v>42621</v>
      </c>
      <c r="D511" s="183" t="s">
        <v>664</v>
      </c>
      <c r="E511" s="190">
        <v>42621</v>
      </c>
      <c r="F511" s="188" t="s">
        <v>555</v>
      </c>
      <c r="G511" s="479" t="s">
        <v>814</v>
      </c>
      <c r="H511" s="7" t="s">
        <v>413</v>
      </c>
      <c r="I511" s="255"/>
      <c r="J511" s="255"/>
      <c r="K511" s="37">
        <v>2343000</v>
      </c>
      <c r="L511" s="193" t="s">
        <v>259</v>
      </c>
      <c r="M511" s="597" t="s">
        <v>364</v>
      </c>
      <c r="N511" s="51" t="str">
        <f>IF(AND('331-CT'!$E$7=TH!H511,OR(L511="331",M511="331")),"331",IF(AND(OR(L511="131",M511="131"),H511='131-CT'!$E$7),"131",""))</f>
        <v/>
      </c>
      <c r="O511" s="887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>x</v>
      </c>
      <c r="AB511" s="909"/>
      <c r="AC511" s="588"/>
      <c r="AD511" s="588"/>
    </row>
    <row r="512" spans="1:30" s="210" customFormat="1" ht="15.75" customHeight="1">
      <c r="A512" s="203" t="str">
        <f>IF(B512&lt;&gt;"",IF(AND(B512&gt;=_TM1,B512&lt;=_TM2,OR(TH!L512="1111",TH!M512="1111")),TH!D512,""),"")</f>
        <v/>
      </c>
      <c r="B512" s="36">
        <f t="shared" si="28"/>
        <v>9</v>
      </c>
      <c r="C512" s="183">
        <f t="shared" si="29"/>
        <v>42624</v>
      </c>
      <c r="D512" s="183" t="s">
        <v>665</v>
      </c>
      <c r="E512" s="190">
        <v>42624</v>
      </c>
      <c r="F512" s="188" t="s">
        <v>604</v>
      </c>
      <c r="G512" s="479" t="s">
        <v>815</v>
      </c>
      <c r="H512" s="192" t="s">
        <v>603</v>
      </c>
      <c r="I512" s="255">
        <v>10520</v>
      </c>
      <c r="J512" s="255">
        <v>9000</v>
      </c>
      <c r="K512" s="37">
        <f>ROUND(I512*J512,0)</f>
        <v>94680000</v>
      </c>
      <c r="L512" s="193" t="s">
        <v>259</v>
      </c>
      <c r="M512" s="597" t="s">
        <v>174</v>
      </c>
      <c r="N512" s="51" t="str">
        <f>IF(AND('331-CT'!$E$7=TH!H512,OR(L512="331",M512="331")),"331",IF(AND(OR(L512="131",M512="131"),H512='131-CT'!$E$7),"131",""))</f>
        <v/>
      </c>
      <c r="O512" s="887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>x</v>
      </c>
      <c r="AB512" s="909"/>
      <c r="AC512" s="588"/>
    </row>
    <row r="513" spans="1:33" s="210" customFormat="1" ht="15.75" customHeight="1">
      <c r="A513" s="203" t="str">
        <f>IF(B513&lt;&gt;"",IF(AND(B513&gt;=_TM1,B513&lt;=_TM2,OR(TH!L513="1111",TH!M513="1111")),TH!D513,""),"")</f>
        <v/>
      </c>
      <c r="B513" s="36">
        <f t="shared" si="28"/>
        <v>9</v>
      </c>
      <c r="C513" s="183">
        <f t="shared" si="29"/>
        <v>42624</v>
      </c>
      <c r="D513" s="183" t="s">
        <v>665</v>
      </c>
      <c r="E513" s="190">
        <v>42624</v>
      </c>
      <c r="F513" s="188" t="s">
        <v>555</v>
      </c>
      <c r="G513" s="479" t="s">
        <v>815</v>
      </c>
      <c r="H513" s="192" t="s">
        <v>603</v>
      </c>
      <c r="I513" s="255"/>
      <c r="J513" s="255"/>
      <c r="K513" s="37">
        <v>9468000</v>
      </c>
      <c r="L513" s="193" t="s">
        <v>259</v>
      </c>
      <c r="M513" s="597" t="s">
        <v>364</v>
      </c>
      <c r="N513" s="51" t="str">
        <f>IF(AND('331-CT'!$E$7=TH!H513,OR(L513="331",M513="331")),"331",IF(AND(OR(L513="131",M513="131"),H513='131-CT'!$E$7),"131",""))</f>
        <v/>
      </c>
      <c r="O513" s="887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>x</v>
      </c>
      <c r="AB513" s="909"/>
      <c r="AC513" s="588"/>
      <c r="AD513" s="588"/>
    </row>
    <row r="514" spans="1:33" s="210" customFormat="1" ht="15.75" customHeight="1">
      <c r="A514" s="203" t="str">
        <f>IF(B514&lt;&gt;"",IF(AND(B514&gt;=_TM1,B514&lt;=_TM2,OR(TH!L514="1111",TH!M514="1111")),TH!D514,""),"")</f>
        <v/>
      </c>
      <c r="B514" s="36">
        <f t="shared" si="28"/>
        <v>9</v>
      </c>
      <c r="C514" s="183">
        <f t="shared" si="29"/>
        <v>42626</v>
      </c>
      <c r="D514" s="183" t="s">
        <v>666</v>
      </c>
      <c r="E514" s="190">
        <v>42626</v>
      </c>
      <c r="F514" s="188" t="s">
        <v>726</v>
      </c>
      <c r="G514" s="479" t="s">
        <v>816</v>
      </c>
      <c r="H514" s="7" t="s">
        <v>677</v>
      </c>
      <c r="I514" s="255">
        <v>210</v>
      </c>
      <c r="J514" s="255">
        <v>9400</v>
      </c>
      <c r="K514" s="37">
        <f>ROUND(I514*J514,0)</f>
        <v>1974000</v>
      </c>
      <c r="L514" s="193" t="s">
        <v>259</v>
      </c>
      <c r="M514" s="597" t="s">
        <v>174</v>
      </c>
      <c r="N514" s="51" t="str">
        <f>IF(AND('331-CT'!$E$7=TH!H514,OR(L514="331",M514="331")),"331",IF(AND(OR(L514="131",M514="131"),H514='131-CT'!$E$7),"131",""))</f>
        <v/>
      </c>
      <c r="O514" s="887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>x</v>
      </c>
      <c r="AB514" s="909"/>
      <c r="AC514" s="588"/>
      <c r="AD514" s="588"/>
    </row>
    <row r="515" spans="1:33" s="210" customFormat="1" ht="15.75" customHeight="1">
      <c r="A515" s="203" t="str">
        <f>IF(B515&lt;&gt;"",IF(AND(B515&gt;=_TM1,B515&lt;=_TM2,OR(TH!L515="1111",TH!M515="1111")),TH!D515,""),"")</f>
        <v/>
      </c>
      <c r="B515" s="36">
        <f t="shared" si="28"/>
        <v>9</v>
      </c>
      <c r="C515" s="183">
        <f t="shared" si="29"/>
        <v>42626</v>
      </c>
      <c r="D515" s="183" t="s">
        <v>666</v>
      </c>
      <c r="E515" s="190">
        <v>42626</v>
      </c>
      <c r="F515" s="188" t="s">
        <v>727</v>
      </c>
      <c r="G515" s="479" t="s">
        <v>816</v>
      </c>
      <c r="H515" s="7" t="s">
        <v>677</v>
      </c>
      <c r="I515" s="255">
        <v>200</v>
      </c>
      <c r="J515" s="255">
        <v>9800</v>
      </c>
      <c r="K515" s="37">
        <f>ROUND(I515*J515,0)</f>
        <v>1960000</v>
      </c>
      <c r="L515" s="193" t="s">
        <v>259</v>
      </c>
      <c r="M515" s="597" t="s">
        <v>174</v>
      </c>
      <c r="N515" s="51" t="str">
        <f>IF(AND('331-CT'!$E$7=TH!H515,OR(L515="331",M515="331")),"331",IF(AND(OR(L515="131",M515="131"),H515='131-CT'!$E$7),"131",""))</f>
        <v/>
      </c>
      <c r="O515" s="887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>x</v>
      </c>
      <c r="AB515" s="909"/>
      <c r="AC515" s="588"/>
    </row>
    <row r="516" spans="1:33" s="210" customFormat="1" ht="15.75" customHeight="1">
      <c r="A516" s="203" t="str">
        <f>IF(B516&lt;&gt;"",IF(AND(B516&gt;=_TM1,B516&lt;=_TM2,OR(TH!L516="1111",TH!M516="1111")),TH!D516,""),"")</f>
        <v/>
      </c>
      <c r="B516" s="36">
        <f t="shared" si="28"/>
        <v>9</v>
      </c>
      <c r="C516" s="183">
        <f t="shared" si="29"/>
        <v>42626</v>
      </c>
      <c r="D516" s="183" t="s">
        <v>666</v>
      </c>
      <c r="E516" s="190">
        <v>42626</v>
      </c>
      <c r="F516" s="188" t="s">
        <v>725</v>
      </c>
      <c r="G516" s="479" t="s">
        <v>816</v>
      </c>
      <c r="H516" s="7" t="s">
        <v>677</v>
      </c>
      <c r="I516" s="255">
        <v>171</v>
      </c>
      <c r="J516" s="255">
        <v>11250</v>
      </c>
      <c r="K516" s="37">
        <f>ROUND(I516*J516,0)</f>
        <v>1923750</v>
      </c>
      <c r="L516" s="193" t="s">
        <v>259</v>
      </c>
      <c r="M516" s="597" t="s">
        <v>174</v>
      </c>
      <c r="N516" s="51" t="str">
        <f>IF(AND('331-CT'!$E$7=TH!H516,OR(L516="331",M516="331")),"331",IF(AND(OR(L516="131",M516="131"),H516='131-CT'!$E$7),"131",""))</f>
        <v/>
      </c>
      <c r="O516" s="887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>x</v>
      </c>
      <c r="AB516" s="909"/>
      <c r="AC516" s="588"/>
      <c r="AD516" s="588"/>
    </row>
    <row r="517" spans="1:33" s="210" customFormat="1" ht="15.75" customHeight="1">
      <c r="A517" s="203" t="str">
        <f>IF(B517&lt;&gt;"",IF(AND(B517&gt;=_TM1,B517&lt;=_TM2,OR(TH!L517="1111",TH!M517="1111")),TH!D517,""),"")</f>
        <v/>
      </c>
      <c r="B517" s="36">
        <f t="shared" si="28"/>
        <v>9</v>
      </c>
      <c r="C517" s="183">
        <f t="shared" si="29"/>
        <v>42626</v>
      </c>
      <c r="D517" s="183" t="s">
        <v>666</v>
      </c>
      <c r="E517" s="190">
        <v>42626</v>
      </c>
      <c r="F517" s="188" t="s">
        <v>555</v>
      </c>
      <c r="G517" s="479" t="s">
        <v>816</v>
      </c>
      <c r="H517" s="7" t="s">
        <v>677</v>
      </c>
      <c r="I517" s="255"/>
      <c r="J517" s="255"/>
      <c r="K517" s="37">
        <v>585775</v>
      </c>
      <c r="L517" s="193" t="s">
        <v>259</v>
      </c>
      <c r="M517" s="597" t="s">
        <v>364</v>
      </c>
      <c r="N517" s="51" t="str">
        <f>IF(AND('331-CT'!$E$7=TH!H517,OR(L517="331",M517="331")),"331",IF(AND(OR(L517="131",M517="131"),H517='131-CT'!$E$7),"131",""))</f>
        <v/>
      </c>
      <c r="O517" s="887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>x</v>
      </c>
      <c r="AB517" s="909"/>
      <c r="AC517" s="588"/>
      <c r="AD517" s="588"/>
      <c r="AF517" s="588"/>
      <c r="AG517" s="588"/>
    </row>
    <row r="518" spans="1:33" s="210" customFormat="1" ht="15.75" customHeight="1">
      <c r="A518" s="203" t="str">
        <f>IF(B518&lt;&gt;"",IF(AND(B518&gt;=_TM1,B518&lt;=_TM2,OR(TH!L518="1111",TH!M518="1111")),TH!D518,""),"")</f>
        <v/>
      </c>
      <c r="B518" s="36">
        <f t="shared" si="28"/>
        <v>9</v>
      </c>
      <c r="C518" s="183">
        <f t="shared" si="29"/>
        <v>42627</v>
      </c>
      <c r="D518" s="183" t="s">
        <v>667</v>
      </c>
      <c r="E518" s="190">
        <v>42627</v>
      </c>
      <c r="F518" s="191" t="s">
        <v>882</v>
      </c>
      <c r="G518" s="479" t="s">
        <v>817</v>
      </c>
      <c r="H518" s="7" t="s">
        <v>414</v>
      </c>
      <c r="I518" s="255">
        <v>2400</v>
      </c>
      <c r="J518" s="255">
        <v>5200</v>
      </c>
      <c r="K518" s="37">
        <f>ROUND(I518*J518,0)</f>
        <v>12480000</v>
      </c>
      <c r="L518" s="193" t="s">
        <v>259</v>
      </c>
      <c r="M518" s="597" t="s">
        <v>174</v>
      </c>
      <c r="N518" s="51" t="str">
        <f>IF(AND('331-CT'!$E$7=TH!H518,OR(L518="331",M518="331")),"331",IF(AND(OR(L518="131",M518="131"),H518='131-CT'!$E$7),"131",""))</f>
        <v/>
      </c>
      <c r="O518" s="887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>x</v>
      </c>
      <c r="AB518" s="909"/>
      <c r="AC518" s="588"/>
      <c r="AF518" s="588"/>
      <c r="AG518" s="588"/>
    </row>
    <row r="519" spans="1:33" s="210" customFormat="1" ht="15.75" customHeight="1">
      <c r="A519" s="203" t="str">
        <f>IF(B519&lt;&gt;"",IF(AND(B519&gt;=_TM1,B519&lt;=_TM2,OR(TH!L519="1111",TH!M519="1111")),TH!D519,""),"")</f>
        <v/>
      </c>
      <c r="B519" s="36">
        <f t="shared" si="28"/>
        <v>9</v>
      </c>
      <c r="C519" s="183">
        <f t="shared" si="29"/>
        <v>42627</v>
      </c>
      <c r="D519" s="183" t="s">
        <v>667</v>
      </c>
      <c r="E519" s="190">
        <v>42627</v>
      </c>
      <c r="F519" s="191" t="s">
        <v>883</v>
      </c>
      <c r="G519" s="479" t="s">
        <v>817</v>
      </c>
      <c r="H519" s="7" t="s">
        <v>414</v>
      </c>
      <c r="I519" s="255">
        <v>500</v>
      </c>
      <c r="J519" s="255">
        <v>10200</v>
      </c>
      <c r="K519" s="37">
        <f>ROUND(I519*J519,0)</f>
        <v>5100000</v>
      </c>
      <c r="L519" s="193" t="s">
        <v>259</v>
      </c>
      <c r="M519" s="597" t="s">
        <v>174</v>
      </c>
      <c r="N519" s="51" t="str">
        <f>IF(AND('331-CT'!$E$7=TH!H519,OR(L519="331",M519="331")),"331",IF(AND(OR(L519="131",M519="131"),H519='131-CT'!$E$7),"131",""))</f>
        <v/>
      </c>
      <c r="O519" s="887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>x</v>
      </c>
      <c r="AB519" s="909"/>
      <c r="AC519" s="588"/>
      <c r="AD519" s="588"/>
      <c r="AF519" s="588"/>
      <c r="AG519" s="588"/>
    </row>
    <row r="520" spans="1:33" s="588" customFormat="1" ht="15.75" customHeight="1">
      <c r="A520" s="203" t="str">
        <f>IF(B520&lt;&gt;"",IF(AND(B520&gt;=_TM1,B520&lt;=_TM2,OR(TH!L520="1111",TH!M520="1111")),TH!D520,""),"")</f>
        <v/>
      </c>
      <c r="B520" s="36">
        <f t="shared" si="28"/>
        <v>9</v>
      </c>
      <c r="C520" s="183">
        <f t="shared" si="29"/>
        <v>42627</v>
      </c>
      <c r="D520" s="183" t="s">
        <v>667</v>
      </c>
      <c r="E520" s="190">
        <v>42627</v>
      </c>
      <c r="F520" s="188" t="s">
        <v>555</v>
      </c>
      <c r="G520" s="479" t="s">
        <v>817</v>
      </c>
      <c r="H520" s="7" t="s">
        <v>414</v>
      </c>
      <c r="I520" s="255"/>
      <c r="J520" s="255"/>
      <c r="K520" s="37">
        <v>1758000</v>
      </c>
      <c r="L520" s="193" t="s">
        <v>259</v>
      </c>
      <c r="M520" s="597" t="s">
        <v>364</v>
      </c>
      <c r="N520" s="51" t="str">
        <f>IF(AND('331-CT'!$E$7=TH!H520,OR(L520="331",M520="331")),"331",IF(AND(OR(L520="131",M520="131"),H520='131-CT'!$E$7),"131",""))</f>
        <v/>
      </c>
      <c r="O520" s="887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>x</v>
      </c>
      <c r="AB520" s="909"/>
      <c r="AE520" s="210"/>
    </row>
    <row r="521" spans="1:33" s="588" customFormat="1" ht="15.75" customHeight="1">
      <c r="A521" s="203" t="str">
        <f>IF(B521&lt;&gt;"",IF(AND(B521&gt;=_TM1,B521&lt;=_TM2,OR(TH!L521="1111",TH!M521="1111")),TH!D521,""),"")</f>
        <v/>
      </c>
      <c r="B521" s="36">
        <f t="shared" si="28"/>
        <v>9</v>
      </c>
      <c r="C521" s="183">
        <f t="shared" si="29"/>
        <v>42628</v>
      </c>
      <c r="D521" s="183" t="s">
        <v>668</v>
      </c>
      <c r="E521" s="190">
        <v>42628</v>
      </c>
      <c r="F521" s="188" t="s">
        <v>579</v>
      </c>
      <c r="G521" s="479" t="s">
        <v>818</v>
      </c>
      <c r="H521" s="7" t="s">
        <v>406</v>
      </c>
      <c r="I521" s="255">
        <v>1820</v>
      </c>
      <c r="J521" s="255">
        <v>5000</v>
      </c>
      <c r="K521" s="37">
        <f>ROUND(I521*J521,0)</f>
        <v>9100000</v>
      </c>
      <c r="L521" s="193" t="s">
        <v>259</v>
      </c>
      <c r="M521" s="597" t="s">
        <v>174</v>
      </c>
      <c r="N521" s="51" t="str">
        <f>IF(AND('331-CT'!$E$7=TH!H521,OR(L521="331",M521="331")),"331",IF(AND(OR(L521="131",M521="131"),H521='131-CT'!$E$7),"131",""))</f>
        <v/>
      </c>
      <c r="O521" s="887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>x</v>
      </c>
      <c r="AB521" s="909"/>
      <c r="AE521" s="210"/>
    </row>
    <row r="522" spans="1:33" s="588" customFormat="1" ht="15.75" customHeight="1">
      <c r="A522" s="203" t="str">
        <f>IF(B522&lt;&gt;"",IF(AND(B522&gt;=_TM1,B522&lt;=_TM2,OR(TH!L522="1111",TH!M522="1111")),TH!D522,""),"")</f>
        <v/>
      </c>
      <c r="B522" s="36">
        <f t="shared" si="28"/>
        <v>9</v>
      </c>
      <c r="C522" s="183">
        <f t="shared" si="29"/>
        <v>42628</v>
      </c>
      <c r="D522" s="183" t="s">
        <v>668</v>
      </c>
      <c r="E522" s="190">
        <v>42628</v>
      </c>
      <c r="F522" s="188" t="s">
        <v>605</v>
      </c>
      <c r="G522" s="479" t="s">
        <v>818</v>
      </c>
      <c r="H522" s="7" t="s">
        <v>406</v>
      </c>
      <c r="I522" s="255">
        <v>620</v>
      </c>
      <c r="J522" s="255">
        <v>5550</v>
      </c>
      <c r="K522" s="37">
        <f>ROUND(I522*J522,0)</f>
        <v>3441000</v>
      </c>
      <c r="L522" s="193" t="s">
        <v>259</v>
      </c>
      <c r="M522" s="597" t="s">
        <v>174</v>
      </c>
      <c r="N522" s="51" t="str">
        <f>IF(AND('331-CT'!$E$7=TH!H522,OR(L522="331",M522="331")),"331",IF(AND(OR(L522="131",M522="131"),H522='131-CT'!$E$7),"131",""))</f>
        <v/>
      </c>
      <c r="O522" s="887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>x</v>
      </c>
      <c r="AB522" s="909"/>
      <c r="AE522" s="210"/>
    </row>
    <row r="523" spans="1:33" s="588" customFormat="1" ht="15.75" customHeight="1">
      <c r="A523" s="203" t="str">
        <f>IF(B523&lt;&gt;"",IF(AND(B523&gt;=_TM1,B523&lt;=_TM2,OR(TH!L523="1111",TH!M523="1111")),TH!D523,""),"")</f>
        <v/>
      </c>
      <c r="B523" s="36">
        <f t="shared" si="28"/>
        <v>9</v>
      </c>
      <c r="C523" s="183">
        <f t="shared" si="29"/>
        <v>42628</v>
      </c>
      <c r="D523" s="183" t="s">
        <v>668</v>
      </c>
      <c r="E523" s="190">
        <v>42628</v>
      </c>
      <c r="F523" s="188" t="s">
        <v>606</v>
      </c>
      <c r="G523" s="479" t="s">
        <v>818</v>
      </c>
      <c r="H523" s="7" t="s">
        <v>406</v>
      </c>
      <c r="I523" s="255">
        <v>304</v>
      </c>
      <c r="J523" s="255">
        <v>5800</v>
      </c>
      <c r="K523" s="37">
        <f>ROUND(I523*J523,0)</f>
        <v>1763200</v>
      </c>
      <c r="L523" s="193" t="s">
        <v>259</v>
      </c>
      <c r="M523" s="597" t="s">
        <v>174</v>
      </c>
      <c r="N523" s="51" t="str">
        <f>IF(AND('331-CT'!$E$7=TH!H523,OR(L523="331",M523="331")),"331",IF(AND(OR(L523="131",M523="131"),H523='131-CT'!$E$7),"131",""))</f>
        <v/>
      </c>
      <c r="O523" s="887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>x</v>
      </c>
      <c r="AB523" s="909"/>
      <c r="AE523" s="210"/>
    </row>
    <row r="524" spans="1:33" s="588" customFormat="1" ht="15.75" customHeight="1">
      <c r="A524" s="203" t="str">
        <f>IF(B524&lt;&gt;"",IF(AND(B524&gt;=_TM1,B524&lt;=_TM2,OR(TH!L524="1111",TH!M524="1111")),TH!D524,""),"")</f>
        <v/>
      </c>
      <c r="B524" s="36">
        <f t="shared" si="28"/>
        <v>9</v>
      </c>
      <c r="C524" s="183">
        <f t="shared" si="29"/>
        <v>42628</v>
      </c>
      <c r="D524" s="183" t="s">
        <v>668</v>
      </c>
      <c r="E524" s="190">
        <v>42628</v>
      </c>
      <c r="F524" s="188" t="s">
        <v>607</v>
      </c>
      <c r="G524" s="479" t="s">
        <v>818</v>
      </c>
      <c r="H524" s="7" t="s">
        <v>406</v>
      </c>
      <c r="I524" s="255">
        <v>316</v>
      </c>
      <c r="J524" s="255">
        <v>5600</v>
      </c>
      <c r="K524" s="37">
        <f>ROUND(I524*J524,0)</f>
        <v>1769600</v>
      </c>
      <c r="L524" s="193" t="s">
        <v>259</v>
      </c>
      <c r="M524" s="597" t="s">
        <v>174</v>
      </c>
      <c r="N524" s="51" t="str">
        <f>IF(AND('331-CT'!$E$7=TH!H524,OR(L524="331",M524="331")),"331",IF(AND(OR(L524="131",M524="131"),H524='131-CT'!$E$7),"131",""))</f>
        <v/>
      </c>
      <c r="O524" s="887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>x</v>
      </c>
      <c r="AB524" s="909"/>
      <c r="AE524" s="210"/>
    </row>
    <row r="525" spans="1:33" s="588" customFormat="1" ht="15.75" customHeight="1">
      <c r="A525" s="203" t="str">
        <f>IF(B525&lt;&gt;"",IF(AND(B525&gt;=_TM1,B525&lt;=_TM2,OR(TH!L525="1111",TH!M525="1111")),TH!D525,""),"")</f>
        <v/>
      </c>
      <c r="B525" s="36">
        <f t="shared" si="28"/>
        <v>9</v>
      </c>
      <c r="C525" s="183">
        <f t="shared" si="29"/>
        <v>42628</v>
      </c>
      <c r="D525" s="183" t="s">
        <v>668</v>
      </c>
      <c r="E525" s="190">
        <v>42628</v>
      </c>
      <c r="F525" s="188" t="s">
        <v>555</v>
      </c>
      <c r="G525" s="479" t="s">
        <v>818</v>
      </c>
      <c r="H525" s="7" t="s">
        <v>406</v>
      </c>
      <c r="I525" s="255"/>
      <c r="J525" s="255"/>
      <c r="K525" s="37">
        <v>1607380</v>
      </c>
      <c r="L525" s="193" t="s">
        <v>259</v>
      </c>
      <c r="M525" s="597" t="s">
        <v>364</v>
      </c>
      <c r="N525" s="51" t="str">
        <f>IF(AND('331-CT'!$E$7=TH!H525,OR(L525="331",M525="331")),"331",IF(AND(OR(L525="131",M525="131"),H525='131-CT'!$E$7),"131",""))</f>
        <v/>
      </c>
      <c r="O525" s="887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>x</v>
      </c>
      <c r="AB525" s="909"/>
      <c r="AE525" s="210"/>
    </row>
    <row r="526" spans="1:33" s="588" customFormat="1" ht="15.75" customHeight="1">
      <c r="A526" s="203" t="str">
        <f>IF(B526&lt;&gt;"",IF(AND(B526&gt;=_TM1,B526&lt;=_TM2,OR(TH!L526="1111",TH!M526="1111")),TH!D526,""),"")</f>
        <v/>
      </c>
      <c r="B526" s="36">
        <f t="shared" si="28"/>
        <v>9</v>
      </c>
      <c r="C526" s="183">
        <f t="shared" si="29"/>
        <v>42635</v>
      </c>
      <c r="D526" s="183" t="s">
        <v>669</v>
      </c>
      <c r="E526" s="190">
        <v>42635</v>
      </c>
      <c r="F526" s="188" t="s">
        <v>574</v>
      </c>
      <c r="G526" s="479" t="s">
        <v>819</v>
      </c>
      <c r="H526" s="7" t="s">
        <v>407</v>
      </c>
      <c r="I526" s="255">
        <v>300</v>
      </c>
      <c r="J526" s="255">
        <v>10500</v>
      </c>
      <c r="K526" s="37">
        <f>ROUND(I526*J526,0)</f>
        <v>3150000</v>
      </c>
      <c r="L526" s="193" t="s">
        <v>259</v>
      </c>
      <c r="M526" s="597" t="s">
        <v>174</v>
      </c>
      <c r="N526" s="51" t="str">
        <f>IF(AND('331-CT'!$E$7=TH!H526,OR(L526="331",M526="331")),"331",IF(AND(OR(L526="131",M526="131"),H526='131-CT'!$E$7),"131",""))</f>
        <v/>
      </c>
      <c r="O526" s="887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>x</v>
      </c>
      <c r="AB526" s="909"/>
      <c r="AE526" s="210"/>
    </row>
    <row r="527" spans="1:33" s="588" customFormat="1" ht="15.75" customHeight="1">
      <c r="A527" s="203" t="str">
        <f>IF(B527&lt;&gt;"",IF(AND(B527&gt;=_TM1,B527&lt;=_TM2,OR(TH!L527="1111",TH!M527="1111")),TH!D527,""),"")</f>
        <v/>
      </c>
      <c r="B527" s="36">
        <f t="shared" si="28"/>
        <v>9</v>
      </c>
      <c r="C527" s="183">
        <f t="shared" si="29"/>
        <v>42635</v>
      </c>
      <c r="D527" s="183" t="s">
        <v>669</v>
      </c>
      <c r="E527" s="190">
        <v>42635</v>
      </c>
      <c r="F527" s="188" t="s">
        <v>555</v>
      </c>
      <c r="G527" s="479" t="s">
        <v>819</v>
      </c>
      <c r="H527" s="7" t="s">
        <v>407</v>
      </c>
      <c r="I527" s="255"/>
      <c r="J527" s="255"/>
      <c r="K527" s="37">
        <v>315000</v>
      </c>
      <c r="L527" s="193" t="s">
        <v>259</v>
      </c>
      <c r="M527" s="597" t="s">
        <v>364</v>
      </c>
      <c r="N527" s="51" t="str">
        <f>IF(AND('331-CT'!$E$7=TH!H527,OR(L527="331",M527="331")),"331",IF(AND(OR(L527="131",M527="131"),H527='131-CT'!$E$7),"131",""))</f>
        <v/>
      </c>
      <c r="O527" s="887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>x</v>
      </c>
      <c r="AB527" s="909"/>
      <c r="AD527" s="210"/>
      <c r="AE527" s="210"/>
    </row>
    <row r="528" spans="1:33" s="588" customFormat="1" ht="15.75" customHeight="1">
      <c r="A528" s="203" t="str">
        <f>IF(B528&lt;&gt;"",IF(AND(B528&gt;=_TM1,B528&lt;=_TM2,OR(TH!L528="1111",TH!M528="1111")),TH!D528,""),"")</f>
        <v/>
      </c>
      <c r="B528" s="36">
        <f t="shared" si="28"/>
        <v>9</v>
      </c>
      <c r="C528" s="183">
        <f t="shared" si="29"/>
        <v>42639</v>
      </c>
      <c r="D528" s="183" t="s">
        <v>670</v>
      </c>
      <c r="E528" s="190">
        <v>42639</v>
      </c>
      <c r="F528" s="188" t="s">
        <v>608</v>
      </c>
      <c r="G528" s="479" t="s">
        <v>820</v>
      </c>
      <c r="H528" s="7" t="s">
        <v>677</v>
      </c>
      <c r="I528" s="255">
        <v>109</v>
      </c>
      <c r="J528" s="255">
        <v>6400</v>
      </c>
      <c r="K528" s="37">
        <f>ROUND(I528*J528,0)</f>
        <v>697600</v>
      </c>
      <c r="L528" s="193" t="s">
        <v>259</v>
      </c>
      <c r="M528" s="597" t="s">
        <v>174</v>
      </c>
      <c r="N528" s="51" t="str">
        <f>IF(AND('331-CT'!$E$7=TH!H528,OR(L528="331",M528="331")),"331",IF(AND(OR(L528="131",M528="131"),H528='131-CT'!$E$7),"131",""))</f>
        <v/>
      </c>
      <c r="O528" s="887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>x</v>
      </c>
      <c r="AB528" s="909"/>
      <c r="AE528" s="210"/>
    </row>
    <row r="529" spans="1:33" s="588" customFormat="1" ht="15.75" customHeight="1">
      <c r="A529" s="203" t="str">
        <f>IF(B529&lt;&gt;"",IF(AND(B529&gt;=_TM1,B529&lt;=_TM2,OR(TH!L529="1111",TH!M529="1111")),TH!D529,""),"")</f>
        <v/>
      </c>
      <c r="B529" s="36">
        <f t="shared" si="28"/>
        <v>9</v>
      </c>
      <c r="C529" s="183">
        <f t="shared" si="29"/>
        <v>42639</v>
      </c>
      <c r="D529" s="183" t="s">
        <v>670</v>
      </c>
      <c r="E529" s="190">
        <v>42639</v>
      </c>
      <c r="F529" s="188" t="s">
        <v>609</v>
      </c>
      <c r="G529" s="479" t="s">
        <v>820</v>
      </c>
      <c r="H529" s="7" t="s">
        <v>677</v>
      </c>
      <c r="I529" s="255">
        <v>102</v>
      </c>
      <c r="J529" s="255">
        <v>7300</v>
      </c>
      <c r="K529" s="37">
        <f>ROUND(I529*J529,0)</f>
        <v>744600</v>
      </c>
      <c r="L529" s="193" t="s">
        <v>259</v>
      </c>
      <c r="M529" s="597" t="s">
        <v>174</v>
      </c>
      <c r="N529" s="51" t="str">
        <f>IF(AND('331-CT'!$E$7=TH!H529,OR(L529="331",M529="331")),"331",IF(AND(OR(L529="131",M529="131"),H529='131-CT'!$E$7),"131",""))</f>
        <v/>
      </c>
      <c r="O529" s="887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>x</v>
      </c>
      <c r="AB529" s="909"/>
      <c r="AE529" s="210"/>
    </row>
    <row r="530" spans="1:33" s="588" customFormat="1" ht="15.75" customHeight="1">
      <c r="A530" s="203" t="str">
        <f>IF(B530&lt;&gt;"",IF(AND(B530&gt;=_TM1,B530&lt;=_TM2,OR(TH!L530="1111",TH!M530="1111")),TH!D530,""),"")</f>
        <v/>
      </c>
      <c r="B530" s="36">
        <f t="shared" si="28"/>
        <v>9</v>
      </c>
      <c r="C530" s="183">
        <f t="shared" si="29"/>
        <v>42639</v>
      </c>
      <c r="D530" s="183" t="s">
        <v>670</v>
      </c>
      <c r="E530" s="190">
        <v>42639</v>
      </c>
      <c r="F530" s="188" t="s">
        <v>725</v>
      </c>
      <c r="G530" s="479" t="s">
        <v>820</v>
      </c>
      <c r="H530" s="7" t="s">
        <v>677</v>
      </c>
      <c r="I530" s="255">
        <v>56</v>
      </c>
      <c r="J530" s="255">
        <v>11250</v>
      </c>
      <c r="K530" s="37">
        <f>ROUND(I530*J530,0)</f>
        <v>630000</v>
      </c>
      <c r="L530" s="193" t="s">
        <v>259</v>
      </c>
      <c r="M530" s="597" t="s">
        <v>174</v>
      </c>
      <c r="N530" s="51" t="str">
        <f>IF(AND('331-CT'!$E$7=TH!H530,OR(L530="331",M530="331")),"331",IF(AND(OR(L530="131",M530="131"),H530='131-CT'!$E$7),"131",""))</f>
        <v/>
      </c>
      <c r="O530" s="887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>x</v>
      </c>
      <c r="AB530" s="909"/>
      <c r="AE530" s="210"/>
    </row>
    <row r="531" spans="1:33" s="588" customFormat="1" ht="15.75" customHeight="1">
      <c r="A531" s="203" t="str">
        <f>IF(B531&lt;&gt;"",IF(AND(B531&gt;=_TM1,B531&lt;=_TM2,OR(TH!L531="1111",TH!M531="1111")),TH!D531,""),"")</f>
        <v/>
      </c>
      <c r="B531" s="36">
        <f t="shared" si="28"/>
        <v>9</v>
      </c>
      <c r="C531" s="183">
        <f t="shared" si="29"/>
        <v>42639</v>
      </c>
      <c r="D531" s="183" t="s">
        <v>670</v>
      </c>
      <c r="E531" s="190">
        <v>42639</v>
      </c>
      <c r="F531" s="188" t="s">
        <v>555</v>
      </c>
      <c r="G531" s="479" t="s">
        <v>820</v>
      </c>
      <c r="H531" s="7" t="s">
        <v>677</v>
      </c>
      <c r="I531" s="255"/>
      <c r="J531" s="255"/>
      <c r="K531" s="37">
        <v>207220</v>
      </c>
      <c r="L531" s="193" t="s">
        <v>259</v>
      </c>
      <c r="M531" s="597" t="s">
        <v>364</v>
      </c>
      <c r="N531" s="51" t="str">
        <f>IF(AND('331-CT'!$E$7=TH!H531,OR(L531="331",M531="331")),"331",IF(AND(OR(L531="131",M531="131"),H531='131-CT'!$E$7),"131",""))</f>
        <v/>
      </c>
      <c r="O531" s="887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>x</v>
      </c>
      <c r="AB531" s="909"/>
      <c r="AE531" s="210"/>
    </row>
    <row r="532" spans="1:33" s="588" customFormat="1" ht="15.75" customHeight="1">
      <c r="A532" s="203" t="str">
        <f>IF(B532&lt;&gt;"",IF(AND(B532&gt;=_TM1,B532&lt;=_TM2,OR(TH!L532="1111",TH!M532="1111")),TH!D532,""),"")</f>
        <v/>
      </c>
      <c r="B532" s="36">
        <f t="shared" si="28"/>
        <v>9</v>
      </c>
      <c r="C532" s="183">
        <f t="shared" si="29"/>
        <v>42640</v>
      </c>
      <c r="D532" s="183" t="s">
        <v>671</v>
      </c>
      <c r="E532" s="190">
        <v>42640</v>
      </c>
      <c r="F532" s="188" t="s">
        <v>559</v>
      </c>
      <c r="G532" s="479" t="s">
        <v>821</v>
      </c>
      <c r="H532" s="7" t="s">
        <v>412</v>
      </c>
      <c r="I532" s="255">
        <f>202+152+51+51+77</f>
        <v>533</v>
      </c>
      <c r="J532" s="255">
        <v>9400</v>
      </c>
      <c r="K532" s="37">
        <f>ROUND(I532*J532,0)</f>
        <v>5010200</v>
      </c>
      <c r="L532" s="193" t="s">
        <v>259</v>
      </c>
      <c r="M532" s="597" t="s">
        <v>174</v>
      </c>
      <c r="N532" s="51" t="str">
        <f>IF(AND('331-CT'!$E$7=TH!H532,OR(L532="331",M532="331")),"331",IF(AND(OR(L532="131",M532="131"),H532='131-CT'!$E$7),"131",""))</f>
        <v/>
      </c>
      <c r="O532" s="887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>x</v>
      </c>
      <c r="AB532" s="909"/>
      <c r="AD532" s="210"/>
      <c r="AE532" s="210"/>
    </row>
    <row r="533" spans="1:33" s="588" customFormat="1" ht="15.75" customHeight="1">
      <c r="A533" s="203" t="str">
        <f>IF(B533&lt;&gt;"",IF(AND(B533&gt;=_TM1,B533&lt;=_TM2,OR(TH!L533="1111",TH!M533="1111")),TH!D533,""),"")</f>
        <v/>
      </c>
      <c r="B533" s="36">
        <f t="shared" si="28"/>
        <v>9</v>
      </c>
      <c r="C533" s="183">
        <f t="shared" si="29"/>
        <v>42640</v>
      </c>
      <c r="D533" s="183" t="s">
        <v>671</v>
      </c>
      <c r="E533" s="190">
        <v>42640</v>
      </c>
      <c r="F533" s="188" t="s">
        <v>555</v>
      </c>
      <c r="G533" s="479" t="s">
        <v>821</v>
      </c>
      <c r="H533" s="7" t="s">
        <v>412</v>
      </c>
      <c r="I533" s="255"/>
      <c r="J533" s="255"/>
      <c r="K533" s="37">
        <v>501020</v>
      </c>
      <c r="L533" s="193" t="s">
        <v>259</v>
      </c>
      <c r="M533" s="597" t="s">
        <v>364</v>
      </c>
      <c r="N533" s="51" t="str">
        <f>IF(AND('331-CT'!$E$7=TH!H533,OR(L533="331",M533="331")),"331",IF(AND(OR(L533="131",M533="131"),H533='131-CT'!$E$7),"131",""))</f>
        <v/>
      </c>
      <c r="O533" s="887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>x</v>
      </c>
      <c r="AB533" s="909"/>
      <c r="AE533" s="210"/>
    </row>
    <row r="534" spans="1:33" s="210" customFormat="1" ht="15.75" customHeight="1">
      <c r="A534" s="203" t="str">
        <f>IF(B534&lt;&gt;"",IF(AND(B534&gt;=_TM1,B534&lt;=_TM2,OR(TH!L534="1111",TH!M534="1111")),TH!D534,""),"")</f>
        <v/>
      </c>
      <c r="B534" s="36">
        <f t="shared" si="28"/>
        <v>9</v>
      </c>
      <c r="C534" s="183">
        <f t="shared" si="29"/>
        <v>42640</v>
      </c>
      <c r="D534" s="183" t="s">
        <v>672</v>
      </c>
      <c r="E534" s="190">
        <v>42640</v>
      </c>
      <c r="F534" s="188" t="s">
        <v>559</v>
      </c>
      <c r="G534" s="479" t="s">
        <v>822</v>
      </c>
      <c r="H534" s="7" t="s">
        <v>412</v>
      </c>
      <c r="I534" s="255">
        <f>51+105</f>
        <v>156</v>
      </c>
      <c r="J534" s="255">
        <v>9400</v>
      </c>
      <c r="K534" s="37">
        <f>ROUND(I534*J534,0)</f>
        <v>1466400</v>
      </c>
      <c r="L534" s="193" t="s">
        <v>259</v>
      </c>
      <c r="M534" s="597" t="s">
        <v>174</v>
      </c>
      <c r="N534" s="51" t="str">
        <f>IF(AND('331-CT'!$E$7=TH!H534,OR(L534="331",M534="331")),"331",IF(AND(OR(L534="131",M534="131"),H534='131-CT'!$E$7),"131",""))</f>
        <v/>
      </c>
      <c r="O534" s="887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>x</v>
      </c>
      <c r="AB534" s="909"/>
      <c r="AC534" s="588"/>
      <c r="AD534" s="588"/>
      <c r="AF534" s="588"/>
      <c r="AG534" s="588"/>
    </row>
    <row r="535" spans="1:33" s="210" customFormat="1" ht="15.75" customHeight="1">
      <c r="A535" s="203" t="str">
        <f>IF(B535&lt;&gt;"",IF(AND(B535&gt;=_TM1,B535&lt;=_TM2,OR(TH!L535="1111",TH!M535="1111")),TH!D535,""),"")</f>
        <v/>
      </c>
      <c r="B535" s="36">
        <f t="shared" ref="B535:B598" si="30">IF(C535&lt;&gt;"",MONTH(C535),"")</f>
        <v>9</v>
      </c>
      <c r="C535" s="183">
        <f t="shared" ref="C535:C598" si="31">E535</f>
        <v>42640</v>
      </c>
      <c r="D535" s="183" t="s">
        <v>672</v>
      </c>
      <c r="E535" s="190">
        <v>42640</v>
      </c>
      <c r="F535" s="188" t="s">
        <v>716</v>
      </c>
      <c r="G535" s="479" t="s">
        <v>822</v>
      </c>
      <c r="H535" s="7" t="s">
        <v>412</v>
      </c>
      <c r="I535" s="255">
        <f>840+840+840</f>
        <v>2520</v>
      </c>
      <c r="J535" s="255">
        <v>7900</v>
      </c>
      <c r="K535" s="37">
        <f>ROUND(I535*J535,0)</f>
        <v>19908000</v>
      </c>
      <c r="L535" s="193" t="s">
        <v>259</v>
      </c>
      <c r="M535" s="597" t="s">
        <v>174</v>
      </c>
      <c r="N535" s="51" t="str">
        <f>IF(AND('331-CT'!$E$7=TH!H535,OR(L535="331",M535="331")),"331",IF(AND(OR(L535="131",M535="131"),H535='131-CT'!$E$7),"131",""))</f>
        <v/>
      </c>
      <c r="O535" s="887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>x</v>
      </c>
      <c r="AB535" s="909"/>
      <c r="AC535" s="588"/>
      <c r="AD535" s="588"/>
      <c r="AF535" s="588"/>
      <c r="AG535" s="588"/>
    </row>
    <row r="536" spans="1:33" s="588" customFormat="1" ht="15.75" customHeight="1">
      <c r="A536" s="203" t="str">
        <f>IF(B536&lt;&gt;"",IF(AND(B536&gt;=_TM1,B536&lt;=_TM2,OR(TH!L536="1111",TH!M536="1111")),TH!D536,""),"")</f>
        <v/>
      </c>
      <c r="B536" s="36">
        <f t="shared" si="30"/>
        <v>9</v>
      </c>
      <c r="C536" s="183">
        <f t="shared" si="31"/>
        <v>42640</v>
      </c>
      <c r="D536" s="183" t="s">
        <v>672</v>
      </c>
      <c r="E536" s="190">
        <v>42640</v>
      </c>
      <c r="F536" s="188" t="s">
        <v>717</v>
      </c>
      <c r="G536" s="479" t="s">
        <v>822</v>
      </c>
      <c r="H536" s="7" t="s">
        <v>412</v>
      </c>
      <c r="I536" s="255">
        <v>44</v>
      </c>
      <c r="J536" s="255">
        <v>17600</v>
      </c>
      <c r="K536" s="37">
        <f>ROUND(I536*J536,0)</f>
        <v>774400</v>
      </c>
      <c r="L536" s="193" t="s">
        <v>259</v>
      </c>
      <c r="M536" s="597" t="s">
        <v>174</v>
      </c>
      <c r="N536" s="51" t="str">
        <f>IF(AND('331-CT'!$E$7=TH!H536,OR(L536="331",M536="331")),"331",IF(AND(OR(L536="131",M536="131"),H536='131-CT'!$E$7),"131",""))</f>
        <v/>
      </c>
      <c r="O536" s="887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>x</v>
      </c>
      <c r="AB536" s="909"/>
      <c r="AE536" s="210"/>
    </row>
    <row r="537" spans="1:33" s="588" customFormat="1" ht="15.75" customHeight="1">
      <c r="A537" s="203" t="str">
        <f>IF(B537&lt;&gt;"",IF(AND(B537&gt;=_TM1,B537&lt;=_TM2,OR(TH!L537="1111",TH!M537="1111")),TH!D537,""),"")</f>
        <v/>
      </c>
      <c r="B537" s="36">
        <f t="shared" si="30"/>
        <v>9</v>
      </c>
      <c r="C537" s="183">
        <f t="shared" si="31"/>
        <v>42640</v>
      </c>
      <c r="D537" s="183" t="s">
        <v>672</v>
      </c>
      <c r="E537" s="190">
        <v>42640</v>
      </c>
      <c r="F537" s="188" t="s">
        <v>555</v>
      </c>
      <c r="G537" s="479" t="s">
        <v>822</v>
      </c>
      <c r="H537" s="7" t="s">
        <v>412</v>
      </c>
      <c r="I537" s="255"/>
      <c r="J537" s="255"/>
      <c r="K537" s="37">
        <v>2214880</v>
      </c>
      <c r="L537" s="193" t="s">
        <v>259</v>
      </c>
      <c r="M537" s="597" t="s">
        <v>364</v>
      </c>
      <c r="N537" s="51" t="str">
        <f>IF(AND('331-CT'!$E$7=TH!H537,OR(L537="331",M537="331")),"331",IF(AND(OR(L537="131",M537="131"),H537='131-CT'!$E$7),"131",""))</f>
        <v/>
      </c>
      <c r="O537" s="887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>x</v>
      </c>
      <c r="AB537" s="909"/>
      <c r="AE537" s="210"/>
    </row>
    <row r="538" spans="1:33" s="588" customFormat="1" ht="15.75" customHeight="1">
      <c r="A538" s="203" t="str">
        <f>IF(B538&lt;&gt;"",IF(AND(B538&gt;=_TM1,B538&lt;=_TM2,OR(TH!L538="1111",TH!M538="1111")),TH!D538,""),"")</f>
        <v/>
      </c>
      <c r="B538" s="36">
        <f t="shared" si="30"/>
        <v>9</v>
      </c>
      <c r="C538" s="183">
        <f t="shared" si="31"/>
        <v>42640</v>
      </c>
      <c r="D538" s="183" t="s">
        <v>673</v>
      </c>
      <c r="E538" s="190">
        <v>42640</v>
      </c>
      <c r="F538" s="188" t="s">
        <v>591</v>
      </c>
      <c r="G538" s="479" t="s">
        <v>493</v>
      </c>
      <c r="H538" s="7" t="s">
        <v>610</v>
      </c>
      <c r="I538" s="255">
        <f>204+65+40</f>
        <v>309</v>
      </c>
      <c r="J538" s="255">
        <v>10200</v>
      </c>
      <c r="K538" s="37">
        <f>ROUND(I538*J538,0)</f>
        <v>3151800</v>
      </c>
      <c r="L538" s="193" t="s">
        <v>259</v>
      </c>
      <c r="M538" s="597" t="s">
        <v>174</v>
      </c>
      <c r="N538" s="51" t="str">
        <f>IF(AND('331-CT'!$E$7=TH!H538,OR(L538="331",M538="331")),"331",IF(AND(OR(L538="131",M538="131"),H538='131-CT'!$E$7),"131",""))</f>
        <v/>
      </c>
      <c r="O538" s="887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>x</v>
      </c>
      <c r="AB538" s="909"/>
      <c r="AD538" s="210"/>
      <c r="AE538" s="210"/>
    </row>
    <row r="539" spans="1:33" s="588" customFormat="1" ht="15.75" customHeight="1">
      <c r="A539" s="203" t="str">
        <f>IF(B539&lt;&gt;"",IF(AND(B539&gt;=_TM1,B539&lt;=_TM2,OR(TH!L539="1111",TH!M539="1111")),TH!D539,""),"")</f>
        <v/>
      </c>
      <c r="B539" s="36">
        <f t="shared" si="30"/>
        <v>9</v>
      </c>
      <c r="C539" s="183">
        <f t="shared" si="31"/>
        <v>42640</v>
      </c>
      <c r="D539" s="183" t="s">
        <v>673</v>
      </c>
      <c r="E539" s="190">
        <v>42640</v>
      </c>
      <c r="F539" s="188" t="s">
        <v>601</v>
      </c>
      <c r="G539" s="479" t="s">
        <v>493</v>
      </c>
      <c r="H539" s="7" t="s">
        <v>610</v>
      </c>
      <c r="I539" s="255"/>
      <c r="J539" s="255"/>
      <c r="K539" s="37">
        <v>315180</v>
      </c>
      <c r="L539" s="193" t="s">
        <v>259</v>
      </c>
      <c r="M539" s="597" t="s">
        <v>364</v>
      </c>
      <c r="N539" s="51" t="str">
        <f>IF(AND('331-CT'!$E$7=TH!H539,OR(L539="331",M539="331")),"331",IF(AND(OR(L539="131",M539="131"),H539='131-CT'!$E$7),"131",""))</f>
        <v/>
      </c>
      <c r="O539" s="887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>x</v>
      </c>
      <c r="AB539" s="909"/>
      <c r="AE539" s="210"/>
      <c r="AF539" s="210"/>
      <c r="AG539" s="210"/>
    </row>
    <row r="540" spans="1:33" s="588" customFormat="1" ht="15.75" customHeight="1">
      <c r="A540" s="203">
        <f>IF(B540&lt;&gt;"",IF(AND(B540&gt;=_TM1,B540&lt;=_TM2,OR(TH!L540="1111",TH!M540="1111")),TH!D540,""),"")</f>
        <v>0</v>
      </c>
      <c r="B540" s="36">
        <f t="shared" si="30"/>
        <v>9</v>
      </c>
      <c r="C540" s="183">
        <f t="shared" si="31"/>
        <v>42640</v>
      </c>
      <c r="D540" s="183"/>
      <c r="E540" s="190">
        <v>42640</v>
      </c>
      <c r="F540" s="191" t="s">
        <v>543</v>
      </c>
      <c r="G540" s="479" t="s">
        <v>493</v>
      </c>
      <c r="H540" s="7" t="s">
        <v>610</v>
      </c>
      <c r="I540" s="255"/>
      <c r="J540" s="255"/>
      <c r="K540" s="37">
        <v>3466980</v>
      </c>
      <c r="L540" s="193" t="s">
        <v>47</v>
      </c>
      <c r="M540" s="597" t="s">
        <v>259</v>
      </c>
      <c r="N540" s="51" t="str">
        <f>IF(AND('331-CT'!$E$7=TH!H540,OR(L540="331",M540="331")),"331",IF(AND(OR(L540="131",M540="131"),H540='131-CT'!$E$7),"131",""))</f>
        <v/>
      </c>
      <c r="O540" s="887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>x</v>
      </c>
      <c r="AB540" s="909"/>
      <c r="AE540" s="210"/>
      <c r="AF540" s="210"/>
      <c r="AG540" s="210"/>
    </row>
    <row r="541" spans="1:33" s="588" customFormat="1" ht="15.75" customHeight="1">
      <c r="A541" s="203" t="str">
        <f>IF(B541&lt;&gt;"",IF(AND(B541&gt;=_TM1,B541&lt;=_TM2,OR(TH!L541="1111",TH!M541="1111")),TH!D541,""),"")</f>
        <v/>
      </c>
      <c r="B541" s="36">
        <f t="shared" si="30"/>
        <v>9</v>
      </c>
      <c r="C541" s="183">
        <f t="shared" si="31"/>
        <v>42641</v>
      </c>
      <c r="D541" s="183" t="s">
        <v>674</v>
      </c>
      <c r="E541" s="190">
        <v>42641</v>
      </c>
      <c r="F541" s="188" t="s">
        <v>570</v>
      </c>
      <c r="G541" s="479" t="s">
        <v>490</v>
      </c>
      <c r="H541" s="7" t="s">
        <v>677</v>
      </c>
      <c r="I541" s="255">
        <v>211</v>
      </c>
      <c r="J541" s="255">
        <v>12900</v>
      </c>
      <c r="K541" s="37">
        <f>ROUND(I541*J541,0)</f>
        <v>2721900</v>
      </c>
      <c r="L541" s="193" t="s">
        <v>259</v>
      </c>
      <c r="M541" s="597" t="s">
        <v>174</v>
      </c>
      <c r="N541" s="51" t="str">
        <f>IF(AND('331-CT'!$E$7=TH!H541,OR(L541="331",M541="331")),"331",IF(AND(OR(L541="131",M541="131"),H541='131-CT'!$E$7),"131",""))</f>
        <v/>
      </c>
      <c r="O541" s="887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>x</v>
      </c>
      <c r="AB541" s="909"/>
      <c r="AD541" s="210"/>
      <c r="AE541" s="210"/>
      <c r="AF541" s="210"/>
      <c r="AG541" s="210"/>
    </row>
    <row r="542" spans="1:33" s="210" customFormat="1" ht="15.75" customHeight="1">
      <c r="A542" s="203" t="str">
        <f>IF(B542&lt;&gt;"",IF(AND(B542&gt;=_TM1,B542&lt;=_TM2,OR(TH!L542="1111",TH!M542="1111")),TH!D542,""),"")</f>
        <v/>
      </c>
      <c r="B542" s="36">
        <f t="shared" si="30"/>
        <v>9</v>
      </c>
      <c r="C542" s="183">
        <f t="shared" si="31"/>
        <v>42641</v>
      </c>
      <c r="D542" s="183" t="s">
        <v>674</v>
      </c>
      <c r="E542" s="190">
        <v>42641</v>
      </c>
      <c r="F542" s="188" t="s">
        <v>555</v>
      </c>
      <c r="G542" s="479" t="s">
        <v>490</v>
      </c>
      <c r="H542" s="7" t="s">
        <v>677</v>
      </c>
      <c r="I542" s="255"/>
      <c r="J542" s="255"/>
      <c r="K542" s="37">
        <v>272190</v>
      </c>
      <c r="L542" s="193" t="s">
        <v>259</v>
      </c>
      <c r="M542" s="597" t="s">
        <v>364</v>
      </c>
      <c r="N542" s="51" t="str">
        <f>IF(AND('331-CT'!$E$7=TH!H542,OR(L542="331",M542="331")),"331",IF(AND(OR(L542="131",M542="131"),H542='131-CT'!$E$7),"131",""))</f>
        <v/>
      </c>
      <c r="O542" s="887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>x</v>
      </c>
      <c r="AB542" s="909"/>
      <c r="AC542" s="588"/>
      <c r="AD542" s="588"/>
      <c r="AF542" s="588"/>
      <c r="AG542" s="588"/>
    </row>
    <row r="543" spans="1:33" s="588" customFormat="1" ht="15.75" customHeight="1">
      <c r="A543" s="203" t="str">
        <f>IF(B543&lt;&gt;"",IF(AND(B543&gt;=_TM1,B543&lt;=_TM2,OR(TH!L543="1111",TH!M543="1111")),TH!D543,""),"")</f>
        <v/>
      </c>
      <c r="B543" s="36">
        <f t="shared" si="30"/>
        <v>10</v>
      </c>
      <c r="C543" s="183">
        <f t="shared" si="31"/>
        <v>42647</v>
      </c>
      <c r="D543" s="183" t="s">
        <v>611</v>
      </c>
      <c r="E543" s="190">
        <v>42647</v>
      </c>
      <c r="F543" s="188" t="s">
        <v>867</v>
      </c>
      <c r="G543" s="479" t="s">
        <v>866</v>
      </c>
      <c r="H543" s="7" t="s">
        <v>407</v>
      </c>
      <c r="I543" s="255">
        <v>423</v>
      </c>
      <c r="J543" s="255">
        <v>8800</v>
      </c>
      <c r="K543" s="37">
        <f>ROUND(I543*J543,0)</f>
        <v>3722400</v>
      </c>
      <c r="L543" s="193" t="s">
        <v>259</v>
      </c>
      <c r="M543" s="597" t="s">
        <v>174</v>
      </c>
      <c r="N543" s="51" t="str">
        <f>IF(AND('331-CT'!$E$7=TH!H543,OR(L543="331",M543="331")),"331",IF(AND(OR(L543="131",M543="131"),H543='131-CT'!$E$7),"131",""))</f>
        <v/>
      </c>
      <c r="O543" s="887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>x</v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09"/>
      <c r="AD543" s="210"/>
      <c r="AE543" s="210"/>
      <c r="AF543" s="210"/>
      <c r="AG543" s="210"/>
    </row>
    <row r="544" spans="1:33" s="210" customFormat="1" ht="15.75" customHeight="1">
      <c r="A544" s="203" t="str">
        <f>IF(B544&lt;&gt;"",IF(AND(B544&gt;=_TM1,B544&lt;=_TM2,OR(TH!L544="1111",TH!M544="1111")),TH!D544,""),"")</f>
        <v/>
      </c>
      <c r="B544" s="36">
        <f t="shared" si="30"/>
        <v>10</v>
      </c>
      <c r="C544" s="183">
        <f t="shared" si="31"/>
        <v>42647</v>
      </c>
      <c r="D544" s="183" t="s">
        <v>611</v>
      </c>
      <c r="E544" s="190">
        <v>42647</v>
      </c>
      <c r="F544" s="188" t="s">
        <v>555</v>
      </c>
      <c r="G544" s="479" t="s">
        <v>866</v>
      </c>
      <c r="H544" s="7" t="s">
        <v>407</v>
      </c>
      <c r="I544" s="255"/>
      <c r="J544" s="255"/>
      <c r="K544" s="37">
        <v>372240</v>
      </c>
      <c r="L544" s="193" t="s">
        <v>259</v>
      </c>
      <c r="M544" s="597" t="s">
        <v>364</v>
      </c>
      <c r="N544" s="51" t="str">
        <f>IF(AND('331-CT'!$E$7=TH!H544,OR(L544="331",M544="331")),"331",IF(AND(OR(L544="131",M544="131"),H544='131-CT'!$E$7),"131",""))</f>
        <v/>
      </c>
      <c r="O544" s="887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09"/>
      <c r="AC544" s="588"/>
      <c r="AD544" s="588"/>
      <c r="AF544" s="588"/>
      <c r="AG544" s="588"/>
    </row>
    <row r="545" spans="1:33" s="588" customFormat="1" ht="15.75" customHeight="1">
      <c r="A545" s="203" t="str">
        <f>IF(B545&lt;&gt;"",IF(AND(B545&gt;=_TM1,B545&lt;=_TM2,OR(TH!L545="1111",TH!M545="1111")),TH!D545,""),"")</f>
        <v/>
      </c>
      <c r="B545" s="36">
        <f t="shared" si="30"/>
        <v>10</v>
      </c>
      <c r="C545" s="183">
        <f t="shared" si="31"/>
        <v>42647</v>
      </c>
      <c r="D545" s="183" t="s">
        <v>612</v>
      </c>
      <c r="E545" s="190">
        <v>42647</v>
      </c>
      <c r="F545" s="188" t="s">
        <v>869</v>
      </c>
      <c r="G545" s="479" t="s">
        <v>868</v>
      </c>
      <c r="H545" s="7" t="s">
        <v>410</v>
      </c>
      <c r="I545" s="255">
        <v>943</v>
      </c>
      <c r="J545" s="255">
        <v>7135</v>
      </c>
      <c r="K545" s="37">
        <f>ROUND(I545*J545,0)</f>
        <v>6728305</v>
      </c>
      <c r="L545" s="193" t="s">
        <v>259</v>
      </c>
      <c r="M545" s="597" t="s">
        <v>174</v>
      </c>
      <c r="N545" s="51" t="str">
        <f>IF(AND('331-CT'!$E$7=TH!H545,OR(L545="331",M545="331")),"331",IF(AND(OR(L545="131",M545="131"),H545='131-CT'!$E$7),"131",""))</f>
        <v/>
      </c>
      <c r="O545" s="887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09"/>
      <c r="AD545" s="210"/>
      <c r="AE545" s="210"/>
      <c r="AF545" s="210"/>
      <c r="AG545" s="210"/>
    </row>
    <row r="546" spans="1:33" s="588" customFormat="1" ht="15.75" customHeight="1">
      <c r="A546" s="203" t="str">
        <f>IF(B546&lt;&gt;"",IF(AND(B546&gt;=_TM1,B546&lt;=_TM2,OR(TH!L546="1111",TH!M546="1111")),TH!D546,""),"")</f>
        <v/>
      </c>
      <c r="B546" s="36">
        <f t="shared" si="30"/>
        <v>10</v>
      </c>
      <c r="C546" s="183">
        <f t="shared" si="31"/>
        <v>42647</v>
      </c>
      <c r="D546" s="183" t="s">
        <v>612</v>
      </c>
      <c r="E546" s="190">
        <v>42647</v>
      </c>
      <c r="F546" s="188" t="s">
        <v>870</v>
      </c>
      <c r="G546" s="479" t="s">
        <v>868</v>
      </c>
      <c r="H546" s="7" t="s">
        <v>410</v>
      </c>
      <c r="I546" s="255">
        <v>270</v>
      </c>
      <c r="J546" s="255">
        <v>8719</v>
      </c>
      <c r="K546" s="37">
        <f>ROUND(I546*J546,0)</f>
        <v>2354130</v>
      </c>
      <c r="L546" s="193" t="s">
        <v>259</v>
      </c>
      <c r="M546" s="597" t="s">
        <v>174</v>
      </c>
      <c r="N546" s="51" t="str">
        <f>IF(AND('331-CT'!$E$7=TH!H546,OR(L546="331",M546="331")),"331",IF(AND(OR(L546="131",M546="131"),H546='131-CT'!$E$7),"131",""))</f>
        <v/>
      </c>
      <c r="O546" s="887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09"/>
      <c r="AD546" s="210"/>
      <c r="AE546" s="210"/>
      <c r="AF546" s="210"/>
      <c r="AG546" s="210"/>
    </row>
    <row r="547" spans="1:33" s="210" customFormat="1" ht="15.75" customHeight="1">
      <c r="A547" s="203" t="str">
        <f>IF(B547&lt;&gt;"",IF(AND(B547&gt;=_TM1,B547&lt;=_TM2,OR(TH!L547="1111",TH!M547="1111")),TH!D547,""),"")</f>
        <v/>
      </c>
      <c r="B547" s="36">
        <f t="shared" si="30"/>
        <v>10</v>
      </c>
      <c r="C547" s="183">
        <f t="shared" si="31"/>
        <v>42647</v>
      </c>
      <c r="D547" s="183" t="s">
        <v>612</v>
      </c>
      <c r="E547" s="190">
        <v>42647</v>
      </c>
      <c r="F547" s="188" t="s">
        <v>555</v>
      </c>
      <c r="G547" s="479" t="s">
        <v>868</v>
      </c>
      <c r="H547" s="7" t="s">
        <v>410</v>
      </c>
      <c r="I547" s="255"/>
      <c r="J547" s="255"/>
      <c r="K547" s="37">
        <v>908243</v>
      </c>
      <c r="L547" s="193" t="s">
        <v>259</v>
      </c>
      <c r="M547" s="597" t="s">
        <v>364</v>
      </c>
      <c r="N547" s="51" t="str">
        <f>IF(AND('331-CT'!$E$7=TH!H547,OR(L547="331",M547="331")),"331",IF(AND(OR(L547="131",M547="131"),H547='131-CT'!$E$7),"131",""))</f>
        <v/>
      </c>
      <c r="O547" s="887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/>
      </c>
      <c r="AB547" s="909"/>
      <c r="AC547" s="588"/>
      <c r="AD547" s="588"/>
      <c r="AF547" s="588"/>
      <c r="AG547" s="588"/>
    </row>
    <row r="548" spans="1:33" s="588" customFormat="1" ht="15.75" customHeight="1">
      <c r="A548" s="203" t="str">
        <f>IF(B548&lt;&gt;"",IF(AND(B548&gt;=_TM1,B548&lt;=_TM2,OR(TH!L548="1111",TH!M548="1111")),TH!D548,""),"")</f>
        <v/>
      </c>
      <c r="B548" s="36">
        <f t="shared" si="30"/>
        <v>10</v>
      </c>
      <c r="C548" s="183">
        <f t="shared" si="31"/>
        <v>42648</v>
      </c>
      <c r="D548" s="183" t="s">
        <v>613</v>
      </c>
      <c r="E548" s="190">
        <v>42648</v>
      </c>
      <c r="F548" s="188" t="s">
        <v>872</v>
      </c>
      <c r="G548" s="479" t="s">
        <v>871</v>
      </c>
      <c r="H548" s="7" t="s">
        <v>677</v>
      </c>
      <c r="I548" s="255">
        <v>305</v>
      </c>
      <c r="J548" s="255">
        <v>9400</v>
      </c>
      <c r="K548" s="37">
        <f>ROUND(I548*J548,0)</f>
        <v>2867000</v>
      </c>
      <c r="L548" s="193" t="s">
        <v>259</v>
      </c>
      <c r="M548" s="597" t="s">
        <v>174</v>
      </c>
      <c r="N548" s="51" t="str">
        <f>IF(AND('331-CT'!$E$7=TH!H548,OR(L548="331",M548="331")),"331",IF(AND(OR(L548="131",M548="131"),H548='131-CT'!$E$7),"131",""))</f>
        <v/>
      </c>
      <c r="O548" s="887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/>
      </c>
      <c r="AB548" s="909"/>
      <c r="AD548" s="210"/>
      <c r="AE548" s="210"/>
      <c r="AF548" s="210"/>
      <c r="AG548" s="210"/>
    </row>
    <row r="549" spans="1:33" s="588" customFormat="1" ht="15.75" customHeight="1">
      <c r="A549" s="203" t="str">
        <f>IF(B549&lt;&gt;"",IF(AND(B549&gt;=_TM1,B549&lt;=_TM2,OR(TH!L549="1111",TH!M549="1111")),TH!D549,""),"")</f>
        <v/>
      </c>
      <c r="B549" s="36">
        <f t="shared" si="30"/>
        <v>10</v>
      </c>
      <c r="C549" s="183">
        <f t="shared" si="31"/>
        <v>42648</v>
      </c>
      <c r="D549" s="183" t="s">
        <v>613</v>
      </c>
      <c r="E549" s="190">
        <v>42648</v>
      </c>
      <c r="F549" s="188" t="s">
        <v>873</v>
      </c>
      <c r="G549" s="479" t="s">
        <v>871</v>
      </c>
      <c r="H549" s="7" t="s">
        <v>677</v>
      </c>
      <c r="I549" s="255">
        <v>55</v>
      </c>
      <c r="J549" s="255">
        <v>12000</v>
      </c>
      <c r="K549" s="37">
        <f>ROUND(I549*J549,0)</f>
        <v>660000</v>
      </c>
      <c r="L549" s="193" t="s">
        <v>259</v>
      </c>
      <c r="M549" s="597" t="s">
        <v>174</v>
      </c>
      <c r="N549" s="51" t="str">
        <f>IF(AND('331-CT'!$E$7=TH!H549,OR(L549="331",M549="331")),"331",IF(AND(OR(L549="131",M549="131"),H549='131-CT'!$E$7),"131",""))</f>
        <v/>
      </c>
      <c r="O549" s="887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/>
      </c>
      <c r="AB549" s="909"/>
      <c r="AD549" s="210"/>
      <c r="AE549" s="210"/>
      <c r="AF549" s="210"/>
      <c r="AG549" s="210"/>
    </row>
    <row r="550" spans="1:33" s="588" customFormat="1" ht="15.75" customHeight="1">
      <c r="A550" s="203" t="str">
        <f>IF(B550&lt;&gt;"",IF(AND(B550&gt;=_TM1,B550&lt;=_TM2,OR(TH!L550="1111",TH!M550="1111")),TH!D550,""),"")</f>
        <v/>
      </c>
      <c r="B550" s="36">
        <f t="shared" si="30"/>
        <v>10</v>
      </c>
      <c r="C550" s="183">
        <f t="shared" si="31"/>
        <v>42648</v>
      </c>
      <c r="D550" s="183" t="s">
        <v>613</v>
      </c>
      <c r="E550" s="190">
        <v>42648</v>
      </c>
      <c r="F550" s="188" t="s">
        <v>874</v>
      </c>
      <c r="G550" s="479" t="s">
        <v>871</v>
      </c>
      <c r="H550" s="7" t="s">
        <v>677</v>
      </c>
      <c r="I550" s="255">
        <v>205</v>
      </c>
      <c r="J550" s="255">
        <v>3200</v>
      </c>
      <c r="K550" s="37">
        <f>ROUND(I550*J550,0)</f>
        <v>656000</v>
      </c>
      <c r="L550" s="193" t="s">
        <v>259</v>
      </c>
      <c r="M550" s="597" t="s">
        <v>174</v>
      </c>
      <c r="N550" s="51" t="str">
        <f>IF(AND('331-CT'!$E$7=TH!H550,OR(L550="331",M550="331")),"331",IF(AND(OR(L550="131",M550="131"),H550='131-CT'!$E$7),"131",""))</f>
        <v/>
      </c>
      <c r="O550" s="887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/>
      </c>
      <c r="AB550" s="909"/>
      <c r="AD550" s="210"/>
      <c r="AE550" s="210"/>
      <c r="AF550" s="210"/>
      <c r="AG550" s="210"/>
    </row>
    <row r="551" spans="1:33" s="210" customFormat="1" ht="15.75" customHeight="1">
      <c r="A551" s="203" t="str">
        <f>IF(B551&lt;&gt;"",IF(AND(B551&gt;=_TM1,B551&lt;=_TM2,OR(TH!L551="1111",TH!M551="1111")),TH!D551,""),"")</f>
        <v/>
      </c>
      <c r="B551" s="36">
        <f t="shared" si="30"/>
        <v>10</v>
      </c>
      <c r="C551" s="183">
        <f t="shared" si="31"/>
        <v>42648</v>
      </c>
      <c r="D551" s="183" t="s">
        <v>613</v>
      </c>
      <c r="E551" s="190">
        <v>42648</v>
      </c>
      <c r="F551" s="188" t="s">
        <v>555</v>
      </c>
      <c r="G551" s="479" t="s">
        <v>871</v>
      </c>
      <c r="H551" s="7" t="s">
        <v>677</v>
      </c>
      <c r="I551" s="255"/>
      <c r="J551" s="255"/>
      <c r="K551" s="37">
        <v>418300</v>
      </c>
      <c r="L551" s="193" t="s">
        <v>259</v>
      </c>
      <c r="M551" s="597" t="s">
        <v>364</v>
      </c>
      <c r="N551" s="51" t="str">
        <f>IF(AND('331-CT'!$E$7=TH!H551,OR(L551="331",M551="331")),"331",IF(AND(OR(L551="131",M551="131"),H551='131-CT'!$E$7),"131",""))</f>
        <v/>
      </c>
      <c r="O551" s="887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/>
      </c>
      <c r="AB551" s="909"/>
      <c r="AC551" s="588"/>
      <c r="AD551" s="588"/>
      <c r="AF551" s="588"/>
      <c r="AG551" s="588"/>
    </row>
    <row r="552" spans="1:33" s="588" customFormat="1" ht="15.75" customHeight="1">
      <c r="A552" s="203" t="str">
        <f>IF(B552&lt;&gt;"",IF(AND(B552&gt;=_TM1,B552&lt;=_TM2,OR(TH!L552="1111",TH!M552="1111")),TH!D552,""),"")</f>
        <v/>
      </c>
      <c r="B552" s="36">
        <f t="shared" si="30"/>
        <v>10</v>
      </c>
      <c r="C552" s="183">
        <f t="shared" si="31"/>
        <v>42648</v>
      </c>
      <c r="D552" s="183" t="s">
        <v>614</v>
      </c>
      <c r="E552" s="190">
        <v>42648</v>
      </c>
      <c r="F552" s="188" t="s">
        <v>579</v>
      </c>
      <c r="G552" s="479" t="s">
        <v>875</v>
      </c>
      <c r="H552" s="7" t="s">
        <v>406</v>
      </c>
      <c r="I552" s="255">
        <v>320</v>
      </c>
      <c r="J552" s="255">
        <v>5000</v>
      </c>
      <c r="K552" s="37">
        <f>ROUND(I552*J552,0)</f>
        <v>1600000</v>
      </c>
      <c r="L552" s="193" t="s">
        <v>259</v>
      </c>
      <c r="M552" s="597" t="s">
        <v>174</v>
      </c>
      <c r="N552" s="51" t="str">
        <f>IF(AND('331-CT'!$E$7=TH!H552,OR(L552="331",M552="331")),"331",IF(AND(OR(L552="131",M552="131"),H552='131-CT'!$E$7),"131",""))</f>
        <v/>
      </c>
      <c r="O552" s="887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09"/>
      <c r="AD552" s="210"/>
      <c r="AE552" s="210"/>
      <c r="AF552" s="210"/>
      <c r="AG552" s="210"/>
    </row>
    <row r="553" spans="1:33" s="588" customFormat="1" ht="15.75" customHeight="1">
      <c r="A553" s="203" t="str">
        <f>IF(B553&lt;&gt;"",IF(AND(B553&gt;=_TM1,B553&lt;=_TM2,OR(TH!L553="1111",TH!M553="1111")),TH!D553,""),"")</f>
        <v/>
      </c>
      <c r="B553" s="36">
        <f t="shared" si="30"/>
        <v>10</v>
      </c>
      <c r="C553" s="183">
        <f t="shared" si="31"/>
        <v>42648</v>
      </c>
      <c r="D553" s="183" t="s">
        <v>614</v>
      </c>
      <c r="E553" s="190">
        <v>42648</v>
      </c>
      <c r="F553" s="188" t="s">
        <v>581</v>
      </c>
      <c r="G553" s="479" t="s">
        <v>875</v>
      </c>
      <c r="H553" s="7" t="s">
        <v>406</v>
      </c>
      <c r="I553" s="255">
        <v>659</v>
      </c>
      <c r="J553" s="255">
        <v>9700</v>
      </c>
      <c r="K553" s="37">
        <f>ROUND(I553*J553,0)</f>
        <v>6392300</v>
      </c>
      <c r="L553" s="193" t="s">
        <v>259</v>
      </c>
      <c r="M553" s="597" t="s">
        <v>174</v>
      </c>
      <c r="N553" s="51" t="str">
        <f>IF(AND('331-CT'!$E$7=TH!H553,OR(L553="331",M553="331")),"331",IF(AND(OR(L553="131",M553="131"),H553='131-CT'!$E$7),"131",""))</f>
        <v/>
      </c>
      <c r="O553" s="887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09"/>
      <c r="AD553" s="210"/>
      <c r="AE553" s="210"/>
      <c r="AF553" s="210"/>
      <c r="AG553" s="210"/>
    </row>
    <row r="554" spans="1:33" s="210" customFormat="1" ht="15.75" customHeight="1">
      <c r="A554" s="203" t="str">
        <f>IF(B554&lt;&gt;"",IF(AND(B554&gt;=_TM1,B554&lt;=_TM2,OR(TH!L554="1111",TH!M554="1111")),TH!D554,""),"")</f>
        <v/>
      </c>
      <c r="B554" s="36">
        <f t="shared" si="30"/>
        <v>10</v>
      </c>
      <c r="C554" s="183">
        <f t="shared" si="31"/>
        <v>42648</v>
      </c>
      <c r="D554" s="183" t="s">
        <v>614</v>
      </c>
      <c r="E554" s="190">
        <v>42648</v>
      </c>
      <c r="F554" s="188" t="s">
        <v>555</v>
      </c>
      <c r="G554" s="479" t="s">
        <v>875</v>
      </c>
      <c r="H554" s="7" t="s">
        <v>406</v>
      </c>
      <c r="I554" s="255"/>
      <c r="J554" s="255"/>
      <c r="K554" s="37">
        <v>799230</v>
      </c>
      <c r="L554" s="193" t="s">
        <v>259</v>
      </c>
      <c r="M554" s="597" t="s">
        <v>364</v>
      </c>
      <c r="N554" s="51" t="str">
        <f>IF(AND('331-CT'!$E$7=TH!H554,OR(L554="331",M554="331")),"331",IF(AND(OR(L554="131",M554="131"),H554='131-CT'!$E$7),"131",""))</f>
        <v/>
      </c>
      <c r="O554" s="887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09"/>
      <c r="AC554" s="588"/>
      <c r="AD554" s="588"/>
      <c r="AF554" s="588"/>
      <c r="AG554" s="588"/>
    </row>
    <row r="555" spans="1:33" s="210" customFormat="1" ht="15.75" customHeight="1">
      <c r="A555" s="203" t="str">
        <f>IF(B555&lt;&gt;"",IF(AND(B555&gt;=_TM1,B555&lt;=_TM2,OR(TH!L555="1111",TH!M555="1111")),TH!D555,""),"")</f>
        <v/>
      </c>
      <c r="B555" s="36">
        <f t="shared" si="30"/>
        <v>10</v>
      </c>
      <c r="C555" s="183">
        <f t="shared" si="31"/>
        <v>42649</v>
      </c>
      <c r="D555" s="183" t="s">
        <v>615</v>
      </c>
      <c r="E555" s="190">
        <v>42649</v>
      </c>
      <c r="F555" s="188" t="s">
        <v>585</v>
      </c>
      <c r="G555" s="479" t="s">
        <v>495</v>
      </c>
      <c r="H555" s="192" t="s">
        <v>584</v>
      </c>
      <c r="I555" s="255">
        <v>400</v>
      </c>
      <c r="J555" s="255">
        <v>20000</v>
      </c>
      <c r="K555" s="37">
        <f>ROUND(I555*J555,0)</f>
        <v>8000000</v>
      </c>
      <c r="L555" s="193" t="s">
        <v>259</v>
      </c>
      <c r="M555" s="597" t="s">
        <v>174</v>
      </c>
      <c r="N555" s="51" t="str">
        <f>IF(AND('331-CT'!$E$7=TH!H555,OR(L555="331",M555="331")),"331",IF(AND(OR(L555="131",M555="131"),H555='131-CT'!$E$7),"131",""))</f>
        <v/>
      </c>
      <c r="O555" s="887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09"/>
      <c r="AC555" s="588"/>
      <c r="AF555" s="588"/>
      <c r="AG555" s="588"/>
    </row>
    <row r="556" spans="1:33" s="210" customFormat="1" ht="15.75" customHeight="1">
      <c r="A556" s="203" t="str">
        <f>IF(B556&lt;&gt;"",IF(AND(B556&gt;=_TM1,B556&lt;=_TM2,OR(TH!L556="1111",TH!M556="1111")),TH!D556,""),"")</f>
        <v/>
      </c>
      <c r="B556" s="36">
        <f t="shared" si="30"/>
        <v>10</v>
      </c>
      <c r="C556" s="183">
        <f t="shared" si="31"/>
        <v>42649</v>
      </c>
      <c r="D556" s="183" t="s">
        <v>615</v>
      </c>
      <c r="E556" s="190">
        <v>42649</v>
      </c>
      <c r="F556" s="188" t="s">
        <v>555</v>
      </c>
      <c r="G556" s="479" t="s">
        <v>495</v>
      </c>
      <c r="H556" s="192" t="s">
        <v>584</v>
      </c>
      <c r="I556" s="255"/>
      <c r="J556" s="255"/>
      <c r="K556" s="37">
        <v>800000</v>
      </c>
      <c r="L556" s="193" t="s">
        <v>259</v>
      </c>
      <c r="M556" s="597" t="s">
        <v>364</v>
      </c>
      <c r="N556" s="51" t="str">
        <f>IF(AND('331-CT'!$E$7=TH!H556,OR(L556="331",M556="331")),"331",IF(AND(OR(L556="131",M556="131"),H556='131-CT'!$E$7),"131",""))</f>
        <v/>
      </c>
      <c r="O556" s="887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09"/>
      <c r="AC556" s="588"/>
      <c r="AD556" s="588"/>
      <c r="AF556" s="588"/>
      <c r="AG556" s="588"/>
    </row>
    <row r="557" spans="1:33" s="210" customFormat="1" ht="15.75" customHeight="1">
      <c r="A557" s="203" t="str">
        <f>IF(B557&lt;&gt;"",IF(AND(B557&gt;=_TM1,B557&lt;=_TM2,OR(TH!L557="1111",TH!M557="1111")),TH!D557,""),"")</f>
        <v/>
      </c>
      <c r="B557" s="36">
        <f t="shared" si="30"/>
        <v>10</v>
      </c>
      <c r="C557" s="183">
        <f t="shared" si="31"/>
        <v>42660</v>
      </c>
      <c r="D557" s="183" t="s">
        <v>616</v>
      </c>
      <c r="E557" s="190">
        <v>42660</v>
      </c>
      <c r="F557" s="188" t="s">
        <v>736</v>
      </c>
      <c r="G557" s="479" t="s">
        <v>823</v>
      </c>
      <c r="H557" s="7" t="s">
        <v>412</v>
      </c>
      <c r="I557" s="255">
        <v>1800</v>
      </c>
      <c r="J557" s="255">
        <v>9100</v>
      </c>
      <c r="K557" s="37">
        <f>ROUND(I557*J557,0)</f>
        <v>16380000</v>
      </c>
      <c r="L557" s="193" t="s">
        <v>259</v>
      </c>
      <c r="M557" s="597" t="s">
        <v>174</v>
      </c>
      <c r="N557" s="51" t="str">
        <f>IF(AND('331-CT'!$E$7=TH!H557,OR(L557="331",M557="331")),"331",IF(AND(OR(L557="131",M557="131"),H557='131-CT'!$E$7),"131",""))</f>
        <v/>
      </c>
      <c r="O557" s="887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09"/>
      <c r="AC557" s="588"/>
      <c r="AF557" s="588"/>
      <c r="AG557" s="588"/>
    </row>
    <row r="558" spans="1:33" s="588" customFormat="1" ht="15.75" customHeight="1">
      <c r="A558" s="203" t="str">
        <f>IF(B558&lt;&gt;"",IF(AND(B558&gt;=_TM1,B558&lt;=_TM2,OR(TH!L558="1111",TH!M558="1111")),TH!D558,""),"")</f>
        <v/>
      </c>
      <c r="B558" s="36">
        <f t="shared" si="30"/>
        <v>10</v>
      </c>
      <c r="C558" s="183">
        <f t="shared" si="31"/>
        <v>42660</v>
      </c>
      <c r="D558" s="183" t="s">
        <v>616</v>
      </c>
      <c r="E558" s="190">
        <v>42660</v>
      </c>
      <c r="F558" s="188" t="s">
        <v>735</v>
      </c>
      <c r="G558" s="479" t="s">
        <v>823</v>
      </c>
      <c r="H558" s="7" t="s">
        <v>412</v>
      </c>
      <c r="I558" s="255">
        <v>26</v>
      </c>
      <c r="J558" s="255">
        <v>13000</v>
      </c>
      <c r="K558" s="37">
        <f>ROUND(I558*J558,0)</f>
        <v>338000</v>
      </c>
      <c r="L558" s="193" t="s">
        <v>259</v>
      </c>
      <c r="M558" s="597" t="s">
        <v>174</v>
      </c>
      <c r="N558" s="51" t="str">
        <f>IF(AND('331-CT'!$E$7=TH!H558,OR(L558="331",M558="331")),"331",IF(AND(OR(L558="131",M558="131"),H558='131-CT'!$E$7),"131",""))</f>
        <v/>
      </c>
      <c r="O558" s="887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09"/>
      <c r="AE558" s="210"/>
    </row>
    <row r="559" spans="1:33" s="588" customFormat="1" ht="15.75" customHeight="1">
      <c r="A559" s="203" t="str">
        <f>IF(B559&lt;&gt;"",IF(AND(B559&gt;=_TM1,B559&lt;=_TM2,OR(TH!L559="1111",TH!M559="1111")),TH!D559,""),"")</f>
        <v/>
      </c>
      <c r="B559" s="36">
        <f t="shared" si="30"/>
        <v>10</v>
      </c>
      <c r="C559" s="183">
        <f t="shared" si="31"/>
        <v>42660</v>
      </c>
      <c r="D559" s="183" t="s">
        <v>616</v>
      </c>
      <c r="E559" s="190">
        <v>42660</v>
      </c>
      <c r="F559" s="188" t="s">
        <v>555</v>
      </c>
      <c r="G559" s="479" t="s">
        <v>823</v>
      </c>
      <c r="H559" s="7" t="s">
        <v>412</v>
      </c>
      <c r="I559" s="256"/>
      <c r="J559" s="255"/>
      <c r="K559" s="37">
        <v>1671800</v>
      </c>
      <c r="L559" s="193" t="s">
        <v>259</v>
      </c>
      <c r="M559" s="597" t="s">
        <v>364</v>
      </c>
      <c r="N559" s="51" t="str">
        <f>IF(AND('331-CT'!$E$7=TH!H559,OR(L559="331",M559="331")),"331",IF(AND(OR(L559="131",M559="131"),H559='131-CT'!$E$7),"131",""))</f>
        <v/>
      </c>
      <c r="O559" s="887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09"/>
      <c r="AE559" s="210"/>
      <c r="AF559" s="210"/>
      <c r="AG559" s="210"/>
    </row>
    <row r="560" spans="1:33" s="588" customFormat="1" ht="15.75" customHeight="1">
      <c r="A560" s="203" t="str">
        <f>IF(B560&lt;&gt;"",IF(AND(B560&gt;=_TM1,B560&lt;=_TM2,OR(TH!L560="1111",TH!M560="1111")),TH!D560,""),"")</f>
        <v/>
      </c>
      <c r="B560" s="36">
        <f t="shared" si="30"/>
        <v>10</v>
      </c>
      <c r="C560" s="183">
        <f t="shared" si="31"/>
        <v>42662</v>
      </c>
      <c r="D560" s="183" t="s">
        <v>617</v>
      </c>
      <c r="E560" s="190">
        <v>42662</v>
      </c>
      <c r="F560" s="188" t="s">
        <v>729</v>
      </c>
      <c r="G560" s="479" t="s">
        <v>824</v>
      </c>
      <c r="H560" s="192" t="s">
        <v>584</v>
      </c>
      <c r="I560" s="256">
        <v>520</v>
      </c>
      <c r="J560" s="256">
        <v>3311</v>
      </c>
      <c r="K560" s="37">
        <f>ROUND(I560*J560,0)</f>
        <v>1721720</v>
      </c>
      <c r="L560" s="193" t="s">
        <v>259</v>
      </c>
      <c r="M560" s="597" t="s">
        <v>174</v>
      </c>
      <c r="N560" s="51" t="str">
        <f>IF(AND('331-CT'!$E$7=TH!H560,OR(L560="331",M560="331")),"331",IF(AND(OR(L560="131",M560="131"),H560='131-CT'!$E$7),"131",""))</f>
        <v/>
      </c>
      <c r="O560" s="887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09"/>
      <c r="AE560" s="210"/>
      <c r="AF560" s="210"/>
      <c r="AG560" s="210"/>
    </row>
    <row r="561" spans="1:33" s="588" customFormat="1" ht="15.75" customHeight="1">
      <c r="A561" s="203" t="str">
        <f>IF(B561&lt;&gt;"",IF(AND(B561&gt;=_TM1,B561&lt;=_TM2,OR(TH!L561="1111",TH!M561="1111")),TH!D561,""),"")</f>
        <v/>
      </c>
      <c r="B561" s="36">
        <f t="shared" si="30"/>
        <v>10</v>
      </c>
      <c r="C561" s="183">
        <f t="shared" si="31"/>
        <v>42662</v>
      </c>
      <c r="D561" s="183" t="s">
        <v>617</v>
      </c>
      <c r="E561" s="190">
        <v>42662</v>
      </c>
      <c r="F561" s="188" t="s">
        <v>585</v>
      </c>
      <c r="G561" s="479" t="s">
        <v>824</v>
      </c>
      <c r="H561" s="192" t="s">
        <v>584</v>
      </c>
      <c r="I561" s="256">
        <v>100</v>
      </c>
      <c r="J561" s="256">
        <v>20000</v>
      </c>
      <c r="K561" s="37">
        <f>ROUND(I561*J561,0)</f>
        <v>2000000</v>
      </c>
      <c r="L561" s="193" t="s">
        <v>259</v>
      </c>
      <c r="M561" s="597" t="s">
        <v>174</v>
      </c>
      <c r="N561" s="51" t="str">
        <f>IF(AND('331-CT'!$E$7=TH!H561,OR(L561="331",M561="331")),"331",IF(AND(OR(L561="131",M561="131"),H561='131-CT'!$E$7),"131",""))</f>
        <v/>
      </c>
      <c r="O561" s="887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09"/>
      <c r="AE561" s="210"/>
      <c r="AF561" s="210"/>
      <c r="AG561" s="210"/>
    </row>
    <row r="562" spans="1:33" s="588" customFormat="1" ht="15.75" customHeight="1">
      <c r="A562" s="203" t="str">
        <f>IF(B562&lt;&gt;"",IF(AND(B562&gt;=_TM1,B562&lt;=_TM2,OR(TH!L562="1111",TH!M562="1111")),TH!D562,""),"")</f>
        <v/>
      </c>
      <c r="B562" s="36">
        <f t="shared" si="30"/>
        <v>10</v>
      </c>
      <c r="C562" s="183">
        <f t="shared" si="31"/>
        <v>42662</v>
      </c>
      <c r="D562" s="183" t="s">
        <v>617</v>
      </c>
      <c r="E562" s="190">
        <v>42662</v>
      </c>
      <c r="F562" s="188" t="s">
        <v>555</v>
      </c>
      <c r="G562" s="479" t="s">
        <v>824</v>
      </c>
      <c r="H562" s="192" t="s">
        <v>584</v>
      </c>
      <c r="I562" s="256"/>
      <c r="J562" s="256"/>
      <c r="K562" s="37">
        <v>372172</v>
      </c>
      <c r="L562" s="193" t="s">
        <v>259</v>
      </c>
      <c r="M562" s="597" t="s">
        <v>364</v>
      </c>
      <c r="N562" s="51" t="str">
        <f>IF(AND('331-CT'!$E$7=TH!H562,OR(L562="331",M562="331")),"331",IF(AND(OR(L562="131",M562="131"),H562='131-CT'!$E$7),"131",""))</f>
        <v/>
      </c>
      <c r="O562" s="887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09"/>
      <c r="AE562" s="210"/>
      <c r="AF562" s="210"/>
      <c r="AG562" s="210"/>
    </row>
    <row r="563" spans="1:33" s="588" customFormat="1" ht="15.75" customHeight="1">
      <c r="A563" s="203" t="str">
        <f>IF(B563&lt;&gt;"",IF(AND(B563&gt;=_TM1,B563&lt;=_TM2,OR(TH!L563="1111",TH!M563="1111")),TH!D563,""),"")</f>
        <v/>
      </c>
      <c r="B563" s="36">
        <f t="shared" si="30"/>
        <v>10</v>
      </c>
      <c r="C563" s="183">
        <f t="shared" si="31"/>
        <v>42672</v>
      </c>
      <c r="D563" s="183" t="s">
        <v>618</v>
      </c>
      <c r="E563" s="190">
        <v>42672</v>
      </c>
      <c r="F563" s="188" t="s">
        <v>730</v>
      </c>
      <c r="G563" s="479" t="s">
        <v>825</v>
      </c>
      <c r="H563" s="7" t="s">
        <v>412</v>
      </c>
      <c r="I563" s="256">
        <f>20+16</f>
        <v>36</v>
      </c>
      <c r="J563" s="256">
        <v>15400</v>
      </c>
      <c r="K563" s="37">
        <f>ROUND(I563*J563,0)</f>
        <v>554400</v>
      </c>
      <c r="L563" s="193" t="s">
        <v>259</v>
      </c>
      <c r="M563" s="597" t="s">
        <v>174</v>
      </c>
      <c r="N563" s="51" t="str">
        <f>IF(AND('331-CT'!$E$7=TH!H563,OR(L563="331",M563="331")),"331",IF(AND(OR(L563="131",M563="131"),H563='131-CT'!$E$7),"131",""))</f>
        <v/>
      </c>
      <c r="O563" s="887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09"/>
      <c r="AE563" s="210"/>
    </row>
    <row r="564" spans="1:33" s="588" customFormat="1" ht="15.75" customHeight="1">
      <c r="A564" s="203" t="str">
        <f>IF(B564&lt;&gt;"",IF(AND(B564&gt;=_TM1,B564&lt;=_TM2,OR(TH!L564="1111",TH!M564="1111")),TH!D564,""),"")</f>
        <v/>
      </c>
      <c r="B564" s="36">
        <f t="shared" si="30"/>
        <v>10</v>
      </c>
      <c r="C564" s="183">
        <f t="shared" si="31"/>
        <v>42672</v>
      </c>
      <c r="D564" s="183" t="s">
        <v>618</v>
      </c>
      <c r="E564" s="190">
        <v>42672</v>
      </c>
      <c r="F564" s="188" t="s">
        <v>717</v>
      </c>
      <c r="G564" s="479" t="s">
        <v>825</v>
      </c>
      <c r="H564" s="7" t="s">
        <v>412</v>
      </c>
      <c r="I564" s="256">
        <v>110</v>
      </c>
      <c r="J564" s="256">
        <v>17500</v>
      </c>
      <c r="K564" s="37">
        <f>ROUND(I564*J564,0)</f>
        <v>1925000</v>
      </c>
      <c r="L564" s="193" t="s">
        <v>259</v>
      </c>
      <c r="M564" s="597" t="s">
        <v>174</v>
      </c>
      <c r="N564" s="51" t="str">
        <f>IF(AND('331-CT'!$E$7=TH!H564,OR(L564="331",M564="331")),"331",IF(AND(OR(L564="131",M564="131"),H564='131-CT'!$E$7),"131",""))</f>
        <v/>
      </c>
      <c r="O564" s="887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09"/>
      <c r="AE564" s="210"/>
    </row>
    <row r="565" spans="1:33" s="588" customFormat="1" ht="15.75" customHeight="1">
      <c r="A565" s="203" t="str">
        <f>IF(B565&lt;&gt;"",IF(AND(B565&gt;=_TM1,B565&lt;=_TM2,OR(TH!L565="1111",TH!M565="1111")),TH!D565,""),"")</f>
        <v/>
      </c>
      <c r="B565" s="36">
        <f t="shared" si="30"/>
        <v>10</v>
      </c>
      <c r="C565" s="183">
        <f t="shared" si="31"/>
        <v>42672</v>
      </c>
      <c r="D565" s="183" t="s">
        <v>618</v>
      </c>
      <c r="E565" s="190">
        <v>42672</v>
      </c>
      <c r="F565" s="188" t="s">
        <v>731</v>
      </c>
      <c r="G565" s="479" t="s">
        <v>825</v>
      </c>
      <c r="H565" s="7" t="s">
        <v>412</v>
      </c>
      <c r="I565" s="256">
        <v>111</v>
      </c>
      <c r="J565" s="256">
        <v>11700</v>
      </c>
      <c r="K565" s="37">
        <f>ROUND(I565*J565,0)</f>
        <v>1298700</v>
      </c>
      <c r="L565" s="193" t="s">
        <v>259</v>
      </c>
      <c r="M565" s="597" t="s">
        <v>174</v>
      </c>
      <c r="N565" s="51" t="str">
        <f>IF(AND('331-CT'!$E$7=TH!H565,OR(L565="331",M565="331")),"331",IF(AND(OR(L565="131",M565="131"),H565='131-CT'!$E$7),"131",""))</f>
        <v/>
      </c>
      <c r="O565" s="887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09"/>
      <c r="AE565" s="210"/>
    </row>
    <row r="566" spans="1:33" s="588" customFormat="1" ht="15.75" customHeight="1">
      <c r="A566" s="203" t="str">
        <f>IF(B566&lt;&gt;"",IF(AND(B566&gt;=_TM1,B566&lt;=_TM2,OR(TH!L566="1111",TH!M566="1111")),TH!D566,""),"")</f>
        <v/>
      </c>
      <c r="B566" s="36">
        <f t="shared" si="30"/>
        <v>10</v>
      </c>
      <c r="C566" s="183">
        <f t="shared" si="31"/>
        <v>42672</v>
      </c>
      <c r="D566" s="183" t="s">
        <v>618</v>
      </c>
      <c r="E566" s="190">
        <v>42672</v>
      </c>
      <c r="F566" s="188" t="s">
        <v>732</v>
      </c>
      <c r="G566" s="479" t="s">
        <v>825</v>
      </c>
      <c r="H566" s="7" t="s">
        <v>412</v>
      </c>
      <c r="I566" s="256">
        <v>18</v>
      </c>
      <c r="J566" s="256">
        <v>18000</v>
      </c>
      <c r="K566" s="37">
        <f>ROUND(I566*J566,0)</f>
        <v>324000</v>
      </c>
      <c r="L566" s="193" t="s">
        <v>259</v>
      </c>
      <c r="M566" s="597" t="s">
        <v>174</v>
      </c>
      <c r="N566" s="51" t="str">
        <f>IF(AND('331-CT'!$E$7=TH!H566,OR(L566="331",M566="331")),"331",IF(AND(OR(L566="131",M566="131"),H566='131-CT'!$E$7),"131",""))</f>
        <v/>
      </c>
      <c r="O566" s="887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09"/>
      <c r="AE566" s="210"/>
    </row>
    <row r="567" spans="1:33" s="588" customFormat="1" ht="15.75" customHeight="1">
      <c r="A567" s="203" t="str">
        <f>IF(B567&lt;&gt;"",IF(AND(B567&gt;=_TM1,B567&lt;=_TM2,OR(TH!L567="1111",TH!M567="1111")),TH!D567,""),"")</f>
        <v/>
      </c>
      <c r="B567" s="36">
        <f t="shared" si="30"/>
        <v>10</v>
      </c>
      <c r="C567" s="183">
        <f t="shared" si="31"/>
        <v>42672</v>
      </c>
      <c r="D567" s="183" t="s">
        <v>618</v>
      </c>
      <c r="E567" s="190">
        <v>42672</v>
      </c>
      <c r="F567" s="188" t="s">
        <v>559</v>
      </c>
      <c r="G567" s="479" t="s">
        <v>825</v>
      </c>
      <c r="H567" s="7" t="s">
        <v>412</v>
      </c>
      <c r="I567" s="256">
        <v>52</v>
      </c>
      <c r="J567" s="256">
        <v>9800</v>
      </c>
      <c r="K567" s="37">
        <f>ROUND(I567*J567,0)</f>
        <v>509600</v>
      </c>
      <c r="L567" s="193" t="s">
        <v>259</v>
      </c>
      <c r="M567" s="597" t="s">
        <v>174</v>
      </c>
      <c r="N567" s="51" t="str">
        <f>IF(AND('331-CT'!$E$7=TH!H567,OR(L567="331",M567="331")),"331",IF(AND(OR(L567="131",M567="131"),H567='131-CT'!$E$7),"131",""))</f>
        <v/>
      </c>
      <c r="O567" s="887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09"/>
      <c r="AE567" s="210"/>
    </row>
    <row r="568" spans="1:33" s="588" customFormat="1" ht="15.75" customHeight="1">
      <c r="A568" s="203" t="str">
        <f>IF(B568&lt;&gt;"",IF(AND(B568&gt;=_TM1,B568&lt;=_TM2,OR(TH!L568="1111",TH!M568="1111")),TH!D568,""),"")</f>
        <v/>
      </c>
      <c r="B568" s="36">
        <f t="shared" si="30"/>
        <v>10</v>
      </c>
      <c r="C568" s="183">
        <f t="shared" si="31"/>
        <v>42672</v>
      </c>
      <c r="D568" s="183" t="s">
        <v>618</v>
      </c>
      <c r="E568" s="190">
        <v>42672</v>
      </c>
      <c r="F568" s="188" t="s">
        <v>555</v>
      </c>
      <c r="G568" s="479" t="s">
        <v>825</v>
      </c>
      <c r="H568" s="7" t="s">
        <v>412</v>
      </c>
      <c r="I568" s="256"/>
      <c r="J568" s="256"/>
      <c r="K568" s="37">
        <v>461170</v>
      </c>
      <c r="L568" s="193" t="s">
        <v>259</v>
      </c>
      <c r="M568" s="597" t="s">
        <v>364</v>
      </c>
      <c r="N568" s="51" t="str">
        <f>IF(AND('331-CT'!$E$7=TH!H568,OR(L568="331",M568="331")),"331",IF(AND(OR(L568="131",M568="131"),H568='131-CT'!$E$7),"131",""))</f>
        <v/>
      </c>
      <c r="O568" s="887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09"/>
      <c r="AE568" s="210"/>
    </row>
    <row r="569" spans="1:33" s="588" customFormat="1" ht="15.75" customHeight="1">
      <c r="A569" s="203" t="str">
        <f>IF(B569&lt;&gt;"",IF(AND(B569&gt;=_TM1,B569&lt;=_TM2,OR(TH!L569="1111",TH!M569="1111")),TH!D569,""),"")</f>
        <v/>
      </c>
      <c r="B569" s="36">
        <f t="shared" si="30"/>
        <v>10</v>
      </c>
      <c r="C569" s="183">
        <f t="shared" si="31"/>
        <v>42672</v>
      </c>
      <c r="D569" s="183" t="s">
        <v>619</v>
      </c>
      <c r="E569" s="190">
        <v>42672</v>
      </c>
      <c r="F569" s="188" t="s">
        <v>559</v>
      </c>
      <c r="G569" s="479" t="s">
        <v>826</v>
      </c>
      <c r="H569" s="7" t="s">
        <v>412</v>
      </c>
      <c r="I569" s="255">
        <f>102+52+52</f>
        <v>206</v>
      </c>
      <c r="J569" s="255">
        <v>9800</v>
      </c>
      <c r="K569" s="37">
        <f>ROUND(I569*J569,0)</f>
        <v>2018800</v>
      </c>
      <c r="L569" s="193" t="s">
        <v>259</v>
      </c>
      <c r="M569" s="597" t="s">
        <v>174</v>
      </c>
      <c r="N569" s="51" t="str">
        <f>IF(AND('331-CT'!$E$7=TH!H569,OR(L569="331",M569="331")),"331",IF(AND(OR(L569="131",M569="131"),H569='131-CT'!$E$7),"131",""))</f>
        <v/>
      </c>
      <c r="O569" s="887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09"/>
      <c r="AD569" s="210"/>
      <c r="AE569" s="210"/>
    </row>
    <row r="570" spans="1:33" s="588" customFormat="1" ht="15.75" customHeight="1">
      <c r="A570" s="203" t="str">
        <f>IF(B570&lt;&gt;"",IF(AND(B570&gt;=_TM1,B570&lt;=_TM2,OR(TH!L570="1111",TH!M570="1111")),TH!D570,""),"")</f>
        <v/>
      </c>
      <c r="B570" s="36">
        <f t="shared" si="30"/>
        <v>10</v>
      </c>
      <c r="C570" s="183">
        <f t="shared" si="31"/>
        <v>42672</v>
      </c>
      <c r="D570" s="183" t="s">
        <v>619</v>
      </c>
      <c r="E570" s="190">
        <v>42672</v>
      </c>
      <c r="F570" s="188" t="s">
        <v>733</v>
      </c>
      <c r="G570" s="479" t="s">
        <v>826</v>
      </c>
      <c r="H570" s="7" t="s">
        <v>412</v>
      </c>
      <c r="I570" s="255">
        <v>330</v>
      </c>
      <c r="J570" s="255">
        <v>7000</v>
      </c>
      <c r="K570" s="37">
        <f>ROUND(I570*J570,0)</f>
        <v>2310000</v>
      </c>
      <c r="L570" s="193" t="s">
        <v>259</v>
      </c>
      <c r="M570" s="597" t="s">
        <v>174</v>
      </c>
      <c r="N570" s="51" t="str">
        <f>IF(AND('331-CT'!$E$7=TH!H570,OR(L570="331",M570="331")),"331",IF(AND(OR(L570="131",M570="131"),H570='131-CT'!$E$7),"131",""))</f>
        <v/>
      </c>
      <c r="O570" s="887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09"/>
      <c r="AE570" s="210"/>
    </row>
    <row r="571" spans="1:33" s="588" customFormat="1" ht="15.75" customHeight="1">
      <c r="A571" s="203" t="str">
        <f>IF(B571&lt;&gt;"",IF(AND(B571&gt;=_TM1,B571&lt;=_TM2,OR(TH!L571="1111",TH!M571="1111")),TH!D571,""),"")</f>
        <v/>
      </c>
      <c r="B571" s="36">
        <f t="shared" si="30"/>
        <v>10</v>
      </c>
      <c r="C571" s="183">
        <f t="shared" si="31"/>
        <v>42672</v>
      </c>
      <c r="D571" s="183" t="s">
        <v>619</v>
      </c>
      <c r="E571" s="190">
        <v>42672</v>
      </c>
      <c r="F571" s="188" t="s">
        <v>734</v>
      </c>
      <c r="G571" s="479" t="s">
        <v>826</v>
      </c>
      <c r="H571" s="7" t="s">
        <v>412</v>
      </c>
      <c r="I571" s="255">
        <v>23</v>
      </c>
      <c r="J571" s="255">
        <v>8700</v>
      </c>
      <c r="K571" s="37">
        <f>ROUND(I571*J571,0)</f>
        <v>200100</v>
      </c>
      <c r="L571" s="193" t="s">
        <v>259</v>
      </c>
      <c r="M571" s="597" t="s">
        <v>174</v>
      </c>
      <c r="N571" s="51" t="str">
        <f>IF(AND('331-CT'!$E$7=TH!H571,OR(L571="331",M571="331")),"331",IF(AND(OR(L571="131",M571="131"),H571='131-CT'!$E$7),"131",""))</f>
        <v/>
      </c>
      <c r="O571" s="887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09"/>
      <c r="AE571" s="210"/>
    </row>
    <row r="572" spans="1:33" s="588" customFormat="1" ht="15.75" customHeight="1">
      <c r="A572" s="203" t="str">
        <f>IF(B572&lt;&gt;"",IF(AND(B572&gt;=_TM1,B572&lt;=_TM2,OR(TH!L572="1111",TH!M572="1111")),TH!D572,""),"")</f>
        <v/>
      </c>
      <c r="B572" s="36">
        <f t="shared" si="30"/>
        <v>10</v>
      </c>
      <c r="C572" s="183">
        <f t="shared" si="31"/>
        <v>42672</v>
      </c>
      <c r="D572" s="183" t="s">
        <v>619</v>
      </c>
      <c r="E572" s="190">
        <v>42672</v>
      </c>
      <c r="F572" s="188" t="s">
        <v>735</v>
      </c>
      <c r="G572" s="479" t="s">
        <v>826</v>
      </c>
      <c r="H572" s="7" t="s">
        <v>412</v>
      </c>
      <c r="I572" s="255">
        <v>55</v>
      </c>
      <c r="J572" s="255">
        <v>12300</v>
      </c>
      <c r="K572" s="37">
        <f>ROUND(I572*J572,0)</f>
        <v>676500</v>
      </c>
      <c r="L572" s="193" t="s">
        <v>259</v>
      </c>
      <c r="M572" s="597" t="s">
        <v>174</v>
      </c>
      <c r="N572" s="51" t="str">
        <f>IF(AND('331-CT'!$E$7=TH!H572,OR(L572="331",M572="331")),"331",IF(AND(OR(L572="131",M572="131"),H572='131-CT'!$E$7),"131",""))</f>
        <v/>
      </c>
      <c r="O572" s="887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09"/>
      <c r="AE572" s="210"/>
    </row>
    <row r="573" spans="1:33" s="588" customFormat="1" ht="15.75" customHeight="1">
      <c r="A573" s="203" t="str">
        <f>IF(B573&lt;&gt;"",IF(AND(B573&gt;=_TM1,B573&lt;=_TM2,OR(TH!L573="1111",TH!M573="1111")),TH!D573,""),"")</f>
        <v/>
      </c>
      <c r="B573" s="36">
        <f t="shared" si="30"/>
        <v>10</v>
      </c>
      <c r="C573" s="183">
        <f t="shared" si="31"/>
        <v>42672</v>
      </c>
      <c r="D573" s="183" t="s">
        <v>619</v>
      </c>
      <c r="E573" s="190">
        <v>42672</v>
      </c>
      <c r="F573" s="188" t="s">
        <v>555</v>
      </c>
      <c r="G573" s="479" t="s">
        <v>826</v>
      </c>
      <c r="H573" s="7" t="s">
        <v>412</v>
      </c>
      <c r="I573" s="255"/>
      <c r="J573" s="255"/>
      <c r="K573" s="37">
        <v>520540</v>
      </c>
      <c r="L573" s="193" t="s">
        <v>259</v>
      </c>
      <c r="M573" s="597" t="s">
        <v>364</v>
      </c>
      <c r="N573" s="51" t="str">
        <f>IF(AND('331-CT'!$E$7=TH!H573,OR(L573="331",M573="331")),"331",IF(AND(OR(L573="131",M573="131"),H573='131-CT'!$E$7),"131",""))</f>
        <v/>
      </c>
      <c r="O573" s="887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09"/>
      <c r="AE573" s="210"/>
    </row>
    <row r="574" spans="1:33" s="588" customFormat="1" ht="15.75" customHeight="1">
      <c r="A574" s="203" t="str">
        <f>IF(B574&lt;&gt;"",IF(AND(B574&gt;=_TM1,B574&lt;=_TM2,OR(TH!L574="1111",TH!M574="1111")),TH!D574,""),"")</f>
        <v/>
      </c>
      <c r="B574" s="36">
        <f t="shared" si="30"/>
        <v>10</v>
      </c>
      <c r="C574" s="183">
        <f t="shared" si="31"/>
        <v>42672</v>
      </c>
      <c r="D574" s="183" t="s">
        <v>620</v>
      </c>
      <c r="E574" s="190">
        <v>42672</v>
      </c>
      <c r="F574" s="188" t="s">
        <v>736</v>
      </c>
      <c r="G574" s="479" t="s">
        <v>827</v>
      </c>
      <c r="H574" s="7" t="s">
        <v>412</v>
      </c>
      <c r="I574" s="255">
        <v>210</v>
      </c>
      <c r="J574" s="255">
        <v>9200</v>
      </c>
      <c r="K574" s="37">
        <f t="shared" ref="K574:K581" si="32">ROUND(I574*J574,0)</f>
        <v>1932000</v>
      </c>
      <c r="L574" s="193" t="s">
        <v>259</v>
      </c>
      <c r="M574" s="597" t="s">
        <v>174</v>
      </c>
      <c r="N574" s="51" t="str">
        <f>IF(AND('331-CT'!$E$7=TH!H574,OR(L574="331",M574="331")),"331",IF(AND(OR(L574="131",M574="131"),H574='131-CT'!$E$7),"131",""))</f>
        <v/>
      </c>
      <c r="O574" s="887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09"/>
      <c r="AE574" s="210"/>
    </row>
    <row r="575" spans="1:33" s="588" customFormat="1" ht="15.75" customHeight="1">
      <c r="A575" s="203" t="str">
        <f>IF(B575&lt;&gt;"",IF(AND(B575&gt;=_TM1,B575&lt;=_TM2,OR(TH!L575="1111",TH!M575="1111")),TH!D575,""),"")</f>
        <v/>
      </c>
      <c r="B575" s="36">
        <f t="shared" si="30"/>
        <v>10</v>
      </c>
      <c r="C575" s="183">
        <f t="shared" si="31"/>
        <v>42672</v>
      </c>
      <c r="D575" s="183" t="s">
        <v>620</v>
      </c>
      <c r="E575" s="190">
        <v>42672</v>
      </c>
      <c r="F575" s="188" t="s">
        <v>737</v>
      </c>
      <c r="G575" s="479" t="s">
        <v>827</v>
      </c>
      <c r="H575" s="7" t="s">
        <v>412</v>
      </c>
      <c r="I575" s="255">
        <v>160</v>
      </c>
      <c r="J575" s="255">
        <v>19700</v>
      </c>
      <c r="K575" s="37">
        <f t="shared" si="32"/>
        <v>3152000</v>
      </c>
      <c r="L575" s="193" t="s">
        <v>259</v>
      </c>
      <c r="M575" s="597" t="s">
        <v>174</v>
      </c>
      <c r="N575" s="51" t="str">
        <f>IF(AND('331-CT'!$E$7=TH!H575,OR(L575="331",M575="331")),"331",IF(AND(OR(L575="131",M575="131"),H575='131-CT'!$E$7),"131",""))</f>
        <v/>
      </c>
      <c r="O575" s="887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09"/>
      <c r="AD575" s="210"/>
      <c r="AE575" s="210"/>
    </row>
    <row r="576" spans="1:33" s="588" customFormat="1" ht="15.75" customHeight="1">
      <c r="A576" s="203" t="str">
        <f>IF(B576&lt;&gt;"",IF(AND(B576&gt;=_TM1,B576&lt;=_TM2,OR(TH!L576="1111",TH!M576="1111")),TH!D576,""),"")</f>
        <v/>
      </c>
      <c r="B576" s="36">
        <f t="shared" si="30"/>
        <v>10</v>
      </c>
      <c r="C576" s="183">
        <f t="shared" si="31"/>
        <v>42672</v>
      </c>
      <c r="D576" s="183" t="s">
        <v>620</v>
      </c>
      <c r="E576" s="190">
        <v>42672</v>
      </c>
      <c r="F576" s="188" t="s">
        <v>559</v>
      </c>
      <c r="G576" s="479" t="s">
        <v>827</v>
      </c>
      <c r="H576" s="7" t="s">
        <v>412</v>
      </c>
      <c r="I576" s="255">
        <v>160</v>
      </c>
      <c r="J576" s="255">
        <v>9800</v>
      </c>
      <c r="K576" s="37">
        <f t="shared" si="32"/>
        <v>1568000</v>
      </c>
      <c r="L576" s="193" t="s">
        <v>259</v>
      </c>
      <c r="M576" s="597" t="s">
        <v>174</v>
      </c>
      <c r="N576" s="51" t="str">
        <f>IF(AND('331-CT'!$E$7=TH!H576,OR(L576="331",M576="331")),"331",IF(AND(OR(L576="131",M576="131"),H576='131-CT'!$E$7),"131",""))</f>
        <v/>
      </c>
      <c r="O576" s="887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09"/>
      <c r="AE576" s="210"/>
    </row>
    <row r="577" spans="1:33" s="588" customFormat="1" ht="15.75" customHeight="1">
      <c r="A577" s="203" t="str">
        <f>IF(B577&lt;&gt;"",IF(AND(B577&gt;=_TM1,B577&lt;=_TM2,OR(TH!L577="1111",TH!M577="1111")),TH!D577,""),"")</f>
        <v/>
      </c>
      <c r="B577" s="36">
        <f t="shared" si="30"/>
        <v>10</v>
      </c>
      <c r="C577" s="183">
        <f t="shared" si="31"/>
        <v>42672</v>
      </c>
      <c r="D577" s="183" t="s">
        <v>620</v>
      </c>
      <c r="E577" s="190">
        <v>42672</v>
      </c>
      <c r="F577" s="188" t="s">
        <v>738</v>
      </c>
      <c r="G577" s="479" t="s">
        <v>827</v>
      </c>
      <c r="H577" s="7" t="s">
        <v>412</v>
      </c>
      <c r="I577" s="255">
        <v>160</v>
      </c>
      <c r="J577" s="255">
        <v>8200</v>
      </c>
      <c r="K577" s="37">
        <f t="shared" si="32"/>
        <v>1312000</v>
      </c>
      <c r="L577" s="193" t="s">
        <v>259</v>
      </c>
      <c r="M577" s="597" t="s">
        <v>174</v>
      </c>
      <c r="N577" s="51" t="str">
        <f>IF(AND('331-CT'!$E$7=TH!H577,OR(L577="331",M577="331")),"331",IF(AND(OR(L577="131",M577="131"),H577='131-CT'!$E$7),"131",""))</f>
        <v/>
      </c>
      <c r="O577" s="887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09"/>
      <c r="AE577" s="210"/>
    </row>
    <row r="578" spans="1:33" s="588" customFormat="1" ht="15.75" customHeight="1">
      <c r="A578" s="203" t="str">
        <f>IF(B578&lt;&gt;"",IF(AND(B578&gt;=_TM1,B578&lt;=_TM2,OR(TH!L578="1111",TH!M578="1111")),TH!D578,""),"")</f>
        <v/>
      </c>
      <c r="B578" s="36">
        <f t="shared" si="30"/>
        <v>10</v>
      </c>
      <c r="C578" s="183">
        <f t="shared" si="31"/>
        <v>42672</v>
      </c>
      <c r="D578" s="183" t="s">
        <v>620</v>
      </c>
      <c r="E578" s="190">
        <v>42672</v>
      </c>
      <c r="F578" s="188" t="s">
        <v>739</v>
      </c>
      <c r="G578" s="479" t="s">
        <v>827</v>
      </c>
      <c r="H578" s="7" t="s">
        <v>412</v>
      </c>
      <c r="I578" s="255">
        <v>103</v>
      </c>
      <c r="J578" s="255">
        <v>9500</v>
      </c>
      <c r="K578" s="37">
        <f t="shared" si="32"/>
        <v>978500</v>
      </c>
      <c r="L578" s="193" t="s">
        <v>259</v>
      </c>
      <c r="M578" s="597" t="s">
        <v>174</v>
      </c>
      <c r="N578" s="51" t="str">
        <f>IF(AND('331-CT'!$E$7=TH!H578,OR(L578="331",M578="331")),"331",IF(AND(OR(L578="131",M578="131"),H578='131-CT'!$E$7),"131",""))</f>
        <v/>
      </c>
      <c r="O578" s="887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09"/>
      <c r="AE578" s="210"/>
    </row>
    <row r="579" spans="1:33" s="588" customFormat="1" ht="15.75" customHeight="1">
      <c r="A579" s="203" t="str">
        <f>IF(B579&lt;&gt;"",IF(AND(B579&gt;=_TM1,B579&lt;=_TM2,OR(TH!L579="1111",TH!M579="1111")),TH!D579,""),"")</f>
        <v/>
      </c>
      <c r="B579" s="36">
        <f t="shared" si="30"/>
        <v>10</v>
      </c>
      <c r="C579" s="183">
        <f t="shared" si="31"/>
        <v>42672</v>
      </c>
      <c r="D579" s="183" t="s">
        <v>620</v>
      </c>
      <c r="E579" s="190">
        <v>42672</v>
      </c>
      <c r="F579" s="188" t="s">
        <v>740</v>
      </c>
      <c r="G579" s="479" t="s">
        <v>827</v>
      </c>
      <c r="H579" s="7" t="s">
        <v>412</v>
      </c>
      <c r="I579" s="255">
        <v>7</v>
      </c>
      <c r="J579" s="255">
        <v>15400</v>
      </c>
      <c r="K579" s="37">
        <f t="shared" si="32"/>
        <v>107800</v>
      </c>
      <c r="L579" s="193" t="s">
        <v>259</v>
      </c>
      <c r="M579" s="597" t="s">
        <v>174</v>
      </c>
      <c r="N579" s="51" t="str">
        <f>IF(AND('331-CT'!$E$7=TH!H579,OR(L579="331",M579="331")),"331",IF(AND(OR(L579="131",M579="131"),H579='131-CT'!$E$7),"131",""))</f>
        <v/>
      </c>
      <c r="O579" s="887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09"/>
      <c r="AE579" s="210"/>
    </row>
    <row r="580" spans="1:33" s="588" customFormat="1" ht="15.75" customHeight="1">
      <c r="A580" s="203" t="str">
        <f>IF(B580&lt;&gt;"",IF(AND(B580&gt;=_TM1,B580&lt;=_TM2,OR(TH!L580="1111",TH!M580="1111")),TH!D580,""),"")</f>
        <v/>
      </c>
      <c r="B580" s="36">
        <f t="shared" si="30"/>
        <v>10</v>
      </c>
      <c r="C580" s="183">
        <f t="shared" si="31"/>
        <v>42672</v>
      </c>
      <c r="D580" s="183" t="s">
        <v>620</v>
      </c>
      <c r="E580" s="190">
        <v>42672</v>
      </c>
      <c r="F580" s="188" t="s">
        <v>741</v>
      </c>
      <c r="G580" s="479" t="s">
        <v>827</v>
      </c>
      <c r="H580" s="7" t="s">
        <v>412</v>
      </c>
      <c r="I580" s="255">
        <v>105</v>
      </c>
      <c r="J580" s="255">
        <v>8100</v>
      </c>
      <c r="K580" s="37">
        <f t="shared" si="32"/>
        <v>850500</v>
      </c>
      <c r="L580" s="193" t="s">
        <v>259</v>
      </c>
      <c r="M580" s="597" t="s">
        <v>174</v>
      </c>
      <c r="N580" s="51" t="str">
        <f>IF(AND('331-CT'!$E$7=TH!H580,OR(L580="331",M580="331")),"331",IF(AND(OR(L580="131",M580="131"),H580='131-CT'!$E$7),"131",""))</f>
        <v/>
      </c>
      <c r="O580" s="887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09"/>
      <c r="AD580" s="210"/>
      <c r="AE580" s="210"/>
    </row>
    <row r="581" spans="1:33" s="588" customFormat="1" ht="15.75" customHeight="1">
      <c r="A581" s="203" t="str">
        <f>IF(B581&lt;&gt;"",IF(AND(B581&gt;=_TM1,B581&lt;=_TM2,OR(TH!L581="1111",TH!M581="1111")),TH!D581,""),"")</f>
        <v/>
      </c>
      <c r="B581" s="36">
        <f t="shared" si="30"/>
        <v>10</v>
      </c>
      <c r="C581" s="183">
        <f t="shared" si="31"/>
        <v>42672</v>
      </c>
      <c r="D581" s="183" t="s">
        <v>620</v>
      </c>
      <c r="E581" s="190">
        <v>42672</v>
      </c>
      <c r="F581" s="188" t="s">
        <v>742</v>
      </c>
      <c r="G581" s="479" t="s">
        <v>827</v>
      </c>
      <c r="H581" s="7" t="s">
        <v>412</v>
      </c>
      <c r="I581" s="255">
        <v>110</v>
      </c>
      <c r="J581" s="255">
        <v>6500</v>
      </c>
      <c r="K581" s="37">
        <f t="shared" si="32"/>
        <v>715000</v>
      </c>
      <c r="L581" s="193" t="s">
        <v>259</v>
      </c>
      <c r="M581" s="597" t="s">
        <v>174</v>
      </c>
      <c r="N581" s="51" t="str">
        <f>IF(AND('331-CT'!$E$7=TH!H581,OR(L581="331",M581="331")),"331",IF(AND(OR(L581="131",M581="131"),H581='131-CT'!$E$7),"131",""))</f>
        <v/>
      </c>
      <c r="O581" s="887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09"/>
      <c r="AE581" s="210"/>
    </row>
    <row r="582" spans="1:33" s="588" customFormat="1" ht="15.75" customHeight="1">
      <c r="A582" s="203" t="str">
        <f>IF(B582&lt;&gt;"",IF(AND(B582&gt;=_TM1,B582&lt;=_TM2,OR(TH!L582="1111",TH!M582="1111")),TH!D582,""),"")</f>
        <v/>
      </c>
      <c r="B582" s="36">
        <f t="shared" si="30"/>
        <v>10</v>
      </c>
      <c r="C582" s="183">
        <f t="shared" si="31"/>
        <v>42672</v>
      </c>
      <c r="D582" s="183" t="s">
        <v>620</v>
      </c>
      <c r="E582" s="190">
        <v>42672</v>
      </c>
      <c r="F582" s="188" t="s">
        <v>555</v>
      </c>
      <c r="G582" s="479" t="s">
        <v>827</v>
      </c>
      <c r="H582" s="7" t="s">
        <v>412</v>
      </c>
      <c r="I582" s="255"/>
      <c r="J582" s="255"/>
      <c r="K582" s="37">
        <v>1061580</v>
      </c>
      <c r="L582" s="193" t="s">
        <v>259</v>
      </c>
      <c r="M582" s="597" t="s">
        <v>364</v>
      </c>
      <c r="N582" s="51" t="str">
        <f>IF(AND('331-CT'!$E$7=TH!H582,OR(L582="331",M582="331")),"331",IF(AND(OR(L582="131",M582="131"),H582='131-CT'!$E$7),"131",""))</f>
        <v/>
      </c>
      <c r="O582" s="887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09"/>
      <c r="AE582" s="210"/>
    </row>
    <row r="583" spans="1:33" s="588" customFormat="1" ht="15.75" customHeight="1">
      <c r="A583" s="203" t="str">
        <f>IF(B583&lt;&gt;"",IF(AND(B583&gt;=_TM1,B583&lt;=_TM2,OR(TH!L583="1111",TH!M583="1111")),TH!D583,""),"")</f>
        <v/>
      </c>
      <c r="B583" s="36">
        <f t="shared" si="30"/>
        <v>11</v>
      </c>
      <c r="C583" s="183">
        <f t="shared" si="31"/>
        <v>42682</v>
      </c>
      <c r="D583" s="183" t="s">
        <v>621</v>
      </c>
      <c r="E583" s="190">
        <v>42682</v>
      </c>
      <c r="F583" s="188" t="s">
        <v>561</v>
      </c>
      <c r="G583" s="479" t="s">
        <v>828</v>
      </c>
      <c r="H583" s="7" t="s">
        <v>408</v>
      </c>
      <c r="I583" s="255">
        <v>300</v>
      </c>
      <c r="J583" s="255">
        <v>13800</v>
      </c>
      <c r="K583" s="37">
        <f>ROUND(I583*J583,0)</f>
        <v>4140000</v>
      </c>
      <c r="L583" s="193" t="s">
        <v>259</v>
      </c>
      <c r="M583" s="597" t="s">
        <v>174</v>
      </c>
      <c r="N583" s="51" t="str">
        <f>IF(AND('331-CT'!$E$7=TH!H583,OR(L583="331",M583="331")),"331",IF(AND(OR(L583="131",M583="131"),H583='131-CT'!$E$7),"131",""))</f>
        <v/>
      </c>
      <c r="O583" s="887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09"/>
      <c r="AD583" s="210"/>
      <c r="AE583" s="210"/>
    </row>
    <row r="584" spans="1:33" s="588" customFormat="1" ht="15.75" customHeight="1">
      <c r="A584" s="203" t="str">
        <f>IF(B584&lt;&gt;"",IF(AND(B584&gt;=_TM1,B584&lt;=_TM2,OR(TH!L584="1111",TH!M584="1111")),TH!D584,""),"")</f>
        <v/>
      </c>
      <c r="B584" s="36">
        <f t="shared" si="30"/>
        <v>11</v>
      </c>
      <c r="C584" s="183">
        <f t="shared" si="31"/>
        <v>42682</v>
      </c>
      <c r="D584" s="183" t="s">
        <v>621</v>
      </c>
      <c r="E584" s="190">
        <v>42682</v>
      </c>
      <c r="F584" s="188" t="s">
        <v>561</v>
      </c>
      <c r="G584" s="479" t="s">
        <v>828</v>
      </c>
      <c r="H584" s="7" t="s">
        <v>408</v>
      </c>
      <c r="I584" s="255">
        <v>2000</v>
      </c>
      <c r="J584" s="255">
        <v>13800</v>
      </c>
      <c r="K584" s="37">
        <f>ROUND(I584*J584,0)</f>
        <v>27600000</v>
      </c>
      <c r="L584" s="193" t="s">
        <v>259</v>
      </c>
      <c r="M584" s="597" t="s">
        <v>174</v>
      </c>
      <c r="N584" s="51" t="str">
        <f>IF(AND('331-CT'!$E$7=TH!H584,OR(L584="331",M584="331")),"331",IF(AND(OR(L584="131",M584="131"),H584='131-CT'!$E$7),"131",""))</f>
        <v/>
      </c>
      <c r="O584" s="887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09"/>
      <c r="AE584" s="210"/>
    </row>
    <row r="585" spans="1:33" s="588" customFormat="1" ht="15.75" customHeight="1">
      <c r="A585" s="203" t="str">
        <f>IF(B585&lt;&gt;"",IF(AND(B585&gt;=_TM1,B585&lt;=_TM2,OR(TH!L585="1111",TH!M585="1111")),TH!D585,""),"")</f>
        <v/>
      </c>
      <c r="B585" s="36">
        <f t="shared" si="30"/>
        <v>11</v>
      </c>
      <c r="C585" s="183">
        <f t="shared" si="31"/>
        <v>42682</v>
      </c>
      <c r="D585" s="183" t="s">
        <v>621</v>
      </c>
      <c r="E585" s="190">
        <v>42682</v>
      </c>
      <c r="F585" s="188" t="s">
        <v>743</v>
      </c>
      <c r="G585" s="479" t="s">
        <v>828</v>
      </c>
      <c r="H585" s="7" t="s">
        <v>408</v>
      </c>
      <c r="I585" s="255">
        <v>4600</v>
      </c>
      <c r="J585" s="255">
        <v>1300</v>
      </c>
      <c r="K585" s="37">
        <f>ROUND(I585*J585,0)</f>
        <v>5980000</v>
      </c>
      <c r="L585" s="193" t="s">
        <v>259</v>
      </c>
      <c r="M585" s="597" t="s">
        <v>174</v>
      </c>
      <c r="N585" s="51" t="str">
        <f>IF(AND('331-CT'!$E$7=TH!H585,OR(L585="331",M585="331")),"331",IF(AND(OR(L585="131",M585="131"),H585='131-CT'!$E$7),"131",""))</f>
        <v/>
      </c>
      <c r="O585" s="887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09"/>
      <c r="AD585" s="210"/>
      <c r="AE585" s="210"/>
    </row>
    <row r="586" spans="1:33" s="588" customFormat="1" ht="15.75" customHeight="1">
      <c r="A586" s="203" t="str">
        <f>IF(B586&lt;&gt;"",IF(AND(B586&gt;=_TM1,B586&lt;=_TM2,OR(TH!L586="1111",TH!M586="1111")),TH!D586,""),"")</f>
        <v/>
      </c>
      <c r="B586" s="36">
        <f t="shared" si="30"/>
        <v>11</v>
      </c>
      <c r="C586" s="183">
        <f t="shared" si="31"/>
        <v>42682</v>
      </c>
      <c r="D586" s="183" t="s">
        <v>621</v>
      </c>
      <c r="E586" s="190">
        <v>42682</v>
      </c>
      <c r="F586" s="188" t="s">
        <v>555</v>
      </c>
      <c r="G586" s="479" t="s">
        <v>828</v>
      </c>
      <c r="H586" s="7" t="s">
        <v>408</v>
      </c>
      <c r="I586" s="257"/>
      <c r="J586" s="255"/>
      <c r="K586" s="37">
        <v>3772000</v>
      </c>
      <c r="L586" s="193" t="s">
        <v>259</v>
      </c>
      <c r="M586" s="597" t="s">
        <v>364</v>
      </c>
      <c r="N586" s="51" t="str">
        <f>IF(AND('331-CT'!$E$7=TH!H586,OR(L586="331",M586="331")),"331",IF(AND(OR(L586="131",M586="131"),H586='131-CT'!$E$7),"131",""))</f>
        <v/>
      </c>
      <c r="O586" s="887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09"/>
      <c r="AE586" s="210"/>
    </row>
    <row r="587" spans="1:33" s="588" customFormat="1" ht="15.75" customHeight="1">
      <c r="A587" s="203" t="str">
        <f>IF(B587&lt;&gt;"",IF(AND(B587&gt;=_TM1,B587&lt;=_TM2,OR(TH!L587="1111",TH!M587="1111")),TH!D587,""),"")</f>
        <v/>
      </c>
      <c r="B587" s="36">
        <f t="shared" si="30"/>
        <v>11</v>
      </c>
      <c r="C587" s="183">
        <f t="shared" si="31"/>
        <v>42682</v>
      </c>
      <c r="D587" s="183" t="s">
        <v>622</v>
      </c>
      <c r="E587" s="190">
        <v>42682</v>
      </c>
      <c r="F587" s="188" t="s">
        <v>744</v>
      </c>
      <c r="G587" s="479" t="s">
        <v>829</v>
      </c>
      <c r="H587" s="192" t="s">
        <v>745</v>
      </c>
      <c r="I587" s="255">
        <v>6030</v>
      </c>
      <c r="J587" s="255">
        <v>13800</v>
      </c>
      <c r="K587" s="37">
        <f>ROUND(I587*J587,0)</f>
        <v>83214000</v>
      </c>
      <c r="L587" s="193" t="s">
        <v>259</v>
      </c>
      <c r="M587" s="597" t="s">
        <v>174</v>
      </c>
      <c r="N587" s="51" t="str">
        <f>IF(AND('331-CT'!$E$7=TH!H587,OR(L587="331",M587="331")),"331",IF(AND(OR(L587="131",M587="131"),H587='131-CT'!$E$7),"131",""))</f>
        <v/>
      </c>
      <c r="O587" s="887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09"/>
      <c r="AD587" s="210"/>
      <c r="AE587" s="210"/>
    </row>
    <row r="588" spans="1:33" s="588" customFormat="1" ht="15.75" customHeight="1">
      <c r="A588" s="203" t="str">
        <f>IF(B588&lt;&gt;"",IF(AND(B588&gt;=_TM1,B588&lt;=_TM2,OR(TH!L588="1111",TH!M588="1111")),TH!D588,""),"")</f>
        <v/>
      </c>
      <c r="B588" s="36">
        <f t="shared" si="30"/>
        <v>11</v>
      </c>
      <c r="C588" s="183">
        <f t="shared" si="31"/>
        <v>42682</v>
      </c>
      <c r="D588" s="183" t="s">
        <v>622</v>
      </c>
      <c r="E588" s="190">
        <v>42682</v>
      </c>
      <c r="F588" s="188" t="s">
        <v>555</v>
      </c>
      <c r="G588" s="479" t="s">
        <v>829</v>
      </c>
      <c r="H588" s="192" t="s">
        <v>745</v>
      </c>
      <c r="I588" s="255"/>
      <c r="J588" s="255"/>
      <c r="K588" s="37">
        <v>8321400</v>
      </c>
      <c r="L588" s="193" t="s">
        <v>259</v>
      </c>
      <c r="M588" s="597" t="s">
        <v>364</v>
      </c>
      <c r="N588" s="51" t="str">
        <f>IF(AND('331-CT'!$E$7=TH!H588,OR(L588="331",M588="331")),"331",IF(AND(OR(L588="131",M588="131"),H588='131-CT'!$E$7),"131",""))</f>
        <v/>
      </c>
      <c r="O588" s="887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09"/>
      <c r="AE588" s="210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>
        <f t="shared" si="30"/>
        <v>11</v>
      </c>
      <c r="C589" s="183">
        <f t="shared" si="31"/>
        <v>42683</v>
      </c>
      <c r="D589" s="183" t="s">
        <v>623</v>
      </c>
      <c r="E589" s="190">
        <v>42683</v>
      </c>
      <c r="F589" s="188" t="s">
        <v>754</v>
      </c>
      <c r="G589" s="479" t="s">
        <v>830</v>
      </c>
      <c r="H589" s="7" t="s">
        <v>683</v>
      </c>
      <c r="I589" s="255">
        <v>318</v>
      </c>
      <c r="J589" s="255">
        <v>5800</v>
      </c>
      <c r="K589" s="37">
        <f>ROUND(I589*J589,0)</f>
        <v>1844400</v>
      </c>
      <c r="L589" s="193" t="s">
        <v>259</v>
      </c>
      <c r="M589" s="597" t="s">
        <v>174</v>
      </c>
      <c r="N589" s="51" t="str">
        <f>IF(AND('331-CT'!$E$7=TH!H589,OR(L589="331",M589="331")),"331",IF(AND(OR(L589="131",M589="131"),H589='131-CT'!$E$7),"131",""))</f>
        <v/>
      </c>
      <c r="O589" s="887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09"/>
      <c r="AC589" s="588"/>
      <c r="AD589" s="588"/>
    </row>
    <row r="590" spans="1:33" s="588" customFormat="1" ht="15.75" customHeight="1">
      <c r="A590" s="203" t="str">
        <f>IF(B590&lt;&gt;"",IF(AND(B590&gt;=_TM1,B590&lt;=_TM2,OR(TH!L590="1111",TH!M590="1111")),TH!D590,""),"")</f>
        <v/>
      </c>
      <c r="B590" s="36">
        <f t="shared" si="30"/>
        <v>11</v>
      </c>
      <c r="C590" s="183">
        <f t="shared" si="31"/>
        <v>42683</v>
      </c>
      <c r="D590" s="183" t="s">
        <v>623</v>
      </c>
      <c r="E590" s="190">
        <v>42683</v>
      </c>
      <c r="F590" s="188" t="s">
        <v>599</v>
      </c>
      <c r="G590" s="479" t="s">
        <v>830</v>
      </c>
      <c r="H590" s="7" t="s">
        <v>683</v>
      </c>
      <c r="I590" s="255">
        <v>520</v>
      </c>
      <c r="J590" s="255">
        <v>6400</v>
      </c>
      <c r="K590" s="37">
        <f>ROUND(I590*J590,0)</f>
        <v>3328000</v>
      </c>
      <c r="L590" s="193" t="s">
        <v>259</v>
      </c>
      <c r="M590" s="597" t="s">
        <v>174</v>
      </c>
      <c r="N590" s="51" t="str">
        <f>IF(AND('331-CT'!$E$7=TH!H590,OR(L590="331",M590="331")),"331",IF(AND(OR(L590="131",M590="131"),H590='131-CT'!$E$7),"131",""))</f>
        <v/>
      </c>
      <c r="O590" s="887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09"/>
      <c r="AF590" s="210"/>
      <c r="AG590" s="210"/>
    </row>
    <row r="591" spans="1:33" s="588" customFormat="1" ht="15.75" customHeight="1">
      <c r="A591" s="203" t="str">
        <f>IF(B591&lt;&gt;"",IF(AND(B591&gt;=_TM1,B591&lt;=_TM2,OR(TH!L591="1111",TH!M591="1111")),TH!D591,""),"")</f>
        <v/>
      </c>
      <c r="B591" s="36">
        <f t="shared" si="30"/>
        <v>11</v>
      </c>
      <c r="C591" s="183">
        <f t="shared" si="31"/>
        <v>42683</v>
      </c>
      <c r="D591" s="183" t="s">
        <v>623</v>
      </c>
      <c r="E591" s="190">
        <v>42683</v>
      </c>
      <c r="F591" s="188" t="s">
        <v>555</v>
      </c>
      <c r="G591" s="479" t="s">
        <v>830</v>
      </c>
      <c r="H591" s="7" t="s">
        <v>683</v>
      </c>
      <c r="I591" s="256"/>
      <c r="J591" s="256"/>
      <c r="K591" s="37">
        <v>517240</v>
      </c>
      <c r="L591" s="193" t="s">
        <v>259</v>
      </c>
      <c r="M591" s="597" t="s">
        <v>364</v>
      </c>
      <c r="N591" s="51" t="str">
        <f>IF(AND('331-CT'!$E$7=TH!H591,OR(L591="331",M591="331")),"331",IF(AND(OR(L591="131",M591="131"),H591='131-CT'!$E$7),"131",""))</f>
        <v/>
      </c>
      <c r="O591" s="887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09"/>
      <c r="AF591" s="210"/>
      <c r="AG591" s="210"/>
    </row>
    <row r="592" spans="1:33" s="588" customFormat="1" ht="15.75" customHeight="1">
      <c r="A592" s="203" t="str">
        <f>IF(B592&lt;&gt;"",IF(AND(B592&gt;=_TM1,B592&lt;=_TM2,OR(TH!L592="1111",TH!M592="1111")),TH!D592,""),"")</f>
        <v/>
      </c>
      <c r="B592" s="36">
        <f t="shared" si="30"/>
        <v>11</v>
      </c>
      <c r="C592" s="183">
        <f t="shared" si="31"/>
        <v>42683</v>
      </c>
      <c r="D592" s="183" t="s">
        <v>624</v>
      </c>
      <c r="E592" s="190">
        <v>42683</v>
      </c>
      <c r="F592" s="188" t="s">
        <v>878</v>
      </c>
      <c r="G592" s="479" t="s">
        <v>876</v>
      </c>
      <c r="H592" s="7" t="s">
        <v>879</v>
      </c>
      <c r="I592" s="255">
        <v>4000</v>
      </c>
      <c r="J592" s="255">
        <v>4500</v>
      </c>
      <c r="K592" s="37">
        <f>ROUND(I592*J592,0)</f>
        <v>18000000</v>
      </c>
      <c r="L592" s="193" t="s">
        <v>259</v>
      </c>
      <c r="M592" s="597" t="s">
        <v>174</v>
      </c>
      <c r="N592" s="51" t="str">
        <f>IF(AND('331-CT'!$E$7=TH!H592,OR(L592="331",M592="331")),"331",IF(AND(OR(L592="131",M592="131"),H592='131-CT'!$E$7),"131",""))</f>
        <v/>
      </c>
      <c r="O592" s="887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09"/>
      <c r="AF592" s="210"/>
      <c r="AG592" s="210"/>
    </row>
    <row r="593" spans="1:33" s="588" customFormat="1" ht="15.75" customHeight="1">
      <c r="A593" s="203" t="str">
        <f>IF(B593&lt;&gt;"",IF(AND(B593&gt;=_TM1,B593&lt;=_TM2,OR(TH!L593="1111",TH!M593="1111")),TH!D593,""),"")</f>
        <v/>
      </c>
      <c r="B593" s="36">
        <f t="shared" si="30"/>
        <v>11</v>
      </c>
      <c r="C593" s="183">
        <f t="shared" si="31"/>
        <v>42683</v>
      </c>
      <c r="D593" s="183" t="s">
        <v>624</v>
      </c>
      <c r="E593" s="190">
        <v>42683</v>
      </c>
      <c r="F593" s="188" t="s">
        <v>555</v>
      </c>
      <c r="G593" s="479" t="s">
        <v>876</v>
      </c>
      <c r="H593" s="7" t="s">
        <v>879</v>
      </c>
      <c r="I593" s="256"/>
      <c r="J593" s="256"/>
      <c r="K593" s="37">
        <v>1800000</v>
      </c>
      <c r="L593" s="193" t="s">
        <v>259</v>
      </c>
      <c r="M593" s="597" t="s">
        <v>364</v>
      </c>
      <c r="N593" s="51" t="str">
        <f>IF(AND('331-CT'!$E$7=TH!H593,OR(L593="331",M593="331")),"331",IF(AND(OR(L593="131",M593="131"),H593='131-CT'!$E$7),"131",""))</f>
        <v/>
      </c>
      <c r="O593" s="887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09"/>
      <c r="AF593" s="210"/>
      <c r="AG593" s="210"/>
    </row>
    <row r="594" spans="1:33" s="588" customFormat="1" ht="15.75" customHeight="1">
      <c r="A594" s="203" t="str">
        <f>IF(B594&lt;&gt;"",IF(AND(B594&gt;=_TM1,B594&lt;=_TM2,OR(TH!L594="1111",TH!M594="1111")),TH!D594,""),"")</f>
        <v/>
      </c>
      <c r="B594" s="36">
        <f t="shared" si="30"/>
        <v>11</v>
      </c>
      <c r="C594" s="183">
        <f t="shared" si="31"/>
        <v>42683</v>
      </c>
      <c r="D594" s="183"/>
      <c r="E594" s="190">
        <v>42683</v>
      </c>
      <c r="F594" s="191" t="s">
        <v>543</v>
      </c>
      <c r="G594" s="479" t="s">
        <v>876</v>
      </c>
      <c r="H594" s="7" t="s">
        <v>879</v>
      </c>
      <c r="I594" s="256"/>
      <c r="J594" s="256"/>
      <c r="K594" s="37">
        <v>19800000</v>
      </c>
      <c r="L594" s="193" t="s">
        <v>47</v>
      </c>
      <c r="M594" s="597" t="s">
        <v>259</v>
      </c>
      <c r="N594" s="51" t="str">
        <f>IF(AND('331-CT'!$E$7=TH!H594,OR(L594="331",M594="331")),"331",IF(AND(OR(L594="131",M594="131"),H594='131-CT'!$E$7),"131",""))</f>
        <v/>
      </c>
      <c r="O594" s="887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09"/>
      <c r="AF594" s="210"/>
      <c r="AG594" s="210"/>
    </row>
    <row r="595" spans="1:33" s="588" customFormat="1" ht="15.75" customHeight="1">
      <c r="A595" s="203" t="str">
        <f>IF(B595&lt;&gt;"",IF(AND(B595&gt;=_TM1,B595&lt;=_TM2,OR(TH!L595="1111",TH!M595="1111")),TH!D595,""),"")</f>
        <v/>
      </c>
      <c r="B595" s="36">
        <f t="shared" si="30"/>
        <v>11</v>
      </c>
      <c r="C595" s="183">
        <f t="shared" si="31"/>
        <v>42684</v>
      </c>
      <c r="D595" s="183" t="s">
        <v>625</v>
      </c>
      <c r="E595" s="190">
        <v>42684</v>
      </c>
      <c r="F595" s="188" t="s">
        <v>878</v>
      </c>
      <c r="G595" s="479" t="s">
        <v>877</v>
      </c>
      <c r="H595" s="7" t="s">
        <v>879</v>
      </c>
      <c r="I595" s="255">
        <v>4000</v>
      </c>
      <c r="J595" s="255">
        <v>4500</v>
      </c>
      <c r="K595" s="37">
        <f>ROUND(I595*J595,0)</f>
        <v>18000000</v>
      </c>
      <c r="L595" s="193" t="s">
        <v>259</v>
      </c>
      <c r="M595" s="597" t="s">
        <v>174</v>
      </c>
      <c r="N595" s="51" t="str">
        <f>IF(AND('331-CT'!$E$7=TH!H595,OR(L595="331",M595="331")),"331",IF(AND(OR(L595="131",M595="131"),H595='131-CT'!$E$7),"131",""))</f>
        <v/>
      </c>
      <c r="O595" s="887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09"/>
      <c r="AF595" s="210"/>
      <c r="AG595" s="210"/>
    </row>
    <row r="596" spans="1:33" s="588" customFormat="1" ht="15.75" customHeight="1">
      <c r="A596" s="203" t="str">
        <f>IF(B596&lt;&gt;"",IF(AND(B596&gt;=_TM1,B596&lt;=_TM2,OR(TH!L596="1111",TH!M596="1111")),TH!D596,""),"")</f>
        <v/>
      </c>
      <c r="B596" s="36">
        <f t="shared" si="30"/>
        <v>11</v>
      </c>
      <c r="C596" s="183">
        <f t="shared" si="31"/>
        <v>42684</v>
      </c>
      <c r="D596" s="183" t="s">
        <v>625</v>
      </c>
      <c r="E596" s="190">
        <v>42684</v>
      </c>
      <c r="F596" s="188" t="s">
        <v>555</v>
      </c>
      <c r="G596" s="479" t="s">
        <v>877</v>
      </c>
      <c r="H596" s="7" t="s">
        <v>879</v>
      </c>
      <c r="I596" s="256"/>
      <c r="J596" s="256"/>
      <c r="K596" s="37">
        <v>1800000</v>
      </c>
      <c r="L596" s="193" t="s">
        <v>259</v>
      </c>
      <c r="M596" s="597" t="s">
        <v>364</v>
      </c>
      <c r="N596" s="51" t="str">
        <f>IF(AND('331-CT'!$E$7=TH!H596,OR(L596="331",M596="331")),"331",IF(AND(OR(L596="131",M596="131"),H596='131-CT'!$E$7),"131",""))</f>
        <v/>
      </c>
      <c r="O596" s="887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09"/>
      <c r="AF596" s="210"/>
      <c r="AG596" s="210"/>
    </row>
    <row r="597" spans="1:33" s="588" customFormat="1" ht="15.75" customHeight="1">
      <c r="A597" s="203" t="str">
        <f>IF(B597&lt;&gt;"",IF(AND(B597&gt;=_TM1,B597&lt;=_TM2,OR(TH!L597="1111",TH!M597="1111")),TH!D597,""),"")</f>
        <v/>
      </c>
      <c r="B597" s="36">
        <f t="shared" si="30"/>
        <v>11</v>
      </c>
      <c r="C597" s="183">
        <f t="shared" si="31"/>
        <v>42684</v>
      </c>
      <c r="D597" s="183"/>
      <c r="E597" s="190">
        <v>42684</v>
      </c>
      <c r="F597" s="191" t="s">
        <v>543</v>
      </c>
      <c r="G597" s="479" t="s">
        <v>877</v>
      </c>
      <c r="H597" s="7" t="s">
        <v>879</v>
      </c>
      <c r="I597" s="256"/>
      <c r="J597" s="256"/>
      <c r="K597" s="37">
        <v>19800000</v>
      </c>
      <c r="L597" s="193" t="s">
        <v>47</v>
      </c>
      <c r="M597" s="597" t="s">
        <v>259</v>
      </c>
      <c r="N597" s="51" t="str">
        <f>IF(AND('331-CT'!$E$7=TH!H597,OR(L597="331",M597="331")),"331",IF(AND(OR(L597="131",M597="131"),H597='131-CT'!$E$7),"131",""))</f>
        <v/>
      </c>
      <c r="O597" s="887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09"/>
      <c r="AF597" s="210"/>
      <c r="AG597" s="210"/>
    </row>
    <row r="598" spans="1:33" s="210" customFormat="1" ht="15.75" customHeight="1">
      <c r="A598" s="203" t="str">
        <f>IF(B598&lt;&gt;"",IF(AND(B598&gt;=_TM1,B598&lt;=_TM2,OR(TH!L598="1111",TH!M598="1111")),TH!D598,""),"")</f>
        <v/>
      </c>
      <c r="B598" s="36">
        <f t="shared" si="30"/>
        <v>11</v>
      </c>
      <c r="C598" s="183">
        <f t="shared" si="31"/>
        <v>42693</v>
      </c>
      <c r="D598" s="183" t="s">
        <v>626</v>
      </c>
      <c r="E598" s="190">
        <v>42693</v>
      </c>
      <c r="F598" s="188" t="s">
        <v>747</v>
      </c>
      <c r="G598" s="479" t="s">
        <v>831</v>
      </c>
      <c r="H598" s="7" t="s">
        <v>410</v>
      </c>
      <c r="I598" s="256">
        <v>23</v>
      </c>
      <c r="J598" s="256">
        <v>16070</v>
      </c>
      <c r="K598" s="37">
        <f t="shared" ref="K598:K603" si="33">ROUND(I598*J598,0)</f>
        <v>369610</v>
      </c>
      <c r="L598" s="193" t="s">
        <v>259</v>
      </c>
      <c r="M598" s="597" t="s">
        <v>174</v>
      </c>
      <c r="N598" s="51" t="str">
        <f>IF(AND('331-CT'!$E$7=TH!H598,OR(L598="331",M598="331")),"331",IF(AND(OR(L598="131",M598="131"),H598='131-CT'!$E$7),"131",""))</f>
        <v/>
      </c>
      <c r="O598" s="887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09"/>
      <c r="AC598" s="588"/>
      <c r="AD598" s="588"/>
      <c r="AF598" s="588"/>
      <c r="AG598" s="588"/>
    </row>
    <row r="599" spans="1:33" s="588" customFormat="1" ht="15.75" customHeight="1">
      <c r="A599" s="203" t="str">
        <f>IF(B599&lt;&gt;"",IF(AND(B599&gt;=_TM1,B599&lt;=_TM2,OR(TH!L599="1111",TH!M599="1111")),TH!D599,""),"")</f>
        <v/>
      </c>
      <c r="B599" s="36">
        <f t="shared" ref="B599:B665" si="34">IF(C599&lt;&gt;"",MONTH(C599),"")</f>
        <v>11</v>
      </c>
      <c r="C599" s="183">
        <f t="shared" ref="C599:C665" si="35">E599</f>
        <v>42693</v>
      </c>
      <c r="D599" s="183" t="s">
        <v>626</v>
      </c>
      <c r="E599" s="190">
        <v>42693</v>
      </c>
      <c r="F599" s="188" t="s">
        <v>557</v>
      </c>
      <c r="G599" s="479" t="s">
        <v>831</v>
      </c>
      <c r="H599" s="7" t="s">
        <v>410</v>
      </c>
      <c r="I599" s="256">
        <v>63</v>
      </c>
      <c r="J599" s="256">
        <v>75276</v>
      </c>
      <c r="K599" s="37">
        <f t="shared" si="33"/>
        <v>4742388</v>
      </c>
      <c r="L599" s="193" t="s">
        <v>259</v>
      </c>
      <c r="M599" s="597" t="s">
        <v>174</v>
      </c>
      <c r="N599" s="51" t="str">
        <f>IF(AND('331-CT'!$E$7=TH!H599,OR(L599="331",M599="331")),"331",IF(AND(OR(L599="131",M599="131"),H599='131-CT'!$E$7),"131",""))</f>
        <v/>
      </c>
      <c r="O599" s="887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09"/>
      <c r="AE599" s="210"/>
    </row>
    <row r="600" spans="1:33" s="588" customFormat="1" ht="15.75" customHeight="1">
      <c r="A600" s="203" t="str">
        <f>IF(B600&lt;&gt;"",IF(AND(B600&gt;=_TM1,B600&lt;=_TM2,OR(TH!L600="1111",TH!M600="1111")),TH!D600,""),"")</f>
        <v/>
      </c>
      <c r="B600" s="36">
        <f t="shared" si="34"/>
        <v>11</v>
      </c>
      <c r="C600" s="183">
        <f t="shared" si="35"/>
        <v>42693</v>
      </c>
      <c r="D600" s="183" t="s">
        <v>626</v>
      </c>
      <c r="E600" s="190">
        <v>42693</v>
      </c>
      <c r="F600" s="188" t="s">
        <v>748</v>
      </c>
      <c r="G600" s="479" t="s">
        <v>831</v>
      </c>
      <c r="H600" s="7" t="s">
        <v>410</v>
      </c>
      <c r="I600" s="255">
        <v>27</v>
      </c>
      <c r="J600" s="255">
        <v>29954</v>
      </c>
      <c r="K600" s="37">
        <f t="shared" si="33"/>
        <v>808758</v>
      </c>
      <c r="L600" s="193" t="s">
        <v>259</v>
      </c>
      <c r="M600" s="597" t="s">
        <v>174</v>
      </c>
      <c r="N600" s="51" t="str">
        <f>IF(AND('331-CT'!$E$7=TH!H600,OR(L600="331",M600="331")),"331",IF(AND(OR(L600="131",M600="131"),H600='131-CT'!$E$7),"131",""))</f>
        <v/>
      </c>
      <c r="O600" s="887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09"/>
      <c r="AD600" s="210"/>
      <c r="AE600" s="210"/>
    </row>
    <row r="601" spans="1:33" s="588" customFormat="1" ht="15.75" customHeight="1">
      <c r="A601" s="203" t="str">
        <f>IF(B601&lt;&gt;"",IF(AND(B601&gt;=_TM1,B601&lt;=_TM2,OR(TH!L601="1111",TH!M601="1111")),TH!D601,""),"")</f>
        <v/>
      </c>
      <c r="B601" s="36">
        <f t="shared" si="34"/>
        <v>11</v>
      </c>
      <c r="C601" s="183">
        <f t="shared" si="35"/>
        <v>42693</v>
      </c>
      <c r="D601" s="183" t="s">
        <v>626</v>
      </c>
      <c r="E601" s="190">
        <v>42693</v>
      </c>
      <c r="F601" s="188" t="s">
        <v>749</v>
      </c>
      <c r="G601" s="479" t="s">
        <v>831</v>
      </c>
      <c r="H601" s="7" t="s">
        <v>410</v>
      </c>
      <c r="I601" s="255">
        <v>27</v>
      </c>
      <c r="J601" s="255">
        <v>27926</v>
      </c>
      <c r="K601" s="37">
        <f t="shared" si="33"/>
        <v>754002</v>
      </c>
      <c r="L601" s="193" t="s">
        <v>259</v>
      </c>
      <c r="M601" s="597" t="s">
        <v>174</v>
      </c>
      <c r="N601" s="51" t="str">
        <f>IF(AND('331-CT'!$E$7=TH!H601,OR(L601="331",M601="331")),"331",IF(AND(OR(L601="131",M601="131"),H601='131-CT'!$E$7),"131",""))</f>
        <v/>
      </c>
      <c r="O601" s="887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09"/>
      <c r="AE601" s="210"/>
    </row>
    <row r="602" spans="1:33" s="588" customFormat="1" ht="15.75" customHeight="1">
      <c r="A602" s="203" t="str">
        <f>IF(B602&lt;&gt;"",IF(AND(B602&gt;=_TM1,B602&lt;=_TM2,OR(TH!L602="1111",TH!M602="1111")),TH!D602,""),"")</f>
        <v/>
      </c>
      <c r="B602" s="36">
        <f t="shared" si="34"/>
        <v>11</v>
      </c>
      <c r="C602" s="183">
        <f t="shared" si="35"/>
        <v>42693</v>
      </c>
      <c r="D602" s="183" t="s">
        <v>626</v>
      </c>
      <c r="E602" s="190">
        <v>42693</v>
      </c>
      <c r="F602" s="188" t="s">
        <v>750</v>
      </c>
      <c r="G602" s="479" t="s">
        <v>831</v>
      </c>
      <c r="H602" s="7" t="s">
        <v>410</v>
      </c>
      <c r="I602" s="255">
        <v>26</v>
      </c>
      <c r="J602" s="255">
        <v>42230</v>
      </c>
      <c r="K602" s="37">
        <f t="shared" si="33"/>
        <v>1097980</v>
      </c>
      <c r="L602" s="193" t="s">
        <v>259</v>
      </c>
      <c r="M602" s="597" t="s">
        <v>174</v>
      </c>
      <c r="N602" s="51" t="str">
        <f>IF(AND('331-CT'!$E$7=TH!H602,OR(L602="331",M602="331")),"331",IF(AND(OR(L602="131",M602="131"),H602='131-CT'!$E$7),"131",""))</f>
        <v/>
      </c>
      <c r="O602" s="887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09"/>
      <c r="AD602" s="210"/>
      <c r="AE602" s="210"/>
      <c r="AF602" s="210"/>
      <c r="AG602" s="210"/>
    </row>
    <row r="603" spans="1:33" s="588" customFormat="1" ht="15.75" customHeight="1">
      <c r="A603" s="203" t="str">
        <f>IF(B603&lt;&gt;"",IF(AND(B603&gt;=_TM1,B603&lt;=_TM2,OR(TH!L603="1111",TH!M603="1111")),TH!D603,""),"")</f>
        <v/>
      </c>
      <c r="B603" s="36">
        <f t="shared" si="34"/>
        <v>11</v>
      </c>
      <c r="C603" s="183">
        <f t="shared" si="35"/>
        <v>42693</v>
      </c>
      <c r="D603" s="183" t="s">
        <v>626</v>
      </c>
      <c r="E603" s="190">
        <v>42693</v>
      </c>
      <c r="F603" s="188" t="s">
        <v>751</v>
      </c>
      <c r="G603" s="479" t="s">
        <v>831</v>
      </c>
      <c r="H603" s="7" t="s">
        <v>410</v>
      </c>
      <c r="I603" s="255">
        <v>21</v>
      </c>
      <c r="J603" s="255">
        <v>21839</v>
      </c>
      <c r="K603" s="37">
        <f t="shared" si="33"/>
        <v>458619</v>
      </c>
      <c r="L603" s="193" t="s">
        <v>259</v>
      </c>
      <c r="M603" s="597" t="s">
        <v>174</v>
      </c>
      <c r="N603" s="51" t="str">
        <f>IF(AND('331-CT'!$E$7=TH!H603,OR(L603="331",M603="331")),"331",IF(AND(OR(L603="131",M603="131"),H603='131-CT'!$E$7),"131",""))</f>
        <v/>
      </c>
      <c r="O603" s="887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09"/>
      <c r="AE603" s="210"/>
      <c r="AF603" s="210"/>
      <c r="AG603" s="210"/>
    </row>
    <row r="604" spans="1:33" s="210" customFormat="1" ht="15.75" customHeight="1">
      <c r="A604" s="203" t="str">
        <f>IF(B604&lt;&gt;"",IF(AND(B604&gt;=_TM1,B604&lt;=_TM2,OR(TH!L604="1111",TH!M604="1111")),TH!D604,""),"")</f>
        <v/>
      </c>
      <c r="B604" s="36">
        <f t="shared" si="34"/>
        <v>11</v>
      </c>
      <c r="C604" s="183">
        <f t="shared" si="35"/>
        <v>42693</v>
      </c>
      <c r="D604" s="183" t="s">
        <v>626</v>
      </c>
      <c r="E604" s="190">
        <v>42693</v>
      </c>
      <c r="F604" s="188" t="s">
        <v>555</v>
      </c>
      <c r="G604" s="479" t="s">
        <v>831</v>
      </c>
      <c r="H604" s="7" t="s">
        <v>410</v>
      </c>
      <c r="I604" s="255"/>
      <c r="J604" s="255"/>
      <c r="K604" s="37">
        <v>823136</v>
      </c>
      <c r="L604" s="193" t="s">
        <v>259</v>
      </c>
      <c r="M604" s="597" t="s">
        <v>364</v>
      </c>
      <c r="N604" s="51" t="str">
        <f>IF(AND('331-CT'!$E$7=TH!H604,OR(L604="331",M604="331")),"331",IF(AND(OR(L604="131",M604="131"),H604='131-CT'!$E$7),"131",""))</f>
        <v/>
      </c>
      <c r="O604" s="887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09"/>
      <c r="AC604" s="588"/>
      <c r="AD604" s="588"/>
    </row>
    <row r="605" spans="1:33" s="588" customFormat="1" ht="15.75" customHeight="1">
      <c r="A605" s="203" t="str">
        <f>IF(B605&lt;&gt;"",IF(AND(B605&gt;=_TM1,B605&lt;=_TM2,OR(TH!L607="1111",TH!M607="1111")),TH!D607,""),"")</f>
        <v/>
      </c>
      <c r="B605" s="36">
        <f t="shared" ref="B605:B607" si="36">IF(C605&lt;&gt;"",MONTH(C605),"")</f>
        <v>11</v>
      </c>
      <c r="C605" s="183">
        <f t="shared" ref="C605:C607" si="37">E605</f>
        <v>42694</v>
      </c>
      <c r="D605" s="183" t="s">
        <v>627</v>
      </c>
      <c r="E605" s="190">
        <v>42694</v>
      </c>
      <c r="F605" s="188" t="s">
        <v>1024</v>
      </c>
      <c r="G605" s="479" t="s">
        <v>497</v>
      </c>
      <c r="H605" s="7" t="s">
        <v>1023</v>
      </c>
      <c r="I605" s="255">
        <v>1560</v>
      </c>
      <c r="J605" s="255">
        <v>8813</v>
      </c>
      <c r="K605" s="37">
        <f>ROUND(I605*J605,0)</f>
        <v>13748280</v>
      </c>
      <c r="L605" s="193" t="s">
        <v>259</v>
      </c>
      <c r="M605" s="597" t="s">
        <v>174</v>
      </c>
      <c r="N605" s="51" t="str">
        <f>IF(AND('331-CT'!$E$7=TH!H607,OR(L605="331",M605="331")),"331",IF(AND(OR(L605="131",M605="131"),H605='131-CT'!$E$7),"131",""))</f>
        <v/>
      </c>
      <c r="O605" s="887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IF(OR(TH!L607=TH!$W$7,M605=TH!$W$7),"x","")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IF(AND(OR(LEFT(TH!L607,2)="15",LEFT(TH!M607,2)="15"),'152-CT'!$J$8=TH!F607),"x","")</f>
        <v/>
      </c>
      <c r="Z605" s="51" t="str">
        <f>IF(AND(OR(LEFT(TH!L607,2)="15",LEFT(TH!M607,2)="15"),TK!$E$7=TH!F607),"x","")</f>
        <v/>
      </c>
      <c r="AA605" s="51" t="str">
        <f>IF(AND(B605&lt;=NKC!$N$8,B605&gt;=NKC!$M$8),"x","")</f>
        <v/>
      </c>
      <c r="AB605" s="909"/>
      <c r="AF605" s="210"/>
      <c r="AG605" s="210"/>
    </row>
    <row r="606" spans="1:33" s="210" customFormat="1" ht="15.75" customHeight="1">
      <c r="A606" s="203" t="str">
        <f>IF(B606&lt;&gt;"",IF(AND(B606&gt;=_TM1,B606&lt;=_TM2,OR(TH!L608="1111",TH!M608="1111")),TH!D608,""),"")</f>
        <v/>
      </c>
      <c r="B606" s="36">
        <f t="shared" si="36"/>
        <v>11</v>
      </c>
      <c r="C606" s="183">
        <f t="shared" si="37"/>
        <v>42694</v>
      </c>
      <c r="D606" s="183" t="s">
        <v>627</v>
      </c>
      <c r="E606" s="190">
        <v>42694</v>
      </c>
      <c r="F606" s="188" t="s">
        <v>555</v>
      </c>
      <c r="G606" s="479" t="s">
        <v>497</v>
      </c>
      <c r="H606" s="7" t="s">
        <v>1023</v>
      </c>
      <c r="I606" s="256"/>
      <c r="J606" s="256"/>
      <c r="K606" s="37">
        <v>1374828</v>
      </c>
      <c r="L606" s="193" t="s">
        <v>259</v>
      </c>
      <c r="M606" s="597" t="s">
        <v>364</v>
      </c>
      <c r="N606" s="51" t="str">
        <f>IF(AND('331-CT'!$E$7=TH!H608,OR(L606="331",M606="331")),"331",IF(AND(OR(L606="131",M606="131"),H606='131-CT'!$E$7),"131",""))</f>
        <v/>
      </c>
      <c r="O606" s="887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IF(OR(TH!L608=TH!$W$7,M606=TH!$W$7),"x","")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IF(AND(OR(LEFT(TH!L608,2)="15",LEFT(TH!M608,2)="15"),'152-CT'!$J$8=TH!F608),"x","")</f>
        <v/>
      </c>
      <c r="Z606" s="51" t="str">
        <f>IF(AND(OR(LEFT(TH!L608,2)="15",LEFT(TH!M608,2)="15"),TK!$E$7=TH!F608),"x","")</f>
        <v/>
      </c>
      <c r="AA606" s="51" t="str">
        <f>IF(AND(B606&lt;=NKC!$N$8,B606&gt;=NKC!$M$8),"x","")</f>
        <v/>
      </c>
      <c r="AB606" s="909"/>
      <c r="AC606" s="588"/>
      <c r="AD606" s="588"/>
      <c r="AE606" s="588"/>
    </row>
    <row r="607" spans="1:33" s="588" customFormat="1" ht="15.75" customHeight="1">
      <c r="A607" s="203" t="str">
        <f>IF(B607&lt;&gt;"",IF(AND(B607&gt;=_TM1,B607&lt;=_TM2,OR(TH!L609="1111",TH!M609="1111")),TH!D609,""),"")</f>
        <v/>
      </c>
      <c r="B607" s="36">
        <f t="shared" si="36"/>
        <v>11</v>
      </c>
      <c r="C607" s="183">
        <f t="shared" si="37"/>
        <v>42694</v>
      </c>
      <c r="D607" s="183"/>
      <c r="E607" s="190">
        <v>42694</v>
      </c>
      <c r="F607" s="191" t="s">
        <v>543</v>
      </c>
      <c r="G607" s="479" t="s">
        <v>497</v>
      </c>
      <c r="H607" s="7" t="s">
        <v>1023</v>
      </c>
      <c r="I607" s="256"/>
      <c r="J607" s="256"/>
      <c r="K607" s="37">
        <v>15123108</v>
      </c>
      <c r="L607" s="193" t="s">
        <v>47</v>
      </c>
      <c r="M607" s="597" t="s">
        <v>259</v>
      </c>
      <c r="N607" s="51" t="str">
        <f>IF(AND('331-CT'!$E$7=TH!H609,OR(L607="331",M607="331")),"331",IF(AND(OR(L607="131",M607="131"),H607='131-CT'!$E$7),"131",""))</f>
        <v/>
      </c>
      <c r="O607" s="887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IF(OR(TH!L609=TH!$W$7,M607=TH!$W$7),"x","")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IF(AND(OR(LEFT(TH!L609,2)="15",LEFT(TH!M609,2)="15"),'152-CT'!$J$8=TH!F609),"x","")</f>
        <v/>
      </c>
      <c r="Z607" s="51" t="str">
        <f>IF(AND(OR(LEFT(TH!L609,2)="15",LEFT(TH!M609,2)="15"),TK!$E$7=TH!F609),"x","")</f>
        <v/>
      </c>
      <c r="AA607" s="51" t="str">
        <f>IF(AND(B607&lt;=NKC!$N$8,B607&gt;=NKC!$M$8),"x","")</f>
        <v/>
      </c>
      <c r="AB607" s="909"/>
      <c r="AF607" s="210"/>
      <c r="AG607" s="210"/>
    </row>
    <row r="608" spans="1:33" s="588" customFormat="1" ht="15.75" customHeight="1">
      <c r="A608" s="203" t="str">
        <f>IF(B608&lt;&gt;"",IF(AND(B608&gt;=_TM1,B608&lt;=_TM2,OR(TH!L610="1111",TH!M610="1111")),TH!D610,""),"")</f>
        <v/>
      </c>
      <c r="B608" s="36">
        <f t="shared" si="34"/>
        <v>11</v>
      </c>
      <c r="C608" s="183">
        <f t="shared" si="35"/>
        <v>42693</v>
      </c>
      <c r="D608" s="183" t="s">
        <v>628</v>
      </c>
      <c r="E608" s="190">
        <v>42693</v>
      </c>
      <c r="F608" s="188" t="s">
        <v>878</v>
      </c>
      <c r="G608" s="479" t="s">
        <v>880</v>
      </c>
      <c r="H608" s="7" t="s">
        <v>879</v>
      </c>
      <c r="I608" s="255">
        <v>4000</v>
      </c>
      <c r="J608" s="255">
        <v>4500</v>
      </c>
      <c r="K608" s="37">
        <f>ROUND(I608*J608,0)</f>
        <v>18000000</v>
      </c>
      <c r="L608" s="193" t="s">
        <v>259</v>
      </c>
      <c r="M608" s="597" t="s">
        <v>174</v>
      </c>
      <c r="N608" s="51" t="str">
        <f>IF(AND('331-CT'!$E$7=TH!H610,OR(L608="331",M608="331")),"331",IF(AND(OR(L608="131",M608="131"),H608='131-CT'!$E$7),"131",""))</f>
        <v/>
      </c>
      <c r="O608" s="887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IF(OR(TH!L610=TH!$W$7,M608=TH!$W$7),"x","")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IF(AND(OR(LEFT(TH!L610,2)="15",LEFT(TH!M610,2)="15"),'152-CT'!$J$8=TH!F610),"x","")</f>
        <v/>
      </c>
      <c r="Z608" s="51" t="str">
        <f>IF(AND(OR(LEFT(TH!L610,2)="15",LEFT(TH!M610,2)="15"),TK!$E$7=TH!F610),"x","")</f>
        <v/>
      </c>
      <c r="AA608" s="51" t="str">
        <f>IF(AND(B608&lt;=NKC!$N$8,B608&gt;=NKC!$M$8),"x","")</f>
        <v/>
      </c>
      <c r="AB608" s="909"/>
      <c r="AF608" s="210"/>
      <c r="AG608" s="210"/>
    </row>
    <row r="609" spans="1:33" s="210" customFormat="1" ht="15.75" customHeight="1">
      <c r="A609" s="203" t="str">
        <f>IF(B609&lt;&gt;"",IF(AND(B609&gt;=_TM1,B609&lt;=_TM2,OR(TH!L611="1111",TH!M611="1111")),TH!D611,""),"")</f>
        <v/>
      </c>
      <c r="B609" s="36">
        <f t="shared" si="34"/>
        <v>11</v>
      </c>
      <c r="C609" s="183">
        <f t="shared" si="35"/>
        <v>42693</v>
      </c>
      <c r="D609" s="183" t="s">
        <v>628</v>
      </c>
      <c r="E609" s="190">
        <v>42693</v>
      </c>
      <c r="F609" s="188" t="s">
        <v>555</v>
      </c>
      <c r="G609" s="479" t="s">
        <v>880</v>
      </c>
      <c r="H609" s="7" t="s">
        <v>879</v>
      </c>
      <c r="I609" s="256"/>
      <c r="J609" s="256"/>
      <c r="K609" s="37">
        <v>1800000</v>
      </c>
      <c r="L609" s="193" t="s">
        <v>259</v>
      </c>
      <c r="M609" s="597" t="s">
        <v>364</v>
      </c>
      <c r="N609" s="51" t="str">
        <f>IF(AND('331-CT'!$E$7=TH!H611,OR(L609="331",M609="331")),"331",IF(AND(OR(L609="131",M609="131"),H609='131-CT'!$E$7),"131",""))</f>
        <v/>
      </c>
      <c r="O609" s="887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IF(OR(TH!L611=TH!$W$7,M609=TH!$W$7),"x","")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IF(AND(OR(LEFT(TH!L611,2)="15",LEFT(TH!M611,2)="15"),'152-CT'!$J$8=TH!F611),"x","")</f>
        <v/>
      </c>
      <c r="Z609" s="51" t="str">
        <f>IF(AND(OR(LEFT(TH!L611,2)="15",LEFT(TH!M611,2)="15"),TK!$E$7=TH!F611),"x","")</f>
        <v/>
      </c>
      <c r="AA609" s="51" t="str">
        <f>IF(AND(B609&lt;=NKC!$N$8,B609&gt;=NKC!$M$8),"x","")</f>
        <v/>
      </c>
      <c r="AB609" s="909"/>
      <c r="AC609" s="588"/>
      <c r="AD609" s="588"/>
      <c r="AE609" s="588"/>
    </row>
    <row r="610" spans="1:33" s="588" customFormat="1" ht="15.75" customHeight="1">
      <c r="A610" s="203" t="str">
        <f>IF(B610&lt;&gt;"",IF(AND(B610&gt;=_TM1,B610&lt;=_TM2,OR(TH!L612="1111",TH!M612="1111")),TH!D612,""),"")</f>
        <v/>
      </c>
      <c r="B610" s="36">
        <f t="shared" si="34"/>
        <v>11</v>
      </c>
      <c r="C610" s="183">
        <f t="shared" si="35"/>
        <v>42693</v>
      </c>
      <c r="D610" s="183"/>
      <c r="E610" s="190">
        <v>42693</v>
      </c>
      <c r="F610" s="191" t="s">
        <v>543</v>
      </c>
      <c r="G610" s="479" t="s">
        <v>880</v>
      </c>
      <c r="H610" s="7" t="s">
        <v>879</v>
      </c>
      <c r="I610" s="256"/>
      <c r="J610" s="256"/>
      <c r="K610" s="37">
        <v>19800000</v>
      </c>
      <c r="L610" s="193" t="s">
        <v>47</v>
      </c>
      <c r="M610" s="597" t="s">
        <v>259</v>
      </c>
      <c r="N610" s="51" t="str">
        <f>IF(AND('331-CT'!$E$7=TH!H612,OR(L610="331",M610="331")),"331",IF(AND(OR(L610="131",M610="131"),H610='131-CT'!$E$7),"131",""))</f>
        <v/>
      </c>
      <c r="O610" s="887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IF(OR(TH!L612=TH!$W$7,M610=TH!$W$7),"x","")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IF(AND(OR(LEFT(TH!L612,2)="15",LEFT(TH!M612,2)="15"),'152-CT'!$J$8=TH!F612),"x","")</f>
        <v/>
      </c>
      <c r="Z610" s="51" t="str">
        <f>IF(AND(OR(LEFT(TH!L612,2)="15",LEFT(TH!M612,2)="15"),TK!$E$7=TH!F612),"x","")</f>
        <v/>
      </c>
      <c r="AA610" s="51" t="str">
        <f>IF(AND(B610&lt;=NKC!$N$8,B610&gt;=NKC!$M$8),"x","")</f>
        <v/>
      </c>
      <c r="AB610" s="909"/>
      <c r="AF610" s="210"/>
      <c r="AG610" s="210"/>
    </row>
    <row r="611" spans="1:33" s="588" customFormat="1" ht="15.75" customHeight="1">
      <c r="A611" s="203" t="str">
        <f>IF(B611&lt;&gt;"",IF(AND(B611&gt;=_TM1,B611&lt;=_TM2,OR(TH!L608="1111",TH!M608="1111")),TH!D608,""),"")</f>
        <v/>
      </c>
      <c r="B611" s="36">
        <f t="shared" si="34"/>
        <v>11</v>
      </c>
      <c r="C611" s="183">
        <f t="shared" si="35"/>
        <v>42696</v>
      </c>
      <c r="D611" s="183" t="s">
        <v>629</v>
      </c>
      <c r="E611" s="190">
        <v>42696</v>
      </c>
      <c r="F611" s="188" t="s">
        <v>746</v>
      </c>
      <c r="G611" s="479" t="s">
        <v>832</v>
      </c>
      <c r="H611" s="209" t="s">
        <v>888</v>
      </c>
      <c r="I611" s="256">
        <v>608</v>
      </c>
      <c r="J611" s="256">
        <v>20750</v>
      </c>
      <c r="K611" s="37">
        <f>ROUND(I611*J611,0)</f>
        <v>12616000</v>
      </c>
      <c r="L611" s="193" t="s">
        <v>259</v>
      </c>
      <c r="M611" s="597" t="s">
        <v>174</v>
      </c>
      <c r="N611" s="51" t="str">
        <f>IF(AND('331-CT'!$E$7=TH!H608,OR(L611="331",M611="331")),"331",IF(AND(OR(L611="131",M611="131"),H611='131-CT'!$E$7),"131",""))</f>
        <v/>
      </c>
      <c r="O611" s="887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IF(OR(TH!L608=TH!$W$7,M611=TH!$W$7),"x","")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IF(AND(OR(LEFT(TH!L608,2)="15",LEFT(TH!M608,2)="15"),'152-CT'!$J$8=TH!F608),"x","")</f>
        <v/>
      </c>
      <c r="Z611" s="51" t="str">
        <f>IF(AND(OR(LEFT(TH!L608,2)="15",LEFT(TH!M608,2)="15"),TK!$E$7=TH!F608),"x","")</f>
        <v/>
      </c>
      <c r="AA611" s="51" t="str">
        <f>IF(AND(B611&lt;=NKC!$N$8,B611&gt;=NKC!$M$8),"x","")</f>
        <v/>
      </c>
      <c r="AB611" s="909"/>
      <c r="AE611" s="210"/>
    </row>
    <row r="612" spans="1:33" s="588" customFormat="1" ht="15.75" customHeight="1">
      <c r="A612" s="203" t="str">
        <f>IF(B612&lt;&gt;"",IF(AND(B612&gt;=_TM1,B612&lt;=_TM2,OR(TH!L609="1111",TH!M609="1111")),TH!D609,""),"")</f>
        <v/>
      </c>
      <c r="B612" s="36">
        <f t="shared" si="34"/>
        <v>11</v>
      </c>
      <c r="C612" s="183">
        <f t="shared" si="35"/>
        <v>42696</v>
      </c>
      <c r="D612" s="183" t="s">
        <v>629</v>
      </c>
      <c r="E612" s="190">
        <v>42696</v>
      </c>
      <c r="F612" s="188" t="s">
        <v>555</v>
      </c>
      <c r="G612" s="479" t="s">
        <v>832</v>
      </c>
      <c r="H612" s="209" t="s">
        <v>888</v>
      </c>
      <c r="I612" s="255"/>
      <c r="J612" s="255"/>
      <c r="K612" s="37">
        <v>1261600</v>
      </c>
      <c r="L612" s="193" t="s">
        <v>259</v>
      </c>
      <c r="M612" s="597" t="s">
        <v>364</v>
      </c>
      <c r="N612" s="51" t="str">
        <f>IF(AND('331-CT'!$E$7=TH!H609,OR(L612="331",M612="331")),"331",IF(AND(OR(L612="131",M612="131"),H612='131-CT'!$E$7),"131",""))</f>
        <v/>
      </c>
      <c r="O612" s="887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IF(OR(TH!L609=TH!$W$7,M612=TH!$W$7),"x","")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IF(AND(OR(LEFT(TH!L609,2)="15",LEFT(TH!M609,2)="15"),'152-CT'!$J$8=TH!F609),"x","")</f>
        <v/>
      </c>
      <c r="Z612" s="51" t="str">
        <f>IF(AND(OR(LEFT(TH!L609,2)="15",LEFT(TH!M609,2)="15"),TK!$E$7=TH!F609),"x","")</f>
        <v/>
      </c>
      <c r="AA612" s="51" t="str">
        <f>IF(AND(B612&lt;=NKC!$N$8,B612&gt;=NKC!$M$8),"x","")</f>
        <v/>
      </c>
      <c r="AB612" s="909"/>
      <c r="AE612" s="210"/>
    </row>
    <row r="613" spans="1:33" s="588" customFormat="1" ht="15.75" customHeight="1">
      <c r="A613" s="203" t="str">
        <f>IF(B613&lt;&gt;"",IF(AND(B613&gt;=_TM1,B613&lt;=_TM2,OR(TH!L613="1111",TH!M613="1111")),TH!D613,""),"")</f>
        <v/>
      </c>
      <c r="B613" s="36">
        <f t="shared" si="34"/>
        <v>11</v>
      </c>
      <c r="C613" s="183">
        <f t="shared" si="35"/>
        <v>42697</v>
      </c>
      <c r="D613" s="183" t="s">
        <v>630</v>
      </c>
      <c r="E613" s="190">
        <v>42697</v>
      </c>
      <c r="F613" s="188" t="s">
        <v>878</v>
      </c>
      <c r="G613" s="479" t="s">
        <v>881</v>
      </c>
      <c r="H613" s="7" t="s">
        <v>879</v>
      </c>
      <c r="I613" s="255">
        <v>3353</v>
      </c>
      <c r="J613" s="255">
        <v>4500</v>
      </c>
      <c r="K613" s="37">
        <f>ROUND(I613*J613,0)</f>
        <v>15088500</v>
      </c>
      <c r="L613" s="193" t="s">
        <v>259</v>
      </c>
      <c r="M613" s="597" t="s">
        <v>174</v>
      </c>
      <c r="N613" s="51" t="str">
        <f>IF(AND('331-CT'!$E$7=TH!H613,OR(L613="331",M613="331")),"331",IF(AND(OR(L613="131",M613="131"),H613='131-CT'!$E$7),"131",""))</f>
        <v/>
      </c>
      <c r="O613" s="887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09"/>
      <c r="AF613" s="210"/>
      <c r="AG613" s="210"/>
    </row>
    <row r="614" spans="1:33" s="588" customFormat="1" ht="15.75" customHeight="1">
      <c r="A614" s="203" t="str">
        <f>IF(B614&lt;&gt;"",IF(AND(B614&gt;=_TM1,B614&lt;=_TM2,OR(TH!L614="1111",TH!M614="1111")),TH!D614,""),"")</f>
        <v/>
      </c>
      <c r="B614" s="36">
        <f t="shared" si="34"/>
        <v>11</v>
      </c>
      <c r="C614" s="183">
        <f t="shared" si="35"/>
        <v>42697</v>
      </c>
      <c r="D614" s="183" t="s">
        <v>630</v>
      </c>
      <c r="E614" s="190">
        <v>42697</v>
      </c>
      <c r="F614" s="188" t="s">
        <v>555</v>
      </c>
      <c r="G614" s="479" t="s">
        <v>881</v>
      </c>
      <c r="H614" s="7" t="s">
        <v>879</v>
      </c>
      <c r="I614" s="256"/>
      <c r="J614" s="256"/>
      <c r="K614" s="37">
        <v>1508850</v>
      </c>
      <c r="L614" s="193" t="s">
        <v>259</v>
      </c>
      <c r="M614" s="597" t="s">
        <v>364</v>
      </c>
      <c r="N614" s="51" t="str">
        <f>IF(AND('331-CT'!$E$7=TH!H614,OR(L614="331",M614="331")),"331",IF(AND(OR(L614="131",M614="131"),H614='131-CT'!$E$7),"131",""))</f>
        <v/>
      </c>
      <c r="O614" s="887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09"/>
      <c r="AF614" s="210"/>
      <c r="AG614" s="210"/>
    </row>
    <row r="615" spans="1:33" s="588" customFormat="1" ht="15.75" customHeight="1">
      <c r="A615" s="203" t="str">
        <f>IF(B615&lt;&gt;"",IF(AND(B615&gt;=_TM1,B615&lt;=_TM2,OR(TH!L615="1111",TH!M615="1111")),TH!D615,""),"")</f>
        <v/>
      </c>
      <c r="B615" s="36">
        <f t="shared" si="34"/>
        <v>11</v>
      </c>
      <c r="C615" s="183">
        <f t="shared" si="35"/>
        <v>42697</v>
      </c>
      <c r="D615" s="183"/>
      <c r="E615" s="190">
        <v>42697</v>
      </c>
      <c r="F615" s="191" t="s">
        <v>543</v>
      </c>
      <c r="G615" s="479" t="s">
        <v>881</v>
      </c>
      <c r="H615" s="7" t="s">
        <v>879</v>
      </c>
      <c r="I615" s="256"/>
      <c r="J615" s="256"/>
      <c r="K615" s="37">
        <v>16597350</v>
      </c>
      <c r="L615" s="193" t="s">
        <v>47</v>
      </c>
      <c r="M615" s="597" t="s">
        <v>259</v>
      </c>
      <c r="N615" s="51" t="str">
        <f>IF(AND('331-CT'!$E$7=TH!H615,OR(L615="331",M615="331")),"331",IF(AND(OR(L615="131",M615="131"),H615='131-CT'!$E$7),"131",""))</f>
        <v/>
      </c>
      <c r="O615" s="887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09"/>
      <c r="AF615" s="210"/>
      <c r="AG615" s="210"/>
    </row>
    <row r="616" spans="1:33" s="210" customFormat="1" ht="15.75" customHeight="1">
      <c r="A616" s="203" t="str">
        <f>IF(B616&lt;&gt;"",IF(AND(B616&gt;=_TM1,B616&lt;=_TM2,OR(TH!L616="1111",TH!M616="1111")),TH!D616,""),"")</f>
        <v/>
      </c>
      <c r="B616" s="36">
        <f t="shared" si="34"/>
        <v>11</v>
      </c>
      <c r="C616" s="183">
        <f t="shared" si="35"/>
        <v>42703</v>
      </c>
      <c r="D616" s="183" t="s">
        <v>631</v>
      </c>
      <c r="E616" s="190">
        <v>42703</v>
      </c>
      <c r="F616" s="188" t="s">
        <v>753</v>
      </c>
      <c r="G616" s="479" t="s">
        <v>833</v>
      </c>
      <c r="H616" s="192" t="s">
        <v>752</v>
      </c>
      <c r="I616" s="255">
        <v>1020</v>
      </c>
      <c r="J616" s="255">
        <v>5900</v>
      </c>
      <c r="K616" s="37">
        <f>ROUND(I616*J616,0)</f>
        <v>6018000</v>
      </c>
      <c r="L616" s="193" t="s">
        <v>259</v>
      </c>
      <c r="M616" s="597" t="s">
        <v>174</v>
      </c>
      <c r="N616" s="51" t="str">
        <f>IF(AND('331-CT'!$E$7=TH!H616,OR(L616="331",M616="331")),"331",IF(AND(OR(L616="131",M616="131"),H616='131-CT'!$E$7),"131",""))</f>
        <v/>
      </c>
      <c r="O616" s="887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09"/>
      <c r="AC616" s="588"/>
      <c r="AD616" s="588"/>
    </row>
    <row r="617" spans="1:33" s="210" customFormat="1" ht="15.75" customHeight="1">
      <c r="A617" s="203" t="str">
        <f>IF(B617&lt;&gt;"",IF(AND(B617&gt;=_TM1,B617&lt;=_TM2,OR(TH!L617="1111",TH!M617="1111")),TH!D617,""),"")</f>
        <v/>
      </c>
      <c r="B617" s="36">
        <f t="shared" si="34"/>
        <v>11</v>
      </c>
      <c r="C617" s="183">
        <f t="shared" si="35"/>
        <v>42703</v>
      </c>
      <c r="D617" s="183" t="s">
        <v>631</v>
      </c>
      <c r="E617" s="190">
        <v>42703</v>
      </c>
      <c r="F617" s="188" t="s">
        <v>555</v>
      </c>
      <c r="G617" s="479" t="s">
        <v>833</v>
      </c>
      <c r="H617" s="192" t="s">
        <v>752</v>
      </c>
      <c r="I617" s="255"/>
      <c r="J617" s="255"/>
      <c r="K617" s="37">
        <v>601800</v>
      </c>
      <c r="L617" s="193" t="s">
        <v>259</v>
      </c>
      <c r="M617" s="597" t="s">
        <v>364</v>
      </c>
      <c r="N617" s="51" t="str">
        <f>IF(AND('331-CT'!$E$7=TH!H617,OR(L617="331",M617="331")),"331",IF(AND(OR(L617="131",M617="131"),H617='131-CT'!$E$7),"131",""))</f>
        <v/>
      </c>
      <c r="O617" s="887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09"/>
      <c r="AC617" s="588"/>
      <c r="AD617" s="588"/>
    </row>
    <row r="618" spans="1:33" s="588" customFormat="1" ht="15.75" customHeight="1">
      <c r="A618" s="203" t="str">
        <f>IF(B618&lt;&gt;"",IF(AND(B618&gt;=_TM1,B618&lt;=_TM2,OR(TH!L618="1111",TH!M618="1111")),TH!D618,""),"")</f>
        <v/>
      </c>
      <c r="B618" s="36">
        <f t="shared" si="34"/>
        <v>11</v>
      </c>
      <c r="C618" s="183">
        <f t="shared" si="35"/>
        <v>42703</v>
      </c>
      <c r="D618" s="183" t="s">
        <v>632</v>
      </c>
      <c r="E618" s="190">
        <v>42703</v>
      </c>
      <c r="F618" s="188" t="s">
        <v>755</v>
      </c>
      <c r="G618" s="479" t="s">
        <v>834</v>
      </c>
      <c r="H618" s="7" t="s">
        <v>410</v>
      </c>
      <c r="I618" s="255">
        <v>25</v>
      </c>
      <c r="J618" s="255">
        <v>56000</v>
      </c>
      <c r="K618" s="37">
        <f>ROUND(I618*J618,0)</f>
        <v>1400000</v>
      </c>
      <c r="L618" s="193" t="s">
        <v>259</v>
      </c>
      <c r="M618" s="597" t="s">
        <v>174</v>
      </c>
      <c r="N618" s="51" t="str">
        <f>IF(AND('331-CT'!$E$7=TH!H618,OR(L618="331",M618="331")),"331",IF(AND(OR(L618="131",M618="131"),H618='131-CT'!$E$7),"131",""))</f>
        <v/>
      </c>
      <c r="O618" s="887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09"/>
      <c r="AF618" s="210"/>
      <c r="AG618" s="210"/>
    </row>
    <row r="619" spans="1:33" s="588" customFormat="1" ht="15.75" customHeight="1">
      <c r="A619" s="203" t="str">
        <f>IF(B619&lt;&gt;"",IF(AND(B619&gt;=_TM1,B619&lt;=_TM2,OR(TH!L619="1111",TH!M619="1111")),TH!D619,""),"")</f>
        <v/>
      </c>
      <c r="B619" s="36">
        <f t="shared" si="34"/>
        <v>11</v>
      </c>
      <c r="C619" s="183">
        <f t="shared" si="35"/>
        <v>42703</v>
      </c>
      <c r="D619" s="183" t="s">
        <v>632</v>
      </c>
      <c r="E619" s="190">
        <v>42703</v>
      </c>
      <c r="F619" s="188" t="s">
        <v>756</v>
      </c>
      <c r="G619" s="479" t="s">
        <v>834</v>
      </c>
      <c r="H619" s="7" t="s">
        <v>410</v>
      </c>
      <c r="I619" s="255">
        <v>5</v>
      </c>
      <c r="J619" s="255">
        <v>53000</v>
      </c>
      <c r="K619" s="37">
        <f>ROUND(I619*J619,0)</f>
        <v>265000</v>
      </c>
      <c r="L619" s="193" t="s">
        <v>259</v>
      </c>
      <c r="M619" s="597" t="s">
        <v>174</v>
      </c>
      <c r="N619" s="51" t="str">
        <f>IF(AND('331-CT'!$E$7=TH!H619,OR(L619="331",M619="331")),"331",IF(AND(OR(L619="131",M619="131"),H619='131-CT'!$E$7),"131",""))</f>
        <v/>
      </c>
      <c r="O619" s="887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09"/>
      <c r="AE619" s="210"/>
      <c r="AF619" s="210"/>
      <c r="AG619" s="210"/>
    </row>
    <row r="620" spans="1:33" s="588" customFormat="1" ht="15.75" customHeight="1">
      <c r="A620" s="203" t="str">
        <f>IF(B620&lt;&gt;"",IF(AND(B620&gt;=_TM1,B620&lt;=_TM2,OR(TH!L620="1111",TH!M620="1111")),TH!D620,""),"")</f>
        <v/>
      </c>
      <c r="B620" s="36">
        <f t="shared" si="34"/>
        <v>11</v>
      </c>
      <c r="C620" s="183">
        <f t="shared" si="35"/>
        <v>42703</v>
      </c>
      <c r="D620" s="183" t="s">
        <v>632</v>
      </c>
      <c r="E620" s="190">
        <v>42703</v>
      </c>
      <c r="F620" s="188" t="s">
        <v>757</v>
      </c>
      <c r="G620" s="479" t="s">
        <v>834</v>
      </c>
      <c r="H620" s="7" t="s">
        <v>410</v>
      </c>
      <c r="I620" s="256">
        <v>100</v>
      </c>
      <c r="J620" s="256">
        <v>30237</v>
      </c>
      <c r="K620" s="37">
        <f>ROUND(I620*J620,0)</f>
        <v>3023700</v>
      </c>
      <c r="L620" s="193" t="s">
        <v>259</v>
      </c>
      <c r="M620" s="597" t="s">
        <v>174</v>
      </c>
      <c r="N620" s="51" t="str">
        <f>IF(AND('331-CT'!$E$7=TH!H620,OR(L620="331",M620="331")),"331",IF(AND(OR(L620="131",M620="131"),H620='131-CT'!$E$7),"131",""))</f>
        <v/>
      </c>
      <c r="O620" s="887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09"/>
      <c r="AE620" s="210"/>
      <c r="AF620" s="210"/>
      <c r="AG620" s="210"/>
    </row>
    <row r="621" spans="1:33" s="588" customFormat="1" ht="15.75" customHeight="1">
      <c r="A621" s="203" t="str">
        <f>IF(B621&lt;&gt;"",IF(AND(B621&gt;=_TM1,B621&lt;=_TM2,OR(TH!L621="1111",TH!M621="1111")),TH!D621,""),"")</f>
        <v/>
      </c>
      <c r="B621" s="36">
        <f t="shared" si="34"/>
        <v>11</v>
      </c>
      <c r="C621" s="183">
        <f t="shared" si="35"/>
        <v>42703</v>
      </c>
      <c r="D621" s="183" t="s">
        <v>632</v>
      </c>
      <c r="E621" s="190">
        <v>42703</v>
      </c>
      <c r="F621" s="188" t="s">
        <v>758</v>
      </c>
      <c r="G621" s="479" t="s">
        <v>834</v>
      </c>
      <c r="H621" s="7" t="s">
        <v>410</v>
      </c>
      <c r="I621" s="255">
        <v>12</v>
      </c>
      <c r="J621" s="255">
        <v>75900</v>
      </c>
      <c r="K621" s="37">
        <f>ROUND(I621*J621,0)</f>
        <v>910800</v>
      </c>
      <c r="L621" s="193" t="s">
        <v>259</v>
      </c>
      <c r="M621" s="597" t="s">
        <v>174</v>
      </c>
      <c r="N621" s="51" t="str">
        <f>IF(AND('331-CT'!$E$7=TH!H621,OR(L621="331",M621="331")),"331",IF(AND(OR(L621="131",M621="131"),H621='131-CT'!$E$7),"131",""))</f>
        <v/>
      </c>
      <c r="O621" s="887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09"/>
      <c r="AD621" s="210"/>
      <c r="AE621" s="210"/>
      <c r="AF621" s="210"/>
      <c r="AG621" s="210"/>
    </row>
    <row r="622" spans="1:33" s="588" customFormat="1" ht="15.75" customHeight="1">
      <c r="A622" s="203" t="str">
        <f>IF(B622&lt;&gt;"",IF(AND(B622&gt;=_TM1,B622&lt;=_TM2,OR(TH!L622="1111",TH!M622="1111")),TH!D622,""),"")</f>
        <v/>
      </c>
      <c r="B622" s="36">
        <f t="shared" si="34"/>
        <v>11</v>
      </c>
      <c r="C622" s="183">
        <f t="shared" si="35"/>
        <v>42703</v>
      </c>
      <c r="D622" s="183" t="s">
        <v>632</v>
      </c>
      <c r="E622" s="190">
        <v>42703</v>
      </c>
      <c r="F622" s="188" t="s">
        <v>555</v>
      </c>
      <c r="G622" s="479" t="s">
        <v>834</v>
      </c>
      <c r="H622" s="7" t="s">
        <v>410</v>
      </c>
      <c r="I622" s="255"/>
      <c r="J622" s="255"/>
      <c r="K622" s="37">
        <v>559950</v>
      </c>
      <c r="L622" s="193" t="s">
        <v>259</v>
      </c>
      <c r="M622" s="597" t="s">
        <v>364</v>
      </c>
      <c r="N622" s="51" t="str">
        <f>IF(AND('331-CT'!$E$7=TH!H622,OR(L622="331",M622="331")),"331",IF(AND(OR(L622="131",M622="131"),H622='131-CT'!$E$7),"131",""))</f>
        <v/>
      </c>
      <c r="O622" s="887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09"/>
      <c r="AE622" s="210"/>
      <c r="AF622" s="210"/>
      <c r="AG622" s="210"/>
    </row>
    <row r="623" spans="1:33" s="588" customFormat="1" ht="15.75" customHeight="1">
      <c r="A623" s="203" t="str">
        <f>IF(B623&lt;&gt;"",IF(AND(B623&gt;=_TM1,B623&lt;=_TM2,OR(TH!L623="1111",TH!M623="1111")),TH!D623,""),"")</f>
        <v/>
      </c>
      <c r="B623" s="36">
        <f t="shared" si="34"/>
        <v>12</v>
      </c>
      <c r="C623" s="183">
        <f t="shared" si="35"/>
        <v>42705</v>
      </c>
      <c r="D623" s="183" t="s">
        <v>633</v>
      </c>
      <c r="E623" s="190">
        <v>42705</v>
      </c>
      <c r="F623" s="188" t="s">
        <v>878</v>
      </c>
      <c r="G623" s="479" t="s">
        <v>838</v>
      </c>
      <c r="H623" s="7" t="s">
        <v>879</v>
      </c>
      <c r="I623" s="255">
        <v>2400</v>
      </c>
      <c r="J623" s="255">
        <v>7500</v>
      </c>
      <c r="K623" s="37">
        <f>ROUND(I623*J623,0)</f>
        <v>18000000</v>
      </c>
      <c r="L623" s="193" t="s">
        <v>259</v>
      </c>
      <c r="M623" s="597" t="s">
        <v>174</v>
      </c>
      <c r="N623" s="51" t="str">
        <f>IF(AND('331-CT'!$E$7=TH!H623,OR(L623="331",M623="331")),"331",IF(AND(OR(L623="131",M623="131"),H623='131-CT'!$E$7),"131",""))</f>
        <v/>
      </c>
      <c r="O623" s="887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09"/>
      <c r="AF623" s="210"/>
      <c r="AG623" s="210"/>
    </row>
    <row r="624" spans="1:33" s="210" customFormat="1" ht="15.75" customHeight="1">
      <c r="A624" s="203" t="str">
        <f>IF(B624&lt;&gt;"",IF(AND(B624&gt;=_TM1,B624&lt;=_TM2,OR(TH!L624="1111",TH!M624="1111")),TH!D624,""),"")</f>
        <v/>
      </c>
      <c r="B624" s="36">
        <f t="shared" si="34"/>
        <v>12</v>
      </c>
      <c r="C624" s="183">
        <f t="shared" si="35"/>
        <v>42705</v>
      </c>
      <c r="D624" s="183" t="s">
        <v>633</v>
      </c>
      <c r="E624" s="190">
        <v>42705</v>
      </c>
      <c r="F624" s="188" t="s">
        <v>555</v>
      </c>
      <c r="G624" s="479" t="s">
        <v>838</v>
      </c>
      <c r="H624" s="7" t="s">
        <v>879</v>
      </c>
      <c r="I624" s="255"/>
      <c r="J624" s="255"/>
      <c r="K624" s="37">
        <v>1800000</v>
      </c>
      <c r="L624" s="193" t="s">
        <v>259</v>
      </c>
      <c r="M624" s="597" t="s">
        <v>364</v>
      </c>
      <c r="N624" s="51" t="str">
        <f>IF(AND('331-CT'!$E$7=TH!H624,OR(L624="331",M624="331")),"331",IF(AND(OR(L624="131",M624="131"),H624='131-CT'!$E$7),"131",""))</f>
        <v/>
      </c>
      <c r="O624" s="887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09"/>
      <c r="AC624" s="588"/>
      <c r="AD624" s="588"/>
      <c r="AE624" s="588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>
        <f t="shared" si="34"/>
        <v>12</v>
      </c>
      <c r="C625" s="183">
        <f t="shared" si="35"/>
        <v>42705</v>
      </c>
      <c r="D625" s="183"/>
      <c r="E625" s="190">
        <v>42705</v>
      </c>
      <c r="F625" s="191" t="s">
        <v>543</v>
      </c>
      <c r="G625" s="479" t="s">
        <v>838</v>
      </c>
      <c r="H625" s="7" t="s">
        <v>879</v>
      </c>
      <c r="I625" s="255"/>
      <c r="J625" s="255"/>
      <c r="K625" s="37">
        <v>19800000</v>
      </c>
      <c r="L625" s="193" t="s">
        <v>47</v>
      </c>
      <c r="M625" s="597" t="s">
        <v>259</v>
      </c>
      <c r="N625" s="51" t="str">
        <f>IF(AND('331-CT'!$E$7=TH!H625,OR(L625="331",M625="331")),"331",IF(AND(OR(L625="131",M625="131"),H625='131-CT'!$E$7),"131",""))</f>
        <v/>
      </c>
      <c r="O625" s="887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09"/>
      <c r="AC625" s="588"/>
      <c r="AD625" s="588"/>
      <c r="AE625" s="588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>
        <f t="shared" si="34"/>
        <v>12</v>
      </c>
      <c r="C626" s="183">
        <f t="shared" si="35"/>
        <v>42706</v>
      </c>
      <c r="D626" s="183" t="s">
        <v>634</v>
      </c>
      <c r="E626" s="190">
        <v>42706</v>
      </c>
      <c r="F626" s="188" t="s">
        <v>878</v>
      </c>
      <c r="G626" s="479" t="s">
        <v>889</v>
      </c>
      <c r="H626" s="7" t="s">
        <v>879</v>
      </c>
      <c r="I626" s="255">
        <v>1600</v>
      </c>
      <c r="J626" s="255">
        <v>7500</v>
      </c>
      <c r="K626" s="37">
        <f>ROUND(I626*J626,0)</f>
        <v>12000000</v>
      </c>
      <c r="L626" s="193" t="s">
        <v>259</v>
      </c>
      <c r="M626" s="597" t="s">
        <v>174</v>
      </c>
      <c r="N626" s="51" t="str">
        <f>IF(AND('331-CT'!$E$7=TH!H626,OR(L626="331",M626="331")),"331",IF(AND(OR(L626="131",M626="131"),H626='131-CT'!$E$7),"131",""))</f>
        <v/>
      </c>
      <c r="O626" s="887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09"/>
      <c r="AC626" s="588"/>
      <c r="AD626" s="588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>
        <f t="shared" si="34"/>
        <v>12</v>
      </c>
      <c r="C627" s="183">
        <f t="shared" si="35"/>
        <v>42706</v>
      </c>
      <c r="D627" s="183" t="s">
        <v>634</v>
      </c>
      <c r="E627" s="190">
        <v>42706</v>
      </c>
      <c r="F627" s="188" t="s">
        <v>555</v>
      </c>
      <c r="G627" s="479" t="s">
        <v>889</v>
      </c>
      <c r="H627" s="7" t="s">
        <v>879</v>
      </c>
      <c r="I627" s="255"/>
      <c r="J627" s="255"/>
      <c r="K627" s="37">
        <v>1200000</v>
      </c>
      <c r="L627" s="193" t="s">
        <v>259</v>
      </c>
      <c r="M627" s="597" t="s">
        <v>364</v>
      </c>
      <c r="N627" s="51" t="str">
        <f>IF(AND('331-CT'!$E$7=TH!H627,OR(L627="331",M627="331")),"331",IF(AND(OR(L627="131",M627="131"),H627='131-CT'!$E$7),"131",""))</f>
        <v/>
      </c>
      <c r="O627" s="887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09"/>
      <c r="AC627" s="588"/>
      <c r="AD627" s="588"/>
      <c r="AE627" s="588"/>
    </row>
    <row r="628" spans="1:33" s="588" customFormat="1" ht="15.75" customHeight="1">
      <c r="A628" s="203" t="str">
        <f>IF(B628&lt;&gt;"",IF(AND(B628&gt;=_TM1,B628&lt;=_TM2,OR(TH!L628="1111",TH!M628="1111")),TH!D628,""),"")</f>
        <v/>
      </c>
      <c r="B628" s="36">
        <f t="shared" si="34"/>
        <v>12</v>
      </c>
      <c r="C628" s="183">
        <f t="shared" si="35"/>
        <v>42706</v>
      </c>
      <c r="D628" s="183"/>
      <c r="E628" s="190">
        <v>42706</v>
      </c>
      <c r="F628" s="191" t="s">
        <v>543</v>
      </c>
      <c r="G628" s="479" t="s">
        <v>889</v>
      </c>
      <c r="H628" s="7" t="s">
        <v>879</v>
      </c>
      <c r="I628" s="256"/>
      <c r="J628" s="256"/>
      <c r="K628" s="37">
        <v>13200000</v>
      </c>
      <c r="L628" s="193" t="s">
        <v>47</v>
      </c>
      <c r="M628" s="597" t="s">
        <v>259</v>
      </c>
      <c r="N628" s="51" t="str">
        <f>IF(AND('331-CT'!$E$7=TH!H628,OR(L628="331",M628="331")),"331",IF(AND(OR(L628="131",M628="131"),H628='131-CT'!$E$7),"131",""))</f>
        <v/>
      </c>
      <c r="O628" s="887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09"/>
      <c r="AF628" s="210"/>
      <c r="AG628" s="210"/>
    </row>
    <row r="629" spans="1:33" s="588" customFormat="1" ht="15.75" customHeight="1">
      <c r="A629" s="203" t="str">
        <f>IF(B629&lt;&gt;"",IF(AND(B629&gt;=_TM1,B629&lt;=_TM2,OR(TH!L629="1111",TH!M629="1111")),TH!D629,""),"")</f>
        <v/>
      </c>
      <c r="B629" s="36">
        <f t="shared" si="34"/>
        <v>12</v>
      </c>
      <c r="C629" s="183">
        <f t="shared" si="35"/>
        <v>42707</v>
      </c>
      <c r="D629" s="183" t="s">
        <v>635</v>
      </c>
      <c r="E629" s="190">
        <v>42707</v>
      </c>
      <c r="F629" s="188" t="s">
        <v>878</v>
      </c>
      <c r="G629" s="479" t="s">
        <v>890</v>
      </c>
      <c r="H629" s="7" t="s">
        <v>879</v>
      </c>
      <c r="I629" s="255">
        <v>4000</v>
      </c>
      <c r="J629" s="255">
        <v>4500</v>
      </c>
      <c r="K629" s="37">
        <f>ROUND(I629*J629,0)</f>
        <v>18000000</v>
      </c>
      <c r="L629" s="193" t="s">
        <v>259</v>
      </c>
      <c r="M629" s="597" t="s">
        <v>174</v>
      </c>
      <c r="N629" s="51" t="str">
        <f>IF(AND('331-CT'!$E$7=TH!H629,OR(L629="331",M629="331")),"331",IF(AND(OR(L629="131",M629="131"),H629='131-CT'!$E$7),"131",""))</f>
        <v/>
      </c>
      <c r="O629" s="887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09"/>
      <c r="AF629" s="210"/>
      <c r="AG629" s="210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>
        <f t="shared" si="34"/>
        <v>12</v>
      </c>
      <c r="C630" s="183">
        <f t="shared" si="35"/>
        <v>42707</v>
      </c>
      <c r="D630" s="183" t="s">
        <v>635</v>
      </c>
      <c r="E630" s="190">
        <v>42707</v>
      </c>
      <c r="F630" s="188" t="s">
        <v>555</v>
      </c>
      <c r="G630" s="479" t="s">
        <v>890</v>
      </c>
      <c r="H630" s="7" t="s">
        <v>879</v>
      </c>
      <c r="I630" s="255"/>
      <c r="J630" s="255"/>
      <c r="K630" s="37">
        <v>1800000</v>
      </c>
      <c r="L630" s="193" t="s">
        <v>259</v>
      </c>
      <c r="M630" s="597" t="s">
        <v>364</v>
      </c>
      <c r="N630" s="51" t="str">
        <f>IF(AND('331-CT'!$E$7=TH!H630,OR(L630="331",M630="331")),"331",IF(AND(OR(L630="131",M630="131"),H630='131-CT'!$E$7),"131",""))</f>
        <v/>
      </c>
      <c r="O630" s="887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09"/>
      <c r="AC630" s="588"/>
      <c r="AD630" s="588"/>
      <c r="AE630" s="588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>
        <f t="shared" si="34"/>
        <v>12</v>
      </c>
      <c r="C631" s="183">
        <f t="shared" si="35"/>
        <v>42707</v>
      </c>
      <c r="D631" s="183"/>
      <c r="E631" s="190">
        <v>42707</v>
      </c>
      <c r="F631" s="191" t="s">
        <v>543</v>
      </c>
      <c r="G631" s="479" t="s">
        <v>890</v>
      </c>
      <c r="H631" s="7" t="s">
        <v>879</v>
      </c>
      <c r="I631" s="255"/>
      <c r="J631" s="255"/>
      <c r="K631" s="37">
        <v>19800000</v>
      </c>
      <c r="L631" s="193" t="s">
        <v>47</v>
      </c>
      <c r="M631" s="597" t="s">
        <v>259</v>
      </c>
      <c r="N631" s="51" t="str">
        <f>IF(AND('331-CT'!$E$7=TH!H631,OR(L631="331",M631="331")),"331",IF(AND(OR(L631="131",M631="131"),H631='131-CT'!$E$7),"131",""))</f>
        <v/>
      </c>
      <c r="O631" s="887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09"/>
      <c r="AC631" s="588"/>
      <c r="AD631" s="588"/>
      <c r="AE631" s="588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>
        <f t="shared" si="34"/>
        <v>12</v>
      </c>
      <c r="C632" s="183">
        <f t="shared" si="35"/>
        <v>42708</v>
      </c>
      <c r="D632" s="183" t="s">
        <v>636</v>
      </c>
      <c r="E632" s="190">
        <v>42708</v>
      </c>
      <c r="F632" s="191" t="s">
        <v>892</v>
      </c>
      <c r="G632" s="479" t="s">
        <v>891</v>
      </c>
      <c r="H632" s="209" t="s">
        <v>745</v>
      </c>
      <c r="I632" s="255">
        <f>1532+1439+1693+1490</f>
        <v>6154</v>
      </c>
      <c r="J632" s="255">
        <v>16700</v>
      </c>
      <c r="K632" s="37">
        <f>ROUND(I632*J632,0)</f>
        <v>102771800</v>
      </c>
      <c r="L632" s="193" t="s">
        <v>259</v>
      </c>
      <c r="M632" s="597" t="s">
        <v>174</v>
      </c>
      <c r="N632" s="51" t="str">
        <f>IF(AND('331-CT'!$E$7=TH!H632,OR(L632="331",M632="331")),"331",IF(AND(OR(L632="131",M632="131"),H632='131-CT'!$E$7),"131",""))</f>
        <v/>
      </c>
      <c r="O632" s="887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09"/>
      <c r="AC632" s="588"/>
      <c r="AD632" s="588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>
        <f t="shared" si="34"/>
        <v>12</v>
      </c>
      <c r="C633" s="183">
        <f t="shared" si="35"/>
        <v>42708</v>
      </c>
      <c r="D633" s="183" t="s">
        <v>636</v>
      </c>
      <c r="E633" s="190">
        <v>42708</v>
      </c>
      <c r="F633" s="191" t="s">
        <v>893</v>
      </c>
      <c r="G633" s="479" t="s">
        <v>891</v>
      </c>
      <c r="H633" s="209" t="s">
        <v>745</v>
      </c>
      <c r="I633" s="255">
        <v>878</v>
      </c>
      <c r="J633" s="255">
        <v>19400</v>
      </c>
      <c r="K633" s="37">
        <f>ROUND(I633*J633,0)</f>
        <v>17033200</v>
      </c>
      <c r="L633" s="193" t="s">
        <v>259</v>
      </c>
      <c r="M633" s="597" t="s">
        <v>174</v>
      </c>
      <c r="N633" s="51" t="str">
        <f>IF(AND('331-CT'!$E$7=TH!H633,OR(L633="331",M633="331")),"331",IF(AND(OR(L633="131",M633="131"),H633='131-CT'!$E$7),"131",""))</f>
        <v/>
      </c>
      <c r="O633" s="887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09"/>
      <c r="AC633" s="588"/>
      <c r="AD633" s="588"/>
      <c r="AE633" s="588"/>
    </row>
    <row r="634" spans="1:33" s="210" customFormat="1" ht="15.75" customHeight="1">
      <c r="A634" s="203" t="str">
        <f>IF(B634&lt;&gt;"",IF(AND(B634&gt;=_TM1,B634&lt;=_TM2,OR(TH!L634="1111",TH!M634="1111")),TH!D634,""),"")</f>
        <v/>
      </c>
      <c r="B634" s="36">
        <f t="shared" si="34"/>
        <v>12</v>
      </c>
      <c r="C634" s="183">
        <f t="shared" si="35"/>
        <v>42708</v>
      </c>
      <c r="D634" s="183" t="s">
        <v>636</v>
      </c>
      <c r="E634" s="190">
        <v>42708</v>
      </c>
      <c r="F634" s="188" t="s">
        <v>555</v>
      </c>
      <c r="G634" s="479" t="s">
        <v>891</v>
      </c>
      <c r="H634" s="209" t="s">
        <v>745</v>
      </c>
      <c r="I634" s="255"/>
      <c r="J634" s="255"/>
      <c r="K634" s="37">
        <v>11980500</v>
      </c>
      <c r="L634" s="193" t="s">
        <v>259</v>
      </c>
      <c r="M634" s="597" t="s">
        <v>364</v>
      </c>
      <c r="N634" s="51" t="str">
        <f>IF(AND('331-CT'!$E$7=TH!H634,OR(L634="331",M634="331")),"331",IF(AND(OR(L634="131",M634="131"),H634='131-CT'!$E$7),"131",""))</f>
        <v/>
      </c>
      <c r="O634" s="887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09"/>
      <c r="AC634" s="588"/>
      <c r="AD634" s="588"/>
      <c r="AE634" s="588"/>
    </row>
    <row r="635" spans="1:33" s="210" customFormat="1" ht="15.75" customHeight="1">
      <c r="A635" s="203" t="str">
        <f>IF(B635&lt;&gt;"",IF(AND(B635&gt;=_TM1,B635&lt;=_TM2,OR(TH!L635="1111",TH!M635="1111")),TH!D635,""),"")</f>
        <v/>
      </c>
      <c r="B635" s="36">
        <f t="shared" si="34"/>
        <v>12</v>
      </c>
      <c r="C635" s="183">
        <f t="shared" si="35"/>
        <v>42709</v>
      </c>
      <c r="D635" s="183" t="s">
        <v>637</v>
      </c>
      <c r="E635" s="190">
        <v>42709</v>
      </c>
      <c r="F635" s="188" t="s">
        <v>878</v>
      </c>
      <c r="G635" s="479" t="s">
        <v>894</v>
      </c>
      <c r="H635" s="7" t="s">
        <v>879</v>
      </c>
      <c r="I635" s="255">
        <v>2400</v>
      </c>
      <c r="J635" s="255">
        <v>7500</v>
      </c>
      <c r="K635" s="37">
        <f>ROUND(I635*J635,0)</f>
        <v>18000000</v>
      </c>
      <c r="L635" s="193" t="s">
        <v>259</v>
      </c>
      <c r="M635" s="597" t="s">
        <v>174</v>
      </c>
      <c r="N635" s="51" t="str">
        <f>IF(AND('331-CT'!$E$7=TH!H635,OR(L635="331",M635="331")),"331",IF(AND(OR(L635="131",M635="131"),H635='131-CT'!$E$7),"131",""))</f>
        <v/>
      </c>
      <c r="O635" s="887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09"/>
      <c r="AC635" s="588"/>
      <c r="AD635" s="588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>
        <f t="shared" si="34"/>
        <v>12</v>
      </c>
      <c r="C636" s="183">
        <f t="shared" si="35"/>
        <v>42709</v>
      </c>
      <c r="D636" s="183" t="s">
        <v>637</v>
      </c>
      <c r="E636" s="190">
        <v>42709</v>
      </c>
      <c r="F636" s="188" t="s">
        <v>555</v>
      </c>
      <c r="G636" s="479" t="s">
        <v>894</v>
      </c>
      <c r="H636" s="7" t="s">
        <v>879</v>
      </c>
      <c r="I636" s="255"/>
      <c r="J636" s="255"/>
      <c r="K636" s="37">
        <v>1800000</v>
      </c>
      <c r="L636" s="193" t="s">
        <v>259</v>
      </c>
      <c r="M636" s="597" t="s">
        <v>364</v>
      </c>
      <c r="N636" s="51" t="str">
        <f>IF(AND('331-CT'!$E$7=TH!H636,OR(L636="331",M636="331")),"331",IF(AND(OR(L636="131",M636="131"),H636='131-CT'!$E$7),"131",""))</f>
        <v/>
      </c>
      <c r="O636" s="887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09"/>
      <c r="AC636" s="588"/>
      <c r="AD636" s="588"/>
      <c r="AE636" s="588"/>
    </row>
    <row r="637" spans="1:33" s="588" customFormat="1" ht="15.75" customHeight="1">
      <c r="A637" s="203" t="str">
        <f>IF(B637&lt;&gt;"",IF(AND(B637&gt;=_TM1,B637&lt;=_TM2,OR(TH!L637="1111",TH!M637="1111")),TH!D637,""),"")</f>
        <v/>
      </c>
      <c r="B637" s="36">
        <f t="shared" si="34"/>
        <v>12</v>
      </c>
      <c r="C637" s="183">
        <f t="shared" si="35"/>
        <v>42709</v>
      </c>
      <c r="D637" s="183"/>
      <c r="E637" s="190">
        <v>42709</v>
      </c>
      <c r="F637" s="191" t="s">
        <v>543</v>
      </c>
      <c r="G637" s="479" t="s">
        <v>894</v>
      </c>
      <c r="H637" s="7" t="s">
        <v>879</v>
      </c>
      <c r="I637" s="256"/>
      <c r="J637" s="256"/>
      <c r="K637" s="37">
        <v>19800000</v>
      </c>
      <c r="L637" s="193" t="s">
        <v>47</v>
      </c>
      <c r="M637" s="597" t="s">
        <v>259</v>
      </c>
      <c r="N637" s="51" t="str">
        <f>IF(AND('331-CT'!$E$7=TH!H637,OR(L637="331",M637="331")),"331",IF(AND(OR(L637="131",M637="131"),H637='131-CT'!$E$7),"131",""))</f>
        <v/>
      </c>
      <c r="O637" s="887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09"/>
      <c r="AF637" s="210"/>
      <c r="AG637" s="210"/>
    </row>
    <row r="638" spans="1:33" s="588" customFormat="1" ht="15.75" customHeight="1">
      <c r="A638" s="203" t="str">
        <f>IF(B638&lt;&gt;"",IF(AND(B638&gt;=_TM1,B638&lt;=_TM2,OR(TH!L638="1111",TH!M638="1111")),TH!D638,""),"")</f>
        <v/>
      </c>
      <c r="B638" s="36">
        <f t="shared" si="34"/>
        <v>12</v>
      </c>
      <c r="C638" s="183">
        <f t="shared" si="35"/>
        <v>42710</v>
      </c>
      <c r="D638" s="183" t="s">
        <v>638</v>
      </c>
      <c r="E638" s="190">
        <v>42710</v>
      </c>
      <c r="F638" s="188" t="s">
        <v>878</v>
      </c>
      <c r="G638" s="479" t="s">
        <v>895</v>
      </c>
      <c r="H638" s="7" t="s">
        <v>879</v>
      </c>
      <c r="I638" s="255">
        <v>2400</v>
      </c>
      <c r="J638" s="255">
        <v>7500</v>
      </c>
      <c r="K638" s="37">
        <f>ROUND(I638*J638,0)</f>
        <v>18000000</v>
      </c>
      <c r="L638" s="193" t="s">
        <v>259</v>
      </c>
      <c r="M638" s="597" t="s">
        <v>174</v>
      </c>
      <c r="N638" s="51" t="str">
        <f>IF(AND('331-CT'!$E$7=TH!H638,OR(L638="331",M638="331")),"331",IF(AND(OR(L638="131",M638="131"),H638='131-CT'!$E$7),"131",""))</f>
        <v/>
      </c>
      <c r="O638" s="887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09"/>
      <c r="AF638" s="210"/>
      <c r="AG638" s="210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>
        <f t="shared" si="34"/>
        <v>12</v>
      </c>
      <c r="C639" s="183">
        <f t="shared" si="35"/>
        <v>42710</v>
      </c>
      <c r="D639" s="183" t="s">
        <v>638</v>
      </c>
      <c r="E639" s="190">
        <v>42710</v>
      </c>
      <c r="F639" s="188" t="s">
        <v>555</v>
      </c>
      <c r="G639" s="479" t="s">
        <v>895</v>
      </c>
      <c r="H639" s="7" t="s">
        <v>879</v>
      </c>
      <c r="I639" s="255"/>
      <c r="J639" s="255"/>
      <c r="K639" s="37">
        <v>1800000</v>
      </c>
      <c r="L639" s="193" t="s">
        <v>259</v>
      </c>
      <c r="M639" s="597" t="s">
        <v>364</v>
      </c>
      <c r="N639" s="51" t="str">
        <f>IF(AND('331-CT'!$E$7=TH!H639,OR(L639="331",M639="331")),"331",IF(AND(OR(L639="131",M639="131"),H639='131-CT'!$E$7),"131",""))</f>
        <v/>
      </c>
      <c r="O639" s="887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09"/>
      <c r="AC639" s="588"/>
      <c r="AD639" s="588"/>
      <c r="AE639" s="588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>
        <f t="shared" si="34"/>
        <v>12</v>
      </c>
      <c r="C640" s="183">
        <f t="shared" si="35"/>
        <v>42710</v>
      </c>
      <c r="D640" s="183"/>
      <c r="E640" s="190">
        <v>42710</v>
      </c>
      <c r="F640" s="191" t="s">
        <v>543</v>
      </c>
      <c r="G640" s="479" t="s">
        <v>895</v>
      </c>
      <c r="H640" s="7" t="s">
        <v>879</v>
      </c>
      <c r="I640" s="256"/>
      <c r="J640" s="256"/>
      <c r="K640" s="37">
        <v>19800000</v>
      </c>
      <c r="L640" s="193" t="s">
        <v>47</v>
      </c>
      <c r="M640" s="597" t="s">
        <v>259</v>
      </c>
      <c r="N640" s="51" t="str">
        <f>IF(AND('331-CT'!$E$7=TH!H640,OR(L640="331",M640="331")),"331",IF(AND(OR(L640="131",M640="131"),H640='131-CT'!$E$7),"131",""))</f>
        <v/>
      </c>
      <c r="O640" s="887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09"/>
      <c r="AC640" s="588"/>
      <c r="AD640" s="588"/>
      <c r="AE640" s="588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>
        <f t="shared" si="34"/>
        <v>12</v>
      </c>
      <c r="C641" s="183">
        <f t="shared" si="35"/>
        <v>42713</v>
      </c>
      <c r="D641" s="183" t="s">
        <v>639</v>
      </c>
      <c r="E641" s="190">
        <v>42713</v>
      </c>
      <c r="F641" s="188" t="s">
        <v>898</v>
      </c>
      <c r="G641" s="479" t="s">
        <v>897</v>
      </c>
      <c r="H641" s="209" t="s">
        <v>896</v>
      </c>
      <c r="I641" s="255">
        <v>400</v>
      </c>
      <c r="J641" s="255">
        <v>13400</v>
      </c>
      <c r="K641" s="37">
        <f>ROUND(I641*J641,0)</f>
        <v>5360000</v>
      </c>
      <c r="L641" s="193" t="s">
        <v>259</v>
      </c>
      <c r="M641" s="597" t="s">
        <v>174</v>
      </c>
      <c r="N641" s="51" t="str">
        <f>IF(AND('331-CT'!$E$7=TH!H641,OR(L641="331",M641="331")),"331",IF(AND(OR(L641="131",M641="131"),H641='131-CT'!$E$7),"131",""))</f>
        <v/>
      </c>
      <c r="O641" s="887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09"/>
      <c r="AC641" s="588"/>
      <c r="AD641" s="588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>
        <f t="shared" si="34"/>
        <v>12</v>
      </c>
      <c r="C642" s="183">
        <f t="shared" si="35"/>
        <v>42713</v>
      </c>
      <c r="D642" s="183" t="s">
        <v>639</v>
      </c>
      <c r="E642" s="190">
        <v>42713</v>
      </c>
      <c r="F642" s="188" t="s">
        <v>899</v>
      </c>
      <c r="G642" s="479" t="s">
        <v>897</v>
      </c>
      <c r="H642" s="209" t="s">
        <v>896</v>
      </c>
      <c r="I642" s="255">
        <v>4000</v>
      </c>
      <c r="J642" s="255">
        <v>2200</v>
      </c>
      <c r="K642" s="37">
        <f>ROUND(I642*J642,0)</f>
        <v>8800000</v>
      </c>
      <c r="L642" s="193" t="s">
        <v>259</v>
      </c>
      <c r="M642" s="597" t="s">
        <v>174</v>
      </c>
      <c r="N642" s="51" t="str">
        <f>IF(AND('331-CT'!$E$7=TH!H642,OR(L642="331",M642="331")),"331",IF(AND(OR(L642="131",M642="131"),H642='131-CT'!$E$7),"131",""))</f>
        <v/>
      </c>
      <c r="O642" s="887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09"/>
      <c r="AC642" s="588"/>
      <c r="AD642" s="588"/>
      <c r="AE642" s="588"/>
    </row>
    <row r="643" spans="1:33" s="588" customFormat="1" ht="15.75" customHeight="1">
      <c r="A643" s="203" t="str">
        <f>IF(B643&lt;&gt;"",IF(AND(B643&gt;=_TM1,B643&lt;=_TM2,OR(TH!L643="1111",TH!M643="1111")),TH!D643,""),"")</f>
        <v/>
      </c>
      <c r="B643" s="36">
        <f t="shared" si="34"/>
        <v>12</v>
      </c>
      <c r="C643" s="183">
        <f t="shared" si="35"/>
        <v>42713</v>
      </c>
      <c r="D643" s="183" t="s">
        <v>639</v>
      </c>
      <c r="E643" s="190">
        <v>42713</v>
      </c>
      <c r="F643" s="188" t="s">
        <v>555</v>
      </c>
      <c r="G643" s="479" t="s">
        <v>897</v>
      </c>
      <c r="H643" s="209" t="s">
        <v>896</v>
      </c>
      <c r="I643" s="256"/>
      <c r="J643" s="256"/>
      <c r="K643" s="37">
        <v>1416000</v>
      </c>
      <c r="L643" s="193" t="s">
        <v>259</v>
      </c>
      <c r="M643" s="597" t="s">
        <v>364</v>
      </c>
      <c r="N643" s="51" t="str">
        <f>IF(AND('331-CT'!$E$7=TH!H643,OR(L643="331",M643="331")),"331",IF(AND(OR(L643="131",M643="131"),H643='131-CT'!$E$7),"131",""))</f>
        <v/>
      </c>
      <c r="O643" s="887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09"/>
      <c r="AF643" s="210"/>
      <c r="AG643" s="210"/>
    </row>
    <row r="644" spans="1:33" s="588" customFormat="1" ht="15.75" customHeight="1">
      <c r="A644" s="203" t="str">
        <f>IF(B644&lt;&gt;"",IF(AND(B644&gt;=_TM1,B644&lt;=_TM2,OR(TH!L644="1111",TH!M644="1111")),TH!D644,""),"")</f>
        <v/>
      </c>
      <c r="B644" s="36">
        <f t="shared" si="34"/>
        <v>12</v>
      </c>
      <c r="C644" s="183">
        <f t="shared" si="35"/>
        <v>42713</v>
      </c>
      <c r="D644" s="183" t="s">
        <v>640</v>
      </c>
      <c r="E644" s="190">
        <v>42713</v>
      </c>
      <c r="F644" s="191" t="s">
        <v>893</v>
      </c>
      <c r="G644" s="479" t="s">
        <v>500</v>
      </c>
      <c r="H644" s="209" t="s">
        <v>745</v>
      </c>
      <c r="I644" s="255">
        <v>5240</v>
      </c>
      <c r="J644" s="255">
        <v>13800</v>
      </c>
      <c r="K644" s="37">
        <f>ROUND(I644*J644,0)</f>
        <v>72312000</v>
      </c>
      <c r="L644" s="193" t="s">
        <v>259</v>
      </c>
      <c r="M644" s="597" t="s">
        <v>174</v>
      </c>
      <c r="N644" s="51" t="str">
        <f>IF(AND('331-CT'!$E$7=TH!H644,OR(L644="331",M644="331")),"331",IF(AND(OR(L644="131",M644="131"),H644='131-CT'!$E$7),"131",""))</f>
        <v/>
      </c>
      <c r="O644" s="887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09"/>
      <c r="AF644" s="210"/>
      <c r="AG644" s="210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>
        <f t="shared" si="34"/>
        <v>12</v>
      </c>
      <c r="C645" s="183">
        <f t="shared" si="35"/>
        <v>42713</v>
      </c>
      <c r="D645" s="183" t="s">
        <v>640</v>
      </c>
      <c r="E645" s="190">
        <v>42713</v>
      </c>
      <c r="F645" s="188" t="s">
        <v>555</v>
      </c>
      <c r="G645" s="479" t="s">
        <v>500</v>
      </c>
      <c r="H645" s="209" t="s">
        <v>745</v>
      </c>
      <c r="I645" s="255"/>
      <c r="J645" s="255"/>
      <c r="K645" s="37">
        <v>7231200</v>
      </c>
      <c r="L645" s="193" t="s">
        <v>259</v>
      </c>
      <c r="M645" s="597" t="s">
        <v>364</v>
      </c>
      <c r="N645" s="51" t="str">
        <f>IF(AND('331-CT'!$E$7=TH!H645,OR(L645="331",M645="331")),"331",IF(AND(OR(L645="131",M645="131"),H645='131-CT'!$E$7),"131",""))</f>
        <v/>
      </c>
      <c r="O645" s="887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09"/>
      <c r="AC645" s="588"/>
      <c r="AD645" s="588"/>
      <c r="AE645" s="588"/>
    </row>
    <row r="646" spans="1:33" s="210" customFormat="1" ht="15.75" customHeight="1">
      <c r="A646" s="203" t="str">
        <f>IF(B646&lt;&gt;"",IF(AND(B646&gt;=_TM1,B646&lt;=_TM2,OR(TH!L646="1111",TH!M646="1111")),TH!D646,""),"")</f>
        <v/>
      </c>
      <c r="B646" s="36">
        <f t="shared" si="34"/>
        <v>12</v>
      </c>
      <c r="C646" s="183">
        <f t="shared" si="35"/>
        <v>42713</v>
      </c>
      <c r="D646" s="183" t="s">
        <v>641</v>
      </c>
      <c r="E646" s="190">
        <v>42713</v>
      </c>
      <c r="F646" s="191" t="s">
        <v>902</v>
      </c>
      <c r="G646" s="479" t="s">
        <v>901</v>
      </c>
      <c r="H646" s="209" t="s">
        <v>900</v>
      </c>
      <c r="I646" s="255">
        <v>91</v>
      </c>
      <c r="J646" s="255">
        <v>27000</v>
      </c>
      <c r="K646" s="37">
        <f>ROUND(I646*J646,0)</f>
        <v>2457000</v>
      </c>
      <c r="L646" s="193" t="s">
        <v>259</v>
      </c>
      <c r="M646" s="597" t="s">
        <v>174</v>
      </c>
      <c r="N646" s="51" t="str">
        <f>IF(AND('331-CT'!$E$7=TH!H646,OR(L646="331",M646="331")),"331",IF(AND(OR(L646="131",M646="131"),H646='131-CT'!$E$7),"131",""))</f>
        <v/>
      </c>
      <c r="O646" s="887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09"/>
      <c r="AC646" s="588"/>
      <c r="AD646" s="588"/>
      <c r="AE646" s="588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>
        <f t="shared" si="34"/>
        <v>12</v>
      </c>
      <c r="C647" s="183">
        <f t="shared" si="35"/>
        <v>42713</v>
      </c>
      <c r="D647" s="183" t="s">
        <v>641</v>
      </c>
      <c r="E647" s="190">
        <v>42713</v>
      </c>
      <c r="F647" s="191" t="s">
        <v>903</v>
      </c>
      <c r="G647" s="479" t="s">
        <v>901</v>
      </c>
      <c r="H647" s="209" t="s">
        <v>900</v>
      </c>
      <c r="I647" s="255">
        <v>300</v>
      </c>
      <c r="J647" s="255">
        <v>6700</v>
      </c>
      <c r="K647" s="37">
        <f>ROUND(I647*J647,0)</f>
        <v>2010000</v>
      </c>
      <c r="L647" s="193" t="s">
        <v>259</v>
      </c>
      <c r="M647" s="597" t="s">
        <v>174</v>
      </c>
      <c r="N647" s="51" t="str">
        <f>IF(AND('331-CT'!$E$7=TH!H647,OR(L647="331",M647="331")),"331",IF(AND(OR(L647="131",M647="131"),H647='131-CT'!$E$7),"131",""))</f>
        <v/>
      </c>
      <c r="O647" s="887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09"/>
      <c r="AC647" s="588"/>
      <c r="AD647" s="588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>
        <f t="shared" si="34"/>
        <v>12</v>
      </c>
      <c r="C648" s="183">
        <f t="shared" si="35"/>
        <v>42713</v>
      </c>
      <c r="D648" s="183" t="s">
        <v>641</v>
      </c>
      <c r="E648" s="190">
        <v>42713</v>
      </c>
      <c r="F648" s="188" t="s">
        <v>555</v>
      </c>
      <c r="G648" s="479" t="s">
        <v>901</v>
      </c>
      <c r="H648" s="209" t="s">
        <v>900</v>
      </c>
      <c r="I648" s="255"/>
      <c r="J648" s="255"/>
      <c r="K648" s="37">
        <v>446700</v>
      </c>
      <c r="L648" s="193" t="s">
        <v>259</v>
      </c>
      <c r="M648" s="597" t="s">
        <v>364</v>
      </c>
      <c r="N648" s="51" t="str">
        <f>IF(AND('331-CT'!$E$7=TH!H648,OR(L648="331",M648="331")),"331",IF(AND(OR(L648="131",M648="131"),H648='131-CT'!$E$7),"131",""))</f>
        <v/>
      </c>
      <c r="O648" s="887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09"/>
      <c r="AC648" s="588"/>
      <c r="AD648" s="588"/>
      <c r="AE648" s="588"/>
    </row>
    <row r="649" spans="1:33" s="588" customFormat="1" ht="15.75" customHeight="1">
      <c r="A649" s="203" t="str">
        <f>IF(B649&lt;&gt;"",IF(AND(B649&gt;=_TM1,B649&lt;=_TM2,OR(TH!L649="1111",TH!M649="1111")),TH!D649,""),"")</f>
        <v/>
      </c>
      <c r="B649" s="36">
        <f t="shared" si="34"/>
        <v>12</v>
      </c>
      <c r="C649" s="183">
        <f t="shared" si="35"/>
        <v>42713</v>
      </c>
      <c r="D649" s="183" t="s">
        <v>642</v>
      </c>
      <c r="E649" s="190">
        <v>42713</v>
      </c>
      <c r="F649" s="188" t="s">
        <v>878</v>
      </c>
      <c r="G649" s="479" t="s">
        <v>904</v>
      </c>
      <c r="H649" s="7" t="s">
        <v>879</v>
      </c>
      <c r="I649" s="255">
        <v>2400</v>
      </c>
      <c r="J649" s="255">
        <v>7500</v>
      </c>
      <c r="K649" s="37">
        <f>ROUND(I649*J649,0)</f>
        <v>18000000</v>
      </c>
      <c r="L649" s="193" t="s">
        <v>259</v>
      </c>
      <c r="M649" s="597" t="s">
        <v>174</v>
      </c>
      <c r="N649" s="51" t="str">
        <f>IF(AND('331-CT'!$E$7=TH!H649,OR(L649="331",M649="331")),"331",IF(AND(OR(L649="131",M649="131"),H649='131-CT'!$E$7),"131",""))</f>
        <v/>
      </c>
      <c r="O649" s="887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09"/>
      <c r="AF649" s="210"/>
      <c r="AG649" s="210"/>
    </row>
    <row r="650" spans="1:33" s="588" customFormat="1" ht="15.75" customHeight="1">
      <c r="A650" s="203" t="str">
        <f>IF(B650&lt;&gt;"",IF(AND(B650&gt;=_TM1,B650&lt;=_TM2,OR(TH!L650="1111",TH!M650="1111")),TH!D650,""),"")</f>
        <v/>
      </c>
      <c r="B650" s="36">
        <f t="shared" si="34"/>
        <v>12</v>
      </c>
      <c r="C650" s="183">
        <f t="shared" si="35"/>
        <v>42713</v>
      </c>
      <c r="D650" s="183" t="s">
        <v>642</v>
      </c>
      <c r="E650" s="190">
        <v>42713</v>
      </c>
      <c r="F650" s="188" t="s">
        <v>555</v>
      </c>
      <c r="G650" s="479" t="s">
        <v>904</v>
      </c>
      <c r="H650" s="7" t="s">
        <v>879</v>
      </c>
      <c r="I650" s="255"/>
      <c r="J650" s="255"/>
      <c r="K650" s="37">
        <v>1800000</v>
      </c>
      <c r="L650" s="193" t="s">
        <v>259</v>
      </c>
      <c r="M650" s="597" t="s">
        <v>364</v>
      </c>
      <c r="N650" s="51" t="str">
        <f>IF(AND('331-CT'!$E$7=TH!H650,OR(L650="331",M650="331")),"331",IF(AND(OR(L650="131",M650="131"),H650='131-CT'!$E$7),"131",""))</f>
        <v/>
      </c>
      <c r="O650" s="887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09"/>
      <c r="AF650" s="210"/>
      <c r="AG650" s="210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>
        <f t="shared" si="34"/>
        <v>12</v>
      </c>
      <c r="C651" s="183">
        <f t="shared" si="35"/>
        <v>42713</v>
      </c>
      <c r="D651" s="183"/>
      <c r="E651" s="190">
        <v>42713</v>
      </c>
      <c r="F651" s="191" t="s">
        <v>543</v>
      </c>
      <c r="G651" s="479" t="s">
        <v>904</v>
      </c>
      <c r="H651" s="7" t="s">
        <v>879</v>
      </c>
      <c r="I651" s="256"/>
      <c r="J651" s="256"/>
      <c r="K651" s="37">
        <v>19800000</v>
      </c>
      <c r="L651" s="193" t="s">
        <v>47</v>
      </c>
      <c r="M651" s="597" t="s">
        <v>259</v>
      </c>
      <c r="N651" s="51" t="str">
        <f>IF(AND('331-CT'!$E$7=TH!H651,OR(L651="331",M651="331")),"331",IF(AND(OR(L651="131",M651="131"),H651='131-CT'!$E$7),"131",""))</f>
        <v/>
      </c>
      <c r="O651" s="887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09"/>
      <c r="AC651" s="588"/>
      <c r="AD651" s="588"/>
      <c r="AE651" s="588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>
        <f t="shared" si="34"/>
        <v>12</v>
      </c>
      <c r="C652" s="183">
        <f t="shared" si="35"/>
        <v>42714</v>
      </c>
      <c r="D652" s="183" t="s">
        <v>643</v>
      </c>
      <c r="E652" s="190">
        <v>42714</v>
      </c>
      <c r="F652" s="188" t="s">
        <v>878</v>
      </c>
      <c r="G652" s="479" t="s">
        <v>905</v>
      </c>
      <c r="H652" s="7" t="s">
        <v>879</v>
      </c>
      <c r="I652" s="255">
        <v>2400</v>
      </c>
      <c r="J652" s="255">
        <v>7500</v>
      </c>
      <c r="K652" s="37">
        <f>ROUND(I652*J652,0)</f>
        <v>18000000</v>
      </c>
      <c r="L652" s="193" t="s">
        <v>259</v>
      </c>
      <c r="M652" s="597" t="s">
        <v>174</v>
      </c>
      <c r="N652" s="51" t="str">
        <f>IF(AND('331-CT'!$E$7=TH!H652,OR(L652="331",M652="331")),"331",IF(AND(OR(L652="131",M652="131"),H652='131-CT'!$E$7),"131",""))</f>
        <v/>
      </c>
      <c r="O652" s="887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09"/>
      <c r="AC652" s="588"/>
      <c r="AD652" s="588"/>
      <c r="AE652" s="588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>
        <f t="shared" si="34"/>
        <v>12</v>
      </c>
      <c r="C653" s="183">
        <f t="shared" si="35"/>
        <v>42714</v>
      </c>
      <c r="D653" s="183" t="s">
        <v>643</v>
      </c>
      <c r="E653" s="190">
        <v>42714</v>
      </c>
      <c r="F653" s="188" t="s">
        <v>555</v>
      </c>
      <c r="G653" s="479" t="s">
        <v>905</v>
      </c>
      <c r="H653" s="7" t="s">
        <v>879</v>
      </c>
      <c r="I653" s="255"/>
      <c r="J653" s="255"/>
      <c r="K653" s="37">
        <v>1800000</v>
      </c>
      <c r="L653" s="193" t="s">
        <v>259</v>
      </c>
      <c r="M653" s="597" t="s">
        <v>364</v>
      </c>
      <c r="N653" s="51" t="str">
        <f>IF(AND('331-CT'!$E$7=TH!H653,OR(L653="331",M653="331")),"331",IF(AND(OR(L653="131",M653="131"),H653='131-CT'!$E$7),"131",""))</f>
        <v/>
      </c>
      <c r="O653" s="887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09"/>
      <c r="AC653" s="588"/>
      <c r="AD653" s="588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>
        <f t="shared" si="34"/>
        <v>12</v>
      </c>
      <c r="C654" s="183">
        <f t="shared" si="35"/>
        <v>42714</v>
      </c>
      <c r="D654" s="183"/>
      <c r="E654" s="190">
        <v>42714</v>
      </c>
      <c r="F654" s="191" t="s">
        <v>543</v>
      </c>
      <c r="G654" s="479" t="s">
        <v>905</v>
      </c>
      <c r="H654" s="7" t="s">
        <v>879</v>
      </c>
      <c r="I654" s="256"/>
      <c r="J654" s="256"/>
      <c r="K654" s="37">
        <v>19800000</v>
      </c>
      <c r="L654" s="193" t="s">
        <v>47</v>
      </c>
      <c r="M654" s="597" t="s">
        <v>259</v>
      </c>
      <c r="N654" s="51" t="str">
        <f>IF(AND('331-CT'!$E$7=TH!H654,OR(L654="331",M654="331")),"331",IF(AND(OR(L654="131",M654="131"),H654='131-CT'!$E$7),"131",""))</f>
        <v/>
      </c>
      <c r="O654" s="887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09"/>
      <c r="AC654" s="588"/>
      <c r="AD654" s="588"/>
      <c r="AE654" s="588"/>
    </row>
    <row r="655" spans="1:33" s="588" customFormat="1" ht="15.75" customHeight="1">
      <c r="A655" s="203" t="str">
        <f>IF(B655&lt;&gt;"",IF(AND(B655&gt;=_TM1,B655&lt;=_TM2,OR(TH!L655="1111",TH!M655="1111")),TH!D655,""),"")</f>
        <v/>
      </c>
      <c r="B655" s="36">
        <f t="shared" si="34"/>
        <v>12</v>
      </c>
      <c r="C655" s="183">
        <f t="shared" si="35"/>
        <v>42715</v>
      </c>
      <c r="D655" s="183" t="s">
        <v>644</v>
      </c>
      <c r="E655" s="190">
        <v>42715</v>
      </c>
      <c r="F655" s="188" t="s">
        <v>878</v>
      </c>
      <c r="G655" s="479" t="s">
        <v>906</v>
      </c>
      <c r="H655" s="7" t="s">
        <v>879</v>
      </c>
      <c r="I655" s="255">
        <v>2400</v>
      </c>
      <c r="J655" s="255">
        <v>7500</v>
      </c>
      <c r="K655" s="37">
        <f>ROUND(I655*J655,0)</f>
        <v>18000000</v>
      </c>
      <c r="L655" s="193" t="s">
        <v>259</v>
      </c>
      <c r="M655" s="597" t="s">
        <v>174</v>
      </c>
      <c r="N655" s="51" t="str">
        <f>IF(AND('331-CT'!$E$7=TH!H655,OR(L655="331",M655="331")),"331",IF(AND(OR(L655="131",M655="131"),H655='131-CT'!$E$7),"131",""))</f>
        <v/>
      </c>
      <c r="O655" s="887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09"/>
      <c r="AF655" s="210"/>
      <c r="AG655" s="210"/>
    </row>
    <row r="656" spans="1:33" s="588" customFormat="1" ht="15.75" customHeight="1">
      <c r="A656" s="203" t="str">
        <f>IF(B656&lt;&gt;"",IF(AND(B656&gt;=_TM1,B656&lt;=_TM2,OR(TH!L656="1111",TH!M656="1111")),TH!D656,""),"")</f>
        <v/>
      </c>
      <c r="B656" s="36">
        <f t="shared" si="34"/>
        <v>12</v>
      </c>
      <c r="C656" s="183">
        <f t="shared" si="35"/>
        <v>42715</v>
      </c>
      <c r="D656" s="183" t="s">
        <v>644</v>
      </c>
      <c r="E656" s="190">
        <v>42715</v>
      </c>
      <c r="F656" s="188" t="s">
        <v>555</v>
      </c>
      <c r="G656" s="479" t="s">
        <v>906</v>
      </c>
      <c r="H656" s="7" t="s">
        <v>879</v>
      </c>
      <c r="I656" s="255"/>
      <c r="J656" s="255"/>
      <c r="K656" s="37">
        <v>1800000</v>
      </c>
      <c r="L656" s="193" t="s">
        <v>259</v>
      </c>
      <c r="M656" s="597" t="s">
        <v>364</v>
      </c>
      <c r="N656" s="51" t="str">
        <f>IF(AND('331-CT'!$E$7=TH!H656,OR(L656="331",M656="331")),"331",IF(AND(OR(L656="131",M656="131"),H656='131-CT'!$E$7),"131",""))</f>
        <v/>
      </c>
      <c r="O656" s="887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09"/>
      <c r="AF656" s="210"/>
      <c r="AG656" s="210"/>
    </row>
    <row r="657" spans="1:33" s="588" customFormat="1" ht="15.75" customHeight="1">
      <c r="A657" s="203" t="str">
        <f>IF(B657&lt;&gt;"",IF(AND(B657&gt;=_TM1,B657&lt;=_TM2,OR(TH!L657="1111",TH!M657="1111")),TH!D657,""),"")</f>
        <v/>
      </c>
      <c r="B657" s="36">
        <f t="shared" si="34"/>
        <v>12</v>
      </c>
      <c r="C657" s="183">
        <f t="shared" si="35"/>
        <v>42715</v>
      </c>
      <c r="D657" s="183"/>
      <c r="E657" s="190">
        <v>42715</v>
      </c>
      <c r="F657" s="191" t="s">
        <v>543</v>
      </c>
      <c r="G657" s="479" t="s">
        <v>906</v>
      </c>
      <c r="H657" s="7" t="s">
        <v>879</v>
      </c>
      <c r="I657" s="256"/>
      <c r="J657" s="256"/>
      <c r="K657" s="37">
        <v>19800000</v>
      </c>
      <c r="L657" s="193" t="s">
        <v>47</v>
      </c>
      <c r="M657" s="597" t="s">
        <v>259</v>
      </c>
      <c r="N657" s="51" t="str">
        <f>IF(AND('331-CT'!$E$7=TH!H657,OR(L657="331",M657="331")),"331",IF(AND(OR(L657="131",M657="131"),H657='131-CT'!$E$7),"131",""))</f>
        <v/>
      </c>
      <c r="O657" s="887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09"/>
      <c r="AF657" s="210"/>
      <c r="AG657" s="210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>
        <f t="shared" si="34"/>
        <v>12</v>
      </c>
      <c r="C658" s="183">
        <f t="shared" si="35"/>
        <v>42716</v>
      </c>
      <c r="D658" s="183" t="s">
        <v>645</v>
      </c>
      <c r="E658" s="190">
        <v>42716</v>
      </c>
      <c r="F658" s="188" t="s">
        <v>878</v>
      </c>
      <c r="G658" s="479" t="s">
        <v>907</v>
      </c>
      <c r="H658" s="7" t="s">
        <v>879</v>
      </c>
      <c r="I658" s="255">
        <v>2400</v>
      </c>
      <c r="J658" s="255">
        <v>7500</v>
      </c>
      <c r="K658" s="37">
        <f>ROUND(I658*J658,0)</f>
        <v>18000000</v>
      </c>
      <c r="L658" s="193" t="s">
        <v>259</v>
      </c>
      <c r="M658" s="597" t="s">
        <v>174</v>
      </c>
      <c r="N658" s="51" t="str">
        <f>IF(AND('331-CT'!$E$7=TH!H658,OR(L658="331",M658="331")),"331",IF(AND(OR(L658="131",M658="131"),H658='131-CT'!$E$7),"131",""))</f>
        <v/>
      </c>
      <c r="O658" s="887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09"/>
      <c r="AC658" s="588"/>
      <c r="AD658" s="588"/>
      <c r="AE658" s="588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>
        <f t="shared" si="34"/>
        <v>12</v>
      </c>
      <c r="C659" s="183">
        <f t="shared" si="35"/>
        <v>42716</v>
      </c>
      <c r="D659" s="183" t="s">
        <v>645</v>
      </c>
      <c r="E659" s="190">
        <v>42716</v>
      </c>
      <c r="F659" s="188" t="s">
        <v>555</v>
      </c>
      <c r="G659" s="479" t="s">
        <v>907</v>
      </c>
      <c r="H659" s="7" t="s">
        <v>879</v>
      </c>
      <c r="I659" s="255"/>
      <c r="J659" s="255"/>
      <c r="K659" s="37">
        <v>1800000</v>
      </c>
      <c r="L659" s="193" t="s">
        <v>259</v>
      </c>
      <c r="M659" s="597" t="s">
        <v>364</v>
      </c>
      <c r="N659" s="51" t="str">
        <f>IF(AND('331-CT'!$E$7=TH!H659,OR(L659="331",M659="331")),"331",IF(AND(OR(L659="131",M659="131"),H659='131-CT'!$E$7),"131",""))</f>
        <v/>
      </c>
      <c r="O659" s="887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09"/>
      <c r="AC659" s="588"/>
      <c r="AD659" s="588"/>
      <c r="AE659" s="588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>
        <f t="shared" si="34"/>
        <v>12</v>
      </c>
      <c r="C660" s="183">
        <f t="shared" si="35"/>
        <v>42716</v>
      </c>
      <c r="D660" s="183"/>
      <c r="E660" s="190">
        <v>42716</v>
      </c>
      <c r="F660" s="191" t="s">
        <v>543</v>
      </c>
      <c r="G660" s="479" t="s">
        <v>907</v>
      </c>
      <c r="H660" s="7" t="s">
        <v>879</v>
      </c>
      <c r="I660" s="256"/>
      <c r="J660" s="256"/>
      <c r="K660" s="37">
        <v>19800000</v>
      </c>
      <c r="L660" s="193" t="s">
        <v>47</v>
      </c>
      <c r="M660" s="597" t="s">
        <v>259</v>
      </c>
      <c r="N660" s="51" t="str">
        <f>IF(AND('331-CT'!$E$7=TH!H660,OR(L660="331",M660="331")),"331",IF(AND(OR(L660="131",M660="131"),H660='131-CT'!$E$7),"131",""))</f>
        <v/>
      </c>
      <c r="O660" s="887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09"/>
      <c r="AC660" s="588"/>
      <c r="AD660" s="588"/>
    </row>
    <row r="661" spans="1:33" s="588" customFormat="1" ht="15.75" customHeight="1">
      <c r="A661" s="203" t="str">
        <f>IF(B661&lt;&gt;"",IF(AND(B661&gt;=_TM1,B661&lt;=_TM2,OR(TH!L661="1111",TH!M661="1111")),TH!D661,""),"")</f>
        <v/>
      </c>
      <c r="B661" s="36">
        <f t="shared" si="34"/>
        <v>12</v>
      </c>
      <c r="C661" s="183">
        <f t="shared" si="35"/>
        <v>42716</v>
      </c>
      <c r="D661" s="183" t="s">
        <v>646</v>
      </c>
      <c r="E661" s="190">
        <v>42716</v>
      </c>
      <c r="F661" s="191" t="s">
        <v>726</v>
      </c>
      <c r="G661" s="481" t="s">
        <v>947</v>
      </c>
      <c r="H661" s="7" t="s">
        <v>677</v>
      </c>
      <c r="I661" s="256">
        <v>332</v>
      </c>
      <c r="J661" s="256">
        <v>9400</v>
      </c>
      <c r="K661" s="37">
        <f>ROUND(I661*J661,0)</f>
        <v>3120800</v>
      </c>
      <c r="L661" s="193" t="s">
        <v>259</v>
      </c>
      <c r="M661" s="597" t="s">
        <v>174</v>
      </c>
      <c r="N661" s="51" t="str">
        <f>IF(AND('331-CT'!$E$7=TH!H661,OR(L661="331",M661="331")),"331",IF(AND(OR(L661="131",M661="131"),H661='131-CT'!$E$7),"131",""))</f>
        <v/>
      </c>
      <c r="O661" s="887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09"/>
      <c r="AF661" s="210"/>
      <c r="AG661" s="210"/>
    </row>
    <row r="662" spans="1:33" s="588" customFormat="1" ht="15.75" customHeight="1">
      <c r="A662" s="203" t="str">
        <f>IF(B662&lt;&gt;"",IF(AND(B662&gt;=_TM1,B662&lt;=_TM2,OR(TH!L662="1111",TH!M662="1111")),TH!D662,""),"")</f>
        <v/>
      </c>
      <c r="B662" s="36">
        <f t="shared" si="34"/>
        <v>12</v>
      </c>
      <c r="C662" s="183">
        <f t="shared" si="35"/>
        <v>42716</v>
      </c>
      <c r="D662" s="183" t="s">
        <v>646</v>
      </c>
      <c r="E662" s="190">
        <v>42716</v>
      </c>
      <c r="F662" s="191" t="s">
        <v>570</v>
      </c>
      <c r="G662" s="481" t="s">
        <v>947</v>
      </c>
      <c r="H662" s="7" t="s">
        <v>677</v>
      </c>
      <c r="I662" s="255">
        <v>104</v>
      </c>
      <c r="J662" s="255">
        <v>12900</v>
      </c>
      <c r="K662" s="37">
        <f>ROUND(I662*J662,0)</f>
        <v>1341600</v>
      </c>
      <c r="L662" s="193" t="s">
        <v>259</v>
      </c>
      <c r="M662" s="597" t="s">
        <v>174</v>
      </c>
      <c r="N662" s="51" t="str">
        <f>IF(AND('331-CT'!$E$7=TH!H662,OR(L662="331",M662="331")),"331",IF(AND(OR(L662="131",M662="131"),H662='131-CT'!$E$7),"131",""))</f>
        <v/>
      </c>
      <c r="O662" s="887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09"/>
      <c r="AF662" s="210"/>
      <c r="AG662" s="210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>
        <f t="shared" si="34"/>
        <v>12</v>
      </c>
      <c r="C663" s="183">
        <f t="shared" si="35"/>
        <v>42716</v>
      </c>
      <c r="D663" s="183" t="s">
        <v>646</v>
      </c>
      <c r="E663" s="190">
        <v>42716</v>
      </c>
      <c r="F663" s="188" t="s">
        <v>555</v>
      </c>
      <c r="G663" s="481" t="s">
        <v>947</v>
      </c>
      <c r="H663" s="7" t="s">
        <v>677</v>
      </c>
      <c r="I663" s="255"/>
      <c r="J663" s="255"/>
      <c r="K663" s="37">
        <v>446240</v>
      </c>
      <c r="L663" s="193" t="s">
        <v>259</v>
      </c>
      <c r="M663" s="597" t="s">
        <v>364</v>
      </c>
      <c r="N663" s="51" t="str">
        <f>IF(AND('331-CT'!$E$7=TH!H663,OR(L663="331",M663="331")),"331",IF(AND(OR(L663="131",M663="131"),H663='131-CT'!$E$7),"131",""))</f>
        <v/>
      </c>
      <c r="O663" s="887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09"/>
      <c r="AC663" s="588"/>
      <c r="AD663" s="588"/>
      <c r="AE663" s="588"/>
    </row>
    <row r="664" spans="1:33" s="210" customFormat="1" ht="15.75" customHeight="1">
      <c r="A664" s="203" t="str">
        <f>IF(B664&lt;&gt;"",IF(AND(B664&gt;=_TM1,B664&lt;=_TM2,OR(TH!L664="1111",TH!M664="1111")),TH!D664,""),"")</f>
        <v/>
      </c>
      <c r="B664" s="36">
        <f t="shared" si="34"/>
        <v>12</v>
      </c>
      <c r="C664" s="183">
        <f t="shared" si="35"/>
        <v>42717</v>
      </c>
      <c r="D664" s="183" t="s">
        <v>647</v>
      </c>
      <c r="E664" s="190">
        <v>42717</v>
      </c>
      <c r="F664" s="191" t="s">
        <v>588</v>
      </c>
      <c r="G664" s="481" t="s">
        <v>948</v>
      </c>
      <c r="H664" s="7" t="s">
        <v>410</v>
      </c>
      <c r="I664" s="255">
        <v>60</v>
      </c>
      <c r="J664" s="255">
        <v>47449</v>
      </c>
      <c r="K664" s="37">
        <f>ROUND(I664*J664,0)</f>
        <v>2846940</v>
      </c>
      <c r="L664" s="193" t="s">
        <v>259</v>
      </c>
      <c r="M664" s="597" t="s">
        <v>174</v>
      </c>
      <c r="N664" s="51" t="str">
        <f>IF(AND('331-CT'!$E$7=TH!H664,OR(L664="331",M664="331")),"331",IF(AND(OR(L664="131",M664="131"),H664='131-CT'!$E$7),"131",""))</f>
        <v/>
      </c>
      <c r="O664" s="887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09"/>
      <c r="AC664" s="588"/>
      <c r="AD664" s="588"/>
      <c r="AE664" s="588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>
        <f t="shared" si="34"/>
        <v>12</v>
      </c>
      <c r="C665" s="183">
        <f t="shared" si="35"/>
        <v>42717</v>
      </c>
      <c r="D665" s="183" t="s">
        <v>647</v>
      </c>
      <c r="E665" s="190">
        <v>42717</v>
      </c>
      <c r="F665" s="191" t="s">
        <v>728</v>
      </c>
      <c r="G665" s="481" t="s">
        <v>948</v>
      </c>
      <c r="H665" s="7" t="s">
        <v>410</v>
      </c>
      <c r="I665" s="255">
        <v>22</v>
      </c>
      <c r="J665" s="255">
        <v>54530</v>
      </c>
      <c r="K665" s="37">
        <f>ROUND(I665*J665,0)</f>
        <v>1199660</v>
      </c>
      <c r="L665" s="193" t="s">
        <v>259</v>
      </c>
      <c r="M665" s="597" t="s">
        <v>174</v>
      </c>
      <c r="N665" s="51" t="str">
        <f>IF(AND('331-CT'!$E$7=TH!H665,OR(L665="331",M665="331")),"331",IF(AND(OR(L665="131",M665="131"),H665='131-CT'!$E$7),"131",""))</f>
        <v/>
      </c>
      <c r="O665" s="887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09"/>
      <c r="AC665" s="588"/>
      <c r="AD665" s="588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>
        <f t="shared" ref="B666:B729" si="38">IF(C666&lt;&gt;"",MONTH(C666),"")</f>
        <v>12</v>
      </c>
      <c r="C666" s="183">
        <f t="shared" ref="C666:C729" si="39">E666</f>
        <v>42717</v>
      </c>
      <c r="D666" s="183" t="s">
        <v>647</v>
      </c>
      <c r="E666" s="190">
        <v>42717</v>
      </c>
      <c r="F666" s="188" t="s">
        <v>555</v>
      </c>
      <c r="G666" s="481" t="s">
        <v>948</v>
      </c>
      <c r="H666" s="7" t="s">
        <v>410</v>
      </c>
      <c r="I666" s="255"/>
      <c r="J666" s="255"/>
      <c r="K666" s="37">
        <v>404660</v>
      </c>
      <c r="L666" s="193" t="s">
        <v>259</v>
      </c>
      <c r="M666" s="597" t="s">
        <v>364</v>
      </c>
      <c r="N666" s="51" t="str">
        <f>IF(AND('331-CT'!$E$7=TH!H666,OR(L666="331",M666="331")),"331",IF(AND(OR(L666="131",M666="131"),H666='131-CT'!$E$7),"131",""))</f>
        <v/>
      </c>
      <c r="O666" s="887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09"/>
      <c r="AC666" s="588"/>
      <c r="AD666" s="588"/>
      <c r="AE666" s="588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>
        <f t="shared" si="38"/>
        <v>12</v>
      </c>
      <c r="C667" s="183">
        <f t="shared" si="39"/>
        <v>42719</v>
      </c>
      <c r="D667" s="183" t="s">
        <v>648</v>
      </c>
      <c r="E667" s="190">
        <v>42719</v>
      </c>
      <c r="F667" s="191" t="s">
        <v>909</v>
      </c>
      <c r="G667" s="479" t="s">
        <v>908</v>
      </c>
      <c r="H667" s="7" t="s">
        <v>407</v>
      </c>
      <c r="I667" s="255">
        <v>103</v>
      </c>
      <c r="J667" s="255">
        <v>14000</v>
      </c>
      <c r="K667" s="37">
        <f>ROUND(I667*J667,0)</f>
        <v>1442000</v>
      </c>
      <c r="L667" s="193" t="s">
        <v>259</v>
      </c>
      <c r="M667" s="597" t="s">
        <v>174</v>
      </c>
      <c r="N667" s="51" t="str">
        <f>IF(AND('331-CT'!$E$7=TH!H667,OR(L667="331",M667="331")),"331",IF(AND(OR(L667="131",M667="131"),H667='131-CT'!$E$7),"131",""))</f>
        <v/>
      </c>
      <c r="O667" s="887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09"/>
      <c r="AC667" s="588"/>
      <c r="AD667" s="588"/>
      <c r="AE667" s="588"/>
    </row>
    <row r="668" spans="1:33" s="588" customFormat="1" ht="15.75" customHeight="1">
      <c r="A668" s="203" t="str">
        <f>IF(B668&lt;&gt;"",IF(AND(B668&gt;=_TM1,B668&lt;=_TM2,OR(TH!L668="1111",TH!M668="1111")),TH!D668,""),"")</f>
        <v/>
      </c>
      <c r="B668" s="36">
        <f t="shared" si="38"/>
        <v>12</v>
      </c>
      <c r="C668" s="183">
        <f t="shared" si="39"/>
        <v>42719</v>
      </c>
      <c r="D668" s="183" t="s">
        <v>648</v>
      </c>
      <c r="E668" s="190">
        <v>42719</v>
      </c>
      <c r="F668" s="191" t="s">
        <v>910</v>
      </c>
      <c r="G668" s="479" t="s">
        <v>908</v>
      </c>
      <c r="H668" s="7" t="s">
        <v>407</v>
      </c>
      <c r="I668" s="256">
        <v>273</v>
      </c>
      <c r="J668" s="256">
        <v>20000</v>
      </c>
      <c r="K668" s="37">
        <f>ROUND(I668*J668,0)</f>
        <v>5460000</v>
      </c>
      <c r="L668" s="193" t="s">
        <v>259</v>
      </c>
      <c r="M668" s="597" t="s">
        <v>174</v>
      </c>
      <c r="N668" s="51" t="str">
        <f>IF(AND('331-CT'!$E$7=TH!H668,OR(L668="331",M668="331")),"331",IF(AND(OR(L668="131",M668="131"),H668='131-CT'!$E$7),"131",""))</f>
        <v/>
      </c>
      <c r="O668" s="887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09"/>
      <c r="AF668" s="210"/>
      <c r="AG668" s="210"/>
    </row>
    <row r="669" spans="1:33" s="588" customFormat="1" ht="15.75" customHeight="1">
      <c r="A669" s="203" t="str">
        <f>IF(B669&lt;&gt;"",IF(AND(B669&gt;=_TM1,B669&lt;=_TM2,OR(TH!L669="1111",TH!M669="1111")),TH!D669,""),"")</f>
        <v/>
      </c>
      <c r="B669" s="36">
        <f t="shared" si="38"/>
        <v>12</v>
      </c>
      <c r="C669" s="183">
        <f t="shared" si="39"/>
        <v>42719</v>
      </c>
      <c r="D669" s="183" t="s">
        <v>648</v>
      </c>
      <c r="E669" s="190">
        <v>42719</v>
      </c>
      <c r="F669" s="188" t="s">
        <v>555</v>
      </c>
      <c r="G669" s="479" t="s">
        <v>908</v>
      </c>
      <c r="H669" s="7" t="s">
        <v>407</v>
      </c>
      <c r="I669" s="256"/>
      <c r="J669" s="256"/>
      <c r="K669" s="37">
        <v>690200</v>
      </c>
      <c r="L669" s="193" t="s">
        <v>259</v>
      </c>
      <c r="M669" s="597" t="s">
        <v>364</v>
      </c>
      <c r="N669" s="51" t="str">
        <f>IF(AND('331-CT'!$E$7=TH!H669,OR(L669="331",M669="331")),"331",IF(AND(OR(L669="131",M669="131"),H669='131-CT'!$E$7),"131",""))</f>
        <v/>
      </c>
      <c r="O669" s="887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09"/>
      <c r="AF669" s="210"/>
      <c r="AG669" s="210"/>
    </row>
    <row r="670" spans="1:33" s="588" customFormat="1" ht="15.75" customHeight="1">
      <c r="A670" s="203" t="str">
        <f>IF(B670&lt;&gt;"",IF(AND(B670&gt;=_TM1,B670&lt;=_TM2,OR(TH!L670="1111",TH!M670="1111")),TH!D670,""),"")</f>
        <v/>
      </c>
      <c r="B670" s="36">
        <f t="shared" si="38"/>
        <v>12</v>
      </c>
      <c r="C670" s="183">
        <f t="shared" si="39"/>
        <v>42719</v>
      </c>
      <c r="D670" s="183" t="s">
        <v>649</v>
      </c>
      <c r="E670" s="190">
        <v>42719</v>
      </c>
      <c r="F670" s="188" t="s">
        <v>878</v>
      </c>
      <c r="G670" s="481" t="s">
        <v>949</v>
      </c>
      <c r="H670" s="7" t="s">
        <v>879</v>
      </c>
      <c r="I670" s="255">
        <v>2400</v>
      </c>
      <c r="J670" s="255">
        <v>7500</v>
      </c>
      <c r="K670" s="37">
        <f>ROUND(I670*J670,0)</f>
        <v>18000000</v>
      </c>
      <c r="L670" s="193" t="s">
        <v>259</v>
      </c>
      <c r="M670" s="597" t="s">
        <v>174</v>
      </c>
      <c r="N670" s="51" t="str">
        <f>IF(AND('331-CT'!$E$7=TH!H670,OR(L670="331",M670="331")),"331",IF(AND(OR(L670="131",M670="131"),H670='131-CT'!$E$7),"131",""))</f>
        <v/>
      </c>
      <c r="O670" s="887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09"/>
      <c r="AF670" s="210"/>
      <c r="AG670" s="210"/>
    </row>
    <row r="671" spans="1:33" s="588" customFormat="1" ht="15.75" customHeight="1">
      <c r="A671" s="203" t="str">
        <f>IF(B671&lt;&gt;"",IF(AND(B671&gt;=_TM1,B671&lt;=_TM2,OR(TH!L671="1111",TH!M671="1111")),TH!D671,""),"")</f>
        <v/>
      </c>
      <c r="B671" s="36">
        <f t="shared" si="38"/>
        <v>12</v>
      </c>
      <c r="C671" s="183">
        <f t="shared" si="39"/>
        <v>42719</v>
      </c>
      <c r="D671" s="183" t="s">
        <v>649</v>
      </c>
      <c r="E671" s="190">
        <v>42719</v>
      </c>
      <c r="F671" s="188" t="s">
        <v>555</v>
      </c>
      <c r="G671" s="481" t="s">
        <v>949</v>
      </c>
      <c r="H671" s="7" t="s">
        <v>879</v>
      </c>
      <c r="I671" s="255"/>
      <c r="J671" s="255"/>
      <c r="K671" s="37">
        <v>1800000</v>
      </c>
      <c r="L671" s="193" t="s">
        <v>259</v>
      </c>
      <c r="M671" s="597" t="s">
        <v>364</v>
      </c>
      <c r="N671" s="51" t="str">
        <f>IF(AND('331-CT'!$E$7=TH!H671,OR(L671="331",M671="331")),"331",IF(AND(OR(L671="131",M671="131"),H671='131-CT'!$E$7),"131",""))</f>
        <v/>
      </c>
      <c r="O671" s="887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09"/>
      <c r="AF671" s="210"/>
      <c r="AG671" s="210"/>
    </row>
    <row r="672" spans="1:33" s="588" customFormat="1" ht="15.75" customHeight="1">
      <c r="A672" s="203" t="str">
        <f>IF(B672&lt;&gt;"",IF(AND(B672&gt;=_TM1,B672&lt;=_TM2,OR(TH!L672="1111",TH!M672="1111")),TH!D672,""),"")</f>
        <v/>
      </c>
      <c r="B672" s="36">
        <f t="shared" si="38"/>
        <v>12</v>
      </c>
      <c r="C672" s="183">
        <f t="shared" si="39"/>
        <v>42719</v>
      </c>
      <c r="D672" s="183"/>
      <c r="E672" s="190">
        <v>42719</v>
      </c>
      <c r="F672" s="191" t="s">
        <v>543</v>
      </c>
      <c r="G672" s="481" t="s">
        <v>949</v>
      </c>
      <c r="H672" s="7" t="s">
        <v>879</v>
      </c>
      <c r="I672" s="256"/>
      <c r="J672" s="256"/>
      <c r="K672" s="37">
        <v>19800000</v>
      </c>
      <c r="L672" s="193" t="s">
        <v>47</v>
      </c>
      <c r="M672" s="597" t="s">
        <v>259</v>
      </c>
      <c r="N672" s="51" t="str">
        <f>IF(AND('331-CT'!$E$7=TH!H672,OR(L672="331",M672="331")),"331",IF(AND(OR(L672="131",M672="131"),H672='131-CT'!$E$7),"131",""))</f>
        <v/>
      </c>
      <c r="O672" s="887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09"/>
      <c r="AF672" s="210"/>
      <c r="AG672" s="210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>
        <f t="shared" si="38"/>
        <v>12</v>
      </c>
      <c r="C673" s="183">
        <f t="shared" si="39"/>
        <v>42720</v>
      </c>
      <c r="D673" s="183" t="s">
        <v>650</v>
      </c>
      <c r="E673" s="190">
        <v>42720</v>
      </c>
      <c r="F673" s="188" t="s">
        <v>878</v>
      </c>
      <c r="G673" s="481" t="s">
        <v>950</v>
      </c>
      <c r="H673" s="7" t="s">
        <v>879</v>
      </c>
      <c r="I673" s="255">
        <v>2400</v>
      </c>
      <c r="J673" s="255">
        <v>7500</v>
      </c>
      <c r="K673" s="37">
        <f>ROUND(I673*J673,0)</f>
        <v>18000000</v>
      </c>
      <c r="L673" s="193" t="s">
        <v>259</v>
      </c>
      <c r="M673" s="597" t="s">
        <v>174</v>
      </c>
      <c r="N673" s="51" t="str">
        <f>IF(AND('331-CT'!$E$7=TH!H673,OR(L673="331",M673="331")),"331",IF(AND(OR(L673="131",M673="131"),H673='131-CT'!$E$7),"131",""))</f>
        <v/>
      </c>
      <c r="O673" s="887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09"/>
      <c r="AC673" s="588"/>
      <c r="AD673" s="588"/>
      <c r="AE673" s="588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>
        <f t="shared" si="38"/>
        <v>12</v>
      </c>
      <c r="C674" s="183">
        <f t="shared" si="39"/>
        <v>42720</v>
      </c>
      <c r="D674" s="183" t="s">
        <v>650</v>
      </c>
      <c r="E674" s="190">
        <v>42720</v>
      </c>
      <c r="F674" s="188" t="s">
        <v>555</v>
      </c>
      <c r="G674" s="481" t="s">
        <v>950</v>
      </c>
      <c r="H674" s="7" t="s">
        <v>879</v>
      </c>
      <c r="I674" s="255"/>
      <c r="J674" s="255"/>
      <c r="K674" s="37">
        <v>1800000</v>
      </c>
      <c r="L674" s="193" t="s">
        <v>259</v>
      </c>
      <c r="M674" s="597" t="s">
        <v>364</v>
      </c>
      <c r="N674" s="51" t="str">
        <f>IF(AND('331-CT'!$E$7=TH!H674,OR(L674="331",M674="331")),"331",IF(AND(OR(L674="131",M674="131"),H674='131-CT'!$E$7),"131",""))</f>
        <v/>
      </c>
      <c r="O674" s="887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09"/>
      <c r="AC674" s="588"/>
      <c r="AD674" s="588"/>
      <c r="AE674" s="588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>
        <f t="shared" si="38"/>
        <v>12</v>
      </c>
      <c r="C675" s="183">
        <f t="shared" si="39"/>
        <v>42720</v>
      </c>
      <c r="D675" s="183"/>
      <c r="E675" s="190">
        <v>42720</v>
      </c>
      <c r="F675" s="191" t="s">
        <v>543</v>
      </c>
      <c r="G675" s="481" t="s">
        <v>950</v>
      </c>
      <c r="H675" s="7" t="s">
        <v>879</v>
      </c>
      <c r="I675" s="256"/>
      <c r="J675" s="256"/>
      <c r="K675" s="37">
        <v>19800000</v>
      </c>
      <c r="L675" s="193" t="s">
        <v>47</v>
      </c>
      <c r="M675" s="597" t="s">
        <v>259</v>
      </c>
      <c r="N675" s="51" t="str">
        <f>IF(AND('331-CT'!$E$7=TH!H675,OR(L675="331",M675="331")),"331",IF(AND(OR(L675="131",M675="131"),H675='131-CT'!$E$7),"131",""))</f>
        <v/>
      </c>
      <c r="O675" s="887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09"/>
      <c r="AC675" s="588"/>
      <c r="AD675" s="588"/>
    </row>
    <row r="676" spans="1:33" s="588" customFormat="1" ht="15.75" customHeight="1">
      <c r="A676" s="203" t="str">
        <f>IF(B676&lt;&gt;"",IF(AND(B676&gt;=_TM1,B676&lt;=_TM2,OR(TH!L676="1111",TH!M676="1111")),TH!D676,""),"")</f>
        <v/>
      </c>
      <c r="B676" s="36">
        <f t="shared" si="38"/>
        <v>12</v>
      </c>
      <c r="C676" s="183">
        <f t="shared" si="39"/>
        <v>42721</v>
      </c>
      <c r="D676" s="183" t="s">
        <v>651</v>
      </c>
      <c r="E676" s="190">
        <v>42721</v>
      </c>
      <c r="F676" s="191" t="s">
        <v>913</v>
      </c>
      <c r="G676" s="479" t="s">
        <v>912</v>
      </c>
      <c r="H676" s="209" t="s">
        <v>911</v>
      </c>
      <c r="I676" s="255">
        <v>205</v>
      </c>
      <c r="J676" s="255">
        <v>4950</v>
      </c>
      <c r="K676" s="37">
        <f>ROUND(I676*J676,0)</f>
        <v>1014750</v>
      </c>
      <c r="L676" s="193" t="s">
        <v>259</v>
      </c>
      <c r="M676" s="597" t="s">
        <v>174</v>
      </c>
      <c r="N676" s="51" t="str">
        <f>IF(AND('331-CT'!$E$7=TH!H676,OR(L676="331",M676="331")),"331",IF(AND(OR(L676="131",M676="131"),H676='131-CT'!$E$7),"131",""))</f>
        <v/>
      </c>
      <c r="O676" s="887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09"/>
      <c r="AF676" s="210"/>
      <c r="AG676" s="210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>
        <f t="shared" si="38"/>
        <v>12</v>
      </c>
      <c r="C677" s="183">
        <f t="shared" si="39"/>
        <v>42721</v>
      </c>
      <c r="D677" s="183" t="s">
        <v>651</v>
      </c>
      <c r="E677" s="190">
        <v>42721</v>
      </c>
      <c r="F677" s="191" t="s">
        <v>914</v>
      </c>
      <c r="G677" s="479" t="s">
        <v>912</v>
      </c>
      <c r="H677" s="209" t="s">
        <v>911</v>
      </c>
      <c r="I677" s="255">
        <v>1160</v>
      </c>
      <c r="J677" s="255">
        <v>9936</v>
      </c>
      <c r="K677" s="37">
        <f>ROUND(I677*J677,0)</f>
        <v>11525760</v>
      </c>
      <c r="L677" s="193" t="s">
        <v>259</v>
      </c>
      <c r="M677" s="597" t="s">
        <v>174</v>
      </c>
      <c r="N677" s="51" t="str">
        <f>IF(AND('331-CT'!$E$7=TH!H677,OR(L677="331",M677="331")),"331",IF(AND(OR(L677="131",M677="131"),H677='131-CT'!$E$7),"131",""))</f>
        <v/>
      </c>
      <c r="O677" s="887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09"/>
      <c r="AC677" s="588"/>
      <c r="AD677" s="588"/>
      <c r="AE677" s="588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>
        <f t="shared" si="38"/>
        <v>12</v>
      </c>
      <c r="C678" s="183">
        <f t="shared" si="39"/>
        <v>42721</v>
      </c>
      <c r="D678" s="183" t="s">
        <v>651</v>
      </c>
      <c r="E678" s="190">
        <v>42721</v>
      </c>
      <c r="F678" s="188" t="s">
        <v>555</v>
      </c>
      <c r="G678" s="479" t="s">
        <v>912</v>
      </c>
      <c r="H678" s="209" t="s">
        <v>911</v>
      </c>
      <c r="I678" s="255"/>
      <c r="J678" s="255"/>
      <c r="K678" s="37">
        <v>1254051</v>
      </c>
      <c r="L678" s="193" t="s">
        <v>259</v>
      </c>
      <c r="M678" s="597" t="s">
        <v>364</v>
      </c>
      <c r="N678" s="51" t="str">
        <f>IF(AND('331-CT'!$E$7=TH!H678,OR(L678="331",M678="331")),"331",IF(AND(OR(L678="131",M678="131"),H678='131-CT'!$E$7),"131",""))</f>
        <v/>
      </c>
      <c r="O678" s="887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09"/>
      <c r="AC678" s="588"/>
      <c r="AD678" s="588"/>
      <c r="AE678" s="588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>
        <f t="shared" si="38"/>
        <v>12</v>
      </c>
      <c r="C679" s="183">
        <f t="shared" si="39"/>
        <v>42721</v>
      </c>
      <c r="D679" s="183" t="s">
        <v>652</v>
      </c>
      <c r="E679" s="190">
        <v>42721</v>
      </c>
      <c r="F679" s="191" t="s">
        <v>916</v>
      </c>
      <c r="G679" s="479" t="s">
        <v>915</v>
      </c>
      <c r="H679" s="209" t="s">
        <v>911</v>
      </c>
      <c r="I679" s="255">
        <v>292</v>
      </c>
      <c r="J679" s="255">
        <v>9853</v>
      </c>
      <c r="K679" s="37">
        <f>ROUND(I679*J679,0)</f>
        <v>2877076</v>
      </c>
      <c r="L679" s="193" t="s">
        <v>259</v>
      </c>
      <c r="M679" s="597" t="s">
        <v>174</v>
      </c>
      <c r="N679" s="51" t="str">
        <f>IF(AND('331-CT'!$E$7=TH!H679,OR(L679="331",M679="331")),"331",IF(AND(OR(L679="131",M679="131"),H679='131-CT'!$E$7),"131",""))</f>
        <v/>
      </c>
      <c r="O679" s="887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09"/>
      <c r="AC679" s="588"/>
      <c r="AD679" s="588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>
        <f t="shared" si="38"/>
        <v>12</v>
      </c>
      <c r="C680" s="183">
        <f t="shared" si="39"/>
        <v>42721</v>
      </c>
      <c r="D680" s="183" t="s">
        <v>652</v>
      </c>
      <c r="E680" s="190">
        <v>42721</v>
      </c>
      <c r="F680" s="191" t="s">
        <v>917</v>
      </c>
      <c r="G680" s="479" t="s">
        <v>915</v>
      </c>
      <c r="H680" s="209" t="s">
        <v>911</v>
      </c>
      <c r="I680" s="255">
        <v>180</v>
      </c>
      <c r="J680" s="255">
        <v>8243</v>
      </c>
      <c r="K680" s="37">
        <f>ROUND(I680*J680,0)</f>
        <v>1483740</v>
      </c>
      <c r="L680" s="193" t="s">
        <v>259</v>
      </c>
      <c r="M680" s="597" t="s">
        <v>174</v>
      </c>
      <c r="N680" s="51" t="str">
        <f>IF(AND('331-CT'!$E$7=TH!H680,OR(L680="331",M680="331")),"331",IF(AND(OR(L680="131",M680="131"),H680='131-CT'!$E$7),"131",""))</f>
        <v/>
      </c>
      <c r="O680" s="887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09"/>
      <c r="AC680" s="588"/>
      <c r="AD680" s="588"/>
      <c r="AE680" s="588"/>
    </row>
    <row r="681" spans="1:33" s="588" customFormat="1" ht="15.75" customHeight="1">
      <c r="A681" s="203" t="str">
        <f>IF(B681&lt;&gt;"",IF(AND(B681&gt;=_TM1,B681&lt;=_TM2,OR(TH!L681="1111",TH!M681="1111")),TH!D681,""),"")</f>
        <v/>
      </c>
      <c r="B681" s="36">
        <f t="shared" si="38"/>
        <v>12</v>
      </c>
      <c r="C681" s="183">
        <f t="shared" si="39"/>
        <v>42721</v>
      </c>
      <c r="D681" s="183" t="s">
        <v>652</v>
      </c>
      <c r="E681" s="190">
        <v>42721</v>
      </c>
      <c r="F681" s="191" t="s">
        <v>918</v>
      </c>
      <c r="G681" s="479" t="s">
        <v>915</v>
      </c>
      <c r="H681" s="209" t="s">
        <v>911</v>
      </c>
      <c r="I681" s="256">
        <v>50</v>
      </c>
      <c r="J681" s="256">
        <v>6670</v>
      </c>
      <c r="K681" s="37">
        <f>ROUND(I681*J681,0)</f>
        <v>333500</v>
      </c>
      <c r="L681" s="193" t="s">
        <v>259</v>
      </c>
      <c r="M681" s="597" t="s">
        <v>174</v>
      </c>
      <c r="N681" s="51" t="str">
        <f>IF(AND('331-CT'!$E$7=TH!H681,OR(L681="331",M681="331")),"331",IF(AND(OR(L681="131",M681="131"),H681='131-CT'!$E$7),"131",""))</f>
        <v/>
      </c>
      <c r="O681" s="887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09"/>
      <c r="AF681" s="210"/>
      <c r="AG681" s="210"/>
    </row>
    <row r="682" spans="1:33" s="588" customFormat="1" ht="15.75" customHeight="1">
      <c r="A682" s="203" t="str">
        <f>IF(B682&lt;&gt;"",IF(AND(B682&gt;=_TM1,B682&lt;=_TM2,OR(TH!L682="1111",TH!M682="1111")),TH!D682,""),"")</f>
        <v/>
      </c>
      <c r="B682" s="36">
        <f t="shared" si="38"/>
        <v>12</v>
      </c>
      <c r="C682" s="183">
        <f t="shared" si="39"/>
        <v>42721</v>
      </c>
      <c r="D682" s="183" t="s">
        <v>652</v>
      </c>
      <c r="E682" s="190">
        <v>42721</v>
      </c>
      <c r="F682" s="191" t="s">
        <v>919</v>
      </c>
      <c r="G682" s="479" t="s">
        <v>915</v>
      </c>
      <c r="H682" s="209" t="s">
        <v>911</v>
      </c>
      <c r="I682" s="256">
        <f>422+118+14</f>
        <v>554</v>
      </c>
      <c r="J682" s="256">
        <v>13276</v>
      </c>
      <c r="K682" s="37">
        <f>ROUND(I682*J682,0)</f>
        <v>7354904</v>
      </c>
      <c r="L682" s="193" t="s">
        <v>259</v>
      </c>
      <c r="M682" s="597" t="s">
        <v>174</v>
      </c>
      <c r="N682" s="51" t="str">
        <f>IF(AND('331-CT'!$E$7=TH!H682,OR(L682="331",M682="331")),"331",IF(AND(OR(L682="131",M682="131"),H682='131-CT'!$E$7),"131",""))</f>
        <v/>
      </c>
      <c r="O682" s="887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09"/>
      <c r="AF682" s="210"/>
      <c r="AG682" s="210"/>
    </row>
    <row r="683" spans="1:33" s="588" customFormat="1" ht="15.75" customHeight="1">
      <c r="A683" s="203" t="str">
        <f>IF(B683&lt;&gt;"",IF(AND(B683&gt;=_TM1,B683&lt;=_TM2,OR(TH!L683="1111",TH!M683="1111")),TH!D683,""),"")</f>
        <v/>
      </c>
      <c r="B683" s="36">
        <f t="shared" si="38"/>
        <v>12</v>
      </c>
      <c r="C683" s="183">
        <f t="shared" si="39"/>
        <v>42721</v>
      </c>
      <c r="D683" s="183" t="s">
        <v>652</v>
      </c>
      <c r="E683" s="190">
        <v>42721</v>
      </c>
      <c r="F683" s="188" t="s">
        <v>555</v>
      </c>
      <c r="G683" s="479" t="s">
        <v>915</v>
      </c>
      <c r="H683" s="209" t="s">
        <v>911</v>
      </c>
      <c r="I683" s="255"/>
      <c r="J683" s="255"/>
      <c r="K683" s="37">
        <v>1204922</v>
      </c>
      <c r="L683" s="193" t="s">
        <v>259</v>
      </c>
      <c r="M683" s="597" t="s">
        <v>364</v>
      </c>
      <c r="N683" s="51" t="str">
        <f>IF(AND('331-CT'!$E$7=TH!H683,OR(L683="331",M683="331")),"331",IF(AND(OR(L683="131",M683="131"),H683='131-CT'!$E$7),"131",""))</f>
        <v/>
      </c>
      <c r="O683" s="887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09"/>
      <c r="AF683" s="210"/>
      <c r="AG683" s="210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>
        <f t="shared" si="38"/>
        <v>12</v>
      </c>
      <c r="C684" s="183">
        <f t="shared" si="39"/>
        <v>42721</v>
      </c>
      <c r="D684" s="183" t="s">
        <v>653</v>
      </c>
      <c r="E684" s="190">
        <v>42721</v>
      </c>
      <c r="F684" s="191" t="s">
        <v>922</v>
      </c>
      <c r="G684" s="479" t="s">
        <v>920</v>
      </c>
      <c r="H684" s="209" t="s">
        <v>911</v>
      </c>
      <c r="I684" s="255">
        <v>584</v>
      </c>
      <c r="J684" s="255">
        <v>562</v>
      </c>
      <c r="K684" s="37">
        <f>ROUND(I684*J684,0)</f>
        <v>328208</v>
      </c>
      <c r="L684" s="193" t="s">
        <v>259</v>
      </c>
      <c r="M684" s="597" t="s">
        <v>174</v>
      </c>
      <c r="N684" s="51" t="str">
        <f>IF(AND('331-CT'!$E$7=TH!H684,OR(L684="331",M684="331")),"331",IF(AND(OR(L684="131",M684="131"),H684='131-CT'!$E$7),"131",""))</f>
        <v/>
      </c>
      <c r="O684" s="887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09"/>
      <c r="AC684" s="588"/>
      <c r="AD684" s="588"/>
      <c r="AE684" s="588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>
        <f t="shared" si="38"/>
        <v>12</v>
      </c>
      <c r="C685" s="183">
        <f t="shared" si="39"/>
        <v>42721</v>
      </c>
      <c r="D685" s="183" t="s">
        <v>653</v>
      </c>
      <c r="E685" s="190">
        <v>42721</v>
      </c>
      <c r="F685" s="191" t="s">
        <v>923</v>
      </c>
      <c r="G685" s="479" t="s">
        <v>920</v>
      </c>
      <c r="H685" s="209" t="s">
        <v>911</v>
      </c>
      <c r="I685" s="255">
        <v>360</v>
      </c>
      <c r="J685" s="255">
        <v>475</v>
      </c>
      <c r="K685" s="37">
        <f>ROUND(I685*J685,0)</f>
        <v>171000</v>
      </c>
      <c r="L685" s="193" t="s">
        <v>259</v>
      </c>
      <c r="M685" s="597" t="s">
        <v>174</v>
      </c>
      <c r="N685" s="51" t="str">
        <f>IF(AND('331-CT'!$E$7=TH!H685,OR(L685="331",M685="331")),"331",IF(AND(OR(L685="131",M685="131"),H685='131-CT'!$E$7),"131",""))</f>
        <v/>
      </c>
      <c r="O685" s="887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09"/>
      <c r="AC685" s="588"/>
      <c r="AD685" s="588"/>
      <c r="AE685" s="588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>
        <f t="shared" si="38"/>
        <v>12</v>
      </c>
      <c r="C686" s="183">
        <f t="shared" si="39"/>
        <v>42721</v>
      </c>
      <c r="D686" s="183" t="s">
        <v>653</v>
      </c>
      <c r="E686" s="190">
        <v>42721</v>
      </c>
      <c r="F686" s="191" t="s">
        <v>924</v>
      </c>
      <c r="G686" s="479" t="s">
        <v>920</v>
      </c>
      <c r="H686" s="209" t="s">
        <v>911</v>
      </c>
      <c r="I686" s="255">
        <v>100</v>
      </c>
      <c r="J686" s="255">
        <v>389</v>
      </c>
      <c r="K686" s="37">
        <f>ROUND(I686*J686,0)</f>
        <v>38900</v>
      </c>
      <c r="L686" s="193" t="s">
        <v>259</v>
      </c>
      <c r="M686" s="597" t="s">
        <v>174</v>
      </c>
      <c r="N686" s="51" t="str">
        <f>IF(AND('331-CT'!$E$7=TH!H686,OR(L686="331",M686="331")),"331",IF(AND(OR(L686="131",M686="131"),H686='131-CT'!$E$7),"131",""))</f>
        <v/>
      </c>
      <c r="O686" s="887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09"/>
      <c r="AC686" s="588"/>
      <c r="AD686" s="588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>
        <f t="shared" si="38"/>
        <v>12</v>
      </c>
      <c r="C687" s="183">
        <f t="shared" si="39"/>
        <v>42721</v>
      </c>
      <c r="D687" s="183" t="s">
        <v>653</v>
      </c>
      <c r="E687" s="190">
        <v>42721</v>
      </c>
      <c r="F687" s="191" t="s">
        <v>925</v>
      </c>
      <c r="G687" s="479" t="s">
        <v>920</v>
      </c>
      <c r="H687" s="209" t="s">
        <v>911</v>
      </c>
      <c r="I687" s="255">
        <v>1108</v>
      </c>
      <c r="J687" s="255">
        <v>778</v>
      </c>
      <c r="K687" s="37">
        <f>ROUND(I687*J687,0)</f>
        <v>862024</v>
      </c>
      <c r="L687" s="193" t="s">
        <v>259</v>
      </c>
      <c r="M687" s="597" t="s">
        <v>174</v>
      </c>
      <c r="N687" s="51" t="str">
        <f>IF(AND('331-CT'!$E$7=TH!H687,OR(L687="331",M687="331")),"331",IF(AND(OR(L687="131",M687="131"),H687='131-CT'!$E$7),"131",""))</f>
        <v/>
      </c>
      <c r="O687" s="887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09"/>
      <c r="AC687" s="588"/>
      <c r="AD687" s="588"/>
      <c r="AE687" s="588"/>
    </row>
    <row r="688" spans="1:33" s="588" customFormat="1" ht="15.75" customHeight="1">
      <c r="A688" s="203" t="str">
        <f>IF(B688&lt;&gt;"",IF(AND(B688&gt;=_TM1,B688&lt;=_TM2,OR(TH!L688="1111",TH!M688="1111")),TH!D688,""),"")</f>
        <v/>
      </c>
      <c r="B688" s="36">
        <f t="shared" si="38"/>
        <v>12</v>
      </c>
      <c r="C688" s="183">
        <f t="shared" si="39"/>
        <v>42721</v>
      </c>
      <c r="D688" s="183" t="s">
        <v>653</v>
      </c>
      <c r="E688" s="190">
        <v>42721</v>
      </c>
      <c r="F688" s="188" t="s">
        <v>921</v>
      </c>
      <c r="G688" s="479" t="s">
        <v>920</v>
      </c>
      <c r="H688" s="209" t="s">
        <v>911</v>
      </c>
      <c r="I688" s="256"/>
      <c r="J688" s="256"/>
      <c r="K688" s="37">
        <v>140013</v>
      </c>
      <c r="L688" s="193" t="s">
        <v>259</v>
      </c>
      <c r="M688" s="597" t="s">
        <v>364</v>
      </c>
      <c r="N688" s="51" t="str">
        <f>IF(AND('331-CT'!$E$7=TH!H688,OR(L688="331",M688="331")),"331",IF(AND(OR(L688="131",M688="131"),H688='131-CT'!$E$7),"131",""))</f>
        <v/>
      </c>
      <c r="O688" s="887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09"/>
      <c r="AF688" s="210"/>
      <c r="AG688" s="210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>
        <f t="shared" si="38"/>
        <v>12</v>
      </c>
      <c r="C689" s="183">
        <f t="shared" si="39"/>
        <v>42721</v>
      </c>
      <c r="D689" s="183" t="s">
        <v>654</v>
      </c>
      <c r="E689" s="190">
        <v>42721</v>
      </c>
      <c r="F689" s="188" t="s">
        <v>878</v>
      </c>
      <c r="G689" s="479" t="s">
        <v>951</v>
      </c>
      <c r="H689" s="7" t="s">
        <v>879</v>
      </c>
      <c r="I689" s="255">
        <v>2400</v>
      </c>
      <c r="J689" s="255">
        <v>7500</v>
      </c>
      <c r="K689" s="37">
        <f>ROUND(I689*J689,0)</f>
        <v>18000000</v>
      </c>
      <c r="L689" s="193" t="s">
        <v>259</v>
      </c>
      <c r="M689" s="597" t="s">
        <v>174</v>
      </c>
      <c r="N689" s="51" t="str">
        <f>IF(AND('331-CT'!$E$7=TH!H689,OR(L689="331",M689="331")),"331",IF(AND(OR(L689="131",M689="131"),H689='131-CT'!$E$7),"131",""))</f>
        <v/>
      </c>
      <c r="O689" s="887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09"/>
      <c r="AC689" s="588"/>
      <c r="AD689" s="588"/>
      <c r="AE689" s="588"/>
    </row>
    <row r="690" spans="1:33" s="588" customFormat="1" ht="15.75" customHeight="1">
      <c r="A690" s="203" t="str">
        <f>IF(B690&lt;&gt;"",IF(AND(B690&gt;=_TM1,B690&lt;=_TM2,OR(TH!L690="1111",TH!M690="1111")),TH!D690,""),"")</f>
        <v/>
      </c>
      <c r="B690" s="36">
        <f t="shared" si="38"/>
        <v>12</v>
      </c>
      <c r="C690" s="183">
        <f t="shared" si="39"/>
        <v>42721</v>
      </c>
      <c r="D690" s="183" t="s">
        <v>654</v>
      </c>
      <c r="E690" s="190">
        <v>42721</v>
      </c>
      <c r="F690" s="188" t="s">
        <v>555</v>
      </c>
      <c r="G690" s="479" t="s">
        <v>951</v>
      </c>
      <c r="H690" s="7" t="s">
        <v>879</v>
      </c>
      <c r="I690" s="255"/>
      <c r="J690" s="255"/>
      <c r="K690" s="37">
        <v>1800000</v>
      </c>
      <c r="L690" s="193" t="s">
        <v>259</v>
      </c>
      <c r="M690" s="597" t="s">
        <v>364</v>
      </c>
      <c r="N690" s="51" t="str">
        <f>IF(AND('331-CT'!$E$7=TH!H690,OR(L690="331",M690="331")),"331",IF(AND(OR(L690="131",M690="131"),H690='131-CT'!$E$7),"131",""))</f>
        <v/>
      </c>
      <c r="O690" s="887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09"/>
      <c r="AF690" s="210"/>
      <c r="AG690" s="210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>
        <f t="shared" si="38"/>
        <v>12</v>
      </c>
      <c r="C691" s="183">
        <f t="shared" si="39"/>
        <v>42721</v>
      </c>
      <c r="D691" s="183"/>
      <c r="E691" s="190">
        <v>42721</v>
      </c>
      <c r="F691" s="191" t="s">
        <v>543</v>
      </c>
      <c r="G691" s="479" t="s">
        <v>951</v>
      </c>
      <c r="H691" s="7" t="s">
        <v>879</v>
      </c>
      <c r="I691" s="256"/>
      <c r="J691" s="256"/>
      <c r="K691" s="37">
        <v>19800000</v>
      </c>
      <c r="L691" s="193" t="s">
        <v>47</v>
      </c>
      <c r="M691" s="597" t="s">
        <v>259</v>
      </c>
      <c r="N691" s="51" t="str">
        <f>IF(AND('331-CT'!$E$7=TH!H691,OR(L691="331",M691="331")),"331",IF(AND(OR(L691="131",M691="131"),H691='131-CT'!$E$7),"131",""))</f>
        <v/>
      </c>
      <c r="O691" s="887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09"/>
      <c r="AC691" s="588"/>
      <c r="AD691" s="588"/>
      <c r="AE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>
        <f t="shared" si="38"/>
        <v>12</v>
      </c>
      <c r="C692" s="183">
        <f t="shared" si="39"/>
        <v>42722</v>
      </c>
      <c r="D692" s="183" t="s">
        <v>655</v>
      </c>
      <c r="E692" s="190">
        <v>42722</v>
      </c>
      <c r="F692" s="188" t="s">
        <v>878</v>
      </c>
      <c r="G692" s="479" t="s">
        <v>952</v>
      </c>
      <c r="H692" s="7" t="s">
        <v>879</v>
      </c>
      <c r="I692" s="255">
        <v>2400</v>
      </c>
      <c r="J692" s="255">
        <v>7500</v>
      </c>
      <c r="K692" s="37">
        <f>ROUND(I692*J692,0)</f>
        <v>18000000</v>
      </c>
      <c r="L692" s="193" t="s">
        <v>259</v>
      </c>
      <c r="M692" s="597" t="s">
        <v>174</v>
      </c>
      <c r="N692" s="51" t="str">
        <f>IF(AND('331-CT'!$E$7=TH!H692,OR(L692="331",M692="331")),"331",IF(AND(OR(L692="131",M692="131"),H692='131-CT'!$E$7),"131",""))</f>
        <v/>
      </c>
      <c r="O692" s="887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09"/>
      <c r="AC692" s="588"/>
      <c r="AD692" s="588"/>
      <c r="AE692" s="588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>
        <f t="shared" si="38"/>
        <v>12</v>
      </c>
      <c r="C693" s="183">
        <f t="shared" si="39"/>
        <v>42722</v>
      </c>
      <c r="D693" s="183" t="s">
        <v>655</v>
      </c>
      <c r="E693" s="190">
        <v>42722</v>
      </c>
      <c r="F693" s="188" t="s">
        <v>555</v>
      </c>
      <c r="G693" s="479" t="s">
        <v>952</v>
      </c>
      <c r="H693" s="7" t="s">
        <v>879</v>
      </c>
      <c r="I693" s="255"/>
      <c r="J693" s="255"/>
      <c r="K693" s="37">
        <v>1800000</v>
      </c>
      <c r="L693" s="193" t="s">
        <v>259</v>
      </c>
      <c r="M693" s="597" t="s">
        <v>364</v>
      </c>
      <c r="N693" s="51" t="str">
        <f>IF(AND('331-CT'!$E$7=TH!H693,OR(L693="331",M693="331")),"331",IF(AND(OR(L693="131",M693="131"),H693='131-CT'!$E$7),"131",""))</f>
        <v/>
      </c>
      <c r="O693" s="887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09"/>
      <c r="AC693" s="588"/>
      <c r="AD693" s="588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>
        <f t="shared" si="38"/>
        <v>12</v>
      </c>
      <c r="C694" s="183">
        <f t="shared" si="39"/>
        <v>42722</v>
      </c>
      <c r="D694" s="183"/>
      <c r="E694" s="190">
        <v>42722</v>
      </c>
      <c r="F694" s="191" t="s">
        <v>543</v>
      </c>
      <c r="G694" s="479" t="s">
        <v>952</v>
      </c>
      <c r="H694" s="7" t="s">
        <v>879</v>
      </c>
      <c r="I694" s="256"/>
      <c r="J694" s="256"/>
      <c r="K694" s="37">
        <v>19800000</v>
      </c>
      <c r="L694" s="193" t="s">
        <v>47</v>
      </c>
      <c r="M694" s="597" t="s">
        <v>259</v>
      </c>
      <c r="N694" s="51" t="str">
        <f>IF(AND('331-CT'!$E$7=TH!H694,OR(L694="331",M694="331")),"331",IF(AND(OR(L694="131",M694="131"),H694='131-CT'!$E$7),"131",""))</f>
        <v/>
      </c>
      <c r="O694" s="887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09"/>
      <c r="AC694" s="588"/>
      <c r="AD694" s="588"/>
      <c r="AE694" s="588"/>
    </row>
    <row r="695" spans="1:33" s="588" customFormat="1" ht="15.75" customHeight="1">
      <c r="A695" s="203" t="str">
        <f>IF(B695&lt;&gt;"",IF(AND(B695&gt;=_TM1,B695&lt;=_TM2,OR(TH!L695="1111",TH!M695="1111")),TH!D695,""),"")</f>
        <v/>
      </c>
      <c r="B695" s="36">
        <f t="shared" si="38"/>
        <v>12</v>
      </c>
      <c r="C695" s="183">
        <f t="shared" si="39"/>
        <v>42723</v>
      </c>
      <c r="D695" s="183" t="s">
        <v>656</v>
      </c>
      <c r="E695" s="190">
        <v>42723</v>
      </c>
      <c r="F695" s="188" t="s">
        <v>878</v>
      </c>
      <c r="G695" s="479" t="s">
        <v>953</v>
      </c>
      <c r="H695" s="7" t="s">
        <v>879</v>
      </c>
      <c r="I695" s="255">
        <v>2400</v>
      </c>
      <c r="J695" s="255">
        <v>7500</v>
      </c>
      <c r="K695" s="37">
        <f>ROUND(I695*J695,0)</f>
        <v>18000000</v>
      </c>
      <c r="L695" s="193" t="s">
        <v>259</v>
      </c>
      <c r="M695" s="597" t="s">
        <v>174</v>
      </c>
      <c r="N695" s="51" t="str">
        <f>IF(AND('331-CT'!$E$7=TH!H695,OR(L695="331",M695="331")),"331",IF(AND(OR(L695="131",M695="131"),H695='131-CT'!$E$7),"131",""))</f>
        <v/>
      </c>
      <c r="O695" s="887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09"/>
      <c r="AF695" s="210"/>
      <c r="AG695" s="210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>
        <f t="shared" si="38"/>
        <v>12</v>
      </c>
      <c r="C696" s="183">
        <f t="shared" si="39"/>
        <v>42723</v>
      </c>
      <c r="D696" s="183" t="s">
        <v>656</v>
      </c>
      <c r="E696" s="190">
        <v>42723</v>
      </c>
      <c r="F696" s="188" t="s">
        <v>555</v>
      </c>
      <c r="G696" s="479" t="s">
        <v>953</v>
      </c>
      <c r="H696" s="7" t="s">
        <v>879</v>
      </c>
      <c r="I696" s="255"/>
      <c r="J696" s="255"/>
      <c r="K696" s="37">
        <v>1800000</v>
      </c>
      <c r="L696" s="193" t="s">
        <v>259</v>
      </c>
      <c r="M696" s="597" t="s">
        <v>364</v>
      </c>
      <c r="N696" s="51" t="str">
        <f>IF(AND('331-CT'!$E$7=TH!H696,OR(L696="331",M696="331")),"331",IF(AND(OR(L696="131",M696="131"),H696='131-CT'!$E$7),"131",""))</f>
        <v/>
      </c>
      <c r="O696" s="887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09"/>
      <c r="AC696" s="588"/>
      <c r="AD696" s="588"/>
      <c r="AE696" s="588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>
        <f t="shared" si="38"/>
        <v>12</v>
      </c>
      <c r="C697" s="183">
        <f t="shared" si="39"/>
        <v>42723</v>
      </c>
      <c r="D697" s="183"/>
      <c r="E697" s="190">
        <v>42723</v>
      </c>
      <c r="F697" s="191" t="s">
        <v>543</v>
      </c>
      <c r="G697" s="479" t="s">
        <v>953</v>
      </c>
      <c r="H697" s="7" t="s">
        <v>879</v>
      </c>
      <c r="I697" s="256"/>
      <c r="J697" s="256"/>
      <c r="K697" s="37">
        <v>19800000</v>
      </c>
      <c r="L697" s="193" t="s">
        <v>47</v>
      </c>
      <c r="M697" s="597" t="s">
        <v>259</v>
      </c>
      <c r="N697" s="51" t="str">
        <f>IF(AND('331-CT'!$E$7=TH!H697,OR(L697="331",M697="331")),"331",IF(AND(OR(L697="131",M697="131"),H697='131-CT'!$E$7),"131",""))</f>
        <v/>
      </c>
      <c r="O697" s="887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09"/>
      <c r="AC697" s="588"/>
      <c r="AD697" s="588"/>
      <c r="AE697" s="588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>
        <f t="shared" si="38"/>
        <v>12</v>
      </c>
      <c r="C698" s="183">
        <f t="shared" si="39"/>
        <v>42724</v>
      </c>
      <c r="D698" s="183" t="s">
        <v>657</v>
      </c>
      <c r="E698" s="190">
        <v>42724</v>
      </c>
      <c r="F698" s="191" t="s">
        <v>753</v>
      </c>
      <c r="G698" s="479" t="s">
        <v>954</v>
      </c>
      <c r="H698" s="7" t="s">
        <v>678</v>
      </c>
      <c r="I698" s="255">
        <f>310+562</f>
        <v>872</v>
      </c>
      <c r="J698" s="255">
        <v>5900</v>
      </c>
      <c r="K698" s="37">
        <f>ROUND(I698*J698,0)</f>
        <v>5144800</v>
      </c>
      <c r="L698" s="193" t="s">
        <v>259</v>
      </c>
      <c r="M698" s="597" t="s">
        <v>174</v>
      </c>
      <c r="N698" s="51" t="str">
        <f>IF(AND('331-CT'!$E$7=TH!H698,OR(L698="331",M698="331")),"331",IF(AND(OR(L698="131",M698="131"),H698='131-CT'!$E$7),"131",""))</f>
        <v/>
      </c>
      <c r="O698" s="887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09"/>
      <c r="AC698" s="588"/>
      <c r="AD698" s="588"/>
    </row>
    <row r="699" spans="1:33" s="588" customFormat="1" ht="15.75" customHeight="1">
      <c r="A699" s="203" t="str">
        <f>IF(B699&lt;&gt;"",IF(AND(B699&gt;=_TM1,B699&lt;=_TM2,OR(TH!L699="1111",TH!M699="1111")),TH!D699,""),"")</f>
        <v/>
      </c>
      <c r="B699" s="36">
        <f t="shared" si="38"/>
        <v>12</v>
      </c>
      <c r="C699" s="183">
        <f t="shared" si="39"/>
        <v>42724</v>
      </c>
      <c r="D699" s="183" t="s">
        <v>657</v>
      </c>
      <c r="E699" s="190">
        <v>42724</v>
      </c>
      <c r="F699" s="188" t="s">
        <v>555</v>
      </c>
      <c r="G699" s="479" t="s">
        <v>954</v>
      </c>
      <c r="H699" s="7" t="s">
        <v>678</v>
      </c>
      <c r="I699" s="256"/>
      <c r="J699" s="256"/>
      <c r="K699" s="37">
        <v>514480</v>
      </c>
      <c r="L699" s="193" t="s">
        <v>259</v>
      </c>
      <c r="M699" s="597" t="s">
        <v>364</v>
      </c>
      <c r="N699" s="51" t="str">
        <f>IF(AND('331-CT'!$E$7=TH!H699,OR(L699="331",M699="331")),"331",IF(AND(OR(L699="131",M699="131"),H699='131-CT'!$E$7),"131",""))</f>
        <v/>
      </c>
      <c r="O699" s="887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09"/>
      <c r="AF699" s="210"/>
      <c r="AG699" s="210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>
        <f t="shared" si="38"/>
        <v>12</v>
      </c>
      <c r="C700" s="183">
        <f t="shared" si="39"/>
        <v>42724</v>
      </c>
      <c r="D700" s="183" t="s">
        <v>658</v>
      </c>
      <c r="E700" s="190">
        <v>42724</v>
      </c>
      <c r="F700" s="188" t="s">
        <v>591</v>
      </c>
      <c r="G700" s="479" t="s">
        <v>955</v>
      </c>
      <c r="H700" s="7" t="s">
        <v>676</v>
      </c>
      <c r="I700" s="255">
        <v>243</v>
      </c>
      <c r="J700" s="255">
        <v>9300</v>
      </c>
      <c r="K700" s="37">
        <f>ROUND(I700*J700,0)</f>
        <v>2259900</v>
      </c>
      <c r="L700" s="193" t="s">
        <v>259</v>
      </c>
      <c r="M700" s="597" t="s">
        <v>174</v>
      </c>
      <c r="N700" s="51" t="str">
        <f>IF(AND('331-CT'!$E$7=TH!H700,OR(L700="331",M700="331")),"331",IF(AND(OR(L700="131",M700="131"),H700='131-CT'!$E$7),"131",""))</f>
        <v>131</v>
      </c>
      <c r="O700" s="887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09"/>
      <c r="AC700" s="588"/>
      <c r="AD700" s="588"/>
      <c r="AE700" s="588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>
        <f t="shared" si="38"/>
        <v>12</v>
      </c>
      <c r="C701" s="183">
        <f t="shared" si="39"/>
        <v>42724</v>
      </c>
      <c r="D701" s="183" t="s">
        <v>658</v>
      </c>
      <c r="E701" s="190">
        <v>42724</v>
      </c>
      <c r="F701" s="188" t="s">
        <v>956</v>
      </c>
      <c r="G701" s="479" t="s">
        <v>955</v>
      </c>
      <c r="H701" s="7" t="s">
        <v>676</v>
      </c>
      <c r="I701" s="255"/>
      <c r="J701" s="255"/>
      <c r="K701" s="37">
        <v>225990</v>
      </c>
      <c r="L701" s="193" t="s">
        <v>259</v>
      </c>
      <c r="M701" s="597" t="s">
        <v>364</v>
      </c>
      <c r="N701" s="51" t="str">
        <f>IF(AND('331-CT'!$E$7=TH!H701,OR(L701="331",M701="331")),"331",IF(AND(OR(L701="131",M701="131"),H701='131-CT'!$E$7),"131",""))</f>
        <v>131</v>
      </c>
      <c r="O701" s="887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09"/>
      <c r="AC701" s="588"/>
      <c r="AD701" s="588"/>
      <c r="AE701" s="588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>
        <f t="shared" si="38"/>
        <v>12</v>
      </c>
      <c r="C702" s="183">
        <f t="shared" si="39"/>
        <v>42724</v>
      </c>
      <c r="D702" s="183" t="s">
        <v>659</v>
      </c>
      <c r="E702" s="190">
        <v>42724</v>
      </c>
      <c r="F702" s="191" t="s">
        <v>958</v>
      </c>
      <c r="G702" s="479" t="s">
        <v>957</v>
      </c>
      <c r="H702" s="7" t="s">
        <v>959</v>
      </c>
      <c r="I702" s="255">
        <v>70</v>
      </c>
      <c r="J702" s="255">
        <v>24700</v>
      </c>
      <c r="K702" s="37">
        <f>ROUND(I702*J702,0)</f>
        <v>1729000</v>
      </c>
      <c r="L702" s="193" t="s">
        <v>259</v>
      </c>
      <c r="M702" s="597" t="s">
        <v>174</v>
      </c>
      <c r="N702" s="51" t="str">
        <f>IF(AND('331-CT'!$E$7=TH!H702,OR(L702="331",M702="331")),"331",IF(AND(OR(L702="131",M702="131"),H702='131-CT'!$E$7),"131",""))</f>
        <v/>
      </c>
      <c r="O702" s="887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09"/>
      <c r="AC702" s="588"/>
      <c r="AD702" s="588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>
        <f t="shared" si="38"/>
        <v>12</v>
      </c>
      <c r="C703" s="183">
        <f t="shared" si="39"/>
        <v>42724</v>
      </c>
      <c r="D703" s="183" t="s">
        <v>659</v>
      </c>
      <c r="E703" s="190">
        <v>42724</v>
      </c>
      <c r="F703" s="188" t="s">
        <v>555</v>
      </c>
      <c r="G703" s="479" t="s">
        <v>957</v>
      </c>
      <c r="H703" s="7" t="s">
        <v>959</v>
      </c>
      <c r="I703" s="255"/>
      <c r="J703" s="255"/>
      <c r="K703" s="37">
        <v>172900</v>
      </c>
      <c r="L703" s="193" t="s">
        <v>259</v>
      </c>
      <c r="M703" s="597" t="s">
        <v>364</v>
      </c>
      <c r="N703" s="51" t="str">
        <f>IF(AND('331-CT'!$E$7=TH!H703,OR(L703="331",M703="331")),"331",IF(AND(OR(L703="131",M703="131"),H703='131-CT'!$E$7),"131",""))</f>
        <v/>
      </c>
      <c r="O703" s="887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09"/>
      <c r="AC703" s="588"/>
      <c r="AD703" s="588"/>
      <c r="AE703" s="588"/>
    </row>
    <row r="704" spans="1:33" s="588" customFormat="1" ht="15.75" customHeight="1">
      <c r="A704" s="203" t="str">
        <f>IF(B704&lt;&gt;"",IF(AND(B704&gt;=_TM1,B704&lt;=_TM2,OR(TH!L704="1111",TH!M704="1111")),TH!D704,""),"")</f>
        <v/>
      </c>
      <c r="B704" s="36">
        <f t="shared" si="38"/>
        <v>12</v>
      </c>
      <c r="C704" s="183">
        <f t="shared" si="39"/>
        <v>42724</v>
      </c>
      <c r="D704" s="183" t="s">
        <v>660</v>
      </c>
      <c r="E704" s="190">
        <v>42724</v>
      </c>
      <c r="F704" s="191" t="s">
        <v>961</v>
      </c>
      <c r="G704" s="479" t="s">
        <v>960</v>
      </c>
      <c r="H704" s="209" t="s">
        <v>963</v>
      </c>
      <c r="I704" s="256">
        <v>126</v>
      </c>
      <c r="J704" s="256">
        <v>21900</v>
      </c>
      <c r="K704" s="37">
        <f>ROUND(I704*J704,0)</f>
        <v>2759400</v>
      </c>
      <c r="L704" s="193" t="s">
        <v>259</v>
      </c>
      <c r="M704" s="597" t="s">
        <v>174</v>
      </c>
      <c r="N704" s="51" t="str">
        <f>IF(AND('331-CT'!$E$7=TH!H704,OR(L704="331",M704="331")),"331",IF(AND(OR(L704="131",M704="131"),H704='131-CT'!$E$7),"131",""))</f>
        <v/>
      </c>
      <c r="O704" s="887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09"/>
      <c r="AF704" s="210"/>
      <c r="AG704" s="210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>
        <f t="shared" si="38"/>
        <v>12</v>
      </c>
      <c r="C705" s="183">
        <f t="shared" si="39"/>
        <v>42724</v>
      </c>
      <c r="D705" s="183" t="s">
        <v>660</v>
      </c>
      <c r="E705" s="190">
        <v>42724</v>
      </c>
      <c r="F705" s="191" t="s">
        <v>962</v>
      </c>
      <c r="G705" s="479" t="s">
        <v>960</v>
      </c>
      <c r="H705" s="209" t="s">
        <v>963</v>
      </c>
      <c r="I705" s="255">
        <v>126</v>
      </c>
      <c r="J705" s="255">
        <v>800</v>
      </c>
      <c r="K705" s="37">
        <f>ROUND(I705*J705,0)</f>
        <v>100800</v>
      </c>
      <c r="L705" s="193" t="s">
        <v>259</v>
      </c>
      <c r="M705" s="597" t="s">
        <v>174</v>
      </c>
      <c r="N705" s="51" t="str">
        <f>IF(AND('331-CT'!$E$7=TH!H705,OR(L705="331",M705="331")),"331",IF(AND(OR(L705="131",M705="131"),H705='131-CT'!$E$7),"131",""))</f>
        <v/>
      </c>
      <c r="O705" s="887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09"/>
      <c r="AC705" s="588"/>
      <c r="AD705" s="588"/>
      <c r="AE705" s="588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>
        <f t="shared" si="38"/>
        <v>12</v>
      </c>
      <c r="C706" s="183">
        <f t="shared" si="39"/>
        <v>42724</v>
      </c>
      <c r="D706" s="183" t="s">
        <v>660</v>
      </c>
      <c r="E706" s="190">
        <v>42724</v>
      </c>
      <c r="F706" s="188" t="s">
        <v>555</v>
      </c>
      <c r="G706" s="479" t="s">
        <v>960</v>
      </c>
      <c r="H706" s="209" t="s">
        <v>963</v>
      </c>
      <c r="I706" s="255"/>
      <c r="J706" s="255"/>
      <c r="K706" s="37">
        <v>286020</v>
      </c>
      <c r="L706" s="193" t="s">
        <v>259</v>
      </c>
      <c r="M706" s="597" t="s">
        <v>364</v>
      </c>
      <c r="N706" s="51" t="str">
        <f>IF(AND('331-CT'!$E$7=TH!H706,OR(L706="331",M706="331")),"331",IF(AND(OR(L706="131",M706="131"),H706='131-CT'!$E$7),"131",""))</f>
        <v/>
      </c>
      <c r="O706" s="887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09"/>
      <c r="AC706" s="588"/>
      <c r="AD706" s="588"/>
      <c r="AE706" s="588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>
        <f t="shared" si="38"/>
        <v>12</v>
      </c>
      <c r="C707" s="183">
        <f t="shared" si="39"/>
        <v>42724</v>
      </c>
      <c r="D707" s="183" t="s">
        <v>661</v>
      </c>
      <c r="E707" s="190">
        <v>42724</v>
      </c>
      <c r="F707" s="188" t="s">
        <v>878</v>
      </c>
      <c r="G707" s="479" t="s">
        <v>964</v>
      </c>
      <c r="H707" s="7" t="s">
        <v>879</v>
      </c>
      <c r="I707" s="255">
        <v>2400</v>
      </c>
      <c r="J707" s="255">
        <v>7500</v>
      </c>
      <c r="K707" s="37">
        <f>ROUND(I707*J707,0)</f>
        <v>18000000</v>
      </c>
      <c r="L707" s="193" t="s">
        <v>259</v>
      </c>
      <c r="M707" s="597" t="s">
        <v>174</v>
      </c>
      <c r="N707" s="51" t="str">
        <f>IF(AND('331-CT'!$E$7=TH!H707,OR(L707="331",M707="331")),"331",IF(AND(OR(L707="131",M707="131"),H707='131-CT'!$E$7),"131",""))</f>
        <v/>
      </c>
      <c r="O707" s="887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09"/>
      <c r="AC707" s="588"/>
      <c r="AD707" s="588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>
        <f t="shared" si="38"/>
        <v>12</v>
      </c>
      <c r="C708" s="183">
        <f t="shared" si="39"/>
        <v>42724</v>
      </c>
      <c r="D708" s="183" t="s">
        <v>661</v>
      </c>
      <c r="E708" s="190">
        <v>42724</v>
      </c>
      <c r="F708" s="188" t="s">
        <v>555</v>
      </c>
      <c r="G708" s="479" t="s">
        <v>964</v>
      </c>
      <c r="H708" s="7" t="s">
        <v>879</v>
      </c>
      <c r="I708" s="255"/>
      <c r="J708" s="255"/>
      <c r="K708" s="37">
        <v>1800000</v>
      </c>
      <c r="L708" s="193" t="s">
        <v>259</v>
      </c>
      <c r="M708" s="597" t="s">
        <v>364</v>
      </c>
      <c r="N708" s="51" t="str">
        <f>IF(AND('331-CT'!$E$7=TH!H708,OR(L708="331",M708="331")),"331",IF(AND(OR(L708="131",M708="131"),H708='131-CT'!$E$7),"131",""))</f>
        <v/>
      </c>
      <c r="O708" s="887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09"/>
      <c r="AC708" s="588"/>
      <c r="AD708" s="588"/>
      <c r="AE708" s="588"/>
    </row>
    <row r="709" spans="1:33" s="588" customFormat="1" ht="15.75" customHeight="1">
      <c r="A709" s="203" t="str">
        <f>IF(B709&lt;&gt;"",IF(AND(B709&gt;=_TM1,B709&lt;=_TM2,OR(TH!L709="1111",TH!M709="1111")),TH!D709,""),"")</f>
        <v/>
      </c>
      <c r="B709" s="36">
        <f t="shared" si="38"/>
        <v>12</v>
      </c>
      <c r="C709" s="183">
        <f t="shared" si="39"/>
        <v>42724</v>
      </c>
      <c r="D709" s="183"/>
      <c r="E709" s="190">
        <v>42724</v>
      </c>
      <c r="F709" s="191" t="s">
        <v>543</v>
      </c>
      <c r="G709" s="479" t="s">
        <v>964</v>
      </c>
      <c r="H709" s="7" t="s">
        <v>879</v>
      </c>
      <c r="I709" s="256"/>
      <c r="J709" s="256"/>
      <c r="K709" s="37">
        <v>19800000</v>
      </c>
      <c r="L709" s="193" t="s">
        <v>47</v>
      </c>
      <c r="M709" s="597" t="s">
        <v>259</v>
      </c>
      <c r="N709" s="51" t="str">
        <f>IF(AND('331-CT'!$E$7=TH!H709,OR(L709="331",M709="331")),"331",IF(AND(OR(L709="131",M709="131"),H709='131-CT'!$E$7),"131",""))</f>
        <v/>
      </c>
      <c r="O709" s="887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09"/>
      <c r="AF709" s="210"/>
      <c r="AG709" s="210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>
        <f t="shared" si="38"/>
        <v>12</v>
      </c>
      <c r="C710" s="183">
        <f t="shared" si="39"/>
        <v>42725</v>
      </c>
      <c r="D710" s="183" t="s">
        <v>662</v>
      </c>
      <c r="E710" s="190">
        <v>42725</v>
      </c>
      <c r="F710" s="188" t="s">
        <v>878</v>
      </c>
      <c r="G710" s="479" t="s">
        <v>965</v>
      </c>
      <c r="H710" s="7" t="s">
        <v>879</v>
      </c>
      <c r="I710" s="255">
        <v>2400</v>
      </c>
      <c r="J710" s="255">
        <v>7500</v>
      </c>
      <c r="K710" s="37">
        <f>ROUND(I710*J710,0)</f>
        <v>18000000</v>
      </c>
      <c r="L710" s="193" t="s">
        <v>259</v>
      </c>
      <c r="M710" s="597" t="s">
        <v>174</v>
      </c>
      <c r="N710" s="51" t="str">
        <f>IF(AND('331-CT'!$E$7=TH!H710,OR(L710="331",M710="331")),"331",IF(AND(OR(L710="131",M710="131"),H710='131-CT'!$E$7),"131",""))</f>
        <v/>
      </c>
      <c r="O710" s="887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09"/>
      <c r="AC710" s="588"/>
      <c r="AD710" s="588"/>
      <c r="AE710" s="588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>
        <f t="shared" si="38"/>
        <v>12</v>
      </c>
      <c r="C711" s="183">
        <f t="shared" si="39"/>
        <v>42725</v>
      </c>
      <c r="D711" s="183" t="s">
        <v>662</v>
      </c>
      <c r="E711" s="190">
        <v>42725</v>
      </c>
      <c r="F711" s="188" t="s">
        <v>555</v>
      </c>
      <c r="G711" s="479" t="s">
        <v>965</v>
      </c>
      <c r="H711" s="7" t="s">
        <v>879</v>
      </c>
      <c r="I711" s="255"/>
      <c r="J711" s="255"/>
      <c r="K711" s="37">
        <v>1800000</v>
      </c>
      <c r="L711" s="193" t="s">
        <v>259</v>
      </c>
      <c r="M711" s="597" t="s">
        <v>364</v>
      </c>
      <c r="N711" s="51" t="str">
        <f>IF(AND('331-CT'!$E$7=TH!H711,OR(L711="331",M711="331")),"331",IF(AND(OR(L711="131",M711="131"),H711='131-CT'!$E$7),"131",""))</f>
        <v/>
      </c>
      <c r="O711" s="887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09"/>
      <c r="AC711" s="588"/>
      <c r="AD711" s="588"/>
      <c r="AE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>
        <f t="shared" si="38"/>
        <v>12</v>
      </c>
      <c r="C712" s="183">
        <f t="shared" si="39"/>
        <v>42725</v>
      </c>
      <c r="D712" s="183"/>
      <c r="E712" s="190">
        <v>42725</v>
      </c>
      <c r="F712" s="191" t="s">
        <v>543</v>
      </c>
      <c r="G712" s="479" t="s">
        <v>965</v>
      </c>
      <c r="H712" s="7" t="s">
        <v>879</v>
      </c>
      <c r="I712" s="256"/>
      <c r="J712" s="256"/>
      <c r="K712" s="37">
        <v>19800000</v>
      </c>
      <c r="L712" s="193" t="s">
        <v>47</v>
      </c>
      <c r="M712" s="597" t="s">
        <v>259</v>
      </c>
      <c r="N712" s="51" t="str">
        <f>IF(AND('331-CT'!$E$7=TH!H712,OR(L712="331",M712="331")),"331",IF(AND(OR(L712="131",M712="131"),H712='131-CT'!$E$7),"131",""))</f>
        <v/>
      </c>
      <c r="O712" s="887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09"/>
      <c r="AC712" s="588"/>
      <c r="AD712" s="588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>
        <f t="shared" si="38"/>
        <v>12</v>
      </c>
      <c r="C713" s="183">
        <f t="shared" si="39"/>
        <v>42726</v>
      </c>
      <c r="D713" s="183" t="s">
        <v>663</v>
      </c>
      <c r="E713" s="190">
        <v>42726</v>
      </c>
      <c r="F713" s="191" t="s">
        <v>967</v>
      </c>
      <c r="G713" s="479" t="s">
        <v>966</v>
      </c>
      <c r="H713" s="7" t="s">
        <v>412</v>
      </c>
      <c r="I713" s="255">
        <f>230+55</f>
        <v>285</v>
      </c>
      <c r="J713" s="255">
        <v>10100</v>
      </c>
      <c r="K713" s="37">
        <f>ROUND(I713*J713,0)</f>
        <v>2878500</v>
      </c>
      <c r="L713" s="193" t="s">
        <v>259</v>
      </c>
      <c r="M713" s="597" t="s">
        <v>174</v>
      </c>
      <c r="N713" s="51" t="str">
        <f>IF(AND('331-CT'!$E$7=TH!H713,OR(L713="331",M713="331")),"331",IF(AND(OR(L713="131",M713="131"),H713='131-CT'!$E$7),"131",""))</f>
        <v/>
      </c>
      <c r="O713" s="887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09"/>
      <c r="AC713" s="588"/>
      <c r="AD713" s="588"/>
      <c r="AE713" s="588"/>
    </row>
    <row r="714" spans="1:33" s="588" customFormat="1" ht="15.75" customHeight="1">
      <c r="A714" s="203" t="str">
        <f>IF(B714&lt;&gt;"",IF(AND(B714&gt;=_TM1,B714&lt;=_TM2,OR(TH!L714="1111",TH!M714="1111")),TH!D714,""),"")</f>
        <v/>
      </c>
      <c r="B714" s="36">
        <f t="shared" si="38"/>
        <v>12</v>
      </c>
      <c r="C714" s="183">
        <f t="shared" si="39"/>
        <v>42726</v>
      </c>
      <c r="D714" s="183" t="s">
        <v>663</v>
      </c>
      <c r="E714" s="190">
        <v>42726</v>
      </c>
      <c r="F714" s="191" t="s">
        <v>968</v>
      </c>
      <c r="G714" s="479" t="s">
        <v>966</v>
      </c>
      <c r="H714" s="7" t="s">
        <v>412</v>
      </c>
      <c r="I714" s="256">
        <v>110</v>
      </c>
      <c r="J714" s="256">
        <v>9640</v>
      </c>
      <c r="K714" s="37">
        <f>ROUND(I714*J714,0)</f>
        <v>1060400</v>
      </c>
      <c r="L714" s="193" t="s">
        <v>259</v>
      </c>
      <c r="M714" s="597" t="s">
        <v>174</v>
      </c>
      <c r="N714" s="51" t="str">
        <f>IF(AND('331-CT'!$E$7=TH!H714,OR(L714="331",M714="331")),"331",IF(AND(OR(L714="131",M714="131"),H714='131-CT'!$E$7),"131",""))</f>
        <v/>
      </c>
      <c r="O714" s="887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09"/>
      <c r="AF714" s="210"/>
      <c r="AG714" s="210"/>
    </row>
    <row r="715" spans="1:33" s="588" customFormat="1" ht="15.75" customHeight="1">
      <c r="A715" s="203" t="str">
        <f>IF(B715&lt;&gt;"",IF(AND(B715&gt;=_TM1,B715&lt;=_TM2,OR(TH!L715="1111",TH!M715="1111")),TH!D715,""),"")</f>
        <v/>
      </c>
      <c r="B715" s="36">
        <f t="shared" si="38"/>
        <v>12</v>
      </c>
      <c r="C715" s="183">
        <f t="shared" si="39"/>
        <v>42726</v>
      </c>
      <c r="D715" s="183" t="s">
        <v>663</v>
      </c>
      <c r="E715" s="190">
        <v>42726</v>
      </c>
      <c r="F715" s="191" t="s">
        <v>969</v>
      </c>
      <c r="G715" s="479" t="s">
        <v>966</v>
      </c>
      <c r="H715" s="7" t="s">
        <v>412</v>
      </c>
      <c r="I715" s="256">
        <v>160</v>
      </c>
      <c r="J715" s="256">
        <v>9940</v>
      </c>
      <c r="K715" s="37">
        <f>ROUND(I715*J715,0)</f>
        <v>1590400</v>
      </c>
      <c r="L715" s="193" t="s">
        <v>259</v>
      </c>
      <c r="M715" s="597" t="s">
        <v>174</v>
      </c>
      <c r="N715" s="51" t="str">
        <f>IF(AND('331-CT'!$E$7=TH!H715,OR(L715="331",M715="331")),"331",IF(AND(OR(L715="131",M715="131"),H715='131-CT'!$E$7),"131",""))</f>
        <v/>
      </c>
      <c r="O715" s="887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09"/>
      <c r="AF715" s="210"/>
      <c r="AG715" s="210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>
        <f t="shared" si="38"/>
        <v>12</v>
      </c>
      <c r="C716" s="183">
        <f t="shared" si="39"/>
        <v>42726</v>
      </c>
      <c r="D716" s="183" t="s">
        <v>663</v>
      </c>
      <c r="E716" s="190">
        <v>42726</v>
      </c>
      <c r="F716" s="191" t="s">
        <v>560</v>
      </c>
      <c r="G716" s="479" t="s">
        <v>966</v>
      </c>
      <c r="H716" s="7" t="s">
        <v>412</v>
      </c>
      <c r="I716" s="255">
        <f>220+165+165</f>
        <v>550</v>
      </c>
      <c r="J716" s="255">
        <v>14500</v>
      </c>
      <c r="K716" s="37">
        <f>ROUND(I716*J716,0)</f>
        <v>7975000</v>
      </c>
      <c r="L716" s="193" t="s">
        <v>259</v>
      </c>
      <c r="M716" s="597" t="s">
        <v>174</v>
      </c>
      <c r="N716" s="51" t="str">
        <f>IF(AND('331-CT'!$E$7=TH!H716,OR(L716="331",M716="331")),"331",IF(AND(OR(L716="131",M716="131"),H716='131-CT'!$E$7),"131",""))</f>
        <v/>
      </c>
      <c r="O716" s="887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09"/>
      <c r="AC716" s="588"/>
      <c r="AD716" s="588"/>
      <c r="AE716" s="588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>
        <f t="shared" si="38"/>
        <v>12</v>
      </c>
      <c r="C717" s="183">
        <f t="shared" si="39"/>
        <v>42726</v>
      </c>
      <c r="D717" s="183" t="s">
        <v>663</v>
      </c>
      <c r="E717" s="190">
        <v>42726</v>
      </c>
      <c r="F717" s="188" t="s">
        <v>555</v>
      </c>
      <c r="G717" s="479" t="s">
        <v>966</v>
      </c>
      <c r="H717" s="7" t="s">
        <v>412</v>
      </c>
      <c r="I717" s="255"/>
      <c r="J717" s="255"/>
      <c r="K717" s="37">
        <v>1350430</v>
      </c>
      <c r="L717" s="193" t="s">
        <v>259</v>
      </c>
      <c r="M717" s="597" t="s">
        <v>364</v>
      </c>
      <c r="N717" s="51" t="str">
        <f>IF(AND('331-CT'!$E$7=TH!H717,OR(L717="331",M717="331")),"331",IF(AND(OR(L717="131",M717="131"),H717='131-CT'!$E$7),"131",""))</f>
        <v/>
      </c>
      <c r="O717" s="887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09"/>
      <c r="AC717" s="588"/>
      <c r="AD717" s="588"/>
      <c r="AE717" s="588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>
        <f t="shared" si="38"/>
        <v>12</v>
      </c>
      <c r="C718" s="183">
        <f t="shared" si="39"/>
        <v>42726</v>
      </c>
      <c r="D718" s="183" t="s">
        <v>664</v>
      </c>
      <c r="E718" s="190">
        <v>42726</v>
      </c>
      <c r="F718" s="191" t="s">
        <v>971</v>
      </c>
      <c r="G718" s="479" t="s">
        <v>970</v>
      </c>
      <c r="H718" s="7" t="s">
        <v>412</v>
      </c>
      <c r="I718" s="255">
        <v>275</v>
      </c>
      <c r="J718" s="255">
        <v>18800</v>
      </c>
      <c r="K718" s="37">
        <f>ROUND(I718*J718,0)</f>
        <v>5170000</v>
      </c>
      <c r="L718" s="193" t="s">
        <v>259</v>
      </c>
      <c r="M718" s="597" t="s">
        <v>174</v>
      </c>
      <c r="N718" s="51" t="str">
        <f>IF(AND('331-CT'!$E$7=TH!H718,OR(L718="331",M718="331")),"331",IF(AND(OR(L718="131",M718="131"),H718='131-CT'!$E$7),"131",""))</f>
        <v/>
      </c>
      <c r="O718" s="887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09"/>
      <c r="AC718" s="588"/>
      <c r="AD718" s="588"/>
      <c r="AE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>
        <f t="shared" si="38"/>
        <v>12</v>
      </c>
      <c r="C719" s="183">
        <f t="shared" si="39"/>
        <v>42726</v>
      </c>
      <c r="D719" s="183" t="s">
        <v>664</v>
      </c>
      <c r="E719" s="190">
        <v>42726</v>
      </c>
      <c r="F719" s="191" t="s">
        <v>972</v>
      </c>
      <c r="G719" s="479" t="s">
        <v>970</v>
      </c>
      <c r="H719" s="7" t="s">
        <v>412</v>
      </c>
      <c r="I719" s="255">
        <v>66</v>
      </c>
      <c r="J719" s="255">
        <v>18000</v>
      </c>
      <c r="K719" s="37">
        <f>ROUND(I719*J719,0)</f>
        <v>1188000</v>
      </c>
      <c r="L719" s="193" t="s">
        <v>259</v>
      </c>
      <c r="M719" s="597" t="s">
        <v>174</v>
      </c>
      <c r="N719" s="51" t="str">
        <f>IF(AND('331-CT'!$E$7=TH!H719,OR(L719="331",M719="331")),"331",IF(AND(OR(L719="131",M719="131"),H719='131-CT'!$E$7),"131",""))</f>
        <v/>
      </c>
      <c r="O719" s="887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09"/>
      <c r="AC719" s="588"/>
      <c r="AD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>
        <f t="shared" si="38"/>
        <v>12</v>
      </c>
      <c r="C720" s="183">
        <f t="shared" si="39"/>
        <v>42726</v>
      </c>
      <c r="D720" s="183" t="s">
        <v>664</v>
      </c>
      <c r="E720" s="190">
        <v>42726</v>
      </c>
      <c r="F720" s="191" t="s">
        <v>560</v>
      </c>
      <c r="G720" s="479" t="s">
        <v>970</v>
      </c>
      <c r="H720" s="7" t="s">
        <v>412</v>
      </c>
      <c r="I720" s="255">
        <v>165</v>
      </c>
      <c r="J720" s="255">
        <v>14500</v>
      </c>
      <c r="K720" s="37">
        <f>ROUND(I720*J720,0)</f>
        <v>2392500</v>
      </c>
      <c r="L720" s="193" t="s">
        <v>259</v>
      </c>
      <c r="M720" s="597" t="s">
        <v>174</v>
      </c>
      <c r="N720" s="51" t="str">
        <f>IF(AND('331-CT'!$E$7=TH!H720,OR(L720="331",M720="331")),"331",IF(AND(OR(L720="131",M720="131"),H720='131-CT'!$E$7),"131",""))</f>
        <v/>
      </c>
      <c r="O720" s="887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09"/>
      <c r="AC720" s="588"/>
      <c r="AD720" s="588"/>
      <c r="AE720" s="588"/>
    </row>
    <row r="721" spans="1:33" s="588" customFormat="1" ht="15.75" customHeight="1">
      <c r="A721" s="203" t="str">
        <f>IF(B721&lt;&gt;"",IF(AND(B721&gt;=_TM1,B721&lt;=_TM2,OR(TH!L721="1111",TH!M721="1111")),TH!D721,""),"")</f>
        <v/>
      </c>
      <c r="B721" s="36">
        <f t="shared" si="38"/>
        <v>12</v>
      </c>
      <c r="C721" s="183">
        <f t="shared" si="39"/>
        <v>42726</v>
      </c>
      <c r="D721" s="183" t="s">
        <v>664</v>
      </c>
      <c r="E721" s="190">
        <v>42726</v>
      </c>
      <c r="F721" s="191" t="s">
        <v>568</v>
      </c>
      <c r="G721" s="479" t="s">
        <v>970</v>
      </c>
      <c r="H721" s="7" t="s">
        <v>412</v>
      </c>
      <c r="I721" s="256">
        <v>550</v>
      </c>
      <c r="J721" s="256">
        <v>1230</v>
      </c>
      <c r="K721" s="37">
        <f>ROUND(I721*J721,0)</f>
        <v>676500</v>
      </c>
      <c r="L721" s="193" t="s">
        <v>259</v>
      </c>
      <c r="M721" s="597" t="s">
        <v>174</v>
      </c>
      <c r="N721" s="51" t="str">
        <f>IF(AND('331-CT'!$E$7=TH!H721,OR(L721="331",M721="331")),"331",IF(AND(OR(L721="131",M721="131"),H721='131-CT'!$E$7),"131",""))</f>
        <v/>
      </c>
      <c r="O721" s="887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09"/>
      <c r="AF721" s="210"/>
      <c r="AG721" s="210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>
        <f t="shared" si="38"/>
        <v>12</v>
      </c>
      <c r="C722" s="183">
        <f t="shared" si="39"/>
        <v>42726</v>
      </c>
      <c r="D722" s="183" t="s">
        <v>664</v>
      </c>
      <c r="E722" s="190">
        <v>42726</v>
      </c>
      <c r="F722" s="191" t="s">
        <v>973</v>
      </c>
      <c r="G722" s="479" t="s">
        <v>970</v>
      </c>
      <c r="H722" s="7" t="s">
        <v>412</v>
      </c>
      <c r="I722" s="255">
        <v>132</v>
      </c>
      <c r="J722" s="255">
        <v>1100</v>
      </c>
      <c r="K722" s="37">
        <f>ROUND(I722*J722,0)</f>
        <v>145200</v>
      </c>
      <c r="L722" s="193" t="s">
        <v>259</v>
      </c>
      <c r="M722" s="597" t="s">
        <v>174</v>
      </c>
      <c r="N722" s="51" t="str">
        <f>IF(AND('331-CT'!$E$7=TH!H722,OR(L722="331",M722="331")),"331",IF(AND(OR(L722="131",M722="131"),H722='131-CT'!$E$7),"131",""))</f>
        <v/>
      </c>
      <c r="O722" s="887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09"/>
      <c r="AC722" s="588"/>
      <c r="AD722" s="588"/>
      <c r="AE722" s="588"/>
    </row>
    <row r="723" spans="1:33" s="588" customFormat="1" ht="15.75" customHeight="1">
      <c r="A723" s="203" t="str">
        <f>IF(B723&lt;&gt;"",IF(AND(B723&gt;=_TM1,B723&lt;=_TM2,OR(TH!L723="1111",TH!M723="1111")),TH!D723,""),"")</f>
        <v/>
      </c>
      <c r="B723" s="36">
        <f t="shared" si="38"/>
        <v>12</v>
      </c>
      <c r="C723" s="183">
        <f t="shared" si="39"/>
        <v>42726</v>
      </c>
      <c r="D723" s="183" t="s">
        <v>664</v>
      </c>
      <c r="E723" s="190">
        <v>42726</v>
      </c>
      <c r="F723" s="188" t="s">
        <v>555</v>
      </c>
      <c r="G723" s="479" t="s">
        <v>970</v>
      </c>
      <c r="H723" s="7" t="s">
        <v>412</v>
      </c>
      <c r="I723" s="256"/>
      <c r="J723" s="256"/>
      <c r="K723" s="37">
        <v>957220</v>
      </c>
      <c r="L723" s="193" t="s">
        <v>259</v>
      </c>
      <c r="M723" s="597" t="s">
        <v>364</v>
      </c>
      <c r="N723" s="51" t="str">
        <f>IF(AND('331-CT'!$E$7=TH!H723,OR(L723="331",M723="331")),"331",IF(AND(OR(L723="131",M723="131"),H723='131-CT'!$E$7),"131",""))</f>
        <v/>
      </c>
      <c r="O723" s="887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09"/>
      <c r="AF723" s="210"/>
      <c r="AG723" s="210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>
        <f t="shared" si="38"/>
        <v>12</v>
      </c>
      <c r="C724" s="183">
        <f t="shared" si="39"/>
        <v>42726</v>
      </c>
      <c r="D724" s="183" t="s">
        <v>665</v>
      </c>
      <c r="E724" s="190">
        <v>42726</v>
      </c>
      <c r="F724" s="191" t="s">
        <v>559</v>
      </c>
      <c r="G724" s="479" t="s">
        <v>974</v>
      </c>
      <c r="H724" s="7" t="s">
        <v>412</v>
      </c>
      <c r="I724" s="255">
        <f>110+55+55+51+61+51+51+51+86</f>
        <v>571</v>
      </c>
      <c r="J724" s="255">
        <v>9530</v>
      </c>
      <c r="K724" s="37">
        <f>ROUND(I724*J724,0)</f>
        <v>5441630</v>
      </c>
      <c r="L724" s="193" t="s">
        <v>259</v>
      </c>
      <c r="M724" s="597" t="s">
        <v>174</v>
      </c>
      <c r="N724" s="51" t="str">
        <f>IF(AND('331-CT'!$E$7=TH!H724,OR(L724="331",M724="331")),"331",IF(AND(OR(L724="131",M724="131"),H724='131-CT'!$E$7),"131",""))</f>
        <v/>
      </c>
      <c r="O724" s="887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09"/>
      <c r="AC724" s="588"/>
      <c r="AD724" s="588"/>
      <c r="AE724" s="588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>
        <f t="shared" si="38"/>
        <v>12</v>
      </c>
      <c r="C725" s="183">
        <f t="shared" si="39"/>
        <v>42726</v>
      </c>
      <c r="D725" s="183" t="s">
        <v>665</v>
      </c>
      <c r="E725" s="190">
        <v>42726</v>
      </c>
      <c r="F725" s="188" t="s">
        <v>555</v>
      </c>
      <c r="G725" s="479" t="s">
        <v>974</v>
      </c>
      <c r="H725" s="7" t="s">
        <v>412</v>
      </c>
      <c r="I725" s="255"/>
      <c r="J725" s="255"/>
      <c r="K725" s="37">
        <v>544163</v>
      </c>
      <c r="L725" s="193" t="s">
        <v>259</v>
      </c>
      <c r="M725" s="597" t="s">
        <v>364</v>
      </c>
      <c r="N725" s="51" t="str">
        <f>IF(AND('331-CT'!$E$7=TH!H725,OR(L725="331",M725="331")),"331",IF(AND(OR(L725="131",M725="131"),H725='131-CT'!$E$7),"131",""))</f>
        <v/>
      </c>
      <c r="O725" s="887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09"/>
      <c r="AC725" s="588"/>
      <c r="AD725" s="588"/>
      <c r="AE725" s="588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>
        <f t="shared" si="38"/>
        <v>12</v>
      </c>
      <c r="C726" s="183">
        <f t="shared" si="39"/>
        <v>42726</v>
      </c>
      <c r="D726" s="183" t="s">
        <v>666</v>
      </c>
      <c r="E726" s="190">
        <v>42726</v>
      </c>
      <c r="F726" s="191" t="s">
        <v>559</v>
      </c>
      <c r="G726" s="479" t="s">
        <v>975</v>
      </c>
      <c r="H726" s="7" t="s">
        <v>412</v>
      </c>
      <c r="I726" s="255">
        <f>51+51+76+101+151+51+101+51</f>
        <v>633</v>
      </c>
      <c r="J726" s="255">
        <v>9530</v>
      </c>
      <c r="K726" s="37">
        <f>ROUND(I726*J726,0)</f>
        <v>6032490</v>
      </c>
      <c r="L726" s="193" t="s">
        <v>259</v>
      </c>
      <c r="M726" s="597" t="s">
        <v>174</v>
      </c>
      <c r="N726" s="51" t="str">
        <f>IF(AND('331-CT'!$E$7=TH!H726,OR(L726="331",M726="331")),"331",IF(AND(OR(L726="131",M726="131"),H726='131-CT'!$E$7),"131",""))</f>
        <v/>
      </c>
      <c r="O726" s="887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09"/>
      <c r="AC726" s="588"/>
      <c r="AD726" s="588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>
        <f t="shared" si="38"/>
        <v>12</v>
      </c>
      <c r="C727" s="183">
        <f t="shared" si="39"/>
        <v>42726</v>
      </c>
      <c r="D727" s="183" t="s">
        <v>666</v>
      </c>
      <c r="E727" s="190">
        <v>42726</v>
      </c>
      <c r="F727" s="188" t="s">
        <v>555</v>
      </c>
      <c r="G727" s="479" t="s">
        <v>975</v>
      </c>
      <c r="H727" s="7" t="s">
        <v>412</v>
      </c>
      <c r="I727" s="255"/>
      <c r="J727" s="255"/>
      <c r="K727" s="37">
        <v>603249</v>
      </c>
      <c r="L727" s="193" t="s">
        <v>259</v>
      </c>
      <c r="M727" s="597" t="s">
        <v>364</v>
      </c>
      <c r="N727" s="51" t="str">
        <f>IF(AND('331-CT'!$E$7=TH!H727,OR(L727="331",M727="331")),"331",IF(AND(OR(L727="131",M727="131"),H727='131-CT'!$E$7),"131",""))</f>
        <v/>
      </c>
      <c r="O727" s="887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09"/>
      <c r="AC727" s="588"/>
      <c r="AD727" s="588"/>
      <c r="AE727" s="588"/>
    </row>
    <row r="728" spans="1:33" s="588" customFormat="1" ht="15.75" customHeight="1">
      <c r="A728" s="203" t="str">
        <f>IF(B728&lt;&gt;"",IF(AND(B728&gt;=_TM1,B728&lt;=_TM2,OR(TH!L728="1111",TH!M728="1111")),TH!D728,""),"")</f>
        <v/>
      </c>
      <c r="B728" s="36">
        <f t="shared" si="38"/>
        <v>12</v>
      </c>
      <c r="C728" s="183">
        <f t="shared" si="39"/>
        <v>42726</v>
      </c>
      <c r="D728" s="183" t="s">
        <v>667</v>
      </c>
      <c r="E728" s="190">
        <v>42726</v>
      </c>
      <c r="F728" s="191" t="s">
        <v>588</v>
      </c>
      <c r="G728" s="479" t="s">
        <v>976</v>
      </c>
      <c r="H728" s="7" t="s">
        <v>410</v>
      </c>
      <c r="I728" s="256">
        <v>288</v>
      </c>
      <c r="J728" s="256">
        <v>47449</v>
      </c>
      <c r="K728" s="37">
        <f>ROUND(I728*J728,0)</f>
        <v>13665312</v>
      </c>
      <c r="L728" s="193" t="s">
        <v>259</v>
      </c>
      <c r="M728" s="597" t="s">
        <v>174</v>
      </c>
      <c r="N728" s="51" t="str">
        <f>IF(AND('331-CT'!$E$7=TH!H728,OR(L728="331",M728="331")),"331",IF(AND(OR(L728="131",M728="131"),H728='131-CT'!$E$7),"131",""))</f>
        <v/>
      </c>
      <c r="O728" s="887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09"/>
      <c r="AF728" s="210"/>
      <c r="AG728" s="210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>
        <f t="shared" si="38"/>
        <v>12</v>
      </c>
      <c r="C729" s="183">
        <f t="shared" si="39"/>
        <v>42726</v>
      </c>
      <c r="D729" s="183" t="s">
        <v>667</v>
      </c>
      <c r="E729" s="190">
        <v>42726</v>
      </c>
      <c r="F729" s="191" t="s">
        <v>977</v>
      </c>
      <c r="G729" s="479" t="s">
        <v>976</v>
      </c>
      <c r="H729" s="7" t="s">
        <v>410</v>
      </c>
      <c r="I729" s="255">
        <v>24</v>
      </c>
      <c r="J729" s="255">
        <v>35000</v>
      </c>
      <c r="K729" s="37">
        <f>ROUND(I729*J729,0)</f>
        <v>840000</v>
      </c>
      <c r="L729" s="193" t="s">
        <v>259</v>
      </c>
      <c r="M729" s="597" t="s">
        <v>174</v>
      </c>
      <c r="N729" s="51" t="str">
        <f>IF(AND('331-CT'!$E$7=TH!H729,OR(L729="331",M729="331")),"331",IF(AND(OR(L729="131",M729="131"),H729='131-CT'!$E$7),"131",""))</f>
        <v/>
      </c>
      <c r="O729" s="887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09"/>
      <c r="AC729" s="588"/>
      <c r="AD729" s="588"/>
      <c r="AE729" s="588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>
        <f t="shared" ref="B730:B774" si="40">IF(C730&lt;&gt;"",MONTH(C730),"")</f>
        <v>12</v>
      </c>
      <c r="C730" s="183">
        <f t="shared" ref="C730:C775" si="41">E730</f>
        <v>42726</v>
      </c>
      <c r="D730" s="183" t="s">
        <v>667</v>
      </c>
      <c r="E730" s="190">
        <v>42726</v>
      </c>
      <c r="F730" s="188" t="s">
        <v>555</v>
      </c>
      <c r="G730" s="479" t="s">
        <v>976</v>
      </c>
      <c r="H730" s="7" t="s">
        <v>410</v>
      </c>
      <c r="I730" s="255"/>
      <c r="J730" s="255"/>
      <c r="K730" s="37">
        <v>1450531</v>
      </c>
      <c r="L730" s="193" t="s">
        <v>259</v>
      </c>
      <c r="M730" s="597" t="s">
        <v>364</v>
      </c>
      <c r="N730" s="51" t="str">
        <f>IF(AND('331-CT'!$E$7=TH!H730,OR(L730="331",M730="331")),"331",IF(AND(OR(L730="131",M730="131"),H730='131-CT'!$E$7),"131",""))</f>
        <v/>
      </c>
      <c r="O730" s="887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09"/>
      <c r="AC730" s="588"/>
      <c r="AD730" s="588"/>
      <c r="AE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>
        <f t="shared" si="40"/>
        <v>12</v>
      </c>
      <c r="C731" s="183">
        <f t="shared" si="41"/>
        <v>42726</v>
      </c>
      <c r="D731" s="183" t="s">
        <v>668</v>
      </c>
      <c r="E731" s="190">
        <v>42726</v>
      </c>
      <c r="F731" s="188" t="s">
        <v>878</v>
      </c>
      <c r="G731" s="479" t="s">
        <v>978</v>
      </c>
      <c r="H731" s="7" t="s">
        <v>879</v>
      </c>
      <c r="I731" s="255">
        <v>550</v>
      </c>
      <c r="J731" s="255">
        <v>7500</v>
      </c>
      <c r="K731" s="37">
        <f>ROUND(I731*J731,0)</f>
        <v>4125000</v>
      </c>
      <c r="L731" s="193" t="s">
        <v>259</v>
      </c>
      <c r="M731" s="597" t="s">
        <v>174</v>
      </c>
      <c r="N731" s="51" t="str">
        <f>IF(AND('331-CT'!$E$7=TH!H731,OR(L731="331",M731="331")),"331",IF(AND(OR(L731="131",M731="131"),H731='131-CT'!$E$7),"131",""))</f>
        <v/>
      </c>
      <c r="O731" s="887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09"/>
      <c r="AC731" s="588"/>
      <c r="AD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>
        <f t="shared" si="40"/>
        <v>12</v>
      </c>
      <c r="C732" s="183">
        <f t="shared" si="41"/>
        <v>42726</v>
      </c>
      <c r="D732" s="183" t="s">
        <v>668</v>
      </c>
      <c r="E732" s="190">
        <v>42726</v>
      </c>
      <c r="F732" s="188" t="s">
        <v>555</v>
      </c>
      <c r="G732" s="479" t="s">
        <v>978</v>
      </c>
      <c r="H732" s="7" t="s">
        <v>879</v>
      </c>
      <c r="I732" s="255"/>
      <c r="J732" s="255"/>
      <c r="K732" s="37">
        <v>412500</v>
      </c>
      <c r="L732" s="193" t="s">
        <v>259</v>
      </c>
      <c r="M732" s="597" t="s">
        <v>364</v>
      </c>
      <c r="N732" s="51" t="str">
        <f>IF(AND('331-CT'!$E$7=TH!H732,OR(L732="331",M732="331")),"331",IF(AND(OR(L732="131",M732="131"),H732='131-CT'!$E$7),"131",""))</f>
        <v/>
      </c>
      <c r="O732" s="887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09"/>
      <c r="AC732" s="588"/>
      <c r="AD732" s="588"/>
      <c r="AE732" s="588"/>
    </row>
    <row r="733" spans="1:33" s="588" customFormat="1" ht="15.75" customHeight="1">
      <c r="A733" s="203" t="str">
        <f>IF(B733&lt;&gt;"",IF(AND(B733&gt;=_TM1,B733&lt;=_TM2,OR(TH!L733="1111",TH!M733="1111")),TH!D733,""),"")</f>
        <v/>
      </c>
      <c r="B733" s="36">
        <f t="shared" si="40"/>
        <v>12</v>
      </c>
      <c r="C733" s="183">
        <f t="shared" si="41"/>
        <v>42726</v>
      </c>
      <c r="D733" s="183"/>
      <c r="E733" s="190">
        <v>42726</v>
      </c>
      <c r="F733" s="191" t="s">
        <v>543</v>
      </c>
      <c r="G733" s="479" t="s">
        <v>978</v>
      </c>
      <c r="H733" s="7" t="s">
        <v>879</v>
      </c>
      <c r="I733" s="256"/>
      <c r="J733" s="256"/>
      <c r="K733" s="37">
        <v>4537500</v>
      </c>
      <c r="L733" s="193" t="s">
        <v>47</v>
      </c>
      <c r="M733" s="597" t="s">
        <v>259</v>
      </c>
      <c r="N733" s="51" t="str">
        <f>IF(AND('331-CT'!$E$7=TH!H733,OR(L733="331",M733="331")),"331",IF(AND(OR(L733="131",M733="131"),H733='131-CT'!$E$7),"131",""))</f>
        <v/>
      </c>
      <c r="O733" s="887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09"/>
      <c r="AF733" s="210"/>
      <c r="AG733" s="210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>
        <f t="shared" si="40"/>
        <v>12</v>
      </c>
      <c r="C734" s="183">
        <f t="shared" si="41"/>
        <v>42727</v>
      </c>
      <c r="D734" s="183" t="s">
        <v>669</v>
      </c>
      <c r="E734" s="190">
        <v>42727</v>
      </c>
      <c r="F734" s="188" t="s">
        <v>878</v>
      </c>
      <c r="G734" s="479" t="s">
        <v>979</v>
      </c>
      <c r="H734" s="7" t="s">
        <v>879</v>
      </c>
      <c r="I734" s="255">
        <v>2400</v>
      </c>
      <c r="J734" s="255">
        <v>7500</v>
      </c>
      <c r="K734" s="37">
        <f>ROUND(I734*J734,0)</f>
        <v>18000000</v>
      </c>
      <c r="L734" s="193" t="s">
        <v>259</v>
      </c>
      <c r="M734" s="597" t="s">
        <v>174</v>
      </c>
      <c r="N734" s="51" t="str">
        <f>IF(AND('331-CT'!$E$7=TH!H734,OR(L734="331",M734="331")),"331",IF(AND(OR(L734="131",M734="131"),H734='131-CT'!$E$7),"131",""))</f>
        <v/>
      </c>
      <c r="O734" s="887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09"/>
      <c r="AC734" s="588"/>
      <c r="AD734" s="588"/>
      <c r="AE734" s="588"/>
    </row>
    <row r="735" spans="1:33" s="588" customFormat="1" ht="15.75" customHeight="1">
      <c r="A735" s="203" t="str">
        <f>IF(B735&lt;&gt;"",IF(AND(B735&gt;=_TM1,B735&lt;=_TM2,OR(TH!L735="1111",TH!M735="1111")),TH!D735,""),"")</f>
        <v/>
      </c>
      <c r="B735" s="36">
        <f t="shared" si="40"/>
        <v>12</v>
      </c>
      <c r="C735" s="183">
        <f t="shared" si="41"/>
        <v>42727</v>
      </c>
      <c r="D735" s="183" t="s">
        <v>669</v>
      </c>
      <c r="E735" s="190">
        <v>42727</v>
      </c>
      <c r="F735" s="188" t="s">
        <v>555</v>
      </c>
      <c r="G735" s="479" t="s">
        <v>979</v>
      </c>
      <c r="H735" s="7" t="s">
        <v>879</v>
      </c>
      <c r="I735" s="255"/>
      <c r="J735" s="255"/>
      <c r="K735" s="37">
        <v>1800000</v>
      </c>
      <c r="L735" s="193" t="s">
        <v>259</v>
      </c>
      <c r="M735" s="597" t="s">
        <v>364</v>
      </c>
      <c r="N735" s="51" t="str">
        <f>IF(AND('331-CT'!$E$7=TH!H735,OR(L735="331",M735="331")),"331",IF(AND(OR(L735="131",M735="131"),H735='131-CT'!$E$7),"131",""))</f>
        <v/>
      </c>
      <c r="O735" s="887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09"/>
      <c r="AF735" s="210"/>
      <c r="AG735" s="210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>
        <f t="shared" si="40"/>
        <v>12</v>
      </c>
      <c r="C736" s="183">
        <f t="shared" si="41"/>
        <v>42727</v>
      </c>
      <c r="D736" s="183"/>
      <c r="E736" s="190">
        <v>42727</v>
      </c>
      <c r="F736" s="191" t="s">
        <v>543</v>
      </c>
      <c r="G736" s="479" t="s">
        <v>979</v>
      </c>
      <c r="H736" s="7" t="s">
        <v>879</v>
      </c>
      <c r="I736" s="256"/>
      <c r="J736" s="256"/>
      <c r="K736" s="37">
        <v>19800000</v>
      </c>
      <c r="L736" s="193" t="s">
        <v>47</v>
      </c>
      <c r="M736" s="597" t="s">
        <v>259</v>
      </c>
      <c r="N736" s="51" t="str">
        <f>IF(AND('331-CT'!$E$7=TH!H736,OR(L736="331",M736="331")),"331",IF(AND(OR(L736="131",M736="131"),H736='131-CT'!$E$7),"131",""))</f>
        <v/>
      </c>
      <c r="O736" s="887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09"/>
      <c r="AC736" s="588"/>
      <c r="AD736" s="588"/>
      <c r="AE736" s="588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>
        <f t="shared" si="40"/>
        <v>12</v>
      </c>
      <c r="C737" s="183">
        <f t="shared" si="41"/>
        <v>42728</v>
      </c>
      <c r="D737" s="183" t="s">
        <v>670</v>
      </c>
      <c r="E737" s="190">
        <v>42728</v>
      </c>
      <c r="F737" s="191" t="s">
        <v>981</v>
      </c>
      <c r="G737" s="479" t="s">
        <v>980</v>
      </c>
      <c r="H737" s="192" t="s">
        <v>745</v>
      </c>
      <c r="I737" s="255">
        <v>1010</v>
      </c>
      <c r="J737" s="255">
        <v>12700</v>
      </c>
      <c r="K737" s="37">
        <f>ROUND(I737*J737,0)</f>
        <v>12827000</v>
      </c>
      <c r="L737" s="193" t="s">
        <v>259</v>
      </c>
      <c r="M737" s="597" t="s">
        <v>174</v>
      </c>
      <c r="N737" s="51" t="str">
        <f>IF(AND('331-CT'!$E$7=TH!H737,OR(L737="331",M737="331")),"331",IF(AND(OR(L737="131",M737="131"),H737='131-CT'!$E$7),"131",""))</f>
        <v/>
      </c>
      <c r="O737" s="887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09"/>
      <c r="AC737" s="588"/>
      <c r="AD737" s="588"/>
      <c r="AE737" s="588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>
        <f t="shared" si="40"/>
        <v>12</v>
      </c>
      <c r="C738" s="183">
        <f t="shared" si="41"/>
        <v>42728</v>
      </c>
      <c r="D738" s="183" t="s">
        <v>670</v>
      </c>
      <c r="E738" s="190">
        <v>42728</v>
      </c>
      <c r="F738" s="191" t="s">
        <v>982</v>
      </c>
      <c r="G738" s="479" t="s">
        <v>980</v>
      </c>
      <c r="H738" s="192" t="s">
        <v>745</v>
      </c>
      <c r="I738" s="255">
        <v>1006</v>
      </c>
      <c r="J738" s="255">
        <v>10900</v>
      </c>
      <c r="K738" s="37">
        <f>ROUND(I738*J738,0)</f>
        <v>10965400</v>
      </c>
      <c r="L738" s="193" t="s">
        <v>259</v>
      </c>
      <c r="M738" s="597" t="s">
        <v>174</v>
      </c>
      <c r="N738" s="51" t="str">
        <f>IF(AND('331-CT'!$E$7=TH!H738,OR(L738="331",M738="331")),"331",IF(AND(OR(L738="131",M738="131"),H738='131-CT'!$E$7),"131",""))</f>
        <v/>
      </c>
      <c r="O738" s="887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09"/>
      <c r="AC738" s="588"/>
      <c r="AD738" s="588"/>
    </row>
    <row r="739" spans="1:33" s="210" customFormat="1" ht="15.75" customHeight="1">
      <c r="A739" s="203" t="str">
        <f>IF(B739&lt;&gt;"",IF(AND(B739&gt;=_TM1,B739&lt;=_TM2,OR(TH!L739="1111",TH!M739="1111")),TH!D739,""),"")</f>
        <v/>
      </c>
      <c r="B739" s="36">
        <f t="shared" si="40"/>
        <v>12</v>
      </c>
      <c r="C739" s="183">
        <f t="shared" si="41"/>
        <v>42728</v>
      </c>
      <c r="D739" s="183" t="s">
        <v>670</v>
      </c>
      <c r="E739" s="190">
        <v>42728</v>
      </c>
      <c r="F739" s="188" t="s">
        <v>555</v>
      </c>
      <c r="G739" s="479" t="s">
        <v>980</v>
      </c>
      <c r="H739" s="192" t="s">
        <v>745</v>
      </c>
      <c r="I739" s="255"/>
      <c r="J739" s="255"/>
      <c r="K739" s="37">
        <v>2379240</v>
      </c>
      <c r="L739" s="193" t="s">
        <v>259</v>
      </c>
      <c r="M739" s="597" t="s">
        <v>364</v>
      </c>
      <c r="N739" s="51" t="str">
        <f>IF(AND('331-CT'!$E$7=TH!H739,OR(L739="331",M739="331")),"331",IF(AND(OR(L739="131",M739="131"),H739='131-CT'!$E$7),"131",""))</f>
        <v/>
      </c>
      <c r="O739" s="887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909"/>
      <c r="AC739" s="588"/>
      <c r="AD739" s="588"/>
      <c r="AE739" s="588"/>
    </row>
    <row r="740" spans="1:33" s="588" customFormat="1" ht="15.75" customHeight="1">
      <c r="A740" s="203" t="str">
        <f>IF(B740&lt;&gt;"",IF(AND(B740&gt;=_TM1,B740&lt;=_TM2,OR(TH!L740="1111",TH!M740="1111")),TH!D740,""),"")</f>
        <v/>
      </c>
      <c r="B740" s="36">
        <f t="shared" si="40"/>
        <v>12</v>
      </c>
      <c r="C740" s="183">
        <f t="shared" si="41"/>
        <v>42728</v>
      </c>
      <c r="D740" s="183" t="s">
        <v>671</v>
      </c>
      <c r="E740" s="190">
        <v>42728</v>
      </c>
      <c r="F740" s="188" t="s">
        <v>878</v>
      </c>
      <c r="G740" s="479" t="s">
        <v>983</v>
      </c>
      <c r="H740" s="7" t="s">
        <v>879</v>
      </c>
      <c r="I740" s="255">
        <v>2400</v>
      </c>
      <c r="J740" s="255">
        <v>7500</v>
      </c>
      <c r="K740" s="37">
        <f>ROUND(I740*J740,0)</f>
        <v>18000000</v>
      </c>
      <c r="L740" s="193" t="s">
        <v>259</v>
      </c>
      <c r="M740" s="597" t="s">
        <v>174</v>
      </c>
      <c r="N740" s="51" t="str">
        <f>IF(AND('331-CT'!$E$7=TH!H740,OR(L740="331",M740="331")),"331",IF(AND(OR(L740="131",M740="131"),H740='131-CT'!$E$7),"131",""))</f>
        <v/>
      </c>
      <c r="O740" s="887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909"/>
      <c r="AF740" s="210"/>
      <c r="AG740" s="210"/>
    </row>
    <row r="741" spans="1:33" s="210" customFormat="1" ht="15.75" customHeight="1">
      <c r="A741" s="203" t="str">
        <f>IF(B741&lt;&gt;"",IF(AND(B741&gt;=_TM1,B741&lt;=_TM2,OR(TH!L741="1111",TH!M741="1111")),TH!D741,""),"")</f>
        <v/>
      </c>
      <c r="B741" s="36">
        <f t="shared" si="40"/>
        <v>12</v>
      </c>
      <c r="C741" s="183">
        <f t="shared" si="41"/>
        <v>42728</v>
      </c>
      <c r="D741" s="183" t="s">
        <v>671</v>
      </c>
      <c r="E741" s="190">
        <v>42728</v>
      </c>
      <c r="F741" s="188" t="s">
        <v>555</v>
      </c>
      <c r="G741" s="479" t="s">
        <v>983</v>
      </c>
      <c r="H741" s="7" t="s">
        <v>879</v>
      </c>
      <c r="I741" s="255"/>
      <c r="J741" s="255"/>
      <c r="K741" s="37">
        <v>1800000</v>
      </c>
      <c r="L741" s="193" t="s">
        <v>259</v>
      </c>
      <c r="M741" s="597" t="s">
        <v>364</v>
      </c>
      <c r="N741" s="51" t="str">
        <f>IF(AND('331-CT'!$E$7=TH!H741,OR(L741="331",M741="331")),"331",IF(AND(OR(L741="131",M741="131"),H741='131-CT'!$E$7),"131",""))</f>
        <v/>
      </c>
      <c r="O741" s="887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909"/>
      <c r="AC741" s="588"/>
      <c r="AD741" s="588"/>
      <c r="AE741" s="588"/>
    </row>
    <row r="742" spans="1:33" s="210" customFormat="1" ht="15.75" customHeight="1">
      <c r="A742" s="203" t="str">
        <f>IF(B742&lt;&gt;"",IF(AND(B742&gt;=_TM1,B742&lt;=_TM2,OR(TH!L742="1111",TH!M742="1111")),TH!D742,""),"")</f>
        <v/>
      </c>
      <c r="B742" s="36">
        <f t="shared" si="40"/>
        <v>12</v>
      </c>
      <c r="C742" s="183">
        <f t="shared" si="41"/>
        <v>42728</v>
      </c>
      <c r="D742" s="183"/>
      <c r="E742" s="190">
        <v>42728</v>
      </c>
      <c r="F742" s="191" t="s">
        <v>543</v>
      </c>
      <c r="G742" s="479" t="s">
        <v>983</v>
      </c>
      <c r="H742" s="7" t="s">
        <v>879</v>
      </c>
      <c r="I742" s="256"/>
      <c r="J742" s="256"/>
      <c r="K742" s="37">
        <v>19800000</v>
      </c>
      <c r="L742" s="193" t="s">
        <v>47</v>
      </c>
      <c r="M742" s="597" t="s">
        <v>259</v>
      </c>
      <c r="N742" s="51" t="str">
        <f>IF(AND('331-CT'!$E$7=TH!H742,OR(L742="331",M742="331")),"331",IF(AND(OR(L742="131",M742="131"),H742='131-CT'!$E$7),"131",""))</f>
        <v/>
      </c>
      <c r="O742" s="887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909"/>
      <c r="AC742" s="588"/>
      <c r="AD742" s="588"/>
      <c r="AE742" s="588"/>
    </row>
    <row r="743" spans="1:33" s="210" customFormat="1" ht="15.75" customHeight="1">
      <c r="A743" s="203" t="str">
        <f>IF(B743&lt;&gt;"",IF(AND(B743&gt;=_TM1,B743&lt;=_TM2,OR(TH!L743="1111",TH!M743="1111")),TH!D743,""),"")</f>
        <v/>
      </c>
      <c r="B743" s="36">
        <f t="shared" si="40"/>
        <v>12</v>
      </c>
      <c r="C743" s="183">
        <f t="shared" si="41"/>
        <v>42729</v>
      </c>
      <c r="D743" s="183" t="s">
        <v>672</v>
      </c>
      <c r="E743" s="190">
        <v>42729</v>
      </c>
      <c r="F743" s="191" t="s">
        <v>985</v>
      </c>
      <c r="G743" s="479" t="s">
        <v>984</v>
      </c>
      <c r="H743" s="7" t="s">
        <v>986</v>
      </c>
      <c r="I743" s="255">
        <v>1070</v>
      </c>
      <c r="J743" s="255">
        <v>9700</v>
      </c>
      <c r="K743" s="37">
        <f>ROUND(I743*J743,0)</f>
        <v>10379000</v>
      </c>
      <c r="L743" s="193" t="s">
        <v>259</v>
      </c>
      <c r="M743" s="597" t="s">
        <v>174</v>
      </c>
      <c r="N743" s="51" t="str">
        <f>IF(AND('331-CT'!$E$7=TH!H743,OR(L743="331",M743="331")),"331",IF(AND(OR(L743="131",M743="131"),H743='131-CT'!$E$7),"131",""))</f>
        <v/>
      </c>
      <c r="O743" s="887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09"/>
      <c r="AC743" s="588"/>
      <c r="AD743" s="588"/>
    </row>
    <row r="744" spans="1:33" s="210" customFormat="1" ht="15.75" customHeight="1">
      <c r="A744" s="203" t="str">
        <f>IF(B744&lt;&gt;"",IF(AND(B744&gt;=_TM1,B744&lt;=_TM2,OR(TH!L744="1111",TH!M744="1111")),TH!D744,""),"")</f>
        <v/>
      </c>
      <c r="B744" s="36">
        <f t="shared" si="40"/>
        <v>12</v>
      </c>
      <c r="C744" s="183">
        <f t="shared" si="41"/>
        <v>42729</v>
      </c>
      <c r="D744" s="183" t="s">
        <v>672</v>
      </c>
      <c r="E744" s="190">
        <v>42729</v>
      </c>
      <c r="F744" s="188" t="s">
        <v>555</v>
      </c>
      <c r="G744" s="479" t="s">
        <v>984</v>
      </c>
      <c r="H744" s="7" t="s">
        <v>986</v>
      </c>
      <c r="I744" s="255"/>
      <c r="J744" s="255"/>
      <c r="K744" s="37">
        <v>1037900</v>
      </c>
      <c r="L744" s="193" t="s">
        <v>259</v>
      </c>
      <c r="M744" s="597" t="s">
        <v>364</v>
      </c>
      <c r="N744" s="51" t="str">
        <f>IF(AND('331-CT'!$E$7=TH!H744,OR(L744="331",M744="331")),"331",IF(AND(OR(L744="131",M744="131"),H744='131-CT'!$E$7),"131",""))</f>
        <v/>
      </c>
      <c r="O744" s="887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09"/>
      <c r="AC744" s="588"/>
      <c r="AD744" s="588"/>
      <c r="AE744" s="588"/>
    </row>
    <row r="745" spans="1:33" s="588" customFormat="1" ht="15.75" customHeight="1">
      <c r="A745" s="203" t="str">
        <f>IF(B745&lt;&gt;"",IF(AND(B745&gt;=_TM1,B745&lt;=_TM2,OR(TH!L745="1111",TH!M745="1111")),TH!D745,""),"")</f>
        <v/>
      </c>
      <c r="B745" s="36">
        <f t="shared" si="40"/>
        <v>12</v>
      </c>
      <c r="C745" s="183">
        <f t="shared" si="41"/>
        <v>42729</v>
      </c>
      <c r="D745" s="183" t="s">
        <v>673</v>
      </c>
      <c r="E745" s="190">
        <v>42729</v>
      </c>
      <c r="F745" s="188" t="s">
        <v>878</v>
      </c>
      <c r="G745" s="479" t="s">
        <v>987</v>
      </c>
      <c r="H745" s="7" t="s">
        <v>879</v>
      </c>
      <c r="I745" s="255">
        <v>2400</v>
      </c>
      <c r="J745" s="255">
        <v>7500</v>
      </c>
      <c r="K745" s="37">
        <f>ROUND(I745*J745,0)</f>
        <v>18000000</v>
      </c>
      <c r="L745" s="193" t="s">
        <v>259</v>
      </c>
      <c r="M745" s="597" t="s">
        <v>174</v>
      </c>
      <c r="N745" s="51" t="str">
        <f>IF(AND('331-CT'!$E$7=TH!H745,OR(L745="331",M745="331")),"331",IF(AND(OR(L745="131",M745="131"),H745='131-CT'!$E$7),"131",""))</f>
        <v/>
      </c>
      <c r="O745" s="887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09"/>
      <c r="AF745" s="210"/>
      <c r="AG745" s="210"/>
    </row>
    <row r="746" spans="1:33" s="210" customFormat="1" ht="15.75" customHeight="1">
      <c r="A746" s="203" t="str">
        <f>IF(B746&lt;&gt;"",IF(AND(B746&gt;=_TM1,B746&lt;=_TM2,OR(TH!L746="1111",TH!M746="1111")),TH!D746,""),"")</f>
        <v/>
      </c>
      <c r="B746" s="36">
        <f t="shared" si="40"/>
        <v>12</v>
      </c>
      <c r="C746" s="183">
        <f t="shared" si="41"/>
        <v>42729</v>
      </c>
      <c r="D746" s="183" t="s">
        <v>673</v>
      </c>
      <c r="E746" s="190">
        <v>42729</v>
      </c>
      <c r="F746" s="188" t="s">
        <v>555</v>
      </c>
      <c r="G746" s="479" t="s">
        <v>987</v>
      </c>
      <c r="H746" s="7" t="s">
        <v>879</v>
      </c>
      <c r="I746" s="255"/>
      <c r="J746" s="255"/>
      <c r="K746" s="37">
        <v>1800000</v>
      </c>
      <c r="L746" s="193" t="s">
        <v>259</v>
      </c>
      <c r="M746" s="597" t="s">
        <v>364</v>
      </c>
      <c r="N746" s="51" t="str">
        <f>IF(AND('331-CT'!$E$7=TH!H746,OR(L746="331",M746="331")),"331",IF(AND(OR(L746="131",M746="131"),H746='131-CT'!$E$7),"131",""))</f>
        <v/>
      </c>
      <c r="O746" s="887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09"/>
      <c r="AC746" s="588"/>
      <c r="AD746" s="588"/>
      <c r="AE746" s="588"/>
    </row>
    <row r="747" spans="1:33" s="588" customFormat="1" ht="15.75" customHeight="1">
      <c r="A747" s="203" t="str">
        <f>IF(B747&lt;&gt;"",IF(AND(B747&gt;=_TM1,B747&lt;=_TM2,OR(TH!L747="1111",TH!M747="1111")),TH!D747,""),"")</f>
        <v/>
      </c>
      <c r="B747" s="36">
        <f t="shared" si="40"/>
        <v>12</v>
      </c>
      <c r="C747" s="183">
        <f t="shared" si="41"/>
        <v>42729</v>
      </c>
      <c r="D747" s="183"/>
      <c r="E747" s="190">
        <v>42729</v>
      </c>
      <c r="F747" s="191" t="s">
        <v>543</v>
      </c>
      <c r="G747" s="479" t="s">
        <v>987</v>
      </c>
      <c r="H747" s="7" t="s">
        <v>879</v>
      </c>
      <c r="I747" s="256"/>
      <c r="J747" s="256"/>
      <c r="K747" s="37">
        <v>19800000</v>
      </c>
      <c r="L747" s="193" t="s">
        <v>47</v>
      </c>
      <c r="M747" s="597" t="s">
        <v>259</v>
      </c>
      <c r="N747" s="51" t="str">
        <f>IF(AND('331-CT'!$E$7=TH!H747,OR(L747="331",M747="331")),"331",IF(AND(OR(L747="131",M747="131"),H747='131-CT'!$E$7),"131",""))</f>
        <v/>
      </c>
      <c r="O747" s="887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09"/>
      <c r="AF747" s="210"/>
      <c r="AG747" s="210"/>
    </row>
    <row r="748" spans="1:33" s="210" customFormat="1" ht="15.75" customHeight="1">
      <c r="A748" s="203" t="str">
        <f>IF(B748&lt;&gt;"",IF(AND(B748&gt;=_TM1,B748&lt;=_TM2,OR(TH!L748="1111",TH!M748="1111")),TH!D748,""),"")</f>
        <v/>
      </c>
      <c r="B748" s="36">
        <f t="shared" si="40"/>
        <v>12</v>
      </c>
      <c r="C748" s="183">
        <f t="shared" si="41"/>
        <v>42730</v>
      </c>
      <c r="D748" s="183" t="s">
        <v>674</v>
      </c>
      <c r="E748" s="190">
        <v>42730</v>
      </c>
      <c r="F748" s="188" t="s">
        <v>878</v>
      </c>
      <c r="G748" s="479" t="s">
        <v>988</v>
      </c>
      <c r="H748" s="7" t="s">
        <v>879</v>
      </c>
      <c r="I748" s="255">
        <v>1200</v>
      </c>
      <c r="J748" s="255">
        <v>7500</v>
      </c>
      <c r="K748" s="37">
        <f>ROUND(I748*J748,0)</f>
        <v>9000000</v>
      </c>
      <c r="L748" s="193" t="s">
        <v>259</v>
      </c>
      <c r="M748" s="597" t="s">
        <v>174</v>
      </c>
      <c r="N748" s="51" t="str">
        <f>IF(AND('331-CT'!$E$7=TH!H748,OR(L748="331",M748="331")),"331",IF(AND(OR(L748="131",M748="131"),H748='131-CT'!$E$7),"131",""))</f>
        <v/>
      </c>
      <c r="O748" s="887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09"/>
      <c r="AC748" s="588"/>
      <c r="AD748" s="588"/>
      <c r="AE748" s="588"/>
    </row>
    <row r="749" spans="1:33" s="210" customFormat="1" ht="15.75" customHeight="1">
      <c r="A749" s="203" t="str">
        <f>IF(B749&lt;&gt;"",IF(AND(B749&gt;=_TM1,B749&lt;=_TM2,OR(TH!L749="1111",TH!M749="1111")),TH!D749,""),"")</f>
        <v/>
      </c>
      <c r="B749" s="36">
        <f t="shared" si="40"/>
        <v>12</v>
      </c>
      <c r="C749" s="183">
        <f t="shared" si="41"/>
        <v>42730</v>
      </c>
      <c r="D749" s="183" t="s">
        <v>674</v>
      </c>
      <c r="E749" s="190">
        <v>42730</v>
      </c>
      <c r="F749" s="188" t="s">
        <v>555</v>
      </c>
      <c r="G749" s="479" t="s">
        <v>988</v>
      </c>
      <c r="H749" s="7" t="s">
        <v>879</v>
      </c>
      <c r="I749" s="255"/>
      <c r="J749" s="255"/>
      <c r="K749" s="37">
        <v>900000</v>
      </c>
      <c r="L749" s="193" t="s">
        <v>259</v>
      </c>
      <c r="M749" s="597" t="s">
        <v>364</v>
      </c>
      <c r="N749" s="51" t="str">
        <f>IF(AND('331-CT'!$E$7=TH!H749,OR(L749="331",M749="331")),"331",IF(AND(OR(L749="131",M749="131"),H749='131-CT'!$E$7),"131",""))</f>
        <v/>
      </c>
      <c r="O749" s="887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09"/>
      <c r="AC749" s="588"/>
      <c r="AD749" s="588"/>
      <c r="AE749" s="588"/>
    </row>
    <row r="750" spans="1:33" s="210" customFormat="1" ht="15.75" customHeight="1">
      <c r="A750" s="203" t="str">
        <f>IF(B750&lt;&gt;"",IF(AND(B750&gt;=_TM1,B750&lt;=_TM2,OR(TH!L750="1111",TH!M750="1111")),TH!D750,""),"")</f>
        <v/>
      </c>
      <c r="B750" s="36">
        <f t="shared" si="40"/>
        <v>12</v>
      </c>
      <c r="C750" s="183">
        <f t="shared" si="41"/>
        <v>42730</v>
      </c>
      <c r="D750" s="183"/>
      <c r="E750" s="190">
        <v>42730</v>
      </c>
      <c r="F750" s="191" t="s">
        <v>543</v>
      </c>
      <c r="G750" s="479" t="s">
        <v>988</v>
      </c>
      <c r="H750" s="7" t="s">
        <v>879</v>
      </c>
      <c r="I750" s="256"/>
      <c r="J750" s="256"/>
      <c r="K750" s="37">
        <v>9900000</v>
      </c>
      <c r="L750" s="193" t="s">
        <v>47</v>
      </c>
      <c r="M750" s="597" t="s">
        <v>259</v>
      </c>
      <c r="N750" s="51" t="str">
        <f>IF(AND('331-CT'!$E$7=TH!H750,OR(L750="331",M750="331")),"331",IF(AND(OR(L750="131",M750="131"),H750='131-CT'!$E$7),"131",""))</f>
        <v/>
      </c>
      <c r="O750" s="887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09"/>
      <c r="AC750" s="588"/>
      <c r="AD750" s="588"/>
    </row>
    <row r="751" spans="1:33" s="210" customFormat="1" ht="15.75" customHeight="1">
      <c r="A751" s="203" t="str">
        <f>IF(B751&lt;&gt;"",IF(AND(B751&gt;=_TM1,B751&lt;=_TM2,OR(TH!L751="1111",TH!M751="1111")),TH!D751,""),"")</f>
        <v/>
      </c>
      <c r="B751" s="36">
        <f t="shared" si="40"/>
        <v>12</v>
      </c>
      <c r="C751" s="183">
        <f t="shared" si="41"/>
        <v>42731</v>
      </c>
      <c r="D751" s="183" t="s">
        <v>1028</v>
      </c>
      <c r="E751" s="190">
        <v>42731</v>
      </c>
      <c r="F751" s="188" t="s">
        <v>878</v>
      </c>
      <c r="G751" s="479" t="s">
        <v>989</v>
      </c>
      <c r="H751" s="7" t="s">
        <v>879</v>
      </c>
      <c r="I751" s="255">
        <v>1380</v>
      </c>
      <c r="J751" s="255">
        <v>7500</v>
      </c>
      <c r="K751" s="37">
        <f>ROUND(I751*J751,0)</f>
        <v>10350000</v>
      </c>
      <c r="L751" s="193" t="s">
        <v>259</v>
      </c>
      <c r="M751" s="597" t="s">
        <v>174</v>
      </c>
      <c r="N751" s="51" t="str">
        <f>IF(AND('331-CT'!$E$7=TH!H751,OR(L751="331",M751="331")),"331",IF(AND(OR(L751="131",M751="131"),H751='131-CT'!$E$7),"131",""))</f>
        <v/>
      </c>
      <c r="O751" s="887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09"/>
      <c r="AC751" s="588"/>
      <c r="AD751" s="588"/>
      <c r="AE751" s="588"/>
    </row>
    <row r="752" spans="1:33" s="588" customFormat="1" ht="15.75" customHeight="1">
      <c r="A752" s="203" t="str">
        <f>IF(B752&lt;&gt;"",IF(AND(B752&gt;=_TM1,B752&lt;=_TM2,OR(TH!L752="1111",TH!M752="1111")),TH!D752,""),"")</f>
        <v/>
      </c>
      <c r="B752" s="36">
        <f t="shared" si="40"/>
        <v>12</v>
      </c>
      <c r="C752" s="183">
        <f t="shared" si="41"/>
        <v>42731</v>
      </c>
      <c r="D752" s="183" t="s">
        <v>1028</v>
      </c>
      <c r="E752" s="190">
        <v>42731</v>
      </c>
      <c r="F752" s="188" t="s">
        <v>555</v>
      </c>
      <c r="G752" s="479" t="s">
        <v>989</v>
      </c>
      <c r="H752" s="7" t="s">
        <v>879</v>
      </c>
      <c r="I752" s="255"/>
      <c r="J752" s="255"/>
      <c r="K752" s="37">
        <v>1035000</v>
      </c>
      <c r="L752" s="193" t="s">
        <v>259</v>
      </c>
      <c r="M752" s="597" t="s">
        <v>364</v>
      </c>
      <c r="N752" s="51" t="str">
        <f>IF(AND('331-CT'!$E$7=TH!H752,OR(L752="331",M752="331")),"331",IF(AND(OR(L752="131",M752="131"),H752='131-CT'!$E$7),"131",""))</f>
        <v/>
      </c>
      <c r="O752" s="887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09"/>
      <c r="AF752" s="210"/>
      <c r="AG752" s="210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>
        <f t="shared" si="40"/>
        <v>12</v>
      </c>
      <c r="C753" s="183">
        <f t="shared" si="41"/>
        <v>42731</v>
      </c>
      <c r="D753" s="183"/>
      <c r="E753" s="190">
        <v>42731</v>
      </c>
      <c r="F753" s="191" t="s">
        <v>543</v>
      </c>
      <c r="G753" s="479" t="s">
        <v>989</v>
      </c>
      <c r="H753" s="7" t="s">
        <v>879</v>
      </c>
      <c r="I753" s="256"/>
      <c r="J753" s="256"/>
      <c r="K753" s="37">
        <v>11385000</v>
      </c>
      <c r="L753" s="193" t="s">
        <v>47</v>
      </c>
      <c r="M753" s="597" t="s">
        <v>259</v>
      </c>
      <c r="N753" s="51" t="str">
        <f>IF(AND('331-CT'!$E$7=TH!H753,OR(L753="331",M753="331")),"331",IF(AND(OR(L753="131",M753="131"),H753='131-CT'!$E$7),"131",""))</f>
        <v/>
      </c>
      <c r="O753" s="887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09"/>
      <c r="AC753" s="588"/>
      <c r="AD753" s="588"/>
      <c r="AE753" s="588"/>
    </row>
    <row r="754" spans="1:33" s="210" customFormat="1" ht="15.75" customHeight="1">
      <c r="A754" s="203" t="str">
        <f>IF(B754&lt;&gt;"",IF(AND(B754&gt;=_TM1,B754&lt;=_TM2,OR(TH!L754="1111",TH!M754="1111")),TH!D754,""),"")</f>
        <v/>
      </c>
      <c r="B754" s="36">
        <f t="shared" si="40"/>
        <v>12</v>
      </c>
      <c r="C754" s="183">
        <f t="shared" si="41"/>
        <v>42732</v>
      </c>
      <c r="D754" s="183" t="s">
        <v>1029</v>
      </c>
      <c r="E754" s="190">
        <v>42732</v>
      </c>
      <c r="F754" s="188" t="s">
        <v>878</v>
      </c>
      <c r="G754" s="479" t="s">
        <v>990</v>
      </c>
      <c r="H754" s="7" t="s">
        <v>879</v>
      </c>
      <c r="I754" s="255">
        <v>2030</v>
      </c>
      <c r="J754" s="255">
        <v>7500</v>
      </c>
      <c r="K754" s="37">
        <f>ROUND(I754*J754,0)</f>
        <v>15225000</v>
      </c>
      <c r="L754" s="193" t="s">
        <v>259</v>
      </c>
      <c r="M754" s="597" t="s">
        <v>174</v>
      </c>
      <c r="N754" s="51" t="str">
        <f>IF(AND('331-CT'!$E$7=TH!H754,OR(L754="331",M754="331")),"331",IF(AND(OR(L754="131",M754="131"),H754='131-CT'!$E$7),"131",""))</f>
        <v/>
      </c>
      <c r="O754" s="887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09"/>
      <c r="AC754" s="588"/>
      <c r="AD754" s="588"/>
      <c r="AE754" s="588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>
        <f t="shared" si="40"/>
        <v>12</v>
      </c>
      <c r="C755" s="183">
        <f t="shared" si="41"/>
        <v>42732</v>
      </c>
      <c r="D755" s="183" t="s">
        <v>1029</v>
      </c>
      <c r="E755" s="190">
        <v>42732</v>
      </c>
      <c r="F755" s="188" t="s">
        <v>555</v>
      </c>
      <c r="G755" s="479" t="s">
        <v>990</v>
      </c>
      <c r="H755" s="7" t="s">
        <v>879</v>
      </c>
      <c r="I755" s="255"/>
      <c r="J755" s="255"/>
      <c r="K755" s="37">
        <v>1522500</v>
      </c>
      <c r="L755" s="193" t="s">
        <v>259</v>
      </c>
      <c r="M755" s="597" t="s">
        <v>364</v>
      </c>
      <c r="N755" s="51" t="str">
        <f>IF(AND('331-CT'!$E$7=TH!H755,OR(L755="331",M755="331")),"331",IF(AND(OR(L755="131",M755="131"),H755='131-CT'!$E$7),"131",""))</f>
        <v/>
      </c>
      <c r="O755" s="887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09"/>
      <c r="AC755" s="588"/>
      <c r="AD755" s="588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>
        <f t="shared" si="40"/>
        <v>12</v>
      </c>
      <c r="C756" s="183">
        <f t="shared" si="41"/>
        <v>42732</v>
      </c>
      <c r="D756" s="183"/>
      <c r="E756" s="190">
        <v>42732</v>
      </c>
      <c r="F756" s="191" t="s">
        <v>543</v>
      </c>
      <c r="G756" s="479" t="s">
        <v>990</v>
      </c>
      <c r="H756" s="7" t="s">
        <v>879</v>
      </c>
      <c r="I756" s="256"/>
      <c r="J756" s="256"/>
      <c r="K756" s="37">
        <v>16747500</v>
      </c>
      <c r="L756" s="193" t="s">
        <v>47</v>
      </c>
      <c r="M756" s="597" t="s">
        <v>259</v>
      </c>
      <c r="N756" s="51" t="str">
        <f>IF(AND('331-CT'!$E$7=TH!H756,OR(L756="331",M756="331")),"331",IF(AND(OR(L756="131",M756="131"),H756='131-CT'!$E$7),"131",""))</f>
        <v/>
      </c>
      <c r="O756" s="887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09"/>
      <c r="AC756" s="588"/>
      <c r="AD756" s="588"/>
      <c r="AE756" s="588"/>
    </row>
    <row r="757" spans="1:33" s="588" customFormat="1" ht="15.75" customHeight="1">
      <c r="A757" s="203" t="str">
        <f>IF(B757&lt;&gt;"",IF(AND(B757&gt;=_TM1,B757&lt;=_TM2,OR(TH!L757="1111",TH!M757="1111")),TH!D757,""),"")</f>
        <v/>
      </c>
      <c r="B757" s="36">
        <f t="shared" ref="B757:B758" si="42">IF(C757&lt;&gt;"",MONTH(C757),"")</f>
        <v>12</v>
      </c>
      <c r="C757" s="183">
        <f t="shared" ref="C757:C758" si="43">E757</f>
        <v>42732</v>
      </c>
      <c r="D757" s="183" t="s">
        <v>1030</v>
      </c>
      <c r="E757" s="190">
        <v>42732</v>
      </c>
      <c r="F757" s="191" t="s">
        <v>1026</v>
      </c>
      <c r="G757" s="479" t="s">
        <v>1025</v>
      </c>
      <c r="H757" s="7" t="s">
        <v>1027</v>
      </c>
      <c r="I757" s="256">
        <v>188</v>
      </c>
      <c r="J757" s="256">
        <v>14000</v>
      </c>
      <c r="K757" s="37">
        <f>ROUND(I757*J757,0)</f>
        <v>2632000</v>
      </c>
      <c r="L757" s="193" t="s">
        <v>259</v>
      </c>
      <c r="M757" s="597" t="s">
        <v>174</v>
      </c>
      <c r="N757" s="51" t="str">
        <f>IF(AND('331-CT'!$E$7=TH!H757,OR(L757="331",M757="331")),"331",IF(AND(OR(L757="131",M757="131"),H757='131-CT'!$E$7),"131",""))</f>
        <v/>
      </c>
      <c r="O757" s="887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09"/>
      <c r="AF757" s="210"/>
      <c r="AG757" s="210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>
        <f t="shared" si="42"/>
        <v>12</v>
      </c>
      <c r="C758" s="183">
        <f t="shared" si="43"/>
        <v>42732</v>
      </c>
      <c r="D758" s="183" t="s">
        <v>1030</v>
      </c>
      <c r="E758" s="190">
        <v>42732</v>
      </c>
      <c r="F758" s="188" t="s">
        <v>555</v>
      </c>
      <c r="G758" s="479" t="s">
        <v>1025</v>
      </c>
      <c r="H758" s="7" t="s">
        <v>1027</v>
      </c>
      <c r="I758" s="255"/>
      <c r="J758" s="255"/>
      <c r="K758" s="37">
        <v>263200</v>
      </c>
      <c r="L758" s="193" t="s">
        <v>259</v>
      </c>
      <c r="M758" s="597" t="s">
        <v>364</v>
      </c>
      <c r="N758" s="51" t="str">
        <f>IF(AND('331-CT'!$E$7=TH!H758,OR(L758="331",M758="331")),"331",IF(AND(OR(L758="131",M758="131"),H758='131-CT'!$E$7),"131",""))</f>
        <v/>
      </c>
      <c r="O758" s="887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09"/>
      <c r="AC758" s="588"/>
      <c r="AD758" s="588"/>
      <c r="AE758" s="588"/>
    </row>
    <row r="759" spans="1:33" s="588" customFormat="1" ht="15.75" customHeight="1">
      <c r="A759" s="203" t="str">
        <f>IF(B759&lt;&gt;"",IF(AND(B759&gt;=_TM1,B759&lt;=_TM2,OR(TH!L759="1111",TH!M759="1111")),TH!D759,""),"")</f>
        <v/>
      </c>
      <c r="B759" s="36">
        <f t="shared" si="40"/>
        <v>12</v>
      </c>
      <c r="C759" s="183">
        <f t="shared" si="41"/>
        <v>42732</v>
      </c>
      <c r="D759" s="183" t="s">
        <v>1031</v>
      </c>
      <c r="E759" s="190">
        <v>42732</v>
      </c>
      <c r="F759" s="191" t="s">
        <v>570</v>
      </c>
      <c r="G759" s="479" t="s">
        <v>992</v>
      </c>
      <c r="H759" s="7" t="s">
        <v>677</v>
      </c>
      <c r="I759" s="256">
        <v>209</v>
      </c>
      <c r="J759" s="256">
        <v>12900</v>
      </c>
      <c r="K759" s="37">
        <f>ROUND(I759*J759,0)</f>
        <v>2696100</v>
      </c>
      <c r="L759" s="193" t="s">
        <v>259</v>
      </c>
      <c r="M759" s="597" t="s">
        <v>174</v>
      </c>
      <c r="N759" s="51" t="str">
        <f>IF(AND('331-CT'!$E$7=TH!H759,OR(L759="331",M759="331")),"331",IF(AND(OR(L759="131",M759="131"),H759='131-CT'!$E$7),"131",""))</f>
        <v/>
      </c>
      <c r="O759" s="887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09"/>
      <c r="AF759" s="210"/>
      <c r="AG759" s="210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>
        <f t="shared" si="40"/>
        <v>12</v>
      </c>
      <c r="C760" s="183">
        <f t="shared" si="41"/>
        <v>42732</v>
      </c>
      <c r="D760" s="183" t="s">
        <v>1031</v>
      </c>
      <c r="E760" s="190">
        <v>42732</v>
      </c>
      <c r="F760" s="188" t="s">
        <v>555</v>
      </c>
      <c r="G760" s="479" t="s">
        <v>992</v>
      </c>
      <c r="H760" s="7" t="s">
        <v>677</v>
      </c>
      <c r="I760" s="255"/>
      <c r="J760" s="255"/>
      <c r="K760" s="37">
        <v>269610</v>
      </c>
      <c r="L760" s="193" t="s">
        <v>259</v>
      </c>
      <c r="M760" s="597" t="s">
        <v>364</v>
      </c>
      <c r="N760" s="51" t="str">
        <f>IF(AND('331-CT'!$E$7=TH!H760,OR(L760="331",M760="331")),"331",IF(AND(OR(L760="131",M760="131"),H760='131-CT'!$E$7),"131",""))</f>
        <v/>
      </c>
      <c r="O760" s="887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09"/>
      <c r="AC760" s="588"/>
      <c r="AD760" s="588"/>
      <c r="AE760" s="588"/>
    </row>
    <row r="761" spans="1:33" s="588" customFormat="1" ht="15.75" customHeight="1">
      <c r="A761" s="203" t="str">
        <f>IF(B761&lt;&gt;"",IF(AND(B761&gt;=_TM1,B761&lt;=_TM2,OR(TH!L761="1111",TH!M761="1111")),TH!D761,""),"")</f>
        <v/>
      </c>
      <c r="B761" s="36">
        <f t="shared" si="40"/>
        <v>12</v>
      </c>
      <c r="C761" s="183">
        <f t="shared" si="41"/>
        <v>42732</v>
      </c>
      <c r="D761" s="183" t="s">
        <v>1032</v>
      </c>
      <c r="E761" s="190">
        <v>42732</v>
      </c>
      <c r="F761" s="191" t="s">
        <v>993</v>
      </c>
      <c r="G761" s="479" t="s">
        <v>991</v>
      </c>
      <c r="H761" s="7" t="s">
        <v>911</v>
      </c>
      <c r="I761" s="256">
        <v>244</v>
      </c>
      <c r="J761" s="256">
        <v>22848</v>
      </c>
      <c r="K761" s="37">
        <f t="shared" ref="K761:K766" si="44">ROUND(I761*J761,0)</f>
        <v>5574912</v>
      </c>
      <c r="L761" s="193" t="s">
        <v>259</v>
      </c>
      <c r="M761" s="597" t="s">
        <v>174</v>
      </c>
      <c r="N761" s="51" t="str">
        <f>IF(AND('331-CT'!$E$7=TH!H761,OR(L761="331",M761="331")),"331",IF(AND(OR(L761="131",M761="131"),H761='131-CT'!$E$7),"131",""))</f>
        <v/>
      </c>
      <c r="O761" s="887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09"/>
      <c r="AF761" s="210"/>
      <c r="AG761" s="210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>
        <f t="shared" si="40"/>
        <v>12</v>
      </c>
      <c r="C762" s="183">
        <f t="shared" si="41"/>
        <v>42732</v>
      </c>
      <c r="D762" s="183" t="s">
        <v>1032</v>
      </c>
      <c r="E762" s="190">
        <v>42732</v>
      </c>
      <c r="F762" s="191" t="s">
        <v>994</v>
      </c>
      <c r="G762" s="479" t="s">
        <v>991</v>
      </c>
      <c r="H762" s="7" t="s">
        <v>911</v>
      </c>
      <c r="I762" s="256">
        <v>244</v>
      </c>
      <c r="J762" s="255">
        <v>21542</v>
      </c>
      <c r="K762" s="37">
        <f t="shared" si="44"/>
        <v>5256248</v>
      </c>
      <c r="L762" s="193" t="s">
        <v>259</v>
      </c>
      <c r="M762" s="597" t="s">
        <v>174</v>
      </c>
      <c r="N762" s="51" t="str">
        <f>IF(AND('331-CT'!$E$7=TH!H762,OR(L762="331",M762="331")),"331",IF(AND(OR(L762="131",M762="131"),H762='131-CT'!$E$7),"131",""))</f>
        <v/>
      </c>
      <c r="O762" s="887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09"/>
      <c r="AC762" s="588"/>
      <c r="AD762" s="588"/>
      <c r="AE762" s="588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>
        <f t="shared" si="40"/>
        <v>12</v>
      </c>
      <c r="C763" s="183">
        <f t="shared" si="41"/>
        <v>42732</v>
      </c>
      <c r="D763" s="183" t="s">
        <v>1032</v>
      </c>
      <c r="E763" s="190">
        <v>42732</v>
      </c>
      <c r="F763" s="191" t="s">
        <v>995</v>
      </c>
      <c r="G763" s="479" t="s">
        <v>991</v>
      </c>
      <c r="H763" s="7" t="s">
        <v>911</v>
      </c>
      <c r="I763" s="256">
        <v>244</v>
      </c>
      <c r="J763" s="255">
        <v>905</v>
      </c>
      <c r="K763" s="37">
        <f t="shared" si="44"/>
        <v>220820</v>
      </c>
      <c r="L763" s="193" t="s">
        <v>259</v>
      </c>
      <c r="M763" s="597" t="s">
        <v>174</v>
      </c>
      <c r="N763" s="51" t="str">
        <f>IF(AND('331-CT'!$E$7=TH!H763,OR(L763="331",M763="331")),"331",IF(AND(OR(L763="131",M763="131"),H763='131-CT'!$E$7),"131",""))</f>
        <v/>
      </c>
      <c r="O763" s="887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09"/>
      <c r="AC763" s="588"/>
      <c r="AD763" s="588"/>
      <c r="AE763" s="588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>
        <f t="shared" si="40"/>
        <v>12</v>
      </c>
      <c r="C764" s="183">
        <f t="shared" si="41"/>
        <v>42732</v>
      </c>
      <c r="D764" s="183" t="s">
        <v>1032</v>
      </c>
      <c r="E764" s="190">
        <v>42732</v>
      </c>
      <c r="F764" s="191" t="s">
        <v>996</v>
      </c>
      <c r="G764" s="479" t="s">
        <v>991</v>
      </c>
      <c r="H764" s="7" t="s">
        <v>911</v>
      </c>
      <c r="I764" s="256">
        <v>244</v>
      </c>
      <c r="J764" s="255">
        <v>766</v>
      </c>
      <c r="K764" s="37">
        <f t="shared" si="44"/>
        <v>186904</v>
      </c>
      <c r="L764" s="193" t="s">
        <v>259</v>
      </c>
      <c r="M764" s="597" t="s">
        <v>174</v>
      </c>
      <c r="N764" s="51" t="str">
        <f>IF(AND('331-CT'!$E$7=TH!H764,OR(L764="331",M764="331")),"331",IF(AND(OR(L764="131",M764="131"),H764='131-CT'!$E$7),"131",""))</f>
        <v/>
      </c>
      <c r="O764" s="887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09"/>
      <c r="AC764" s="588"/>
      <c r="AD764" s="588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>
        <f t="shared" si="40"/>
        <v>12</v>
      </c>
      <c r="C765" s="183">
        <f t="shared" si="41"/>
        <v>42732</v>
      </c>
      <c r="D765" s="183" t="s">
        <v>1032</v>
      </c>
      <c r="E765" s="190">
        <v>42732</v>
      </c>
      <c r="F765" s="191" t="s">
        <v>997</v>
      </c>
      <c r="G765" s="479" t="s">
        <v>991</v>
      </c>
      <c r="H765" s="7" t="s">
        <v>911</v>
      </c>
      <c r="I765" s="256">
        <v>244</v>
      </c>
      <c r="J765" s="255">
        <v>593</v>
      </c>
      <c r="K765" s="37">
        <f t="shared" si="44"/>
        <v>144692</v>
      </c>
      <c r="L765" s="193" t="s">
        <v>259</v>
      </c>
      <c r="M765" s="597" t="s">
        <v>174</v>
      </c>
      <c r="N765" s="51" t="str">
        <f>IF(AND('331-CT'!$E$7=TH!H765,OR(L765="331",M765="331")),"331",IF(AND(OR(L765="131",M765="131"),H765='131-CT'!$E$7),"131",""))</f>
        <v/>
      </c>
      <c r="O765" s="887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09"/>
      <c r="AC765" s="588"/>
      <c r="AD765" s="588"/>
      <c r="AE765" s="588"/>
    </row>
    <row r="766" spans="1:33" s="588" customFormat="1" ht="15.75" customHeight="1">
      <c r="A766" s="203" t="str">
        <f>IF(B766&lt;&gt;"",IF(AND(B766&gt;=_TM1,B766&lt;=_TM2,OR(TH!L766="1111",TH!M766="1111")),TH!D766,""),"")</f>
        <v/>
      </c>
      <c r="B766" s="36">
        <f t="shared" si="40"/>
        <v>12</v>
      </c>
      <c r="C766" s="183">
        <f t="shared" si="41"/>
        <v>42732</v>
      </c>
      <c r="D766" s="183" t="s">
        <v>1032</v>
      </c>
      <c r="E766" s="190">
        <v>42732</v>
      </c>
      <c r="F766" s="191" t="s">
        <v>998</v>
      </c>
      <c r="G766" s="479" t="s">
        <v>991</v>
      </c>
      <c r="H766" s="7" t="s">
        <v>911</v>
      </c>
      <c r="I766" s="256">
        <v>244</v>
      </c>
      <c r="J766" s="256">
        <v>502</v>
      </c>
      <c r="K766" s="37">
        <f t="shared" si="44"/>
        <v>122488</v>
      </c>
      <c r="L766" s="193" t="s">
        <v>259</v>
      </c>
      <c r="M766" s="597" t="s">
        <v>174</v>
      </c>
      <c r="N766" s="51" t="str">
        <f>IF(AND('331-CT'!$E$7=TH!H766,OR(L766="331",M766="331")),"331",IF(AND(OR(L766="131",M766="131"),H766='131-CT'!$E$7),"131",""))</f>
        <v/>
      </c>
      <c r="O766" s="887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09"/>
      <c r="AF766" s="210"/>
      <c r="AG766" s="210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>
        <f t="shared" si="40"/>
        <v>12</v>
      </c>
      <c r="C767" s="183">
        <f t="shared" si="41"/>
        <v>42732</v>
      </c>
      <c r="D767" s="183" t="s">
        <v>1032</v>
      </c>
      <c r="E767" s="190">
        <v>42732</v>
      </c>
      <c r="F767" s="188" t="s">
        <v>555</v>
      </c>
      <c r="G767" s="479" t="s">
        <v>991</v>
      </c>
      <c r="H767" s="7" t="s">
        <v>911</v>
      </c>
      <c r="I767" s="255"/>
      <c r="J767" s="255"/>
      <c r="K767" s="37">
        <v>1150606</v>
      </c>
      <c r="L767" s="193" t="s">
        <v>259</v>
      </c>
      <c r="M767" s="597" t="s">
        <v>364</v>
      </c>
      <c r="N767" s="51" t="str">
        <f>IF(AND('331-CT'!$E$7=TH!H767,OR(L767="331",M767="331")),"331",IF(AND(OR(L767="131",M767="131"),H767='131-CT'!$E$7),"131",""))</f>
        <v/>
      </c>
      <c r="O767" s="887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09"/>
      <c r="AC767" s="588"/>
      <c r="AD767" s="588"/>
      <c r="AE767" s="588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>
        <f t="shared" si="40"/>
        <v>12</v>
      </c>
      <c r="C768" s="183">
        <f t="shared" si="41"/>
        <v>42733</v>
      </c>
      <c r="D768" s="183" t="s">
        <v>1033</v>
      </c>
      <c r="E768" s="190">
        <v>42733</v>
      </c>
      <c r="F768" s="191" t="s">
        <v>1002</v>
      </c>
      <c r="G768" s="479" t="s">
        <v>999</v>
      </c>
      <c r="H768" s="7" t="s">
        <v>1000</v>
      </c>
      <c r="I768" s="255">
        <v>650</v>
      </c>
      <c r="J768" s="255">
        <v>4500</v>
      </c>
      <c r="K768" s="37">
        <f>ROUND(I768*J768,0)</f>
        <v>2925000</v>
      </c>
      <c r="L768" s="193" t="s">
        <v>259</v>
      </c>
      <c r="M768" s="597" t="s">
        <v>174</v>
      </c>
      <c r="N768" s="51" t="str">
        <f>IF(AND('331-CT'!$E$7=TH!H768,OR(L768="331",M768="331")),"331",IF(AND(OR(L768="131",M768="131"),H768='131-CT'!$E$7),"131",""))</f>
        <v/>
      </c>
      <c r="O768" s="887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09"/>
      <c r="AC768" s="588"/>
      <c r="AD768" s="588"/>
      <c r="AE768" s="588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>
        <f t="shared" si="40"/>
        <v>12</v>
      </c>
      <c r="C769" s="183">
        <f t="shared" si="41"/>
        <v>42733</v>
      </c>
      <c r="D769" s="183" t="s">
        <v>1033</v>
      </c>
      <c r="E769" s="190">
        <v>42733</v>
      </c>
      <c r="F769" s="188" t="s">
        <v>555</v>
      </c>
      <c r="G769" s="479" t="s">
        <v>999</v>
      </c>
      <c r="H769" s="7" t="s">
        <v>1000</v>
      </c>
      <c r="I769" s="255"/>
      <c r="J769" s="255"/>
      <c r="K769" s="37">
        <v>292500</v>
      </c>
      <c r="L769" s="193" t="s">
        <v>259</v>
      </c>
      <c r="M769" s="597" t="s">
        <v>364</v>
      </c>
      <c r="N769" s="51" t="str">
        <f>IF(AND('331-CT'!$E$7=TH!H769,OR(L769="331",M769="331")),"331",IF(AND(OR(L769="131",M769="131"),H769='131-CT'!$E$7),"131",""))</f>
        <v/>
      </c>
      <c r="O769" s="887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09"/>
      <c r="AC769" s="588"/>
      <c r="AD769" s="588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>
        <f t="shared" si="40"/>
        <v>12</v>
      </c>
      <c r="C770" s="183">
        <f t="shared" si="41"/>
        <v>42734</v>
      </c>
      <c r="D770" s="183" t="s">
        <v>1034</v>
      </c>
      <c r="E770" s="190">
        <v>42734</v>
      </c>
      <c r="F770" s="191" t="s">
        <v>583</v>
      </c>
      <c r="G770" s="479" t="s">
        <v>1001</v>
      </c>
      <c r="H770" s="192" t="s">
        <v>675</v>
      </c>
      <c r="I770" s="255">
        <v>525</v>
      </c>
      <c r="J770" s="255">
        <v>11000</v>
      </c>
      <c r="K770" s="37">
        <f>ROUND(I770*J770,0)</f>
        <v>5775000</v>
      </c>
      <c r="L770" s="193" t="s">
        <v>259</v>
      </c>
      <c r="M770" s="597" t="s">
        <v>174</v>
      </c>
      <c r="N770" s="51" t="str">
        <f>IF(AND('331-CT'!$E$7=TH!H770,OR(L770="331",M770="331")),"331",IF(AND(OR(L770="131",M770="131"),H770='131-CT'!$E$7),"131",""))</f>
        <v/>
      </c>
      <c r="O770" s="887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09"/>
      <c r="AC770" s="588"/>
      <c r="AD770" s="588"/>
      <c r="AE770" s="588"/>
    </row>
    <row r="771" spans="1:33" s="588" customFormat="1" ht="15.75" customHeight="1">
      <c r="A771" s="203" t="str">
        <f>IF(B771&lt;&gt;"",IF(AND(B771&gt;=_TM1,B771&lt;=_TM2,OR(TH!L771="1111",TH!M771="1111")),TH!D771,""),"")</f>
        <v/>
      </c>
      <c r="B771" s="36">
        <f t="shared" si="40"/>
        <v>12</v>
      </c>
      <c r="C771" s="183">
        <f t="shared" si="41"/>
        <v>42734</v>
      </c>
      <c r="D771" s="183" t="s">
        <v>1034</v>
      </c>
      <c r="E771" s="190">
        <v>42734</v>
      </c>
      <c r="F771" s="188" t="s">
        <v>555</v>
      </c>
      <c r="G771" s="479" t="s">
        <v>1001</v>
      </c>
      <c r="H771" s="192" t="s">
        <v>675</v>
      </c>
      <c r="I771" s="256"/>
      <c r="J771" s="256"/>
      <c r="K771" s="37">
        <v>577500</v>
      </c>
      <c r="L771" s="193" t="s">
        <v>259</v>
      </c>
      <c r="M771" s="597" t="s">
        <v>364</v>
      </c>
      <c r="N771" s="51" t="str">
        <f>IF(AND('331-CT'!$E$7=TH!H771,OR(L771="331",M771="331")),"331",IF(AND(OR(L771="131",M771="131"),H771='131-CT'!$E$7),"131",""))</f>
        <v/>
      </c>
      <c r="O771" s="887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09"/>
      <c r="AF771" s="210"/>
      <c r="AG771" s="210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>
        <f t="shared" si="40"/>
        <v>12</v>
      </c>
      <c r="C772" s="183">
        <f t="shared" si="41"/>
        <v>42735</v>
      </c>
      <c r="D772" s="183" t="s">
        <v>1035</v>
      </c>
      <c r="E772" s="190">
        <v>42735</v>
      </c>
      <c r="F772" s="191" t="s">
        <v>561</v>
      </c>
      <c r="G772" s="479" t="s">
        <v>1009</v>
      </c>
      <c r="H772" s="7" t="s">
        <v>408</v>
      </c>
      <c r="I772" s="255">
        <f>1600+208</f>
        <v>1808</v>
      </c>
      <c r="J772" s="255">
        <v>13800</v>
      </c>
      <c r="K772" s="37">
        <f>ROUND(I772*J772,0)</f>
        <v>24950400</v>
      </c>
      <c r="L772" s="193" t="s">
        <v>259</v>
      </c>
      <c r="M772" s="597" t="s">
        <v>174</v>
      </c>
      <c r="N772" s="51" t="str">
        <f>IF(AND('331-CT'!$E$7=TH!H772,OR(L772="331",M772="331")),"331",IF(AND(OR(L772="131",M772="131"),H772='131-CT'!$E$7),"131",""))</f>
        <v/>
      </c>
      <c r="O772" s="887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09"/>
      <c r="AC772" s="588"/>
      <c r="AD772" s="588"/>
      <c r="AE772" s="588"/>
    </row>
    <row r="773" spans="1:33" s="588" customFormat="1" ht="15.75" customHeight="1">
      <c r="A773" s="203" t="str">
        <f>IF(B773&lt;&gt;"",IF(AND(B773&gt;=_TM1,B773&lt;=_TM2,OR(TH!L773="1111",TH!M773="1111")),TH!D773,""),"")</f>
        <v/>
      </c>
      <c r="B773" s="36">
        <f t="shared" si="40"/>
        <v>12</v>
      </c>
      <c r="C773" s="183">
        <f t="shared" si="41"/>
        <v>42735</v>
      </c>
      <c r="D773" s="183" t="s">
        <v>1035</v>
      </c>
      <c r="E773" s="190">
        <v>42735</v>
      </c>
      <c r="F773" s="191" t="s">
        <v>418</v>
      </c>
      <c r="G773" s="479" t="s">
        <v>1009</v>
      </c>
      <c r="H773" s="7" t="s">
        <v>408</v>
      </c>
      <c r="I773" s="256">
        <v>3616</v>
      </c>
      <c r="J773" s="255">
        <v>1300</v>
      </c>
      <c r="K773" s="37">
        <f>ROUND(I773*J773,0)</f>
        <v>4700800</v>
      </c>
      <c r="L773" s="193" t="s">
        <v>259</v>
      </c>
      <c r="M773" s="597" t="s">
        <v>174</v>
      </c>
      <c r="N773" s="51" t="str">
        <f>IF(AND('331-CT'!$E$7=TH!H773,OR(L773="331",M773="331")),"331",IF(AND(OR(L773="131",M773="131"),H773='131-CT'!$E$7),"131",""))</f>
        <v/>
      </c>
      <c r="O773" s="887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09"/>
      <c r="AF773" s="210"/>
      <c r="AG773" s="210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>
        <f t="shared" si="40"/>
        <v>12</v>
      </c>
      <c r="C774" s="183">
        <f t="shared" si="41"/>
        <v>42735</v>
      </c>
      <c r="D774" s="183" t="s">
        <v>1035</v>
      </c>
      <c r="E774" s="190">
        <v>42735</v>
      </c>
      <c r="F774" s="188" t="s">
        <v>555</v>
      </c>
      <c r="G774" s="479" t="s">
        <v>1009</v>
      </c>
      <c r="H774" s="7" t="s">
        <v>408</v>
      </c>
      <c r="I774" s="255"/>
      <c r="J774" s="255"/>
      <c r="K774" s="37">
        <v>2965120</v>
      </c>
      <c r="L774" s="193" t="s">
        <v>259</v>
      </c>
      <c r="M774" s="597" t="s">
        <v>364</v>
      </c>
      <c r="N774" s="51" t="str">
        <f>IF(AND('331-CT'!$E$7=TH!H774,OR(L774="331",M774="331")),"331",IF(AND(OR(L774="131",M774="131"),H774='131-CT'!$E$7),"131",""))</f>
        <v/>
      </c>
      <c r="O774" s="887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09"/>
      <c r="AC774" s="588"/>
      <c r="AD774" s="588"/>
      <c r="AE774" s="588"/>
    </row>
    <row r="775" spans="1:33" s="919" customFormat="1" ht="15.75" customHeight="1">
      <c r="A775" s="915" t="str">
        <f>IF(B775&lt;&gt;"",IF(AND(B775&gt;=_TM1,B775&lt;=_TM2,OR(TH!L775="1111",TH!M775="1111")),TH!D775,""),"")</f>
        <v/>
      </c>
      <c r="B775" s="916">
        <f t="shared" ref="B775:B805" si="45">IF(C775&lt;&gt;"",MONTH(C775),"")</f>
        <v>8</v>
      </c>
      <c r="C775" s="917">
        <f t="shared" si="41"/>
        <v>42599</v>
      </c>
      <c r="D775" s="890"/>
      <c r="E775" s="890">
        <v>42599</v>
      </c>
      <c r="F775" s="891" t="s">
        <v>508</v>
      </c>
      <c r="G775" s="891" t="s">
        <v>790</v>
      </c>
      <c r="H775" s="918" t="s">
        <v>676</v>
      </c>
      <c r="I775" s="253">
        <v>206</v>
      </c>
      <c r="J775" s="253">
        <v>8900</v>
      </c>
      <c r="K775" s="50">
        <f t="shared" ref="K775" si="46">ROUND(I775*J775,0)</f>
        <v>1833400</v>
      </c>
      <c r="L775" s="887" t="s">
        <v>172</v>
      </c>
      <c r="M775" s="887" t="s">
        <v>159</v>
      </c>
      <c r="N775" s="51" t="str">
        <f>IF(AND('331-CT'!$E$7=TH!H775,OR(L775="331",M775="331")),"331",IF(AND(OR(L775="131",M775="131"),H775='131-CT'!$E$7),"131",""))</f>
        <v/>
      </c>
      <c r="O775" s="887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>x</v>
      </c>
      <c r="AB775" s="909"/>
      <c r="AF775" s="920"/>
      <c r="AG775" s="920"/>
    </row>
    <row r="776" spans="1:33" s="919" customFormat="1" ht="15.75" customHeight="1">
      <c r="A776" s="915" t="str">
        <f>IF(B776&lt;&gt;"",IF(AND(B776&gt;=_TM1,B776&lt;=_TM2,OR(TH!L776="1111",TH!M776="1111")),TH!D776,""),"")</f>
        <v/>
      </c>
      <c r="B776" s="916">
        <f t="shared" si="45"/>
        <v>8</v>
      </c>
      <c r="C776" s="917">
        <f t="shared" ref="C776:C781" si="47">E776</f>
        <v>42601</v>
      </c>
      <c r="D776" s="890"/>
      <c r="E776" s="890">
        <v>42601</v>
      </c>
      <c r="F776" s="891" t="s">
        <v>508</v>
      </c>
      <c r="G776" s="891" t="s">
        <v>791</v>
      </c>
      <c r="H776" s="891" t="s">
        <v>610</v>
      </c>
      <c r="I776" s="253">
        <v>166</v>
      </c>
      <c r="J776" s="253">
        <v>8900</v>
      </c>
      <c r="K776" s="50">
        <f t="shared" ref="K776:K779" si="48">ROUND(I776*J776,0)</f>
        <v>1477400</v>
      </c>
      <c r="L776" s="887" t="s">
        <v>172</v>
      </c>
      <c r="M776" s="887" t="s">
        <v>159</v>
      </c>
      <c r="N776" s="51" t="str">
        <f>IF(AND('331-CT'!$E$7=TH!H776,OR(L776="331",M776="331")),"331",IF(AND(OR(L776="131",M776="131"),H776='131-CT'!$E$7),"131",""))</f>
        <v/>
      </c>
      <c r="O776" s="887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>x</v>
      </c>
      <c r="AB776" s="909"/>
      <c r="AF776" s="920"/>
      <c r="AG776" s="920"/>
    </row>
    <row r="777" spans="1:33" s="919" customFormat="1" ht="15.75" customHeight="1">
      <c r="A777" s="915" t="str">
        <f>IF(B777&lt;&gt;"",IF(AND(B777&gt;=_TM1,B777&lt;=_TM2,OR(TH!L777="1111",TH!M777="1111")),TH!D777,""),"")</f>
        <v/>
      </c>
      <c r="B777" s="916">
        <f t="shared" si="45"/>
        <v>9</v>
      </c>
      <c r="C777" s="917">
        <f t="shared" si="47"/>
        <v>42619</v>
      </c>
      <c r="D777" s="890"/>
      <c r="E777" s="890">
        <v>42619</v>
      </c>
      <c r="F777" s="891" t="s">
        <v>508</v>
      </c>
      <c r="G777" s="892" t="s">
        <v>809</v>
      </c>
      <c r="H777" s="921" t="s">
        <v>676</v>
      </c>
      <c r="I777" s="922">
        <v>212</v>
      </c>
      <c r="J777" s="253">
        <v>8900</v>
      </c>
      <c r="K777" s="50">
        <f t="shared" si="48"/>
        <v>1886800</v>
      </c>
      <c r="L777" s="887" t="s">
        <v>172</v>
      </c>
      <c r="M777" s="887" t="s">
        <v>159</v>
      </c>
      <c r="N777" s="51" t="str">
        <f>IF(AND('331-CT'!$E$7=TH!H777,OR(L777="331",M777="331")),"331",IF(AND(OR(L777="131",M777="131"),H777='131-CT'!$E$7),"131",""))</f>
        <v/>
      </c>
      <c r="O777" s="887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>x</v>
      </c>
      <c r="AB777" s="909"/>
      <c r="AD777" s="920"/>
      <c r="AE777" s="920"/>
    </row>
    <row r="778" spans="1:33" s="919" customFormat="1" ht="15.75" customHeight="1">
      <c r="A778" s="915" t="str">
        <f>IF(B778&lt;&gt;"",IF(AND(B778&gt;=_TM1,B778&lt;=_TM2,OR(TH!L778="1111",TH!M778="1111")),TH!D778,""),"")</f>
        <v/>
      </c>
      <c r="B778" s="916">
        <f t="shared" si="45"/>
        <v>9</v>
      </c>
      <c r="C778" s="917">
        <f t="shared" si="47"/>
        <v>42619</v>
      </c>
      <c r="D778" s="890"/>
      <c r="E778" s="890">
        <v>42619</v>
      </c>
      <c r="F778" s="891" t="s">
        <v>508</v>
      </c>
      <c r="G778" s="892" t="s">
        <v>811</v>
      </c>
      <c r="H778" s="921" t="s">
        <v>610</v>
      </c>
      <c r="I778" s="253">
        <v>247</v>
      </c>
      <c r="J778" s="253">
        <v>8900</v>
      </c>
      <c r="K778" s="50">
        <f t="shared" si="48"/>
        <v>2198300</v>
      </c>
      <c r="L778" s="887" t="s">
        <v>172</v>
      </c>
      <c r="M778" s="887" t="s">
        <v>159</v>
      </c>
      <c r="N778" s="51" t="str">
        <f>IF(AND('331-CT'!$E$7=TH!H778,OR(L778="331",M778="331")),"331",IF(AND(OR(L778="131",M778="131"),H778='131-CT'!$E$7),"131",""))</f>
        <v/>
      </c>
      <c r="O778" s="887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>x</v>
      </c>
      <c r="AB778" s="909"/>
      <c r="AE778" s="920"/>
    </row>
    <row r="779" spans="1:33" s="919" customFormat="1" ht="15.75" customHeight="1">
      <c r="A779" s="915" t="str">
        <f>IF(B779&lt;&gt;"",IF(AND(B779&gt;=_TM1,B779&lt;=_TM2,OR(TH!L779="1111",TH!M779="1111")),TH!D779,""),"")</f>
        <v/>
      </c>
      <c r="B779" s="916">
        <f t="shared" si="45"/>
        <v>9</v>
      </c>
      <c r="C779" s="917">
        <f t="shared" si="47"/>
        <v>42640</v>
      </c>
      <c r="D779" s="890"/>
      <c r="E779" s="890">
        <v>42640</v>
      </c>
      <c r="F779" s="891" t="s">
        <v>508</v>
      </c>
      <c r="G779" s="892" t="s">
        <v>493</v>
      </c>
      <c r="H779" s="921" t="s">
        <v>610</v>
      </c>
      <c r="I779" s="253">
        <v>309</v>
      </c>
      <c r="J779" s="253">
        <v>8900</v>
      </c>
      <c r="K779" s="50">
        <f t="shared" si="48"/>
        <v>2750100</v>
      </c>
      <c r="L779" s="887" t="s">
        <v>172</v>
      </c>
      <c r="M779" s="887" t="s">
        <v>159</v>
      </c>
      <c r="N779" s="51" t="str">
        <f>IF(AND('331-CT'!$E$7=TH!H779,OR(L779="331",M779="331")),"331",IF(AND(OR(L779="131",M779="131"),H779='131-CT'!$E$7),"131",""))</f>
        <v/>
      </c>
      <c r="O779" s="887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>x</v>
      </c>
      <c r="AB779" s="909"/>
      <c r="AE779" s="920"/>
    </row>
    <row r="780" spans="1:33" s="919" customFormat="1" ht="15.75" customHeight="1">
      <c r="A780" s="915" t="str">
        <f>IF(B780&lt;&gt;"",IF(AND(B780&gt;=_TM1,B780&lt;=_TM2,OR(TH!L780="1111",TH!M780="1111")),TH!D780,""),"")</f>
        <v/>
      </c>
      <c r="B780" s="916">
        <f t="shared" si="45"/>
        <v>12</v>
      </c>
      <c r="C780" s="917">
        <f t="shared" si="47"/>
        <v>42724</v>
      </c>
      <c r="D780" s="890"/>
      <c r="E780" s="890">
        <v>42724</v>
      </c>
      <c r="F780" s="891" t="s">
        <v>508</v>
      </c>
      <c r="G780" s="932" t="s">
        <v>955</v>
      </c>
      <c r="H780" s="921" t="s">
        <v>676</v>
      </c>
      <c r="I780" s="253">
        <v>243</v>
      </c>
      <c r="J780" s="253">
        <v>8900</v>
      </c>
      <c r="K780" s="50">
        <f t="shared" ref="K780" si="49">ROUND(I780*J780,0)</f>
        <v>2162700</v>
      </c>
      <c r="L780" s="887" t="s">
        <v>172</v>
      </c>
      <c r="M780" s="887" t="s">
        <v>159</v>
      </c>
      <c r="N780" s="51" t="str">
        <f>IF(AND('331-CT'!$E$7=TH!H780,OR(L780="331",M780="331")),"331",IF(AND(OR(L780="131",M780="131"),H780='131-CT'!$E$7),"131",""))</f>
        <v/>
      </c>
      <c r="O780" s="887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51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09"/>
      <c r="AE780" s="920"/>
      <c r="AF780" s="920"/>
      <c r="AG780" s="920"/>
    </row>
    <row r="781" spans="1:33" s="919" customFormat="1" ht="15.75" customHeight="1">
      <c r="A781" s="915" t="str">
        <f>IF(B781&lt;&gt;"",IF(AND(B781&gt;=_TM1,B781&lt;=_TM2,OR(TH!L781="1111",TH!M781="1111")),TH!D781,""),"")</f>
        <v/>
      </c>
      <c r="B781" s="916">
        <f t="shared" si="45"/>
        <v>1</v>
      </c>
      <c r="C781" s="917">
        <f t="shared" si="47"/>
        <v>0</v>
      </c>
      <c r="D781" s="890"/>
      <c r="E781" s="890"/>
      <c r="F781" s="891"/>
      <c r="G781" s="891"/>
      <c r="H781" s="918"/>
      <c r="I781" s="253"/>
      <c r="J781" s="253"/>
      <c r="K781" s="50"/>
      <c r="L781" s="887"/>
      <c r="M781" s="887"/>
      <c r="N781" s="51" t="str">
        <f>IF(AND('331-CT'!$E$7=TH!H781,OR(L781="331",M781="331")),"331",IF(AND(OR(L781="131",M781="131"),H781='131-CT'!$E$7),"131",""))</f>
        <v/>
      </c>
      <c r="O781" s="887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09"/>
      <c r="AE781" s="920"/>
      <c r="AF781" s="920"/>
      <c r="AG781" s="920"/>
    </row>
    <row r="782" spans="1:33" s="919" customFormat="1" ht="15.75" customHeight="1">
      <c r="A782" s="915" t="str">
        <f>IF(B782&lt;&gt;"",IF(AND(B782&gt;=_TM1,B782&lt;=_TM2,OR(TH!L782="1111",TH!M782="1111")),TH!D782,""),"")</f>
        <v/>
      </c>
      <c r="B782" s="916" t="str">
        <f t="shared" si="45"/>
        <v/>
      </c>
      <c r="C782" s="917"/>
      <c r="D782" s="890"/>
      <c r="E782" s="923"/>
      <c r="F782" s="891"/>
      <c r="G782" s="891"/>
      <c r="H782" s="918"/>
      <c r="I782" s="924"/>
      <c r="J782" s="924"/>
      <c r="K782" s="50"/>
      <c r="L782" s="887"/>
      <c r="M782" s="887"/>
      <c r="N782" s="51" t="str">
        <f>IF(AND('331-CT'!$E$7=TH!H782,OR(L782="331",M782="331")),"331",IF(AND(OR(L782="131",M782="131"),H782='131-CT'!$E$7),"131",""))</f>
        <v/>
      </c>
      <c r="O782" s="887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09"/>
      <c r="AE782" s="920"/>
      <c r="AF782" s="920"/>
      <c r="AG782" s="920"/>
    </row>
    <row r="783" spans="1:33" s="919" customFormat="1" ht="15.75" customHeight="1">
      <c r="A783" s="915" t="str">
        <f>IF(B783&lt;&gt;"",IF(AND(B783&gt;=_TM1,B783&lt;=_TM2,OR(TH!L783="1111",TH!M783="1111")),TH!D783,""),"")</f>
        <v/>
      </c>
      <c r="B783" s="916" t="str">
        <f t="shared" si="45"/>
        <v/>
      </c>
      <c r="C783" s="917"/>
      <c r="D783" s="890"/>
      <c r="E783" s="890"/>
      <c r="F783" s="891"/>
      <c r="G783" s="892"/>
      <c r="H783" s="893"/>
      <c r="I783" s="253"/>
      <c r="J783" s="253"/>
      <c r="K783" s="50"/>
      <c r="L783" s="887"/>
      <c r="M783" s="887"/>
      <c r="N783" s="51" t="str">
        <f>IF(AND('331-CT'!$E$7=TH!H783,OR(L783="331",M783="331")),"331",IF(AND(OR(L783="131",M783="131"),H783='131-CT'!$E$7),"131",""))</f>
        <v/>
      </c>
      <c r="O783" s="887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09"/>
      <c r="AF783" s="920"/>
      <c r="AG783" s="920"/>
    </row>
    <row r="784" spans="1:33" s="588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45"/>
        <v/>
      </c>
      <c r="C784" s="183"/>
      <c r="D784" s="190"/>
      <c r="E784" s="190"/>
      <c r="F784" s="191"/>
      <c r="G784" s="191"/>
      <c r="H784" s="192"/>
      <c r="I784" s="255"/>
      <c r="J784" s="255"/>
      <c r="K784" s="37"/>
      <c r="L784" s="193"/>
      <c r="M784" s="193"/>
      <c r="N784" s="51" t="str">
        <f>IF(AND('331-CT'!$E$7=TH!H784,OR(L784="331",M784="331")),"331",IF(AND(OR(L784="131",M784="131"),H784='131-CT'!$E$7),"131",""))</f>
        <v/>
      </c>
      <c r="O784" s="887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09"/>
      <c r="AF784" s="210"/>
      <c r="AG784" s="210"/>
    </row>
    <row r="785" spans="1:33" s="588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45"/>
        <v/>
      </c>
      <c r="C785" s="183"/>
      <c r="D785" s="190"/>
      <c r="E785" s="190"/>
      <c r="F785" s="191"/>
      <c r="G785" s="481"/>
      <c r="H785" s="192"/>
      <c r="I785" s="255"/>
      <c r="J785" s="255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87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09"/>
      <c r="AE785" s="210"/>
      <c r="AF785" s="210"/>
      <c r="AG785" s="210"/>
    </row>
    <row r="786" spans="1:33" s="588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45"/>
        <v/>
      </c>
      <c r="C786" s="183"/>
      <c r="D786" s="190"/>
      <c r="E786" s="190"/>
      <c r="F786" s="191"/>
      <c r="G786" s="191"/>
      <c r="H786" s="192"/>
      <c r="I786" s="255"/>
      <c r="J786" s="255"/>
      <c r="K786" s="37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87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09"/>
      <c r="AE786" s="210"/>
      <c r="AF786" s="210"/>
      <c r="AG786" s="210"/>
    </row>
    <row r="787" spans="1:33" s="588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45"/>
        <v/>
      </c>
      <c r="C787" s="183"/>
      <c r="D787" s="190"/>
      <c r="E787" s="190"/>
      <c r="F787" s="191"/>
      <c r="G787" s="191"/>
      <c r="H787" s="192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87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09"/>
      <c r="AD787" s="210"/>
      <c r="AE787" s="210"/>
      <c r="AF787" s="210"/>
      <c r="AG787" s="210"/>
    </row>
    <row r="788" spans="1:33" s="588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45"/>
        <v/>
      </c>
      <c r="C788" s="183"/>
      <c r="D788" s="190"/>
      <c r="E788" s="190"/>
      <c r="F788" s="191"/>
      <c r="G788" s="191"/>
      <c r="H788" s="192"/>
      <c r="I788" s="255"/>
      <c r="J788" s="255"/>
      <c r="K788" s="37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87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09"/>
      <c r="AE788" s="210"/>
      <c r="AF788" s="210"/>
      <c r="AG788" s="210"/>
    </row>
    <row r="789" spans="1:33" s="588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45"/>
        <v/>
      </c>
      <c r="C789" s="183"/>
      <c r="D789" s="190"/>
      <c r="E789" s="190"/>
      <c r="F789" s="191"/>
      <c r="G789" s="191"/>
      <c r="H789" s="209"/>
      <c r="I789" s="256"/>
      <c r="J789" s="256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87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09"/>
      <c r="AE789" s="210"/>
      <c r="AF789" s="210"/>
      <c r="AG789" s="210"/>
    </row>
    <row r="790" spans="1:33" s="588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45"/>
        <v/>
      </c>
      <c r="C790" s="183"/>
      <c r="D790" s="190"/>
      <c r="E790" s="190"/>
      <c r="F790" s="191"/>
      <c r="G790" s="191"/>
      <c r="H790" s="192"/>
      <c r="I790" s="255"/>
      <c r="J790" s="255"/>
      <c r="K790" s="37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87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09"/>
      <c r="AE790" s="210"/>
      <c r="AF790" s="210"/>
      <c r="AG790" s="210"/>
    </row>
    <row r="791" spans="1:33" s="588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45"/>
        <v/>
      </c>
      <c r="C791" s="183"/>
      <c r="D791" s="190"/>
      <c r="E791" s="190"/>
      <c r="F791" s="191"/>
      <c r="G791" s="191"/>
      <c r="H791" s="209"/>
      <c r="I791" s="256"/>
      <c r="J791" s="256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87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09"/>
      <c r="AE791" s="210"/>
      <c r="AF791" s="210"/>
      <c r="AG791" s="210"/>
    </row>
    <row r="792" spans="1:33" s="588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45"/>
        <v/>
      </c>
      <c r="C792" s="183"/>
      <c r="D792" s="190"/>
      <c r="E792" s="190"/>
      <c r="F792" s="191"/>
      <c r="G792" s="191"/>
      <c r="H792" s="192"/>
      <c r="I792" s="255"/>
      <c r="J792" s="255"/>
      <c r="K792" s="37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87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09"/>
      <c r="AE792" s="210"/>
      <c r="AF792" s="210"/>
      <c r="AG792" s="210"/>
    </row>
    <row r="793" spans="1:33" s="588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45"/>
        <v/>
      </c>
      <c r="C793" s="183"/>
      <c r="D793" s="190"/>
      <c r="E793" s="190"/>
      <c r="F793" s="191"/>
      <c r="G793" s="191"/>
      <c r="H793" s="209"/>
      <c r="I793" s="256"/>
      <c r="J793" s="256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87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09"/>
      <c r="AE793" s="210"/>
      <c r="AF793" s="210"/>
      <c r="AG793" s="210"/>
    </row>
    <row r="794" spans="1:33" s="588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45"/>
        <v/>
      </c>
      <c r="C794" s="183"/>
      <c r="D794" s="190"/>
      <c r="E794" s="190"/>
      <c r="F794" s="191"/>
      <c r="G794" s="481"/>
      <c r="H794" s="192"/>
      <c r="I794" s="255"/>
      <c r="J794" s="255"/>
      <c r="K794" s="37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87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09"/>
      <c r="AE794" s="210"/>
      <c r="AF794" s="210"/>
      <c r="AG794" s="210"/>
    </row>
    <row r="795" spans="1:33" s="588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45"/>
        <v/>
      </c>
      <c r="C795" s="183"/>
      <c r="D795" s="190"/>
      <c r="E795" s="190"/>
      <c r="F795" s="191"/>
      <c r="G795" s="191"/>
      <c r="H795" s="192"/>
      <c r="I795" s="255"/>
      <c r="J795" s="255"/>
      <c r="K795" s="37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87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09"/>
      <c r="AE795" s="210"/>
      <c r="AF795" s="210"/>
      <c r="AG795" s="210"/>
    </row>
    <row r="796" spans="1:33" s="588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45"/>
        <v/>
      </c>
      <c r="C796" s="183"/>
      <c r="D796" s="190"/>
      <c r="E796" s="190"/>
      <c r="F796" s="191"/>
      <c r="G796" s="481"/>
      <c r="H796" s="192"/>
      <c r="I796" s="255"/>
      <c r="J796" s="255"/>
      <c r="K796" s="37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87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09"/>
      <c r="AE796" s="210"/>
      <c r="AF796" s="210"/>
      <c r="AG796" s="210"/>
    </row>
    <row r="797" spans="1:33" s="588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45"/>
        <v/>
      </c>
      <c r="C797" s="183"/>
      <c r="D797" s="190"/>
      <c r="E797" s="190"/>
      <c r="F797" s="191"/>
      <c r="G797" s="191"/>
      <c r="H797" s="192"/>
      <c r="I797" s="255"/>
      <c r="J797" s="255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87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09"/>
      <c r="AE797" s="210"/>
      <c r="AF797" s="210"/>
      <c r="AG797" s="210"/>
    </row>
    <row r="798" spans="1:33" s="588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45"/>
        <v/>
      </c>
      <c r="C798" s="183"/>
      <c r="D798" s="190"/>
      <c r="E798" s="190"/>
      <c r="F798" s="191"/>
      <c r="G798" s="481"/>
      <c r="H798" s="192"/>
      <c r="I798" s="255"/>
      <c r="J798" s="255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87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09"/>
      <c r="AD798" s="210"/>
      <c r="AE798" s="210"/>
      <c r="AF798" s="210"/>
      <c r="AG798" s="210"/>
    </row>
    <row r="799" spans="1:33" s="588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45"/>
        <v/>
      </c>
      <c r="C799" s="183"/>
      <c r="D799" s="190"/>
      <c r="E799" s="190"/>
      <c r="F799" s="191"/>
      <c r="G799" s="191"/>
      <c r="H799" s="209"/>
      <c r="I799" s="256"/>
      <c r="J799" s="256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87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09"/>
      <c r="AF799" s="210"/>
      <c r="AG799" s="210"/>
    </row>
    <row r="800" spans="1:33" s="588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45"/>
        <v/>
      </c>
      <c r="C800" s="183"/>
      <c r="D800" s="190"/>
      <c r="E800" s="190"/>
      <c r="F800" s="191"/>
      <c r="G800" s="481"/>
      <c r="H800" s="192"/>
      <c r="I800" s="255"/>
      <c r="J800" s="255"/>
      <c r="K800" s="37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87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09"/>
      <c r="AF800" s="210"/>
      <c r="AG800" s="210"/>
    </row>
    <row r="801" spans="1:33" s="588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45"/>
        <v/>
      </c>
      <c r="C801" s="183"/>
      <c r="D801" s="190"/>
      <c r="E801" s="190"/>
      <c r="F801" s="191"/>
      <c r="G801" s="191"/>
      <c r="H801" s="209"/>
      <c r="I801" s="256"/>
      <c r="J801" s="256"/>
      <c r="K801" s="37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87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09"/>
      <c r="AF801" s="210"/>
      <c r="AG801" s="210"/>
    </row>
    <row r="802" spans="1:33" s="588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45"/>
        <v/>
      </c>
      <c r="C802" s="183"/>
      <c r="D802" s="190"/>
      <c r="E802" s="190"/>
      <c r="F802" s="191"/>
      <c r="G802" s="191"/>
      <c r="H802" s="192"/>
      <c r="I802" s="255"/>
      <c r="J802" s="255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87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09"/>
      <c r="AF802" s="210"/>
      <c r="AG802" s="210"/>
    </row>
    <row r="803" spans="1:33" s="588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45"/>
        <v/>
      </c>
      <c r="C803" s="183"/>
      <c r="D803" s="190"/>
      <c r="E803" s="190"/>
      <c r="F803" s="191"/>
      <c r="G803" s="191"/>
      <c r="H803" s="209"/>
      <c r="I803" s="256"/>
      <c r="J803" s="256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87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09"/>
      <c r="AF803" s="210"/>
      <c r="AG803" s="210"/>
    </row>
    <row r="804" spans="1:33" s="588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45"/>
        <v/>
      </c>
      <c r="C804" s="183"/>
      <c r="D804" s="190"/>
      <c r="E804" s="190"/>
      <c r="F804" s="191"/>
      <c r="G804" s="191"/>
      <c r="H804" s="192"/>
      <c r="I804" s="255"/>
      <c r="J804" s="255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87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09"/>
      <c r="AF804" s="210"/>
      <c r="AG804" s="210"/>
    </row>
    <row r="805" spans="1:33" s="588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45"/>
        <v/>
      </c>
      <c r="C805" s="183"/>
      <c r="D805" s="190"/>
      <c r="E805" s="190"/>
      <c r="F805" s="191"/>
      <c r="G805" s="481"/>
      <c r="H805" s="780"/>
      <c r="I805" s="257"/>
      <c r="J805" s="257"/>
      <c r="K805" s="37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87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09"/>
      <c r="AE805" s="210"/>
    </row>
    <row r="806" spans="1:33" s="588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ref="B806:B869" si="50">IF(C806&lt;&gt;"",MONTH(C806),"")</f>
        <v/>
      </c>
      <c r="C806" s="183"/>
      <c r="D806" s="190"/>
      <c r="E806" s="190"/>
      <c r="F806" s="191"/>
      <c r="G806" s="481"/>
      <c r="H806" s="780"/>
      <c r="I806" s="255"/>
      <c r="J806" s="257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87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09"/>
      <c r="AE806" s="210"/>
    </row>
    <row r="807" spans="1:33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50"/>
        <v/>
      </c>
      <c r="C807" s="183"/>
      <c r="D807" s="190"/>
      <c r="E807" s="190"/>
      <c r="F807" s="191"/>
      <c r="G807" s="481"/>
      <c r="H807" s="7"/>
      <c r="I807" s="255"/>
      <c r="J807" s="255"/>
      <c r="K807" s="596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87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09"/>
      <c r="AC807" s="588"/>
      <c r="AD807" s="588"/>
      <c r="AF807" s="588"/>
      <c r="AG807" s="588"/>
    </row>
    <row r="808" spans="1:33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50"/>
        <v/>
      </c>
      <c r="C808" s="183"/>
      <c r="D808" s="190"/>
      <c r="E808" s="190"/>
      <c r="F808" s="191"/>
      <c r="G808" s="191"/>
      <c r="H808" s="192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87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09"/>
      <c r="AC808" s="588"/>
      <c r="AD808" s="588"/>
    </row>
    <row r="809" spans="1:33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50"/>
        <v/>
      </c>
      <c r="C809" s="183"/>
      <c r="D809" s="190"/>
      <c r="E809" s="190"/>
      <c r="F809" s="191"/>
      <c r="G809" s="191"/>
      <c r="H809" s="192"/>
      <c r="I809" s="255"/>
      <c r="J809" s="255"/>
      <c r="K809" s="37"/>
      <c r="L809" s="193"/>
      <c r="M809" s="193"/>
      <c r="N809" s="51" t="str">
        <f>IF(AND('331-CT'!$E$7=TH!H809,OR(L809="331",M809="331")),"331",IF(AND(OR(L809="131",M809="131"),H809='131-CT'!$E$7),"131",""))</f>
        <v/>
      </c>
      <c r="O809" s="887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09"/>
      <c r="AC809" s="588"/>
      <c r="AD809" s="588"/>
    </row>
    <row r="810" spans="1:33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50"/>
        <v/>
      </c>
      <c r="C810" s="183"/>
      <c r="D810" s="190"/>
      <c r="E810" s="190"/>
      <c r="F810" s="191"/>
      <c r="G810" s="191"/>
      <c r="H810" s="192"/>
      <c r="I810" s="255"/>
      <c r="J810" s="255"/>
      <c r="K810" s="37"/>
      <c r="L810" s="193"/>
      <c r="M810" s="193"/>
      <c r="N810" s="51" t="str">
        <f>IF(AND('331-CT'!$E$7=TH!H810,OR(L810="331",M810="331")),"331",IF(AND(OR(L810="131",M810="131"),H810='131-CT'!$E$7),"131",""))</f>
        <v/>
      </c>
      <c r="O810" s="887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09"/>
      <c r="AC810" s="588"/>
      <c r="AD810" s="588"/>
    </row>
    <row r="811" spans="1:33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50"/>
        <v/>
      </c>
      <c r="C811" s="183"/>
      <c r="D811" s="190"/>
      <c r="E811" s="190"/>
      <c r="F811" s="191"/>
      <c r="G811" s="191"/>
      <c r="H811" s="192"/>
      <c r="I811" s="255"/>
      <c r="J811" s="255"/>
      <c r="K811" s="37"/>
      <c r="L811" s="193"/>
      <c r="M811" s="193"/>
      <c r="N811" s="51" t="str">
        <f>IF(AND('331-CT'!$E$7=TH!H811,OR(L811="331",M811="331")),"331",IF(AND(OR(L811="131",M811="131"),H811='131-CT'!$E$7),"131",""))</f>
        <v/>
      </c>
      <c r="O811" s="887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09"/>
      <c r="AC811" s="588"/>
      <c r="AD811" s="588"/>
    </row>
    <row r="812" spans="1:33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50"/>
        <v/>
      </c>
      <c r="C812" s="183"/>
      <c r="D812" s="190"/>
      <c r="E812" s="190"/>
      <c r="F812" s="191"/>
      <c r="G812" s="191"/>
      <c r="H812" s="191"/>
      <c r="I812" s="256"/>
      <c r="J812" s="256"/>
      <c r="K812" s="37"/>
      <c r="L812" s="193"/>
      <c r="M812" s="193"/>
      <c r="N812" s="51" t="str">
        <f>IF(AND('331-CT'!$E$7=TH!H812,OR(L812="331",M812="331")),"331",IF(AND(OR(L812="131",M812="131"),H812='131-CT'!$E$7),"131",""))</f>
        <v/>
      </c>
      <c r="O812" s="887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09"/>
      <c r="AC812" s="588"/>
      <c r="AD812" s="588"/>
      <c r="AE812" s="588"/>
    </row>
    <row r="813" spans="1:33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50"/>
        <v/>
      </c>
      <c r="C813" s="183"/>
      <c r="D813" s="190"/>
      <c r="E813" s="190"/>
      <c r="F813" s="191"/>
      <c r="G813" s="191"/>
      <c r="H813" s="192"/>
      <c r="I813" s="255"/>
      <c r="J813" s="255"/>
      <c r="K813" s="37"/>
      <c r="L813" s="193"/>
      <c r="M813" s="193"/>
      <c r="N813" s="51" t="str">
        <f>IF(AND('331-CT'!$E$7=TH!H813,OR(L813="331",M813="331")),"331",IF(AND(OR(L813="131",M813="131"),H813='131-CT'!$E$7),"131",""))</f>
        <v/>
      </c>
      <c r="O813" s="887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09"/>
      <c r="AC813" s="588"/>
      <c r="AD813" s="588"/>
      <c r="AE813" s="588"/>
    </row>
    <row r="814" spans="1:33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50"/>
        <v/>
      </c>
      <c r="C814" s="183"/>
      <c r="D814" s="190"/>
      <c r="E814" s="190"/>
      <c r="F814" s="191"/>
      <c r="G814" s="191"/>
      <c r="H814" s="192"/>
      <c r="I814" s="256"/>
      <c r="J814" s="256"/>
      <c r="K814" s="37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87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09"/>
      <c r="AC814" s="588"/>
      <c r="AD814" s="588"/>
      <c r="AE814" s="588"/>
    </row>
    <row r="815" spans="1:33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50"/>
        <v/>
      </c>
      <c r="C815" s="183"/>
      <c r="D815" s="190"/>
      <c r="E815" s="190"/>
      <c r="F815" s="191"/>
      <c r="G815" s="191"/>
      <c r="H815" s="192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7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09"/>
      <c r="AC815" s="588"/>
      <c r="AE815" s="588"/>
    </row>
    <row r="816" spans="1:33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50"/>
        <v/>
      </c>
      <c r="C816" s="183"/>
      <c r="D816" s="190"/>
      <c r="E816" s="190"/>
      <c r="F816" s="191"/>
      <c r="G816" s="191"/>
      <c r="H816" s="192"/>
      <c r="I816" s="255"/>
      <c r="J816" s="255"/>
      <c r="K816" s="37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87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09"/>
      <c r="AC816" s="588"/>
      <c r="AD816" s="588"/>
      <c r="AE816" s="588"/>
    </row>
    <row r="817" spans="1:31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50"/>
        <v/>
      </c>
      <c r="C817" s="183"/>
      <c r="D817" s="190"/>
      <c r="E817" s="190"/>
      <c r="F817" s="191"/>
      <c r="G817" s="191"/>
      <c r="H817" s="192"/>
      <c r="I817" s="255"/>
      <c r="J817" s="255"/>
      <c r="K817" s="37"/>
      <c r="L817" s="193"/>
      <c r="M817" s="193"/>
      <c r="N817" s="51" t="str">
        <f>IF(AND('331-CT'!$E$7=TH!H817,OR(L817="331",M817="331")),"331",IF(AND(OR(L817="131",M817="131"),H817='131-CT'!$E$7),"131",""))</f>
        <v/>
      </c>
      <c r="O817" s="887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09"/>
      <c r="AC817" s="588"/>
      <c r="AD817" s="588"/>
      <c r="AE817" s="588"/>
    </row>
    <row r="818" spans="1:31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50"/>
        <v/>
      </c>
      <c r="C818" s="183"/>
      <c r="D818" s="190"/>
      <c r="E818" s="190"/>
      <c r="F818" s="191"/>
      <c r="G818" s="191"/>
      <c r="H818" s="192"/>
      <c r="I818" s="255"/>
      <c r="J818" s="255"/>
      <c r="K818" s="37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87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09"/>
      <c r="AC818" s="588"/>
      <c r="AD818" s="588"/>
      <c r="AE818" s="588"/>
    </row>
    <row r="819" spans="1:31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50"/>
        <v/>
      </c>
      <c r="C819" s="183"/>
      <c r="D819" s="190"/>
      <c r="E819" s="190"/>
      <c r="F819" s="191"/>
      <c r="G819" s="191"/>
      <c r="H819" s="7"/>
      <c r="I819" s="255"/>
      <c r="J819" s="255"/>
      <c r="K819" s="37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7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09"/>
      <c r="AC819" s="588"/>
      <c r="AD819" s="588"/>
    </row>
    <row r="820" spans="1:31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50"/>
        <v/>
      </c>
      <c r="C820" s="183"/>
      <c r="D820" s="190"/>
      <c r="E820" s="190"/>
      <c r="F820" s="191"/>
      <c r="G820" s="191"/>
      <c r="H820" s="7"/>
      <c r="I820" s="255"/>
      <c r="J820" s="255"/>
      <c r="K820" s="37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7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09"/>
      <c r="AC820" s="588"/>
      <c r="AD820" s="588"/>
    </row>
    <row r="821" spans="1:31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50"/>
        <v/>
      </c>
      <c r="C821" s="183"/>
      <c r="D821" s="190"/>
      <c r="E821" s="190"/>
      <c r="F821" s="191"/>
      <c r="G821" s="191"/>
      <c r="H821" s="7"/>
      <c r="I821" s="255"/>
      <c r="J821" s="255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7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09"/>
      <c r="AC821" s="588"/>
      <c r="AD821" s="588"/>
    </row>
    <row r="822" spans="1:31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50"/>
        <v/>
      </c>
      <c r="C822" s="183"/>
      <c r="D822" s="190"/>
      <c r="E822" s="190"/>
      <c r="F822" s="191"/>
      <c r="G822" s="191"/>
      <c r="H822" s="192"/>
      <c r="I822" s="256"/>
      <c r="J822" s="256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7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09"/>
      <c r="AC822" s="588"/>
      <c r="AD822" s="588"/>
    </row>
    <row r="823" spans="1:31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50"/>
        <v/>
      </c>
      <c r="C823" s="183"/>
      <c r="D823" s="190"/>
      <c r="E823" s="190"/>
      <c r="F823" s="191"/>
      <c r="G823" s="191"/>
      <c r="H823" s="192"/>
      <c r="I823" s="255"/>
      <c r="J823" s="255"/>
      <c r="K823" s="37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87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09"/>
      <c r="AC823" s="588"/>
      <c r="AD823" s="588"/>
    </row>
    <row r="824" spans="1:31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50"/>
        <v/>
      </c>
      <c r="C824" s="183"/>
      <c r="D824" s="190"/>
      <c r="E824" s="190"/>
      <c r="F824" s="191"/>
      <c r="G824" s="191"/>
      <c r="H824" s="192"/>
      <c r="I824" s="255"/>
      <c r="J824" s="255"/>
      <c r="K824" s="37"/>
      <c r="L824" s="193"/>
      <c r="M824" s="193"/>
      <c r="N824" s="51" t="str">
        <f>IF(AND('331-CT'!$E$7=TH!H824,OR(L824="331",M824="331")),"331",IF(AND(OR(L824="131",M824="131"),H824='131-CT'!$E$7),"131",""))</f>
        <v/>
      </c>
      <c r="O824" s="887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09"/>
      <c r="AC824" s="588"/>
      <c r="AD824" s="588"/>
    </row>
    <row r="825" spans="1:31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50"/>
        <v/>
      </c>
      <c r="C825" s="183"/>
      <c r="D825" s="190"/>
      <c r="E825" s="190"/>
      <c r="F825" s="191"/>
      <c r="G825" s="191"/>
      <c r="H825" s="192"/>
      <c r="I825" s="255"/>
      <c r="J825" s="255"/>
      <c r="K825" s="37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87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09"/>
      <c r="AC825" s="588"/>
    </row>
    <row r="826" spans="1:31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50"/>
        <v/>
      </c>
      <c r="C826" s="183"/>
      <c r="D826" s="190"/>
      <c r="E826" s="190"/>
      <c r="F826" s="191"/>
      <c r="G826" s="191"/>
      <c r="H826" s="192"/>
      <c r="I826" s="255"/>
      <c r="J826" s="255"/>
      <c r="K826" s="37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7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09"/>
      <c r="AC826" s="588"/>
      <c r="AD826" s="588"/>
    </row>
    <row r="827" spans="1:31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50"/>
        <v/>
      </c>
      <c r="C827" s="183"/>
      <c r="D827" s="190"/>
      <c r="E827" s="190"/>
      <c r="F827" s="191"/>
      <c r="G827" s="191"/>
      <c r="H827" s="209"/>
      <c r="I827" s="256"/>
      <c r="J827" s="256"/>
      <c r="K827" s="37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7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09"/>
      <c r="AC827" s="588"/>
      <c r="AD827" s="588"/>
      <c r="AE827" s="588"/>
    </row>
    <row r="828" spans="1:31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50"/>
        <v/>
      </c>
      <c r="C828" s="183"/>
      <c r="D828" s="190"/>
      <c r="E828" s="190"/>
      <c r="F828" s="191"/>
      <c r="G828" s="191"/>
      <c r="H828" s="192"/>
      <c r="I828" s="255"/>
      <c r="J828" s="255"/>
      <c r="K828" s="37"/>
      <c r="L828" s="193"/>
      <c r="M828" s="193"/>
      <c r="N828" s="51" t="str">
        <f>IF(AND('331-CT'!$E$7=TH!H828,OR(L828="331",M828="331")),"331",IF(AND(OR(L828="131",M828="131"),H828='131-CT'!$E$7),"131",""))</f>
        <v/>
      </c>
      <c r="O828" s="887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09"/>
      <c r="AC828" s="588"/>
      <c r="AD828" s="588"/>
      <c r="AE828" s="588"/>
    </row>
    <row r="829" spans="1:31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50"/>
        <v/>
      </c>
      <c r="C829" s="183"/>
      <c r="D829" s="190"/>
      <c r="E829" s="190"/>
      <c r="F829" s="191"/>
      <c r="G829" s="191"/>
      <c r="H829" s="192"/>
      <c r="I829" s="255"/>
      <c r="J829" s="255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7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09"/>
      <c r="AC829" s="588"/>
      <c r="AD829" s="588"/>
      <c r="AE829" s="588"/>
    </row>
    <row r="830" spans="1:31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50"/>
        <v/>
      </c>
      <c r="C830" s="183"/>
      <c r="D830" s="190"/>
      <c r="E830" s="769"/>
      <c r="F830" s="191"/>
      <c r="G830" s="191"/>
      <c r="H830" s="192"/>
      <c r="I830" s="258"/>
      <c r="J830" s="258"/>
      <c r="K830" s="37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7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09"/>
      <c r="AC830" s="588"/>
      <c r="AD830" s="588"/>
      <c r="AE830" s="588"/>
    </row>
    <row r="831" spans="1:31" s="210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50"/>
        <v/>
      </c>
      <c r="C831" s="183"/>
      <c r="D831" s="190"/>
      <c r="E831" s="190"/>
      <c r="F831" s="191"/>
      <c r="G831" s="191"/>
      <c r="H831" s="192"/>
      <c r="I831" s="255"/>
      <c r="J831" s="255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7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09"/>
      <c r="AC831" s="588"/>
      <c r="AD831" s="588"/>
      <c r="AE831" s="588"/>
    </row>
    <row r="832" spans="1:31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50"/>
        <v/>
      </c>
      <c r="C832" s="183"/>
      <c r="D832" s="190"/>
      <c r="E832" s="190"/>
      <c r="F832" s="191"/>
      <c r="G832" s="191"/>
      <c r="H832" s="192"/>
      <c r="I832" s="255"/>
      <c r="J832" s="255"/>
      <c r="K832" s="37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7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09"/>
      <c r="AC832" s="588"/>
      <c r="AD832" s="588"/>
      <c r="AE832" s="588"/>
    </row>
    <row r="833" spans="1:30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50"/>
        <v/>
      </c>
      <c r="C833" s="183"/>
      <c r="D833" s="190"/>
      <c r="E833" s="190"/>
      <c r="F833" s="191"/>
      <c r="G833" s="191"/>
      <c r="H833" s="191"/>
      <c r="I833" s="256"/>
      <c r="J833" s="256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7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09"/>
      <c r="AC833" s="588"/>
      <c r="AD833" s="588"/>
    </row>
    <row r="834" spans="1:30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50"/>
        <v/>
      </c>
      <c r="C834" s="183"/>
      <c r="D834" s="190"/>
      <c r="E834" s="190"/>
      <c r="F834" s="191"/>
      <c r="G834" s="191"/>
      <c r="H834" s="209"/>
      <c r="I834" s="256"/>
      <c r="J834" s="256"/>
      <c r="K834" s="37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7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09"/>
      <c r="AC834" s="588"/>
      <c r="AD834" s="588"/>
    </row>
    <row r="835" spans="1:30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50"/>
        <v/>
      </c>
      <c r="C835" s="183"/>
      <c r="D835" s="190"/>
      <c r="E835" s="190"/>
      <c r="F835" s="191"/>
      <c r="G835" s="191"/>
      <c r="H835" s="192"/>
      <c r="I835" s="255"/>
      <c r="J835" s="255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7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09"/>
      <c r="AC835" s="588"/>
      <c r="AD835" s="588"/>
    </row>
    <row r="836" spans="1:30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50"/>
        <v/>
      </c>
      <c r="C836" s="183"/>
      <c r="D836" s="190"/>
      <c r="E836" s="190"/>
      <c r="F836" s="191"/>
      <c r="G836" s="191"/>
      <c r="H836" s="192"/>
      <c r="I836" s="255"/>
      <c r="J836" s="255"/>
      <c r="K836" s="37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87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09"/>
      <c r="AC836" s="588"/>
    </row>
    <row r="837" spans="1:30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si="50"/>
        <v/>
      </c>
      <c r="C837" s="183"/>
      <c r="D837" s="190"/>
      <c r="E837" s="190"/>
      <c r="F837" s="191"/>
      <c r="G837" s="191"/>
      <c r="H837" s="192"/>
      <c r="I837" s="255"/>
      <c r="J837" s="255"/>
      <c r="K837" s="37"/>
      <c r="L837" s="193"/>
      <c r="M837" s="193"/>
      <c r="N837" s="51" t="str">
        <f>IF(AND('331-CT'!$E$7=TH!H837,OR(L837="331",M837="331")),"331",IF(AND(OR(L837="131",M837="131"),H837='131-CT'!$E$7),"131",""))</f>
        <v/>
      </c>
      <c r="O837" s="887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09"/>
      <c r="AC837" s="588"/>
      <c r="AD837" s="588"/>
    </row>
    <row r="838" spans="1:30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50"/>
        <v/>
      </c>
      <c r="C838" s="183"/>
      <c r="D838" s="190"/>
      <c r="E838" s="769"/>
      <c r="F838" s="191"/>
      <c r="G838" s="191"/>
      <c r="H838" s="780"/>
      <c r="I838" s="258"/>
      <c r="J838" s="258"/>
      <c r="K838" s="37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87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09"/>
      <c r="AC838" s="588"/>
      <c r="AD838" s="588"/>
    </row>
    <row r="839" spans="1:30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50"/>
        <v/>
      </c>
      <c r="C839" s="183"/>
      <c r="D839" s="190"/>
      <c r="E839" s="190"/>
      <c r="F839" s="191"/>
      <c r="G839" s="191"/>
      <c r="H839" s="192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7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09"/>
      <c r="AC839" s="588"/>
      <c r="AD839" s="588"/>
    </row>
    <row r="840" spans="1:30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50"/>
        <v/>
      </c>
      <c r="C840" s="183"/>
      <c r="D840" s="190"/>
      <c r="E840" s="190"/>
      <c r="F840" s="191"/>
      <c r="G840" s="191"/>
      <c r="H840" s="192"/>
      <c r="I840" s="255"/>
      <c r="J840" s="255"/>
      <c r="K840" s="37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7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09"/>
      <c r="AC840" s="588"/>
    </row>
    <row r="841" spans="1:30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50"/>
        <v/>
      </c>
      <c r="C841" s="183"/>
      <c r="D841" s="190"/>
      <c r="E841" s="190"/>
      <c r="F841" s="191"/>
      <c r="G841" s="191"/>
      <c r="H841" s="192"/>
      <c r="I841" s="255"/>
      <c r="J841" s="255"/>
      <c r="K841" s="37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7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09"/>
      <c r="AC841" s="588"/>
      <c r="AD841" s="588"/>
    </row>
    <row r="842" spans="1:30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50"/>
        <v/>
      </c>
      <c r="C842" s="183"/>
      <c r="D842" s="190"/>
      <c r="E842" s="190"/>
      <c r="F842" s="191"/>
      <c r="G842" s="191"/>
      <c r="H842" s="192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7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09"/>
      <c r="AC842" s="588"/>
      <c r="AD842" s="588"/>
    </row>
    <row r="843" spans="1:30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50"/>
        <v/>
      </c>
      <c r="C843" s="183"/>
      <c r="D843" s="190"/>
      <c r="E843" s="190"/>
      <c r="F843" s="191"/>
      <c r="G843" s="191"/>
      <c r="H843" s="192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7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09"/>
      <c r="AC843" s="588"/>
      <c r="AD843" s="588"/>
    </row>
    <row r="844" spans="1:30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50"/>
        <v/>
      </c>
      <c r="C844" s="183"/>
      <c r="D844" s="190"/>
      <c r="E844" s="190"/>
      <c r="F844" s="191"/>
      <c r="G844" s="191"/>
      <c r="H844" s="192"/>
      <c r="I844" s="255"/>
      <c r="J844" s="255"/>
      <c r="K844" s="37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7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09"/>
      <c r="AC844" s="588"/>
      <c r="AD844" s="588"/>
    </row>
    <row r="845" spans="1:30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50"/>
        <v/>
      </c>
      <c r="C845" s="183"/>
      <c r="D845" s="190"/>
      <c r="E845" s="190"/>
      <c r="F845" s="191"/>
      <c r="G845" s="191"/>
      <c r="H845" s="191"/>
      <c r="I845" s="255"/>
      <c r="J845" s="255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7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09"/>
      <c r="AC845" s="588"/>
      <c r="AD845" s="588"/>
    </row>
    <row r="846" spans="1:30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50"/>
        <v/>
      </c>
      <c r="C846" s="183"/>
      <c r="D846" s="190"/>
      <c r="E846" s="190"/>
      <c r="F846" s="191"/>
      <c r="G846" s="479"/>
      <c r="H846" s="44"/>
      <c r="I846" s="255"/>
      <c r="J846" s="255"/>
      <c r="K846" s="37"/>
      <c r="L846" s="193"/>
      <c r="M846" s="597"/>
      <c r="N846" s="51" t="str">
        <f>IF(AND('331-CT'!$E$7=TH!H846,OR(L846="331",M846="331")),"331",IF(AND(OR(L846="131",M846="131"),H846='131-CT'!$E$7),"131",""))</f>
        <v/>
      </c>
      <c r="O846" s="887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09"/>
      <c r="AC846" s="588"/>
      <c r="AD846" s="588"/>
    </row>
    <row r="847" spans="1:30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50"/>
        <v/>
      </c>
      <c r="C847" s="183"/>
      <c r="D847" s="190"/>
      <c r="E847" s="190"/>
      <c r="F847" s="191"/>
      <c r="G847" s="479"/>
      <c r="H847" s="44"/>
      <c r="I847" s="255"/>
      <c r="J847" s="255"/>
      <c r="K847" s="37"/>
      <c r="L847" s="193"/>
      <c r="M847" s="597"/>
      <c r="N847" s="51" t="str">
        <f>IF(AND('331-CT'!$E$7=TH!H847,OR(L847="331",M847="331")),"331",IF(AND(OR(L847="131",M847="131"),H847='131-CT'!$E$7),"131",""))</f>
        <v/>
      </c>
      <c r="O847" s="887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09"/>
      <c r="AC847" s="588"/>
      <c r="AD847" s="588"/>
    </row>
    <row r="848" spans="1:30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50"/>
        <v/>
      </c>
      <c r="C848" s="183"/>
      <c r="D848" s="190"/>
      <c r="E848" s="190"/>
      <c r="F848" s="191"/>
      <c r="G848" s="479"/>
      <c r="H848" s="44"/>
      <c r="I848" s="255"/>
      <c r="J848" s="255"/>
      <c r="K848" s="889"/>
      <c r="L848" s="193"/>
      <c r="M848" s="597"/>
      <c r="N848" s="51" t="str">
        <f>IF(AND('331-CT'!$E$7=TH!H848,OR(L848="331",M848="331")),"331",IF(AND(OR(L848="131",M848="131"),H848='131-CT'!$E$7),"131",""))</f>
        <v/>
      </c>
      <c r="O848" s="887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09"/>
      <c r="AC848" s="588"/>
      <c r="AD848" s="588"/>
    </row>
    <row r="849" spans="1:33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50"/>
        <v/>
      </c>
      <c r="C849" s="183"/>
      <c r="D849" s="190"/>
      <c r="E849" s="190"/>
      <c r="F849" s="191"/>
      <c r="G849" s="479"/>
      <c r="H849" s="44"/>
      <c r="I849" s="255"/>
      <c r="J849" s="255"/>
      <c r="K849" s="37"/>
      <c r="L849" s="193"/>
      <c r="M849" s="597"/>
      <c r="N849" s="51" t="str">
        <f>IF(AND('331-CT'!$E$7=TH!H849,OR(L849="331",M849="331")),"331",IF(AND(OR(L849="131",M849="131"),H849='131-CT'!$E$7),"131",""))</f>
        <v/>
      </c>
      <c r="O849" s="887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09"/>
      <c r="AC849" s="588"/>
      <c r="AD849" s="588"/>
      <c r="AF849" s="588"/>
      <c r="AG849" s="588"/>
    </row>
    <row r="850" spans="1:33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50"/>
        <v/>
      </c>
      <c r="C850" s="183"/>
      <c r="D850" s="190"/>
      <c r="E850" s="190"/>
      <c r="F850" s="191"/>
      <c r="G850" s="479"/>
      <c r="H850" s="44"/>
      <c r="I850" s="255"/>
      <c r="J850" s="255"/>
      <c r="K850" s="37"/>
      <c r="L850" s="193"/>
      <c r="M850" s="597"/>
      <c r="N850" s="51" t="str">
        <f>IF(AND('331-CT'!$E$7=TH!H850,OR(L850="331",M850="331")),"331",IF(AND(OR(L850="131",M850="131"),H850='131-CT'!$E$7),"131",""))</f>
        <v/>
      </c>
      <c r="O850" s="887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09"/>
      <c r="AC850" s="588"/>
      <c r="AF850" s="588"/>
      <c r="AG850" s="588"/>
    </row>
    <row r="851" spans="1:33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50"/>
        <v/>
      </c>
      <c r="C851" s="183"/>
      <c r="D851" s="190"/>
      <c r="E851" s="190"/>
      <c r="F851" s="191"/>
      <c r="G851" s="191"/>
      <c r="H851" s="192"/>
      <c r="I851" s="255"/>
      <c r="J851" s="255"/>
      <c r="K851" s="37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87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09"/>
      <c r="AC851" s="588"/>
      <c r="AD851" s="588"/>
    </row>
    <row r="852" spans="1:33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50"/>
        <v/>
      </c>
      <c r="C852" s="183"/>
      <c r="D852" s="190"/>
      <c r="E852" s="190"/>
      <c r="F852" s="191"/>
      <c r="G852" s="191"/>
      <c r="H852" s="192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7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09"/>
      <c r="AC852" s="588"/>
      <c r="AD852" s="588"/>
      <c r="AE852" s="588"/>
    </row>
    <row r="853" spans="1:33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50"/>
        <v/>
      </c>
      <c r="C853" s="183"/>
      <c r="D853" s="190"/>
      <c r="E853" s="190"/>
      <c r="F853" s="191"/>
      <c r="G853" s="479"/>
      <c r="H853" s="44"/>
      <c r="I853" s="255"/>
      <c r="J853" s="255"/>
      <c r="K853" s="37"/>
      <c r="L853" s="193"/>
      <c r="M853" s="597"/>
      <c r="N853" s="51" t="str">
        <f>IF(AND('331-CT'!$E$7=TH!H853,OR(L853="331",M853="331")),"331",IF(AND(OR(L853="131",M853="131"),H853='131-CT'!$E$7),"131",""))</f>
        <v/>
      </c>
      <c r="O853" s="887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09"/>
      <c r="AC853" s="588"/>
      <c r="AD853" s="588"/>
      <c r="AF853" s="588"/>
      <c r="AG853" s="588"/>
    </row>
    <row r="854" spans="1:33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50"/>
        <v/>
      </c>
      <c r="C854" s="183"/>
      <c r="D854" s="190"/>
      <c r="E854" s="190"/>
      <c r="F854" s="191"/>
      <c r="G854" s="479"/>
      <c r="H854" s="44"/>
      <c r="I854" s="255"/>
      <c r="J854" s="255"/>
      <c r="K854" s="37"/>
      <c r="L854" s="193"/>
      <c r="M854" s="597"/>
      <c r="N854" s="51" t="str">
        <f>IF(AND('331-CT'!$E$7=TH!H854,OR(L854="331",M854="331")),"331",IF(AND(OR(L854="131",M854="131"),H854='131-CT'!$E$7),"131",""))</f>
        <v/>
      </c>
      <c r="O854" s="887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09"/>
      <c r="AC854" s="588"/>
      <c r="AF854" s="588"/>
      <c r="AG854" s="588"/>
    </row>
    <row r="855" spans="1:33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50"/>
        <v/>
      </c>
      <c r="C855" s="183"/>
      <c r="D855" s="190"/>
      <c r="E855" s="190"/>
      <c r="F855" s="191"/>
      <c r="G855" s="191"/>
      <c r="H855" s="192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7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09"/>
      <c r="AC855" s="588"/>
      <c r="AD855" s="588"/>
      <c r="AE855" s="588"/>
    </row>
    <row r="856" spans="1:33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50"/>
        <v/>
      </c>
      <c r="C856" s="183"/>
      <c r="D856" s="190"/>
      <c r="E856" s="190"/>
      <c r="F856" s="191"/>
      <c r="G856" s="191"/>
      <c r="H856" s="192"/>
      <c r="I856" s="255"/>
      <c r="J856" s="255"/>
      <c r="K856" s="37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7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09"/>
      <c r="AC856" s="588"/>
      <c r="AD856" s="588"/>
    </row>
    <row r="857" spans="1:33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50"/>
        <v/>
      </c>
      <c r="C857" s="183"/>
      <c r="D857" s="190"/>
      <c r="E857" s="190"/>
      <c r="F857" s="191"/>
      <c r="G857" s="191"/>
      <c r="H857" s="192"/>
      <c r="I857" s="255"/>
      <c r="J857" s="255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7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09"/>
      <c r="AC857" s="588"/>
      <c r="AD857" s="588"/>
    </row>
    <row r="858" spans="1:33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50"/>
        <v/>
      </c>
      <c r="C858" s="183"/>
      <c r="D858" s="190"/>
      <c r="E858" s="190"/>
      <c r="F858" s="191"/>
      <c r="G858" s="191"/>
      <c r="H858" s="209"/>
      <c r="I858" s="256"/>
      <c r="J858" s="256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7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09"/>
      <c r="AC858" s="588"/>
      <c r="AD858" s="588"/>
    </row>
    <row r="859" spans="1:33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50"/>
        <v/>
      </c>
      <c r="C859" s="183"/>
      <c r="D859" s="190"/>
      <c r="E859" s="190"/>
      <c r="F859" s="191"/>
      <c r="G859" s="191"/>
      <c r="H859" s="192"/>
      <c r="I859" s="255"/>
      <c r="J859" s="255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7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09"/>
      <c r="AC859" s="588"/>
      <c r="AD859" s="588"/>
    </row>
    <row r="860" spans="1:33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50"/>
        <v/>
      </c>
      <c r="C860" s="183"/>
      <c r="D860" s="190"/>
      <c r="E860" s="190"/>
      <c r="F860" s="191"/>
      <c r="G860" s="479"/>
      <c r="H860" s="44"/>
      <c r="I860" s="255"/>
      <c r="J860" s="255"/>
      <c r="K860" s="37"/>
      <c r="L860" s="193"/>
      <c r="M860" s="597"/>
      <c r="N860" s="51" t="str">
        <f>IF(AND('331-CT'!$E$7=TH!H860,OR(L860="331",M860="331")),"331",IF(AND(OR(L860="131",M860="131"),H860='131-CT'!$E$7),"131",""))</f>
        <v/>
      </c>
      <c r="O860" s="887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09"/>
      <c r="AC860" s="588"/>
      <c r="AD860" s="588"/>
      <c r="AF860" s="588"/>
      <c r="AG860" s="588"/>
    </row>
    <row r="861" spans="1:33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50"/>
        <v/>
      </c>
      <c r="C861" s="183"/>
      <c r="D861" s="190"/>
      <c r="E861" s="190"/>
      <c r="F861" s="191"/>
      <c r="G861" s="479"/>
      <c r="H861" s="44"/>
      <c r="I861" s="255"/>
      <c r="J861" s="255"/>
      <c r="K861" s="37"/>
      <c r="L861" s="193"/>
      <c r="M861" s="597"/>
      <c r="N861" s="51" t="str">
        <f>IF(AND('331-CT'!$E$7=TH!H861,OR(L861="331",M861="331")),"331",IF(AND(OR(L861="131",M861="131"),H861='131-CT'!$E$7),"131",""))</f>
        <v/>
      </c>
      <c r="O861" s="887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09"/>
      <c r="AC861" s="588"/>
      <c r="AD861" s="588"/>
      <c r="AF861" s="588"/>
      <c r="AG861" s="588"/>
    </row>
    <row r="862" spans="1:33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50"/>
        <v/>
      </c>
      <c r="C862" s="183"/>
      <c r="D862" s="190"/>
      <c r="E862" s="190"/>
      <c r="F862" s="191"/>
      <c r="G862" s="191"/>
      <c r="H862" s="192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7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09"/>
      <c r="AC862" s="588"/>
      <c r="AD862" s="588"/>
    </row>
    <row r="863" spans="1:33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50"/>
        <v/>
      </c>
      <c r="C863" s="183"/>
      <c r="D863" s="190"/>
      <c r="E863" s="190"/>
      <c r="F863" s="191"/>
      <c r="G863" s="191"/>
      <c r="H863" s="192"/>
      <c r="I863" s="255"/>
      <c r="J863" s="255"/>
      <c r="K863" s="37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7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09"/>
      <c r="AC863" s="588"/>
      <c r="AD863" s="588"/>
    </row>
    <row r="864" spans="1:33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50"/>
        <v/>
      </c>
      <c r="C864" s="183"/>
      <c r="D864" s="190"/>
      <c r="E864" s="190"/>
      <c r="F864" s="191"/>
      <c r="G864" s="191"/>
      <c r="H864" s="192"/>
      <c r="I864" s="255"/>
      <c r="J864" s="255"/>
      <c r="K864" s="37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7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09"/>
      <c r="AC864" s="588"/>
      <c r="AD864" s="588"/>
    </row>
    <row r="865" spans="1:33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50"/>
        <v/>
      </c>
      <c r="C865" s="183"/>
      <c r="D865" s="190"/>
      <c r="E865" s="190"/>
      <c r="F865" s="191"/>
      <c r="G865" s="191"/>
      <c r="H865" s="192"/>
      <c r="I865" s="255"/>
      <c r="J865" s="255"/>
      <c r="K865" s="37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7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09"/>
      <c r="AC865" s="588"/>
      <c r="AD865" s="588"/>
    </row>
    <row r="866" spans="1:33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50"/>
        <v/>
      </c>
      <c r="C866" s="183"/>
      <c r="D866" s="190"/>
      <c r="E866" s="190"/>
      <c r="F866" s="191"/>
      <c r="G866" s="191"/>
      <c r="H866" s="192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7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09"/>
      <c r="AC866" s="588"/>
      <c r="AD866" s="588"/>
    </row>
    <row r="867" spans="1:33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50"/>
        <v/>
      </c>
      <c r="C867" s="183"/>
      <c r="D867" s="190"/>
      <c r="E867" s="190"/>
      <c r="F867" s="191"/>
      <c r="G867" s="191"/>
      <c r="H867" s="192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7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09"/>
      <c r="AC867" s="588"/>
      <c r="AD867" s="588"/>
      <c r="AE867" s="588"/>
    </row>
    <row r="868" spans="1:33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50"/>
        <v/>
      </c>
      <c r="C868" s="183"/>
      <c r="D868" s="190"/>
      <c r="E868" s="190"/>
      <c r="F868" s="191"/>
      <c r="G868" s="191"/>
      <c r="H868" s="192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7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09"/>
      <c r="AC868" s="588"/>
      <c r="AD868" s="588"/>
    </row>
    <row r="869" spans="1:33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50"/>
        <v/>
      </c>
      <c r="C869" s="183"/>
      <c r="D869" s="190"/>
      <c r="E869" s="769"/>
      <c r="F869" s="188"/>
      <c r="G869" s="191"/>
      <c r="H869" s="192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7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09"/>
      <c r="AC869" s="588"/>
    </row>
    <row r="870" spans="1:33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ref="B870:B933" si="51">IF(C870&lt;&gt;"",MONTH(C870),"")</f>
        <v/>
      </c>
      <c r="C870" s="183"/>
      <c r="D870" s="190"/>
      <c r="E870" s="190"/>
      <c r="F870" s="188"/>
      <c r="G870" s="191"/>
      <c r="H870" s="209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7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09"/>
      <c r="AC870" s="588"/>
      <c r="AD870" s="588"/>
    </row>
    <row r="871" spans="1:33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51"/>
        <v/>
      </c>
      <c r="C871" s="183"/>
      <c r="D871" s="190"/>
      <c r="E871" s="190"/>
      <c r="F871" s="188"/>
      <c r="G871" s="191"/>
      <c r="H871" s="209"/>
      <c r="I871" s="256"/>
      <c r="J871" s="256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7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09"/>
      <c r="AC871" s="588"/>
    </row>
    <row r="872" spans="1:33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51"/>
        <v/>
      </c>
      <c r="C872" s="183"/>
      <c r="D872" s="190"/>
      <c r="E872" s="190"/>
      <c r="F872" s="894"/>
      <c r="G872" s="191"/>
      <c r="H872" s="209"/>
      <c r="I872" s="256"/>
      <c r="J872" s="256"/>
      <c r="K872" s="37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87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09"/>
      <c r="AC872" s="588"/>
      <c r="AD872" s="588"/>
    </row>
    <row r="873" spans="1:33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51"/>
        <v/>
      </c>
      <c r="C873" s="183"/>
      <c r="D873" s="190"/>
      <c r="E873" s="190"/>
      <c r="F873" s="191"/>
      <c r="G873" s="479"/>
      <c r="H873" s="44"/>
      <c r="I873" s="255"/>
      <c r="J873" s="255"/>
      <c r="K873" s="37"/>
      <c r="L873" s="193"/>
      <c r="M873" s="597"/>
      <c r="N873" s="51" t="str">
        <f>IF(AND('331-CT'!$E$7=TH!H873,OR(L873="331",M873="331")),"331",IF(AND(OR(L873="131",M873="131"),H873='131-CT'!$E$7),"131",""))</f>
        <v/>
      </c>
      <c r="O873" s="887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09"/>
      <c r="AC873" s="588"/>
      <c r="AD873" s="588"/>
      <c r="AF873" s="588"/>
      <c r="AG873" s="588"/>
    </row>
    <row r="874" spans="1:33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51"/>
        <v/>
      </c>
      <c r="C874" s="183"/>
      <c r="D874" s="190"/>
      <c r="E874" s="190"/>
      <c r="F874" s="191"/>
      <c r="G874" s="479"/>
      <c r="H874" s="44"/>
      <c r="I874" s="255"/>
      <c r="J874" s="255"/>
      <c r="K874" s="37"/>
      <c r="L874" s="193"/>
      <c r="M874" s="597"/>
      <c r="N874" s="51" t="str">
        <f>IF(AND('331-CT'!$E$7=TH!H874,OR(L874="331",M874="331")),"331",IF(AND(OR(L874="131",M874="131"),H874='131-CT'!$E$7),"131",""))</f>
        <v/>
      </c>
      <c r="O874" s="887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09"/>
      <c r="AC874" s="588"/>
      <c r="AD874" s="588"/>
      <c r="AF874" s="588"/>
      <c r="AG874" s="588"/>
    </row>
    <row r="875" spans="1:33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51"/>
        <v/>
      </c>
      <c r="C875" s="183"/>
      <c r="D875" s="190"/>
      <c r="E875" s="190"/>
      <c r="F875" s="191"/>
      <c r="G875" s="191"/>
      <c r="H875" s="209"/>
      <c r="I875" s="256"/>
      <c r="J875" s="256"/>
      <c r="K875" s="37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87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09"/>
      <c r="AC875" s="588"/>
      <c r="AD875" s="588"/>
    </row>
    <row r="876" spans="1:33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51"/>
        <v/>
      </c>
      <c r="C876" s="183"/>
      <c r="D876" s="190"/>
      <c r="E876" s="190"/>
      <c r="F876" s="894"/>
      <c r="G876" s="191"/>
      <c r="H876" s="209"/>
      <c r="I876" s="255"/>
      <c r="J876" s="255"/>
      <c r="K876" s="37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87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09"/>
      <c r="AC876" s="588"/>
    </row>
    <row r="877" spans="1:33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51"/>
        <v/>
      </c>
      <c r="C877" s="183"/>
      <c r="D877" s="190"/>
      <c r="E877" s="190"/>
      <c r="F877" s="191"/>
      <c r="G877" s="191"/>
      <c r="H877" s="192"/>
      <c r="I877" s="255"/>
      <c r="J877" s="255"/>
      <c r="K877" s="37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87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09"/>
      <c r="AC877" s="588"/>
      <c r="AD877" s="588"/>
    </row>
    <row r="878" spans="1:33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51"/>
        <v/>
      </c>
      <c r="C878" s="183"/>
      <c r="D878" s="190"/>
      <c r="E878" s="190"/>
      <c r="F878" s="191"/>
      <c r="G878" s="191"/>
      <c r="H878" s="192"/>
      <c r="I878" s="255"/>
      <c r="J878" s="255"/>
      <c r="K878" s="37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87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09"/>
      <c r="AC878" s="588"/>
    </row>
    <row r="879" spans="1:33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51"/>
        <v/>
      </c>
      <c r="C879" s="183"/>
      <c r="D879" s="190"/>
      <c r="E879" s="190"/>
      <c r="F879" s="191"/>
      <c r="G879" s="191"/>
      <c r="H879" s="192"/>
      <c r="I879" s="255"/>
      <c r="J879" s="255"/>
      <c r="K879" s="37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87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09"/>
      <c r="AC879" s="588"/>
      <c r="AD879" s="588"/>
    </row>
    <row r="880" spans="1:33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51"/>
        <v/>
      </c>
      <c r="C880" s="183"/>
      <c r="D880" s="190"/>
      <c r="E880" s="190"/>
      <c r="F880" s="191"/>
      <c r="G880" s="191"/>
      <c r="H880" s="192"/>
      <c r="I880" s="255"/>
      <c r="J880" s="255"/>
      <c r="K880" s="37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87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09"/>
      <c r="AC880" s="588"/>
    </row>
    <row r="881" spans="1:30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51"/>
        <v/>
      </c>
      <c r="C881" s="183"/>
      <c r="D881" s="190"/>
      <c r="E881" s="190"/>
      <c r="F881" s="191"/>
      <c r="G881" s="191"/>
      <c r="H881" s="209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7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09"/>
      <c r="AC881" s="588"/>
      <c r="AD881" s="588"/>
    </row>
    <row r="882" spans="1:30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51"/>
        <v/>
      </c>
      <c r="C882" s="183"/>
      <c r="D882" s="190"/>
      <c r="E882" s="190"/>
      <c r="F882" s="191"/>
      <c r="G882" s="481"/>
      <c r="H882" s="209"/>
      <c r="I882" s="255"/>
      <c r="J882" s="255"/>
      <c r="K882" s="37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7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09"/>
      <c r="AC882" s="588"/>
    </row>
    <row r="883" spans="1:30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51"/>
        <v/>
      </c>
      <c r="C883" s="183"/>
      <c r="D883" s="190"/>
      <c r="E883" s="190"/>
      <c r="F883" s="191"/>
      <c r="G883" s="481"/>
      <c r="H883" s="209"/>
      <c r="I883" s="256"/>
      <c r="J883" s="256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7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09"/>
      <c r="AC883" s="588"/>
      <c r="AD883" s="588"/>
    </row>
    <row r="884" spans="1:30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51"/>
        <v/>
      </c>
      <c r="C884" s="183"/>
      <c r="D884" s="190"/>
      <c r="E884" s="190"/>
      <c r="F884" s="191"/>
      <c r="G884" s="481"/>
      <c r="H884" s="209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7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09"/>
      <c r="AC884" s="588"/>
      <c r="AD884" s="588"/>
    </row>
    <row r="885" spans="1:30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51"/>
        <v/>
      </c>
      <c r="C885" s="183"/>
      <c r="D885" s="190"/>
      <c r="E885" s="190"/>
      <c r="F885" s="191"/>
      <c r="G885" s="481"/>
      <c r="H885" s="209"/>
      <c r="I885" s="255"/>
      <c r="J885" s="255"/>
      <c r="K885" s="37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7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09"/>
      <c r="AC885" s="588"/>
      <c r="AD885" s="588"/>
    </row>
    <row r="886" spans="1:30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51"/>
        <v/>
      </c>
      <c r="C886" s="183"/>
      <c r="D886" s="190"/>
      <c r="E886" s="190"/>
      <c r="F886" s="191"/>
      <c r="G886" s="481"/>
      <c r="H886" s="209"/>
      <c r="I886" s="255"/>
      <c r="J886" s="255"/>
      <c r="K886" s="37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87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09"/>
      <c r="AC886" s="588"/>
      <c r="AD886" s="588"/>
    </row>
    <row r="887" spans="1:30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51"/>
        <v/>
      </c>
      <c r="C887" s="183"/>
      <c r="D887" s="190"/>
      <c r="E887" s="851"/>
      <c r="F887" s="852"/>
      <c r="G887" s="853"/>
      <c r="H887" s="854"/>
      <c r="I887" s="855"/>
      <c r="J887" s="855"/>
      <c r="K887" s="856"/>
      <c r="L887" s="895"/>
      <c r="M887" s="895"/>
      <c r="N887" s="51" t="str">
        <f>IF(AND('331-CT'!$E$7=TH!H887,OR(L887="331",M887="331")),"331",IF(AND(OR(L887="131",M887="131"),H887='131-CT'!$E$7),"131",""))</f>
        <v/>
      </c>
      <c r="O887" s="887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1"/>
      <c r="AC887" s="588"/>
      <c r="AD887" s="588"/>
    </row>
    <row r="888" spans="1:30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51"/>
        <v/>
      </c>
      <c r="C888" s="183"/>
      <c r="D888" s="190"/>
      <c r="E888" s="190"/>
      <c r="F888" s="191"/>
      <c r="G888" s="481"/>
      <c r="H888" s="192"/>
      <c r="I888" s="255"/>
      <c r="J888" s="255"/>
      <c r="K888" s="37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87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09"/>
      <c r="AC888" s="588"/>
      <c r="AD888" s="588"/>
    </row>
    <row r="889" spans="1:30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51"/>
        <v/>
      </c>
      <c r="C889" s="183"/>
      <c r="D889" s="190"/>
      <c r="E889" s="190"/>
      <c r="F889" s="191"/>
      <c r="G889" s="481"/>
      <c r="H889" s="192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87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09"/>
      <c r="AC889" s="588"/>
      <c r="AD889" s="588"/>
    </row>
    <row r="890" spans="1:30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51"/>
        <v/>
      </c>
      <c r="C890" s="183"/>
      <c r="D890" s="190"/>
      <c r="E890" s="190"/>
      <c r="F890" s="191"/>
      <c r="G890" s="481"/>
      <c r="H890" s="192"/>
      <c r="I890" s="255"/>
      <c r="J890" s="255"/>
      <c r="K890" s="37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87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09"/>
      <c r="AC890" s="588"/>
      <c r="AD890" s="588"/>
    </row>
    <row r="891" spans="1:30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51"/>
        <v/>
      </c>
      <c r="C891" s="183"/>
      <c r="D891" s="190"/>
      <c r="E891" s="190"/>
      <c r="F891" s="191"/>
      <c r="G891" s="481"/>
      <c r="H891" s="192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7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09"/>
      <c r="AC891" s="588"/>
      <c r="AD891" s="588"/>
    </row>
    <row r="892" spans="1:30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51"/>
        <v/>
      </c>
      <c r="C892" s="183"/>
      <c r="D892" s="190"/>
      <c r="E892" s="190"/>
      <c r="F892" s="191"/>
      <c r="G892" s="481"/>
      <c r="H892" s="7"/>
      <c r="I892" s="256"/>
      <c r="J892" s="256"/>
      <c r="K892" s="596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7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09"/>
      <c r="AC892" s="588"/>
    </row>
    <row r="893" spans="1:30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51"/>
        <v/>
      </c>
      <c r="C893" s="183"/>
      <c r="D893" s="190"/>
      <c r="E893" s="190"/>
      <c r="F893" s="191"/>
      <c r="G893" s="481"/>
      <c r="H893" s="209"/>
      <c r="I893" s="256"/>
      <c r="J893" s="256"/>
      <c r="K893" s="37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7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09"/>
      <c r="AC893" s="588"/>
      <c r="AD893" s="588"/>
    </row>
    <row r="894" spans="1:30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51"/>
        <v/>
      </c>
      <c r="C894" s="183"/>
      <c r="D894" s="190"/>
      <c r="E894" s="190"/>
      <c r="F894" s="191"/>
      <c r="G894" s="481"/>
      <c r="H894" s="209"/>
      <c r="I894" s="255"/>
      <c r="J894" s="255"/>
      <c r="K894" s="37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7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09"/>
      <c r="AC894" s="588"/>
      <c r="AD894" s="588"/>
    </row>
    <row r="895" spans="1:30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51"/>
        <v/>
      </c>
      <c r="C895" s="183"/>
      <c r="D895" s="190"/>
      <c r="E895" s="190"/>
      <c r="F895" s="191"/>
      <c r="G895" s="481"/>
      <c r="H895" s="209"/>
      <c r="I895" s="255"/>
      <c r="J895" s="255"/>
      <c r="K895" s="37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7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09"/>
      <c r="AC895" s="588"/>
    </row>
    <row r="896" spans="1:30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51"/>
        <v/>
      </c>
      <c r="C896" s="183"/>
      <c r="D896" s="190"/>
      <c r="E896" s="190"/>
      <c r="F896" s="191"/>
      <c r="G896" s="481"/>
      <c r="H896" s="209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7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09"/>
      <c r="AC896" s="588"/>
      <c r="AD896" s="588"/>
    </row>
    <row r="897" spans="1:31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51"/>
        <v/>
      </c>
      <c r="C897" s="183"/>
      <c r="D897" s="190"/>
      <c r="E897" s="190"/>
      <c r="F897" s="191"/>
      <c r="G897" s="481"/>
      <c r="H897" s="209"/>
      <c r="I897" s="255"/>
      <c r="J897" s="255"/>
      <c r="K897" s="37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7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09"/>
      <c r="AC897" s="588"/>
      <c r="AD897" s="588"/>
      <c r="AE897" s="588"/>
    </row>
    <row r="898" spans="1:31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51"/>
        <v/>
      </c>
      <c r="C898" s="183"/>
      <c r="D898" s="190"/>
      <c r="E898" s="190"/>
      <c r="F898" s="191"/>
      <c r="G898" s="481"/>
      <c r="H898" s="209"/>
      <c r="I898" s="255"/>
      <c r="J898" s="255"/>
      <c r="K898" s="37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7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09"/>
      <c r="AC898" s="588"/>
      <c r="AD898" s="588"/>
    </row>
    <row r="899" spans="1:31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51"/>
        <v/>
      </c>
      <c r="C899" s="183"/>
      <c r="D899" s="190"/>
      <c r="E899" s="190"/>
      <c r="F899" s="191"/>
      <c r="G899" s="481"/>
      <c r="H899" s="209"/>
      <c r="I899" s="255"/>
      <c r="J899" s="255"/>
      <c r="K899" s="37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87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09"/>
      <c r="AC899" s="588"/>
      <c r="AD899" s="588"/>
    </row>
    <row r="900" spans="1:31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51"/>
        <v/>
      </c>
      <c r="C900" s="183"/>
      <c r="D900" s="190"/>
      <c r="E900" s="190"/>
      <c r="F900" s="191"/>
      <c r="G900" s="481"/>
      <c r="H900" s="7"/>
      <c r="I900" s="255"/>
      <c r="J900" s="255"/>
      <c r="K900" s="596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87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09"/>
      <c r="AC900" s="588"/>
      <c r="AD900" s="588"/>
    </row>
    <row r="901" spans="1:31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51"/>
        <v/>
      </c>
      <c r="C901" s="183"/>
      <c r="D901" s="190"/>
      <c r="E901" s="190"/>
      <c r="F901" s="191"/>
      <c r="G901" s="481"/>
      <c r="H901" s="209"/>
      <c r="I901" s="255"/>
      <c r="J901" s="255"/>
      <c r="K901" s="37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7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09"/>
      <c r="AC901" s="588"/>
      <c r="AD901" s="588"/>
    </row>
    <row r="902" spans="1:31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51"/>
        <v/>
      </c>
      <c r="C902" s="183"/>
      <c r="D902" s="190"/>
      <c r="E902" s="190"/>
      <c r="F902" s="191"/>
      <c r="G902" s="481"/>
      <c r="H902" s="209"/>
      <c r="I902" s="255"/>
      <c r="J902" s="255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7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09"/>
      <c r="AC902" s="588"/>
      <c r="AD902" s="588"/>
    </row>
    <row r="903" spans="1:31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51"/>
        <v/>
      </c>
      <c r="C903" s="183"/>
      <c r="D903" s="190"/>
      <c r="E903" s="190"/>
      <c r="F903" s="191"/>
      <c r="G903" s="481"/>
      <c r="H903" s="209"/>
      <c r="I903" s="255"/>
      <c r="J903" s="255"/>
      <c r="K903" s="37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87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09"/>
      <c r="AC903" s="588"/>
      <c r="AD903" s="588"/>
    </row>
    <row r="904" spans="1:31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51"/>
        <v/>
      </c>
      <c r="C904" s="183"/>
      <c r="D904" s="190"/>
      <c r="E904" s="190"/>
      <c r="F904" s="191"/>
      <c r="G904" s="481"/>
      <c r="H904" s="209"/>
      <c r="I904" s="255"/>
      <c r="J904" s="255"/>
      <c r="K904" s="37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87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09"/>
      <c r="AC904" s="588"/>
    </row>
    <row r="905" spans="1:31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51"/>
        <v/>
      </c>
      <c r="C905" s="183"/>
      <c r="D905" s="190"/>
      <c r="E905" s="190"/>
      <c r="F905" s="191"/>
      <c r="G905" s="481"/>
      <c r="H905" s="209"/>
      <c r="I905" s="255"/>
      <c r="J905" s="255"/>
      <c r="K905" s="37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87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09"/>
      <c r="AC905" s="588"/>
      <c r="AD905" s="588"/>
    </row>
    <row r="906" spans="1:31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51"/>
        <v/>
      </c>
      <c r="C906" s="183"/>
      <c r="D906" s="190"/>
      <c r="E906" s="190"/>
      <c r="F906" s="191"/>
      <c r="G906" s="481"/>
      <c r="H906" s="209"/>
      <c r="I906" s="255"/>
      <c r="J906" s="255"/>
      <c r="K906" s="37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7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09"/>
      <c r="AC906" s="588"/>
    </row>
    <row r="907" spans="1:31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51"/>
        <v/>
      </c>
      <c r="C907" s="183"/>
      <c r="D907" s="190"/>
      <c r="E907" s="190"/>
      <c r="F907" s="191"/>
      <c r="G907" s="481"/>
      <c r="H907" s="209"/>
      <c r="I907" s="255"/>
      <c r="J907" s="255"/>
      <c r="K907" s="37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7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09"/>
      <c r="AC907" s="588"/>
      <c r="AD907" s="588"/>
    </row>
    <row r="908" spans="1:31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51"/>
        <v/>
      </c>
      <c r="C908" s="183"/>
      <c r="D908" s="190"/>
      <c r="E908" s="190"/>
      <c r="F908" s="191"/>
      <c r="G908" s="481"/>
      <c r="H908" s="7"/>
      <c r="I908" s="255"/>
      <c r="J908" s="255"/>
      <c r="K908" s="596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7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09"/>
      <c r="AC908" s="588"/>
      <c r="AD908" s="588"/>
    </row>
    <row r="909" spans="1:31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51"/>
        <v/>
      </c>
      <c r="C909" s="183"/>
      <c r="D909" s="190"/>
      <c r="E909" s="190"/>
      <c r="F909" s="191"/>
      <c r="G909" s="481"/>
      <c r="H909" s="192"/>
      <c r="I909" s="255"/>
      <c r="J909" s="255"/>
      <c r="K909" s="37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7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09"/>
      <c r="AC909" s="588"/>
      <c r="AD909" s="588"/>
    </row>
    <row r="910" spans="1:31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51"/>
        <v/>
      </c>
      <c r="C910" s="183"/>
      <c r="D910" s="190"/>
      <c r="E910" s="190"/>
      <c r="F910" s="191"/>
      <c r="G910" s="481"/>
      <c r="H910" s="192"/>
      <c r="I910" s="255"/>
      <c r="J910" s="255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7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09"/>
      <c r="AC910" s="588"/>
      <c r="AD910" s="588"/>
    </row>
    <row r="911" spans="1:31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51"/>
        <v/>
      </c>
      <c r="C911" s="183"/>
      <c r="D911" s="190"/>
      <c r="E911" s="190"/>
      <c r="F911" s="191"/>
      <c r="G911" s="481"/>
      <c r="H911" s="192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7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09"/>
      <c r="AC911" s="588"/>
      <c r="AD911" s="588"/>
    </row>
    <row r="912" spans="1:31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51"/>
        <v/>
      </c>
      <c r="C912" s="183"/>
      <c r="D912" s="190"/>
      <c r="E912" s="190"/>
      <c r="F912" s="191"/>
      <c r="G912" s="481"/>
      <c r="H912" s="192"/>
      <c r="I912" s="255"/>
      <c r="J912" s="255"/>
      <c r="K912" s="37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7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09"/>
      <c r="AC912" s="588"/>
      <c r="AD912" s="588"/>
    </row>
    <row r="913" spans="1:33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51"/>
        <v/>
      </c>
      <c r="C913" s="183"/>
      <c r="D913" s="190"/>
      <c r="E913" s="190"/>
      <c r="F913" s="191"/>
      <c r="G913" s="481"/>
      <c r="H913" s="7"/>
      <c r="I913" s="255"/>
      <c r="J913" s="255"/>
      <c r="K913" s="596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87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09"/>
      <c r="AC913" s="588"/>
      <c r="AD913" s="588"/>
    </row>
    <row r="914" spans="1:33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51"/>
        <v/>
      </c>
      <c r="C914" s="183"/>
      <c r="D914" s="190"/>
      <c r="E914" s="190"/>
      <c r="F914" s="191"/>
      <c r="G914" s="481"/>
      <c r="H914" s="7"/>
      <c r="I914" s="255"/>
      <c r="J914" s="255"/>
      <c r="K914" s="37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7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09"/>
      <c r="AC914" s="588"/>
      <c r="AD914" s="588"/>
    </row>
    <row r="915" spans="1:33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51"/>
        <v/>
      </c>
      <c r="C915" s="183"/>
      <c r="D915" s="190"/>
      <c r="E915" s="190"/>
      <c r="F915" s="191"/>
      <c r="G915" s="481"/>
      <c r="H915" s="7"/>
      <c r="I915" s="255"/>
      <c r="J915" s="255"/>
      <c r="K915" s="596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7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09"/>
      <c r="AC915" s="588"/>
    </row>
    <row r="916" spans="1:33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51"/>
        <v/>
      </c>
      <c r="C916" s="183"/>
      <c r="D916" s="190"/>
      <c r="E916" s="190"/>
      <c r="F916" s="191"/>
      <c r="G916" s="481"/>
      <c r="H916" s="888"/>
      <c r="I916" s="255"/>
      <c r="J916" s="255"/>
      <c r="K916" s="37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87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09"/>
      <c r="AC916" s="588"/>
      <c r="AD916" s="588"/>
    </row>
    <row r="917" spans="1:33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51"/>
        <v/>
      </c>
      <c r="C917" s="183"/>
      <c r="D917" s="190"/>
      <c r="E917" s="190"/>
      <c r="F917" s="191"/>
      <c r="G917" s="481"/>
      <c r="H917" s="888"/>
      <c r="I917" s="255"/>
      <c r="J917" s="255"/>
      <c r="K917" s="596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87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09"/>
      <c r="AC917" s="588"/>
      <c r="AD917" s="588"/>
      <c r="AE917" s="657"/>
    </row>
    <row r="918" spans="1:33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51"/>
        <v/>
      </c>
      <c r="C918" s="183"/>
      <c r="D918" s="190"/>
      <c r="E918" s="190"/>
      <c r="F918" s="191"/>
      <c r="G918" s="481"/>
      <c r="H918" s="7"/>
      <c r="I918" s="255"/>
      <c r="J918" s="255"/>
      <c r="K918" s="37"/>
      <c r="L918" s="193"/>
      <c r="M918" s="193"/>
      <c r="N918" s="51" t="str">
        <f>IF(AND('331-CT'!$E$7=TH!H918,OR(L918="331",M918="331")),"331",IF(AND(OR(L918="131",M918="131"),H918='131-CT'!$E$7),"131",""))</f>
        <v/>
      </c>
      <c r="O918" s="887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09"/>
      <c r="AC918" s="588"/>
      <c r="AD918" s="588"/>
    </row>
    <row r="919" spans="1:33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51"/>
        <v/>
      </c>
      <c r="C919" s="183"/>
      <c r="D919" s="190"/>
      <c r="E919" s="190"/>
      <c r="F919" s="191"/>
      <c r="G919" s="481"/>
      <c r="H919" s="7"/>
      <c r="I919" s="255"/>
      <c r="J919" s="255"/>
      <c r="K919" s="37"/>
      <c r="L919" s="193"/>
      <c r="M919" s="193"/>
      <c r="N919" s="51" t="str">
        <f>IF(AND('331-CT'!$E$7=TH!H919,OR(L919="331",M919="331")),"331",IF(AND(OR(L919="131",M919="131"),H919='131-CT'!$E$7),"131",""))</f>
        <v/>
      </c>
      <c r="O919" s="887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09"/>
      <c r="AC919" s="588"/>
    </row>
    <row r="920" spans="1:33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51"/>
        <v/>
      </c>
      <c r="C920" s="183"/>
      <c r="D920" s="190"/>
      <c r="E920" s="190"/>
      <c r="F920" s="191"/>
      <c r="G920" s="481"/>
      <c r="H920" s="7"/>
      <c r="I920" s="255"/>
      <c r="J920" s="255"/>
      <c r="K920" s="596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87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09"/>
      <c r="AC920" s="588"/>
      <c r="AD920" s="588"/>
    </row>
    <row r="921" spans="1:33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51"/>
        <v/>
      </c>
      <c r="C921" s="183"/>
      <c r="D921" s="190"/>
      <c r="E921" s="190"/>
      <c r="F921" s="296"/>
      <c r="G921" s="481"/>
      <c r="H921" s="7"/>
      <c r="I921" s="255"/>
      <c r="J921" s="255"/>
      <c r="K921" s="37"/>
      <c r="L921" s="193"/>
      <c r="M921" s="193"/>
      <c r="N921" s="51" t="str">
        <f>IF(AND('331-CT'!$E$7=TH!H921,OR(L921="331",M921="331")),"331",IF(AND(OR(L921="131",M921="131"),H921='131-CT'!$E$7),"131",""))</f>
        <v/>
      </c>
      <c r="O921" s="887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09"/>
      <c r="AC921" s="588"/>
    </row>
    <row r="922" spans="1:33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51"/>
        <v/>
      </c>
      <c r="C922" s="183"/>
      <c r="D922" s="190"/>
      <c r="E922" s="190"/>
      <c r="F922" s="191"/>
      <c r="G922" s="481"/>
      <c r="H922" s="7"/>
      <c r="I922" s="255"/>
      <c r="J922" s="255"/>
      <c r="K922" s="596"/>
      <c r="L922" s="193"/>
      <c r="M922" s="193"/>
      <c r="N922" s="51" t="str">
        <f>IF(AND('331-CT'!$E$7=TH!H922,OR(L922="331",M922="331")),"331",IF(AND(OR(L922="131",M922="131"),H922='131-CT'!$E$7),"131",""))</f>
        <v/>
      </c>
      <c r="O922" s="887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09"/>
      <c r="AC922" s="588"/>
      <c r="AD922" s="588"/>
    </row>
    <row r="923" spans="1:33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51"/>
        <v/>
      </c>
      <c r="C923" s="183"/>
      <c r="D923" s="190"/>
      <c r="E923" s="190"/>
      <c r="F923" s="191"/>
      <c r="G923" s="479"/>
      <c r="H923" s="44"/>
      <c r="I923" s="255"/>
      <c r="J923" s="255"/>
      <c r="K923" s="37"/>
      <c r="L923" s="193"/>
      <c r="M923" s="597"/>
      <c r="N923" s="51" t="str">
        <f>IF(AND('331-CT'!$E$7=TH!H923,OR(L923="331",M923="331")),"331",IF(AND(OR(L923="131",M923="131"),H923='131-CT'!$E$7),"131",""))</f>
        <v/>
      </c>
      <c r="O923" s="887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09"/>
      <c r="AC923" s="588"/>
      <c r="AF923" s="588"/>
      <c r="AG923" s="588"/>
    </row>
    <row r="924" spans="1:33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51"/>
        <v/>
      </c>
      <c r="C924" s="183"/>
      <c r="D924" s="190"/>
      <c r="E924" s="190"/>
      <c r="F924" s="191"/>
      <c r="G924" s="479"/>
      <c r="H924" s="44"/>
      <c r="I924" s="255"/>
      <c r="J924" s="255"/>
      <c r="K924" s="37"/>
      <c r="L924" s="193"/>
      <c r="M924" s="597"/>
      <c r="N924" s="51" t="str">
        <f>IF(AND('331-CT'!$E$7=TH!H924,OR(L924="331",M924="331")),"331",IF(AND(OR(L924="131",M924="131"),H924='131-CT'!$E$7),"131",""))</f>
        <v/>
      </c>
      <c r="O924" s="887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09"/>
      <c r="AC924" s="588"/>
      <c r="AD924" s="588"/>
      <c r="AF924" s="588"/>
      <c r="AG924" s="588"/>
    </row>
    <row r="925" spans="1:33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51"/>
        <v/>
      </c>
      <c r="C925" s="183"/>
      <c r="D925" s="190"/>
      <c r="E925" s="190"/>
      <c r="F925" s="191"/>
      <c r="G925" s="481"/>
      <c r="H925" s="192"/>
      <c r="I925" s="255"/>
      <c r="J925" s="255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87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09"/>
      <c r="AC925" s="588"/>
      <c r="AD925" s="588"/>
    </row>
    <row r="926" spans="1:33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51"/>
        <v/>
      </c>
      <c r="C926" s="183"/>
      <c r="D926" s="190"/>
      <c r="E926" s="190"/>
      <c r="F926" s="191"/>
      <c r="G926" s="481"/>
      <c r="H926" s="192"/>
      <c r="I926" s="255"/>
      <c r="J926" s="255"/>
      <c r="K926" s="37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87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09"/>
      <c r="AC926" s="588"/>
      <c r="AD926" s="588"/>
    </row>
    <row r="927" spans="1:33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51"/>
        <v/>
      </c>
      <c r="C927" s="183"/>
      <c r="D927" s="190"/>
      <c r="E927" s="190"/>
      <c r="F927" s="191"/>
      <c r="G927" s="481"/>
      <c r="H927" s="192"/>
      <c r="I927" s="255"/>
      <c r="J927" s="255"/>
      <c r="K927" s="37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87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09"/>
      <c r="AC927" s="588"/>
    </row>
    <row r="928" spans="1:33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51"/>
        <v/>
      </c>
      <c r="C928" s="183"/>
      <c r="D928" s="190"/>
      <c r="E928" s="190"/>
      <c r="F928" s="191"/>
      <c r="G928" s="481"/>
      <c r="H928" s="192"/>
      <c r="I928" s="255"/>
      <c r="J928" s="255"/>
      <c r="K928" s="37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87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09"/>
      <c r="AC928" s="588"/>
    </row>
    <row r="929" spans="1:33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51"/>
        <v/>
      </c>
      <c r="C929" s="183"/>
      <c r="D929" s="190"/>
      <c r="E929" s="190"/>
      <c r="F929" s="191"/>
      <c r="G929" s="481"/>
      <c r="H929" s="7"/>
      <c r="I929" s="255"/>
      <c r="J929" s="255"/>
      <c r="K929" s="596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87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09"/>
      <c r="AC929" s="588"/>
    </row>
    <row r="930" spans="1:33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51"/>
        <v/>
      </c>
      <c r="C930" s="183"/>
      <c r="D930" s="190"/>
      <c r="E930" s="190"/>
      <c r="F930" s="191"/>
      <c r="G930" s="481"/>
      <c r="H930" s="888"/>
      <c r="I930" s="255"/>
      <c r="J930" s="255"/>
      <c r="K930" s="37"/>
      <c r="L930" s="193"/>
      <c r="M930" s="193"/>
      <c r="N930" s="51" t="str">
        <f>IF(AND('331-CT'!$E$7=TH!H930,OR(L930="331",M930="331")),"331",IF(AND(OR(L930="131",M930="131"),H930='131-CT'!$E$7),"131",""))</f>
        <v/>
      </c>
      <c r="O930" s="887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09"/>
      <c r="AC930" s="588"/>
      <c r="AD930" s="588"/>
    </row>
    <row r="931" spans="1:33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51"/>
        <v/>
      </c>
      <c r="C931" s="183"/>
      <c r="D931" s="190"/>
      <c r="E931" s="190"/>
      <c r="F931" s="191"/>
      <c r="G931" s="481"/>
      <c r="H931" s="888"/>
      <c r="I931" s="255"/>
      <c r="J931" s="255"/>
      <c r="K931" s="596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87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09"/>
      <c r="AC931" s="588"/>
      <c r="AD931" s="588"/>
    </row>
    <row r="932" spans="1:33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51"/>
        <v/>
      </c>
      <c r="C932" s="183"/>
      <c r="D932" s="190"/>
      <c r="E932" s="190"/>
      <c r="F932" s="191"/>
      <c r="G932" s="481"/>
      <c r="H932" s="7"/>
      <c r="I932" s="255"/>
      <c r="J932" s="255"/>
      <c r="K932" s="37"/>
      <c r="L932" s="193"/>
      <c r="M932" s="193"/>
      <c r="N932" s="51" t="str">
        <f>IF(AND('331-CT'!$E$7=TH!H932,OR(L932="331",M932="331")),"331",IF(AND(OR(L932="131",M932="131"),H932='131-CT'!$E$7),"131",""))</f>
        <v/>
      </c>
      <c r="O932" s="887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09"/>
      <c r="AC932" s="588"/>
      <c r="AD932" s="588"/>
    </row>
    <row r="933" spans="1:33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51"/>
        <v/>
      </c>
      <c r="C933" s="183"/>
      <c r="D933" s="190"/>
      <c r="E933" s="190"/>
      <c r="F933" s="191"/>
      <c r="G933" s="481"/>
      <c r="H933" s="7"/>
      <c r="I933" s="255"/>
      <c r="J933" s="255"/>
      <c r="K933" s="37"/>
      <c r="L933" s="193"/>
      <c r="M933" s="193"/>
      <c r="N933" s="51" t="str">
        <f>IF(AND('331-CT'!$E$7=TH!H933,OR(L933="331",M933="331")),"331",IF(AND(OR(L933="131",M933="131"),H933='131-CT'!$E$7),"131",""))</f>
        <v/>
      </c>
      <c r="O933" s="887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09"/>
      <c r="AC933" s="588"/>
      <c r="AD933" s="588"/>
    </row>
    <row r="934" spans="1:33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ref="B934:B997" si="52">IF(C934&lt;&gt;"",MONTH(C934),"")</f>
        <v/>
      </c>
      <c r="C934" s="183"/>
      <c r="D934" s="190"/>
      <c r="E934" s="190"/>
      <c r="F934" s="191"/>
      <c r="G934" s="481"/>
      <c r="H934" s="7"/>
      <c r="I934" s="255"/>
      <c r="J934" s="255"/>
      <c r="K934" s="37"/>
      <c r="L934" s="193"/>
      <c r="M934" s="193"/>
      <c r="N934" s="51" t="str">
        <f>IF(AND('331-CT'!$E$7=TH!H934,OR(L934="331",M934="331")),"331",IF(AND(OR(L934="131",M934="131"),H934='131-CT'!$E$7),"131",""))</f>
        <v/>
      </c>
      <c r="O934" s="887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09"/>
      <c r="AC934" s="588"/>
      <c r="AD934" s="588"/>
    </row>
    <row r="935" spans="1:33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52"/>
        <v/>
      </c>
      <c r="C935" s="183"/>
      <c r="D935" s="190"/>
      <c r="E935" s="190"/>
      <c r="F935" s="191"/>
      <c r="G935" s="481"/>
      <c r="H935" s="7"/>
      <c r="I935" s="255"/>
      <c r="J935" s="255"/>
      <c r="K935" s="37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7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09"/>
      <c r="AC935" s="588"/>
      <c r="AD935" s="588"/>
    </row>
    <row r="936" spans="1:33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52"/>
        <v/>
      </c>
      <c r="C936" s="183"/>
      <c r="D936" s="190"/>
      <c r="E936" s="190"/>
      <c r="F936" s="296"/>
      <c r="G936" s="481"/>
      <c r="H936" s="7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7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09"/>
      <c r="AC936" s="588"/>
    </row>
    <row r="937" spans="1:33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52"/>
        <v/>
      </c>
      <c r="C937" s="183"/>
      <c r="D937" s="190"/>
      <c r="E937" s="190"/>
      <c r="F937" s="296"/>
      <c r="G937" s="481"/>
      <c r="H937" s="7"/>
      <c r="I937" s="783"/>
      <c r="J937" s="255"/>
      <c r="K937" s="37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7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09"/>
      <c r="AC937" s="588"/>
      <c r="AD937" s="588"/>
    </row>
    <row r="938" spans="1:33" s="210" customFormat="1" ht="15.75" customHeight="1">
      <c r="A938" s="203" t="str">
        <f>IF(B938&lt;&gt;"",IF(AND(B938&gt;=_TM1,B938&lt;=_TM2,OR(TH!L938="1111",TH!M938="1111")),TH!D938,""),"")</f>
        <v/>
      </c>
      <c r="B938" s="849" t="str">
        <f t="shared" si="52"/>
        <v/>
      </c>
      <c r="C938" s="850"/>
      <c r="D938" s="190"/>
      <c r="E938" s="190"/>
      <c r="F938" s="188"/>
      <c r="G938" s="481"/>
      <c r="H938" s="7"/>
      <c r="I938" s="258"/>
      <c r="J938" s="258"/>
      <c r="K938" s="37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7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09"/>
      <c r="AC938" s="857"/>
      <c r="AD938" s="858"/>
      <c r="AE938" s="858"/>
      <c r="AF938" s="858"/>
      <c r="AG938" s="859">
        <f>AE938-K938</f>
        <v>0</v>
      </c>
    </row>
    <row r="939" spans="1:33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52"/>
        <v/>
      </c>
      <c r="C939" s="183"/>
      <c r="D939" s="190"/>
      <c r="E939" s="190"/>
      <c r="F939" s="188"/>
      <c r="G939" s="481"/>
      <c r="H939" s="7"/>
      <c r="I939" s="258"/>
      <c r="J939" s="258"/>
      <c r="K939" s="596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87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09"/>
      <c r="AC939" s="588"/>
      <c r="AD939" s="588"/>
    </row>
    <row r="940" spans="1:33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52"/>
        <v/>
      </c>
      <c r="C940" s="183"/>
      <c r="D940" s="190"/>
      <c r="E940" s="190"/>
      <c r="F940" s="191"/>
      <c r="G940" s="479"/>
      <c r="H940" s="44"/>
      <c r="I940" s="255"/>
      <c r="J940" s="255"/>
      <c r="K940" s="37"/>
      <c r="L940" s="193"/>
      <c r="M940" s="597"/>
      <c r="N940" s="51" t="str">
        <f>IF(AND('331-CT'!$E$7=TH!H940,OR(L940="331",M940="331")),"331",IF(AND(OR(L940="131",M940="131"),H940='131-CT'!$E$7),"131",""))</f>
        <v/>
      </c>
      <c r="O940" s="887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09"/>
      <c r="AC940" s="588"/>
      <c r="AF940" s="588"/>
      <c r="AG940" s="588"/>
    </row>
    <row r="941" spans="1:33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52"/>
        <v/>
      </c>
      <c r="C941" s="183"/>
      <c r="D941" s="190"/>
      <c r="E941" s="190"/>
      <c r="F941" s="191"/>
      <c r="G941" s="479"/>
      <c r="H941" s="44"/>
      <c r="I941" s="255"/>
      <c r="J941" s="255"/>
      <c r="K941" s="37"/>
      <c r="L941" s="193"/>
      <c r="M941" s="597"/>
      <c r="N941" s="51" t="str">
        <f>IF(AND('331-CT'!$E$7=TH!H941,OR(L941="331",M941="331")),"331",IF(AND(OR(L941="131",M941="131"),H941='131-CT'!$E$7),"131",""))</f>
        <v/>
      </c>
      <c r="O941" s="887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09"/>
      <c r="AC941" s="588"/>
      <c r="AD941" s="588"/>
      <c r="AF941" s="588"/>
      <c r="AG941" s="588"/>
    </row>
    <row r="942" spans="1:33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52"/>
        <v/>
      </c>
      <c r="C942" s="183"/>
      <c r="D942" s="190"/>
      <c r="E942" s="190"/>
      <c r="F942" s="188"/>
      <c r="G942" s="481"/>
      <c r="H942" s="192"/>
      <c r="I942" s="255"/>
      <c r="J942" s="255"/>
      <c r="K942" s="37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87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09"/>
      <c r="AC942" s="588"/>
      <c r="AD942" s="588"/>
    </row>
    <row r="943" spans="1:33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52"/>
        <v/>
      </c>
      <c r="C943" s="183"/>
      <c r="D943" s="190"/>
      <c r="E943" s="190"/>
      <c r="F943" s="191"/>
      <c r="G943" s="481"/>
      <c r="H943" s="7"/>
      <c r="I943" s="256"/>
      <c r="J943" s="256"/>
      <c r="K943" s="596"/>
      <c r="L943" s="193"/>
      <c r="M943" s="193"/>
      <c r="N943" s="51" t="str">
        <f>IF(AND('331-CT'!$E$7=TH!H943,OR(L943="331",M943="331")),"331",IF(AND(OR(L943="131",M943="131"),H943='131-CT'!$E$7),"131",""))</f>
        <v/>
      </c>
      <c r="O943" s="887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09"/>
      <c r="AC943" s="588"/>
      <c r="AD943" s="588"/>
    </row>
    <row r="944" spans="1:33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52"/>
        <v/>
      </c>
      <c r="C944" s="183"/>
      <c r="D944" s="190"/>
      <c r="E944" s="190"/>
      <c r="F944" s="191"/>
      <c r="G944" s="481"/>
      <c r="H944" s="7"/>
      <c r="I944" s="255"/>
      <c r="J944" s="255"/>
      <c r="K944" s="37"/>
      <c r="L944" s="193"/>
      <c r="M944" s="193"/>
      <c r="N944" s="51" t="str">
        <f>IF(AND('331-CT'!$E$7=TH!H944,OR(L944="331",M944="331")),"331",IF(AND(OR(L944="131",M944="131"),H944='131-CT'!$E$7),"131",""))</f>
        <v/>
      </c>
      <c r="O944" s="887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09"/>
      <c r="AC944" s="588"/>
      <c r="AE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52"/>
        <v/>
      </c>
      <c r="C945" s="183"/>
      <c r="D945" s="190"/>
      <c r="E945" s="190"/>
      <c r="F945" s="191"/>
      <c r="G945" s="481"/>
      <c r="H945" s="7"/>
      <c r="I945" s="255"/>
      <c r="J945" s="255"/>
      <c r="K945" s="596"/>
      <c r="L945" s="193"/>
      <c r="M945" s="193"/>
      <c r="N945" s="51" t="str">
        <f>IF(AND('331-CT'!$E$7=TH!H945,OR(L945="331",M945="331")),"331",IF(AND(OR(L945="131",M945="131"),H945='131-CT'!$E$7),"131",""))</f>
        <v/>
      </c>
      <c r="O945" s="887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09"/>
      <c r="AC945" s="588"/>
      <c r="AD945" s="588"/>
      <c r="AE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52"/>
        <v/>
      </c>
      <c r="C946" s="183"/>
      <c r="D946" s="190"/>
      <c r="E946" s="190"/>
      <c r="F946" s="188"/>
      <c r="G946" s="481"/>
      <c r="H946" s="7"/>
      <c r="I946" s="255"/>
      <c r="J946" s="255"/>
      <c r="K946" s="37"/>
      <c r="L946" s="193"/>
      <c r="M946" s="193"/>
      <c r="N946" s="51" t="str">
        <f>IF(AND('331-CT'!$E$7=TH!H946,OR(L946="331",M946="331")),"331",IF(AND(OR(L946="131",M946="131"),H946='131-CT'!$E$7),"131",""))</f>
        <v/>
      </c>
      <c r="O946" s="887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09"/>
      <c r="AC946" s="588"/>
      <c r="AD946" s="588"/>
      <c r="AE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52"/>
        <v/>
      </c>
      <c r="C947" s="183"/>
      <c r="D947" s="190"/>
      <c r="E947" s="190"/>
      <c r="F947" s="188"/>
      <c r="G947" s="598"/>
      <c r="H947" s="7"/>
      <c r="I947" s="255"/>
      <c r="J947" s="255"/>
      <c r="K947" s="37"/>
      <c r="L947" s="193"/>
      <c r="M947" s="193"/>
      <c r="N947" s="51" t="str">
        <f>IF(AND('331-CT'!$E$7=TH!H947,OR(L947="331",M947="331")),"331",IF(AND(OR(L947="131",M947="131"),H947='131-CT'!$E$7),"131",""))</f>
        <v/>
      </c>
      <c r="O947" s="887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09"/>
      <c r="AC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52"/>
        <v/>
      </c>
      <c r="C948" s="183"/>
      <c r="D948" s="190"/>
      <c r="E948" s="190"/>
      <c r="F948" s="188"/>
      <c r="G948" s="598"/>
      <c r="H948" s="7"/>
      <c r="I948" s="255"/>
      <c r="J948" s="255"/>
      <c r="K948" s="596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87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09"/>
      <c r="AC948" s="588"/>
      <c r="AD948" s="588"/>
      <c r="AE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52"/>
        <v/>
      </c>
      <c r="C949" s="183"/>
      <c r="D949" s="190"/>
      <c r="E949" s="190"/>
      <c r="F949" s="188"/>
      <c r="G949" s="598"/>
      <c r="H949" s="7"/>
      <c r="I949" s="255"/>
      <c r="J949" s="255"/>
      <c r="K949" s="37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87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09"/>
      <c r="AC949" s="588"/>
      <c r="AE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52"/>
        <v/>
      </c>
      <c r="C950" s="183"/>
      <c r="D950" s="190"/>
      <c r="E950" s="190"/>
      <c r="F950" s="191"/>
      <c r="G950" s="481"/>
      <c r="H950" s="209"/>
      <c r="I950" s="255"/>
      <c r="J950" s="255"/>
      <c r="K950" s="596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87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09"/>
      <c r="AC950" s="588"/>
      <c r="AD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52"/>
        <v/>
      </c>
      <c r="C951" s="183"/>
      <c r="D951" s="190"/>
      <c r="E951" s="190"/>
      <c r="F951" s="191"/>
      <c r="G951" s="481"/>
      <c r="H951" s="7"/>
      <c r="I951" s="255"/>
      <c r="J951" s="255"/>
      <c r="K951" s="37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7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09"/>
      <c r="AC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52"/>
        <v/>
      </c>
      <c r="C952" s="183"/>
      <c r="D952" s="190"/>
      <c r="E952" s="190"/>
      <c r="F952" s="191"/>
      <c r="G952" s="481"/>
      <c r="H952" s="7"/>
      <c r="I952" s="255"/>
      <c r="J952" s="255"/>
      <c r="K952" s="596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7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09"/>
      <c r="AC952" s="588"/>
      <c r="AD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52"/>
        <v/>
      </c>
      <c r="C953" s="183"/>
      <c r="D953" s="190"/>
      <c r="E953" s="190"/>
      <c r="F953" s="191"/>
      <c r="G953" s="479"/>
      <c r="H953" s="44"/>
      <c r="I953" s="255"/>
      <c r="J953" s="255"/>
      <c r="K953" s="37"/>
      <c r="L953" s="193"/>
      <c r="M953" s="597"/>
      <c r="N953" s="51" t="str">
        <f>IF(AND('331-CT'!$E$7=TH!H953,OR(L953="331",M953="331")),"331",IF(AND(OR(L953="131",M953="131"),H953='131-CT'!$E$7),"131",""))</f>
        <v/>
      </c>
      <c r="O953" s="887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09"/>
      <c r="AC953" s="588"/>
      <c r="AD953" s="588"/>
      <c r="AF953" s="588"/>
      <c r="AG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52"/>
        <v/>
      </c>
      <c r="C954" s="183"/>
      <c r="D954" s="190"/>
      <c r="E954" s="190"/>
      <c r="F954" s="191"/>
      <c r="G954" s="479"/>
      <c r="H954" s="44"/>
      <c r="I954" s="255"/>
      <c r="J954" s="255"/>
      <c r="K954" s="37"/>
      <c r="L954" s="193"/>
      <c r="M954" s="597"/>
      <c r="N954" s="51" t="str">
        <f>IF(AND('331-CT'!$E$7=TH!H954,OR(L954="331",M954="331")),"331",IF(AND(OR(L954="131",M954="131"),H954='131-CT'!$E$7),"131",""))</f>
        <v/>
      </c>
      <c r="O954" s="887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09"/>
      <c r="AC954" s="588"/>
      <c r="AF954" s="588"/>
      <c r="AG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52"/>
        <v/>
      </c>
      <c r="C955" s="183"/>
      <c r="D955" s="190"/>
      <c r="E955" s="190"/>
      <c r="F955" s="191"/>
      <c r="G955" s="479"/>
      <c r="H955" s="44"/>
      <c r="I955" s="255"/>
      <c r="J955" s="255"/>
      <c r="K955" s="37"/>
      <c r="L955" s="193"/>
      <c r="M955" s="597"/>
      <c r="N955" s="51" t="str">
        <f>IF(AND('331-CT'!$E$7=TH!H955,OR(L955="331",M955="331")),"331",IF(AND(OR(L955="131",M955="131"),H955='131-CT'!$E$7),"131",""))</f>
        <v/>
      </c>
      <c r="O955" s="887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09"/>
      <c r="AC955" s="588"/>
      <c r="AD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52"/>
        <v/>
      </c>
      <c r="C956" s="183"/>
      <c r="D956" s="190"/>
      <c r="E956" s="190"/>
      <c r="F956" s="191"/>
      <c r="G956" s="479"/>
      <c r="H956" s="44"/>
      <c r="I956" s="255"/>
      <c r="J956" s="255"/>
      <c r="K956" s="37"/>
      <c r="L956" s="193"/>
      <c r="M956" s="597"/>
      <c r="N956" s="51" t="str">
        <f>IF(AND('331-CT'!$E$7=TH!H956,OR(L956="331",M956="331")),"331",IF(AND(OR(L956="131",M956="131"),H956='131-CT'!$E$7),"131",""))</f>
        <v/>
      </c>
      <c r="O956" s="887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09"/>
      <c r="AC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52"/>
        <v/>
      </c>
      <c r="C957" s="183"/>
      <c r="D957" s="190"/>
      <c r="E957" s="190"/>
      <c r="F957" s="191"/>
      <c r="G957" s="481"/>
      <c r="H957" s="7"/>
      <c r="I957" s="255"/>
      <c r="J957" s="255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7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09"/>
      <c r="AC957" s="588"/>
      <c r="AD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52"/>
        <v/>
      </c>
      <c r="C958" s="183"/>
      <c r="D958" s="190"/>
      <c r="E958" s="190"/>
      <c r="F958" s="191"/>
      <c r="G958" s="481"/>
      <c r="H958" s="7"/>
      <c r="I958" s="255"/>
      <c r="J958" s="255"/>
      <c r="K958" s="37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7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09"/>
      <c r="AC958" s="588"/>
      <c r="AD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52"/>
        <v/>
      </c>
      <c r="C959" s="183"/>
      <c r="D959" s="190"/>
      <c r="E959" s="190"/>
      <c r="F959" s="191"/>
      <c r="G959" s="481"/>
      <c r="H959" s="7"/>
      <c r="I959" s="255"/>
      <c r="J959" s="255"/>
      <c r="K959" s="596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7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09"/>
      <c r="AC959" s="588"/>
      <c r="AD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52"/>
        <v/>
      </c>
      <c r="C960" s="183"/>
      <c r="D960" s="190"/>
      <c r="E960" s="190"/>
      <c r="F960" s="191"/>
      <c r="G960" s="479"/>
      <c r="H960" s="44"/>
      <c r="I960" s="255"/>
      <c r="J960" s="255"/>
      <c r="K960" s="37"/>
      <c r="L960" s="193"/>
      <c r="M960" s="597"/>
      <c r="N960" s="51" t="str">
        <f>IF(AND('331-CT'!$E$7=TH!H960,OR(L960="331",M960="331")),"331",IF(AND(OR(L960="131",M960="131"),H960='131-CT'!$E$7),"131",""))</f>
        <v/>
      </c>
      <c r="O960" s="887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09"/>
      <c r="AC960" s="588"/>
      <c r="AD960" s="588"/>
      <c r="AF960" s="588"/>
      <c r="AG960" s="588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52"/>
        <v/>
      </c>
      <c r="C961" s="183"/>
      <c r="D961" s="190"/>
      <c r="E961" s="190"/>
      <c r="F961" s="191"/>
      <c r="G961" s="479"/>
      <c r="H961" s="44"/>
      <c r="I961" s="255"/>
      <c r="J961" s="255"/>
      <c r="K961" s="37"/>
      <c r="L961" s="193"/>
      <c r="M961" s="597"/>
      <c r="N961" s="51" t="str">
        <f>IF(AND('331-CT'!$E$7=TH!H961,OR(L961="331",M961="331")),"331",IF(AND(OR(L961="131",M961="131"),H961='131-CT'!$E$7),"131",""))</f>
        <v/>
      </c>
      <c r="O961" s="887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09"/>
      <c r="AC961" s="588"/>
      <c r="AF961" s="588"/>
      <c r="AG961" s="588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52"/>
        <v/>
      </c>
      <c r="C962" s="183"/>
      <c r="D962" s="190"/>
      <c r="E962" s="190"/>
      <c r="F962" s="191"/>
      <c r="G962" s="481"/>
      <c r="H962" s="888"/>
      <c r="I962" s="256"/>
      <c r="J962" s="256"/>
      <c r="K962" s="37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7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09"/>
      <c r="AC962" s="588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52"/>
        <v/>
      </c>
      <c r="C963" s="183"/>
      <c r="D963" s="190"/>
      <c r="E963" s="190"/>
      <c r="F963" s="191"/>
      <c r="G963" s="481"/>
      <c r="H963" s="209"/>
      <c r="I963" s="255"/>
      <c r="J963" s="255"/>
      <c r="K963" s="596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87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09"/>
      <c r="AC963" s="588"/>
      <c r="AD963" s="588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52"/>
        <v/>
      </c>
      <c r="C964" s="183"/>
      <c r="D964" s="190"/>
      <c r="E964" s="190"/>
      <c r="F964" s="191"/>
      <c r="G964" s="481"/>
      <c r="H964" s="192"/>
      <c r="I964" s="255"/>
      <c r="J964" s="255"/>
      <c r="K964" s="37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87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09"/>
      <c r="AC964" s="588"/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52"/>
        <v/>
      </c>
      <c r="C965" s="183"/>
      <c r="D965" s="190"/>
      <c r="E965" s="190"/>
      <c r="F965" s="191"/>
      <c r="G965" s="481"/>
      <c r="H965" s="7"/>
      <c r="I965" s="255"/>
      <c r="J965" s="255"/>
      <c r="K965" s="596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87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09"/>
      <c r="AC965" s="588"/>
      <c r="AD965" s="588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52"/>
        <v/>
      </c>
      <c r="C966" s="183"/>
      <c r="D966" s="190"/>
      <c r="E966" s="190"/>
      <c r="F966" s="191"/>
      <c r="G966" s="479"/>
      <c r="H966" s="44"/>
      <c r="I966" s="255"/>
      <c r="J966" s="255"/>
      <c r="K966" s="37"/>
      <c r="L966" s="193"/>
      <c r="M966" s="597"/>
      <c r="N966" s="51" t="str">
        <f>IF(AND('331-CT'!$E$7=TH!H966,OR(L966="331",M966="331")),"331",IF(AND(OR(L966="131",M966="131"),H966='131-CT'!$E$7),"131",""))</f>
        <v/>
      </c>
      <c r="O966" s="887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09"/>
      <c r="AC966" s="588"/>
      <c r="AD966" s="588"/>
      <c r="AF966" s="588"/>
      <c r="AG966" s="588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52"/>
        <v/>
      </c>
      <c r="C967" s="183"/>
      <c r="D967" s="190"/>
      <c r="E967" s="190"/>
      <c r="F967" s="191"/>
      <c r="G967" s="479"/>
      <c r="H967" s="44"/>
      <c r="I967" s="256"/>
      <c r="J967" s="255"/>
      <c r="K967" s="37"/>
      <c r="L967" s="193"/>
      <c r="M967" s="597"/>
      <c r="N967" s="51" t="str">
        <f>IF(AND('331-CT'!$E$7=TH!H967,OR(L967="331",M967="331")),"331",IF(AND(OR(L967="131",M967="131"),H967='131-CT'!$E$7),"131",""))</f>
        <v/>
      </c>
      <c r="O967" s="887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09"/>
      <c r="AC967" s="588"/>
      <c r="AD967" s="588"/>
      <c r="AF967" s="588"/>
      <c r="AG967" s="588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52"/>
        <v/>
      </c>
      <c r="C968" s="183"/>
      <c r="D968" s="190"/>
      <c r="E968" s="190"/>
      <c r="F968" s="191"/>
      <c r="G968" s="481"/>
      <c r="H968" s="192"/>
      <c r="I968" s="255"/>
      <c r="J968" s="255"/>
      <c r="K968" s="37"/>
      <c r="L968" s="193"/>
      <c r="M968" s="193"/>
      <c r="N968" s="51" t="str">
        <f>IF(AND('331-CT'!$E$7=TH!H968,OR(L968="331",M968="331")),"331",IF(AND(OR(L968="131",M968="131"),H968='131-CT'!$E$7),"131",""))</f>
        <v/>
      </c>
      <c r="O968" s="887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09"/>
      <c r="AC968" s="588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52"/>
        <v/>
      </c>
      <c r="C969" s="183"/>
      <c r="D969" s="190"/>
      <c r="E969" s="190"/>
      <c r="F969" s="191"/>
      <c r="G969" s="481"/>
      <c r="H969" s="192"/>
      <c r="I969" s="255"/>
      <c r="J969" s="255"/>
      <c r="K969" s="37"/>
      <c r="L969" s="193"/>
      <c r="M969" s="193"/>
      <c r="N969" s="51" t="str">
        <f>IF(AND('331-CT'!$E$7=TH!H969,OR(L969="331",M969="331")),"331",IF(AND(OR(L969="131",M969="131"),H969='131-CT'!$E$7),"131",""))</f>
        <v/>
      </c>
      <c r="O969" s="887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09"/>
      <c r="AC969" s="588"/>
      <c r="AD969" s="588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52"/>
        <v/>
      </c>
      <c r="C970" s="183"/>
      <c r="D970" s="190"/>
      <c r="E970" s="190"/>
      <c r="F970" s="191"/>
      <c r="G970" s="481"/>
      <c r="H970" s="192"/>
      <c r="I970" s="255"/>
      <c r="J970" s="255"/>
      <c r="K970" s="596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87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09"/>
      <c r="AC970" s="588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52"/>
        <v/>
      </c>
      <c r="C971" s="183"/>
      <c r="D971" s="190"/>
      <c r="E971" s="190"/>
      <c r="F971" s="191"/>
      <c r="G971" s="481"/>
      <c r="H971" s="192"/>
      <c r="I971" s="255"/>
      <c r="J971" s="255"/>
      <c r="K971" s="37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87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09"/>
      <c r="AC971" s="588"/>
      <c r="AD971" s="588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849" t="str">
        <f t="shared" si="52"/>
        <v/>
      </c>
      <c r="C972" s="850"/>
      <c r="D972" s="190"/>
      <c r="E972" s="190"/>
      <c r="F972" s="191"/>
      <c r="G972" s="481"/>
      <c r="H972" s="192"/>
      <c r="I972" s="255"/>
      <c r="J972" s="255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87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09"/>
      <c r="AC972" s="857"/>
      <c r="AD972" s="858"/>
      <c r="AE972" s="858"/>
      <c r="AF972" s="858"/>
      <c r="AG972" s="858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52"/>
        <v/>
      </c>
      <c r="C973" s="183"/>
      <c r="D973" s="190"/>
      <c r="E973" s="190"/>
      <c r="F973" s="191"/>
      <c r="G973" s="481"/>
      <c r="H973" s="192"/>
      <c r="I973" s="255"/>
      <c r="J973" s="255"/>
      <c r="K973" s="596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7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09"/>
      <c r="AC973" s="588"/>
      <c r="AD973" s="588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52"/>
        <v/>
      </c>
      <c r="C974" s="183"/>
      <c r="D974" s="190"/>
      <c r="E974" s="190"/>
      <c r="F974" s="191"/>
      <c r="G974" s="481"/>
      <c r="H974" s="7"/>
      <c r="I974" s="255"/>
      <c r="J974" s="255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7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09"/>
      <c r="AC974" s="588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52"/>
        <v/>
      </c>
      <c r="C975" s="183"/>
      <c r="D975" s="190"/>
      <c r="E975" s="190"/>
      <c r="F975" s="191"/>
      <c r="G975" s="481"/>
      <c r="H975" s="7"/>
      <c r="I975" s="255"/>
      <c r="J975" s="255"/>
      <c r="K975" s="596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7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09"/>
      <c r="AC975" s="588"/>
      <c r="AD975" s="588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52"/>
        <v/>
      </c>
      <c r="C976" s="183"/>
      <c r="D976" s="190"/>
      <c r="E976" s="190"/>
      <c r="F976" s="191"/>
      <c r="G976" s="481"/>
      <c r="H976" s="7"/>
      <c r="I976" s="255"/>
      <c r="J976" s="255"/>
      <c r="K976" s="37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7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09"/>
      <c r="AC976" s="588"/>
    </row>
    <row r="977" spans="1:33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52"/>
        <v/>
      </c>
      <c r="C977" s="183"/>
      <c r="D977" s="190"/>
      <c r="E977" s="190"/>
      <c r="F977" s="191"/>
      <c r="G977" s="481"/>
      <c r="H977" s="7"/>
      <c r="I977" s="255"/>
      <c r="J977" s="255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7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09"/>
      <c r="AC977" s="588"/>
      <c r="AD977" s="588"/>
    </row>
    <row r="978" spans="1:33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52"/>
        <v/>
      </c>
      <c r="C978" s="183"/>
      <c r="D978" s="190"/>
      <c r="E978" s="190"/>
      <c r="F978" s="191"/>
      <c r="G978" s="481"/>
      <c r="H978" s="7"/>
      <c r="I978" s="255"/>
      <c r="J978" s="255"/>
      <c r="K978" s="596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7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09"/>
      <c r="AC978" s="588"/>
    </row>
    <row r="979" spans="1:33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52"/>
        <v/>
      </c>
      <c r="C979" s="183"/>
      <c r="D979" s="190"/>
      <c r="E979" s="190"/>
      <c r="F979" s="191"/>
      <c r="G979" s="479"/>
      <c r="H979" s="44"/>
      <c r="I979" s="255"/>
      <c r="J979" s="255"/>
      <c r="K979" s="37"/>
      <c r="L979" s="193"/>
      <c r="M979" s="597"/>
      <c r="N979" s="51" t="str">
        <f>IF(AND('331-CT'!$E$7=TH!H979,OR(L979="331",M979="331")),"331",IF(AND(OR(L979="131",M979="131"),H979='131-CT'!$E$7),"131",""))</f>
        <v/>
      </c>
      <c r="O979" s="887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09"/>
      <c r="AC979" s="588"/>
      <c r="AD979" s="588"/>
      <c r="AF979" s="588"/>
      <c r="AG979" s="588"/>
    </row>
    <row r="980" spans="1:33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52"/>
        <v/>
      </c>
      <c r="C980" s="183"/>
      <c r="D980" s="190"/>
      <c r="E980" s="190"/>
      <c r="F980" s="191"/>
      <c r="G980" s="479"/>
      <c r="H980" s="44"/>
      <c r="I980" s="256"/>
      <c r="J980" s="255"/>
      <c r="K980" s="37"/>
      <c r="L980" s="193"/>
      <c r="M980" s="597"/>
      <c r="N980" s="51" t="str">
        <f>IF(AND('331-CT'!$E$7=TH!H980,OR(L980="331",M980="331")),"331",IF(AND(OR(L980="131",M980="131"),H980='131-CT'!$E$7),"131",""))</f>
        <v/>
      </c>
      <c r="O980" s="887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09"/>
      <c r="AC980" s="588"/>
      <c r="AD980" s="588"/>
    </row>
    <row r="981" spans="1:33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52"/>
        <v/>
      </c>
      <c r="C981" s="183"/>
      <c r="D981" s="190"/>
      <c r="E981" s="190"/>
      <c r="F981" s="191"/>
      <c r="G981" s="479"/>
      <c r="H981" s="44"/>
      <c r="I981" s="256"/>
      <c r="J981" s="255"/>
      <c r="K981" s="37"/>
      <c r="L981" s="193"/>
      <c r="M981" s="597"/>
      <c r="N981" s="51" t="str">
        <f>IF(AND('331-CT'!$E$7=TH!H981,OR(L981="331",M981="331")),"331",IF(AND(OR(L981="131",M981="131"),H981='131-CT'!$E$7),"131",""))</f>
        <v/>
      </c>
      <c r="O981" s="887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09"/>
      <c r="AC981" s="588"/>
      <c r="AD981" s="588"/>
    </row>
    <row r="982" spans="1:33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52"/>
        <v/>
      </c>
      <c r="C982" s="183"/>
      <c r="D982" s="190"/>
      <c r="E982" s="190"/>
      <c r="F982" s="191"/>
      <c r="G982" s="479"/>
      <c r="H982" s="44"/>
      <c r="I982" s="256"/>
      <c r="J982" s="255"/>
      <c r="K982" s="37"/>
      <c r="L982" s="193"/>
      <c r="M982" s="597"/>
      <c r="N982" s="51" t="str">
        <f>IF(AND('331-CT'!$E$7=TH!H982,OR(L982="331",M982="331")),"331",IF(AND(OR(L982="131",M982="131"),H982='131-CT'!$E$7),"131",""))</f>
        <v/>
      </c>
      <c r="O982" s="887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09"/>
      <c r="AC982" s="588"/>
    </row>
    <row r="983" spans="1:33" s="210" customFormat="1" ht="15.75" customHeight="1">
      <c r="A983" s="203" t="str">
        <f>IF(B983&lt;&gt;"",IF(AND(B983&gt;=_TM1,B983&lt;=_TM2,OR(TH!L983="1111",TH!M983="1111")),TH!D983,""),"")</f>
        <v/>
      </c>
      <c r="B983" s="36" t="str">
        <f t="shared" si="52"/>
        <v/>
      </c>
      <c r="C983" s="183"/>
      <c r="D983" s="190"/>
      <c r="E983" s="190"/>
      <c r="F983" s="191"/>
      <c r="G983" s="479"/>
      <c r="H983" s="44"/>
      <c r="I983" s="256"/>
      <c r="J983" s="255"/>
      <c r="K983" s="37"/>
      <c r="L983" s="193"/>
      <c r="M983" s="597"/>
      <c r="N983" s="51" t="str">
        <f>IF(AND('331-CT'!$E$7=TH!H983,OR(L983="331",M983="331")),"331",IF(AND(OR(L983="131",M983="131"),H983='131-CT'!$E$7),"131",""))</f>
        <v/>
      </c>
      <c r="O983" s="887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09"/>
      <c r="AC983" s="588"/>
      <c r="AD983" s="588"/>
    </row>
    <row r="984" spans="1:33" s="210" customFormat="1" ht="15.75" customHeight="1">
      <c r="A984" s="203" t="str">
        <f>IF(B984&lt;&gt;"",IF(AND(B984&gt;=_TM1,B984&lt;=_TM2,OR(TH!L984="1111",TH!M984="1111")),TH!D984,""),"")</f>
        <v/>
      </c>
      <c r="B984" s="36" t="str">
        <f t="shared" si="52"/>
        <v/>
      </c>
      <c r="C984" s="183"/>
      <c r="D984" s="190"/>
      <c r="E984" s="190"/>
      <c r="F984" s="191"/>
      <c r="G984" s="479"/>
      <c r="H984" s="44"/>
      <c r="I984" s="255"/>
      <c r="J984" s="255"/>
      <c r="K984" s="37"/>
      <c r="L984" s="193"/>
      <c r="M984" s="597"/>
      <c r="N984" s="51" t="str">
        <f>IF(AND('331-CT'!$E$7=TH!H984,OR(L984="331",M984="331")),"331",IF(AND(OR(L984="131",M984="131"),H984='131-CT'!$E$7),"131",""))</f>
        <v/>
      </c>
      <c r="O984" s="887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09"/>
      <c r="AC984" s="588"/>
      <c r="AD984" s="588"/>
      <c r="AF984" s="588"/>
      <c r="AG984" s="588"/>
    </row>
    <row r="985" spans="1:33" s="210" customFormat="1" ht="15.75" customHeight="1">
      <c r="A985" s="203" t="str">
        <f>IF(B985&lt;&gt;"",IF(AND(B985&gt;=_TM1,B985&lt;=_TM2,OR(TH!L985="1111",TH!M985="1111")),TH!D985,""),"")</f>
        <v/>
      </c>
      <c r="B985" s="36" t="str">
        <f t="shared" si="52"/>
        <v/>
      </c>
      <c r="C985" s="183"/>
      <c r="D985" s="190"/>
      <c r="E985" s="190"/>
      <c r="F985" s="191"/>
      <c r="G985" s="481"/>
      <c r="H985" s="7"/>
      <c r="I985" s="255"/>
      <c r="J985" s="255"/>
      <c r="K985" s="37"/>
      <c r="L985" s="193"/>
      <c r="M985" s="193"/>
      <c r="N985" s="51" t="str">
        <f>IF(AND('331-CT'!$E$7=TH!H985,OR(L985="331",M985="331")),"331",IF(AND(OR(L985="131",M985="131"),H985='131-CT'!$E$7),"131",""))</f>
        <v/>
      </c>
      <c r="O985" s="887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09"/>
      <c r="AC985" s="588"/>
      <c r="AD985" s="588"/>
    </row>
    <row r="986" spans="1:33" s="210" customFormat="1" ht="15.75" customHeight="1">
      <c r="A986" s="203" t="str">
        <f>IF(B986&lt;&gt;"",IF(AND(B986&gt;=_TM1,B986&lt;=_TM2,OR(TH!L986="1111",TH!M986="1111")),TH!D986,""),"")</f>
        <v/>
      </c>
      <c r="B986" s="36" t="str">
        <f t="shared" si="52"/>
        <v/>
      </c>
      <c r="C986" s="183"/>
      <c r="D986" s="190"/>
      <c r="E986" s="190"/>
      <c r="F986" s="188"/>
      <c r="G986" s="481"/>
      <c r="H986" s="7"/>
      <c r="I986" s="256"/>
      <c r="J986" s="256"/>
      <c r="K986" s="596"/>
      <c r="L986" s="193"/>
      <c r="M986" s="193"/>
      <c r="N986" s="51" t="str">
        <f>IF(AND('331-CT'!$E$7=TH!H986,OR(L986="331",M986="331")),"331",IF(AND(OR(L986="131",M986="131"),H986='131-CT'!$E$7),"131",""))</f>
        <v/>
      </c>
      <c r="O986" s="887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09"/>
      <c r="AC986" s="588"/>
    </row>
    <row r="987" spans="1:33" s="210" customFormat="1" ht="15.75" customHeight="1">
      <c r="A987" s="203" t="str">
        <f>IF(B987&lt;&gt;"",IF(AND(B987&gt;=_TM1,B987&lt;=_TM2,OR(TH!L987="1111",TH!M987="1111")),TH!D987,""),"")</f>
        <v/>
      </c>
      <c r="B987" s="36" t="str">
        <f t="shared" si="52"/>
        <v/>
      </c>
      <c r="C987" s="183"/>
      <c r="D987" s="190"/>
      <c r="E987" s="190"/>
      <c r="F987" s="191"/>
      <c r="G987" s="481"/>
      <c r="H987" s="7"/>
      <c r="I987" s="255"/>
      <c r="J987" s="255"/>
      <c r="K987" s="37"/>
      <c r="L987" s="193"/>
      <c r="M987" s="193"/>
      <c r="N987" s="51" t="str">
        <f>IF(AND('331-CT'!$E$7=TH!H987,OR(L987="331",M987="331")),"331",IF(AND(OR(L987="131",M987="131"),H987='131-CT'!$E$7),"131",""))</f>
        <v/>
      </c>
      <c r="O987" s="887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09"/>
      <c r="AC987" s="588"/>
      <c r="AD987" s="588"/>
    </row>
    <row r="988" spans="1:33" s="210" customFormat="1" ht="15.75" customHeight="1">
      <c r="A988" s="203" t="str">
        <f>IF(B988&lt;&gt;"",IF(AND(B988&gt;=_TM1,B988&lt;=_TM2,OR(TH!L988="1111",TH!M988="1111")),TH!D988,""),"")</f>
        <v/>
      </c>
      <c r="B988" s="36" t="str">
        <f t="shared" si="52"/>
        <v/>
      </c>
      <c r="C988" s="183"/>
      <c r="D988" s="190"/>
      <c r="E988" s="190"/>
      <c r="F988" s="191"/>
      <c r="G988" s="481"/>
      <c r="H988" s="7"/>
      <c r="I988" s="255"/>
      <c r="J988" s="255"/>
      <c r="K988" s="37"/>
      <c r="L988" s="193"/>
      <c r="M988" s="193"/>
      <c r="N988" s="51" t="str">
        <f>IF(AND('331-CT'!$E$7=TH!H988,OR(L988="331",M988="331")),"331",IF(AND(OR(L988="131",M988="131"),H988='131-CT'!$E$7),"131",""))</f>
        <v/>
      </c>
      <c r="O988" s="887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09"/>
      <c r="AC988" s="588"/>
    </row>
    <row r="989" spans="1:33" s="210" customFormat="1" ht="15.75" customHeight="1">
      <c r="A989" s="203" t="str">
        <f>IF(B989&lt;&gt;"",IF(AND(B989&gt;=_TM1,B989&lt;=_TM2,OR(TH!L989="1111",TH!M989="1111")),TH!D989,""),"")</f>
        <v/>
      </c>
      <c r="B989" s="36" t="str">
        <f t="shared" si="52"/>
        <v/>
      </c>
      <c r="C989" s="183"/>
      <c r="D989" s="190"/>
      <c r="E989" s="190"/>
      <c r="F989" s="191"/>
      <c r="G989" s="481"/>
      <c r="H989" s="7"/>
      <c r="I989" s="255"/>
      <c r="J989" s="255"/>
      <c r="K989" s="596"/>
      <c r="L989" s="193"/>
      <c r="M989" s="193"/>
      <c r="N989" s="51" t="str">
        <f>IF(AND('331-CT'!$E$7=TH!H989,OR(L989="331",M989="331")),"331",IF(AND(OR(L989="131",M989="131"),H989='131-CT'!$E$7),"131",""))</f>
        <v/>
      </c>
      <c r="O989" s="887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09"/>
      <c r="AC989" s="588"/>
      <c r="AD989" s="588"/>
    </row>
    <row r="990" spans="1:33" s="210" customFormat="1" ht="15.75" customHeight="1">
      <c r="A990" s="203" t="str">
        <f>IF(B990&lt;&gt;"",IF(AND(B990&gt;=_TM1,B990&lt;=_TM2,OR(TH!L990="1111",TH!M990="1111")),TH!D990,""),"")</f>
        <v/>
      </c>
      <c r="B990" s="36" t="str">
        <f t="shared" si="52"/>
        <v/>
      </c>
      <c r="C990" s="183"/>
      <c r="D990" s="190"/>
      <c r="E990" s="190"/>
      <c r="F990" s="188"/>
      <c r="G990" s="481"/>
      <c r="H990" s="7"/>
      <c r="I990" s="255"/>
      <c r="J990" s="255"/>
      <c r="K990" s="37"/>
      <c r="L990" s="193"/>
      <c r="M990" s="193"/>
      <c r="N990" s="51" t="str">
        <f>IF(AND('331-CT'!$E$7=TH!H990,OR(L990="331",M990="331")),"331",IF(AND(OR(L990="131",M990="131"),H990='131-CT'!$E$7),"131",""))</f>
        <v/>
      </c>
      <c r="O990" s="887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09"/>
      <c r="AC990" s="588"/>
    </row>
    <row r="991" spans="1:33" s="210" customFormat="1" ht="15.75" customHeight="1">
      <c r="A991" s="203" t="str">
        <f>IF(B991&lt;&gt;"",IF(AND(B991&gt;=_TM1,B991&lt;=_TM2,OR(TH!L991="1111",TH!M991="1111")),TH!D991,""),"")</f>
        <v/>
      </c>
      <c r="B991" s="36" t="str">
        <f t="shared" si="52"/>
        <v/>
      </c>
      <c r="C991" s="183"/>
      <c r="D991" s="190"/>
      <c r="E991" s="190"/>
      <c r="F991" s="296"/>
      <c r="G991" s="481"/>
      <c r="H991" s="7"/>
      <c r="I991" s="255"/>
      <c r="J991" s="255"/>
      <c r="K991" s="37"/>
      <c r="L991" s="193"/>
      <c r="M991" s="193"/>
      <c r="N991" s="51" t="str">
        <f>IF(AND('331-CT'!$E$7=TH!H991,OR(L991="331",M991="331")),"331",IF(AND(OR(L991="131",M991="131"),H991='131-CT'!$E$7),"131",""))</f>
        <v/>
      </c>
      <c r="O991" s="887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09"/>
      <c r="AC991" s="588"/>
      <c r="AD991" s="588"/>
    </row>
    <row r="992" spans="1:33" s="210" customFormat="1" ht="15.75" customHeight="1">
      <c r="A992" s="203" t="str">
        <f>IF(B992&lt;&gt;"",IF(AND(B992&gt;=_TM1,B992&lt;=_TM2,OR(TH!L992="1111",TH!M992="1111")),TH!D992,""),"")</f>
        <v/>
      </c>
      <c r="B992" s="36" t="str">
        <f t="shared" si="52"/>
        <v/>
      </c>
      <c r="C992" s="183"/>
      <c r="D992" s="190"/>
      <c r="E992" s="183"/>
      <c r="F992" s="188"/>
      <c r="G992" s="598"/>
      <c r="H992" s="192"/>
      <c r="I992" s="255"/>
      <c r="J992" s="255"/>
      <c r="K992" s="596"/>
      <c r="L992" s="193"/>
      <c r="M992" s="193"/>
      <c r="N992" s="51" t="str">
        <f>IF(AND('331-CT'!$E$7=TH!H992,OR(L992="331",M992="331")),"331",IF(AND(OR(L992="131",M992="131"),H992='131-CT'!$E$7),"131",""))</f>
        <v/>
      </c>
      <c r="O992" s="887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09"/>
      <c r="AC992" s="588"/>
    </row>
    <row r="993" spans="1:33" s="210" customFormat="1" ht="15.75" customHeight="1">
      <c r="A993" s="203" t="str">
        <f>IF(B993&lt;&gt;"",IF(AND(B993&gt;=_TM1,B993&lt;=_TM2,OR(TH!L993="1111",TH!M993="1111")),TH!D993,""),"")</f>
        <v/>
      </c>
      <c r="B993" s="36" t="str">
        <f t="shared" si="52"/>
        <v/>
      </c>
      <c r="C993" s="183"/>
      <c r="D993" s="190"/>
      <c r="E993" s="190"/>
      <c r="F993" s="191"/>
      <c r="G993" s="481"/>
      <c r="H993" s="192"/>
      <c r="I993" s="255"/>
      <c r="J993" s="257"/>
      <c r="K993" s="37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87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09"/>
      <c r="AC993" s="588"/>
      <c r="AF993" s="588"/>
      <c r="AG993" s="588"/>
    </row>
    <row r="994" spans="1:33" s="210" customFormat="1" ht="15.75" customHeight="1">
      <c r="A994" s="203" t="str">
        <f>IF(B994&lt;&gt;"",IF(AND(B994&gt;=_TM1,B994&lt;=_TM2,OR(TH!L994="1111",TH!M994="1111")),TH!D994,""),"")</f>
        <v/>
      </c>
      <c r="B994" s="36" t="str">
        <f t="shared" si="52"/>
        <v/>
      </c>
      <c r="C994" s="183"/>
      <c r="D994" s="190"/>
      <c r="E994" s="190"/>
      <c r="F994" s="191"/>
      <c r="G994" s="481"/>
      <c r="H994" s="779"/>
      <c r="I994" s="256"/>
      <c r="J994" s="256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7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09"/>
      <c r="AC994" s="588"/>
      <c r="AD994" s="588"/>
    </row>
    <row r="995" spans="1:33" s="210" customFormat="1" ht="15.75" customHeight="1">
      <c r="A995" s="203" t="str">
        <f>IF(B995&lt;&gt;"",IF(AND(B995&gt;=_TM1,B995&lt;=_TM2,OR(TH!L995="1111",TH!M995="1111")),TH!D995,""),"")</f>
        <v/>
      </c>
      <c r="B995" s="36" t="str">
        <f t="shared" si="52"/>
        <v/>
      </c>
      <c r="C995" s="183"/>
      <c r="D995" s="190"/>
      <c r="E995" s="190"/>
      <c r="F995" s="191"/>
      <c r="G995" s="481"/>
      <c r="H995" s="779"/>
      <c r="I995" s="255"/>
      <c r="J995" s="255"/>
      <c r="K995" s="37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87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909"/>
      <c r="AC995" s="588"/>
    </row>
    <row r="996" spans="1:33" s="210" customFormat="1" ht="15.75" customHeight="1">
      <c r="A996" s="203" t="str">
        <f>IF(B996&lt;&gt;"",IF(AND(B996&gt;=_TM1,B996&lt;=_TM2,OR(TH!L996="1111",TH!M996="1111")),TH!D996,""),"")</f>
        <v/>
      </c>
      <c r="B996" s="36" t="str">
        <f t="shared" si="52"/>
        <v/>
      </c>
      <c r="C996" s="183"/>
      <c r="D996" s="190"/>
      <c r="E996" s="183"/>
      <c r="F996" s="188"/>
      <c r="G996" s="598"/>
      <c r="H996" s="7"/>
      <c r="I996" s="255"/>
      <c r="J996" s="255"/>
      <c r="K996" s="37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87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909"/>
      <c r="AC996" s="588"/>
      <c r="AD996" s="588"/>
    </row>
    <row r="997" spans="1:33" s="210" customFormat="1" ht="15.75" customHeight="1">
      <c r="A997" s="203" t="str">
        <f>IF(B997&lt;&gt;"",IF(AND(B997&gt;=_TM1,B997&lt;=_TM2,OR(TH!L997="1111",TH!M997="1111")),TH!D997,""),"")</f>
        <v/>
      </c>
      <c r="B997" s="36" t="str">
        <f t="shared" si="52"/>
        <v/>
      </c>
      <c r="C997" s="183"/>
      <c r="D997" s="190"/>
      <c r="E997" s="183"/>
      <c r="F997" s="188"/>
      <c r="G997" s="598"/>
      <c r="H997" s="7"/>
      <c r="I997" s="255"/>
      <c r="J997" s="255"/>
      <c r="K997" s="596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87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909"/>
      <c r="AC997" s="588"/>
      <c r="AD997" s="588"/>
    </row>
    <row r="998" spans="1:33" s="210" customFormat="1" ht="15.75" customHeight="1">
      <c r="A998" s="203" t="str">
        <f>IF(B998&lt;&gt;"",IF(AND(B998&gt;=_TM1,B998&lt;=_TM2,OR(TH!L998="1111",TH!M998="1111")),TH!D998,""),"")</f>
        <v/>
      </c>
      <c r="B998" s="36" t="str">
        <f t="shared" ref="B998:B1061" si="53">IF(C998&lt;&gt;"",MONTH(C998),"")</f>
        <v/>
      </c>
      <c r="C998" s="183"/>
      <c r="D998" s="190"/>
      <c r="E998" s="190"/>
      <c r="F998" s="188"/>
      <c r="G998" s="481"/>
      <c r="H998" s="7"/>
      <c r="I998" s="256"/>
      <c r="J998" s="256"/>
      <c r="K998" s="37"/>
      <c r="L998" s="193"/>
      <c r="M998" s="193"/>
      <c r="N998" s="51" t="str">
        <f>IF(AND('331-CT'!$E$7=TH!H998,OR(L998="331",M998="331")),"331",IF(AND(OR(L998="131",M998="131"),H998='131-CT'!$E$7),"131",""))</f>
        <v/>
      </c>
      <c r="O998" s="887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909"/>
      <c r="AC998" s="588"/>
      <c r="AD998" s="588"/>
    </row>
    <row r="999" spans="1:33" s="210" customFormat="1" ht="15.75" customHeight="1">
      <c r="A999" s="203" t="str">
        <f>IF(B999&lt;&gt;"",IF(AND(B999&gt;=_TM1,B999&lt;=_TM2,OR(TH!L999="1111",TH!M999="1111")),TH!D999,""),"")</f>
        <v/>
      </c>
      <c r="B999" s="36" t="str">
        <f t="shared" si="53"/>
        <v/>
      </c>
      <c r="C999" s="183"/>
      <c r="D999" s="190"/>
      <c r="E999" s="190"/>
      <c r="F999" s="188"/>
      <c r="G999" s="481"/>
      <c r="H999" s="7"/>
      <c r="I999" s="256"/>
      <c r="J999" s="256"/>
      <c r="K999" s="596"/>
      <c r="L999" s="193"/>
      <c r="M999" s="193"/>
      <c r="N999" s="51" t="str">
        <f>IF(AND('331-CT'!$E$7=TH!H999,OR(L999="331",M999="331")),"331",IF(AND(OR(L999="131",M999="131"),H999='131-CT'!$E$7),"131",""))</f>
        <v/>
      </c>
      <c r="O999" s="887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909"/>
      <c r="AC999" s="588"/>
      <c r="AD999" s="588"/>
    </row>
    <row r="1000" spans="1:33" s="210" customFormat="1" ht="15.75" customHeight="1">
      <c r="A1000" s="203" t="str">
        <f>IF(B1000&lt;&gt;"",IF(AND(B1000&gt;=_TM1,B1000&lt;=_TM2,OR(TH!L1000="1111",TH!M1000="1111")),TH!D1000,""),"")</f>
        <v/>
      </c>
      <c r="B1000" s="36" t="str">
        <f t="shared" si="53"/>
        <v/>
      </c>
      <c r="C1000" s="183"/>
      <c r="D1000" s="190"/>
      <c r="E1000" s="190"/>
      <c r="F1000" s="191"/>
      <c r="G1000" s="481"/>
      <c r="H1000" s="192"/>
      <c r="I1000" s="255"/>
      <c r="J1000" s="257"/>
      <c r="K1000" s="37"/>
      <c r="L1000" s="193"/>
      <c r="M1000" s="193"/>
      <c r="N1000" s="51" t="str">
        <f>IF(AND('331-CT'!$E$7=TH!H1000,OR(L1000="331",M1000="331")),"331",IF(AND(OR(L1000="131",M1000="131"),H1000='131-CT'!$E$7),"131",""))</f>
        <v/>
      </c>
      <c r="O1000" s="887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909"/>
      <c r="AC1000" s="588"/>
      <c r="AD1000" s="588"/>
      <c r="AF1000" s="588"/>
      <c r="AG1000" s="588"/>
    </row>
    <row r="1001" spans="1:33" s="210" customFormat="1" ht="15.75" customHeight="1">
      <c r="A1001" s="203" t="str">
        <f>IF(B1001&lt;&gt;"",IF(AND(B1001&gt;=_TM1,B1001&lt;=_TM2,OR(TH!L1001="1111",TH!M1001="1111")),TH!D1001,""),"")</f>
        <v/>
      </c>
      <c r="B1001" s="36" t="str">
        <f t="shared" si="53"/>
        <v/>
      </c>
      <c r="C1001" s="183"/>
      <c r="D1001" s="190"/>
      <c r="E1001" s="190"/>
      <c r="F1001" s="191"/>
      <c r="G1001" s="481"/>
      <c r="H1001" s="192"/>
      <c r="I1001" s="255"/>
      <c r="J1001" s="257"/>
      <c r="K1001" s="37"/>
      <c r="L1001" s="193"/>
      <c r="M1001" s="193"/>
      <c r="N1001" s="51" t="str">
        <f>IF(AND('331-CT'!$E$7=TH!H1001,OR(L1001="331",M1001="331")),"331",IF(AND(OR(L1001="131",M1001="131"),H1001='131-CT'!$E$7),"131",""))</f>
        <v/>
      </c>
      <c r="O1001" s="887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909"/>
      <c r="AC1001" s="588"/>
      <c r="AD1001" s="588"/>
      <c r="AF1001" s="588"/>
      <c r="AG1001" s="588"/>
    </row>
    <row r="1002" spans="1:33" s="210" customFormat="1" ht="15.75" customHeight="1">
      <c r="A1002" s="203" t="str">
        <f>IF(B1002&lt;&gt;"",IF(AND(B1002&gt;=_TM1,B1002&lt;=_TM2,OR(TH!L1002="1111",TH!M1002="1111")),TH!D1002,""),"")</f>
        <v/>
      </c>
      <c r="B1002" s="36" t="str">
        <f t="shared" si="53"/>
        <v/>
      </c>
      <c r="C1002" s="183"/>
      <c r="D1002" s="190"/>
      <c r="E1002" s="190"/>
      <c r="F1002" s="191"/>
      <c r="G1002" s="481"/>
      <c r="H1002" s="192"/>
      <c r="I1002" s="255"/>
      <c r="J1002" s="257"/>
      <c r="K1002" s="37"/>
      <c r="L1002" s="193"/>
      <c r="M1002" s="193"/>
      <c r="N1002" s="51" t="str">
        <f>IF(AND('331-CT'!$E$7=TH!H1002,OR(L1002="331",M1002="331")),"331",IF(AND(OR(L1002="131",M1002="131"),H1002='131-CT'!$E$7),"131",""))</f>
        <v/>
      </c>
      <c r="O1002" s="887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909"/>
      <c r="AC1002" s="588"/>
      <c r="AD1002" s="588"/>
      <c r="AF1002" s="588"/>
      <c r="AG1002" s="588"/>
    </row>
    <row r="1003" spans="1:33" s="210" customFormat="1" ht="15.75" customHeight="1">
      <c r="A1003" s="203" t="str">
        <f>IF(B1003&lt;&gt;"",IF(AND(B1003&gt;=_TM1,B1003&lt;=_TM2,OR(TH!L1003="1111",TH!M1003="1111")),TH!D1003,""),"")</f>
        <v/>
      </c>
      <c r="B1003" s="36" t="str">
        <f t="shared" si="53"/>
        <v/>
      </c>
      <c r="C1003" s="183"/>
      <c r="D1003" s="190"/>
      <c r="E1003" s="190"/>
      <c r="F1003" s="191"/>
      <c r="G1003" s="481"/>
      <c r="H1003" s="192"/>
      <c r="I1003" s="255"/>
      <c r="J1003" s="257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87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909"/>
      <c r="AC1003" s="588"/>
      <c r="AD1003" s="588"/>
      <c r="AF1003" s="588"/>
      <c r="AG1003" s="588"/>
    </row>
    <row r="1004" spans="1:33" s="210" customFormat="1" ht="15.75" customHeight="1">
      <c r="A1004" s="203" t="str">
        <f>IF(B1004&lt;&gt;"",IF(AND(B1004&gt;=_TM1,B1004&lt;=_TM2,OR(TH!L1004="1111",TH!M1004="1111")),TH!D1004,""),"")</f>
        <v/>
      </c>
      <c r="B1004" s="36" t="str">
        <f t="shared" si="53"/>
        <v/>
      </c>
      <c r="C1004" s="183"/>
      <c r="D1004" s="190"/>
      <c r="E1004" s="190"/>
      <c r="F1004" s="191"/>
      <c r="G1004" s="481"/>
      <c r="H1004" s="192"/>
      <c r="I1004" s="256"/>
      <c r="J1004" s="257"/>
      <c r="K1004" s="37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87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909"/>
      <c r="AC1004" s="588"/>
      <c r="AD1004" s="588"/>
      <c r="AF1004" s="588"/>
      <c r="AG1004" s="588"/>
    </row>
    <row r="1005" spans="1:33" s="210" customFormat="1" ht="15.75" customHeight="1">
      <c r="A1005" s="203" t="str">
        <f>IF(B1005&lt;&gt;"",IF(AND(B1005&gt;=_TM1,B1005&lt;=_TM2,OR(TH!L1005="1111",TH!M1005="1111")),TH!D1005,""),"")</f>
        <v/>
      </c>
      <c r="B1005" s="36" t="str">
        <f t="shared" si="53"/>
        <v/>
      </c>
      <c r="C1005" s="183"/>
      <c r="D1005" s="190"/>
      <c r="E1005" s="190"/>
      <c r="F1005" s="191"/>
      <c r="G1005" s="481"/>
      <c r="H1005" s="192"/>
      <c r="I1005" s="256"/>
      <c r="J1005" s="257"/>
      <c r="K1005" s="37"/>
      <c r="L1005" s="193"/>
      <c r="M1005" s="193"/>
      <c r="N1005" s="51" t="str">
        <f>IF(AND('331-CT'!$E$7=TH!H1005,OR(L1005="331",M1005="331")),"331",IF(AND(OR(L1005="131",M1005="131"),H1005='131-CT'!$E$7),"131",""))</f>
        <v/>
      </c>
      <c r="O1005" s="887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909"/>
      <c r="AC1005" s="588"/>
      <c r="AF1005" s="588"/>
      <c r="AG1005" s="588"/>
    </row>
    <row r="1006" spans="1:33" s="210" customFormat="1" ht="15.75" customHeight="1">
      <c r="A1006" s="203" t="str">
        <f>IF(B1006&lt;&gt;"",IF(AND(B1006&gt;=_TM1,B1006&lt;=_TM2,OR(TH!L1006="1111",TH!M1006="1111")),TH!D1006,""),"")</f>
        <v/>
      </c>
      <c r="B1006" s="36" t="str">
        <f t="shared" si="53"/>
        <v/>
      </c>
      <c r="C1006" s="183"/>
      <c r="D1006" s="190"/>
      <c r="E1006" s="190"/>
      <c r="F1006" s="191"/>
      <c r="G1006" s="481"/>
      <c r="H1006" s="192"/>
      <c r="I1006" s="255"/>
      <c r="J1006" s="257"/>
      <c r="K1006" s="37"/>
      <c r="L1006" s="193"/>
      <c r="M1006" s="193"/>
      <c r="N1006" s="51" t="str">
        <f>IF(AND('331-CT'!$E$7=TH!H1006,OR(L1006="331",M1006="331")),"331",IF(AND(OR(L1006="131",M1006="131"),H1006='131-CT'!$E$7),"131",""))</f>
        <v/>
      </c>
      <c r="O1006" s="887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909"/>
      <c r="AC1006" s="588"/>
      <c r="AD1006" s="588"/>
      <c r="AF1006" s="588"/>
      <c r="AG1006" s="588"/>
    </row>
    <row r="1007" spans="1:33" s="210" customFormat="1" ht="15.75" customHeight="1">
      <c r="A1007" s="203" t="str">
        <f>IF(B1007&lt;&gt;"",IF(AND(B1007&gt;=_TM1,B1007&lt;=_TM2,OR(TH!L1007="1111",TH!M1007="1111")),TH!D1007,""),"")</f>
        <v/>
      </c>
      <c r="B1007" s="36" t="str">
        <f t="shared" si="53"/>
        <v/>
      </c>
      <c r="C1007" s="183"/>
      <c r="D1007" s="190"/>
      <c r="E1007" s="190"/>
      <c r="F1007" s="191"/>
      <c r="G1007" s="481"/>
      <c r="H1007" s="192"/>
      <c r="I1007" s="257"/>
      <c r="J1007" s="257"/>
      <c r="K1007" s="37"/>
      <c r="L1007" s="193"/>
      <c r="M1007" s="193"/>
      <c r="N1007" s="51" t="str">
        <f>IF(AND('331-CT'!$E$7=TH!H1007,OR(L1007="331",M1007="331")),"331",IF(AND(OR(L1007="131",M1007="131"),H1007='131-CT'!$E$7),"131",""))</f>
        <v/>
      </c>
      <c r="O1007" s="887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909"/>
      <c r="AC1007" s="588"/>
      <c r="AD1007" s="588"/>
      <c r="AF1007" s="588"/>
      <c r="AG1007" s="588"/>
    </row>
    <row r="1008" spans="1:33" s="210" customFormat="1" ht="15.75" customHeight="1">
      <c r="A1008" s="203" t="str">
        <f>IF(B1008&lt;&gt;"",IF(AND(B1008&gt;=_TM1,B1008&lt;=_TM2,OR(TH!L1008="1111",TH!M1008="1111")),TH!D1008,""),"")</f>
        <v/>
      </c>
      <c r="B1008" s="36" t="str">
        <f t="shared" si="53"/>
        <v/>
      </c>
      <c r="C1008" s="183"/>
      <c r="D1008" s="190"/>
      <c r="E1008" s="190"/>
      <c r="F1008" s="191"/>
      <c r="G1008" s="481"/>
      <c r="H1008" s="192"/>
      <c r="I1008" s="255"/>
      <c r="J1008" s="257"/>
      <c r="K1008" s="37"/>
      <c r="L1008" s="193"/>
      <c r="M1008" s="193"/>
      <c r="N1008" s="51" t="str">
        <f>IF(AND('331-CT'!$E$7=TH!H1008,OR(L1008="331",M1008="331")),"331",IF(AND(OR(L1008="131",M1008="131"),H1008='131-CT'!$E$7),"131",""))</f>
        <v/>
      </c>
      <c r="O1008" s="887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909"/>
      <c r="AC1008" s="588"/>
      <c r="AD1008" s="588"/>
      <c r="AF1008" s="588"/>
      <c r="AG1008" s="588"/>
    </row>
    <row r="1009" spans="1:33" s="210" customFormat="1" ht="15.75" customHeight="1">
      <c r="A1009" s="203" t="str">
        <f>IF(B1009&lt;&gt;"",IF(AND(B1009&gt;=_TM1,B1009&lt;=_TM2,OR(TH!L1009="1111",TH!M1009="1111")),TH!D1009,""),"")</f>
        <v/>
      </c>
      <c r="B1009" s="36" t="str">
        <f t="shared" si="53"/>
        <v/>
      </c>
      <c r="C1009" s="183"/>
      <c r="D1009" s="190"/>
      <c r="E1009" s="190"/>
      <c r="F1009" s="191"/>
      <c r="G1009" s="481"/>
      <c r="H1009" s="192"/>
      <c r="I1009" s="255"/>
      <c r="J1009" s="257"/>
      <c r="K1009" s="37"/>
      <c r="L1009" s="193"/>
      <c r="M1009" s="193"/>
      <c r="N1009" s="51" t="str">
        <f>IF(AND('331-CT'!$E$7=TH!H1009,OR(L1009="331",M1009="331")),"331",IF(AND(OR(L1009="131",M1009="131"),H1009='131-CT'!$E$7),"131",""))</f>
        <v/>
      </c>
      <c r="O1009" s="887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909"/>
      <c r="AC1009" s="588"/>
      <c r="AD1009" s="588"/>
      <c r="AF1009" s="588"/>
      <c r="AG1009" s="588"/>
    </row>
    <row r="1010" spans="1:33" s="210" customFormat="1" ht="15.75" customHeight="1">
      <c r="A1010" s="203" t="str">
        <f>IF(B1010&lt;&gt;"",IF(AND(B1010&gt;=_TM1,B1010&lt;=_TM2,OR(TH!L1010="1111",TH!M1010="1111")),TH!D1010,""),"")</f>
        <v/>
      </c>
      <c r="B1010" s="36" t="str">
        <f t="shared" si="53"/>
        <v/>
      </c>
      <c r="C1010" s="183"/>
      <c r="D1010" s="190"/>
      <c r="E1010" s="190"/>
      <c r="F1010" s="191"/>
      <c r="G1010" s="481"/>
      <c r="H1010" s="192"/>
      <c r="I1010" s="255"/>
      <c r="J1010" s="257"/>
      <c r="K1010" s="37"/>
      <c r="L1010" s="193"/>
      <c r="M1010" s="193"/>
      <c r="N1010" s="51" t="str">
        <f>IF(AND('331-CT'!$E$7=TH!H1010,OR(L1010="331",M1010="331")),"331",IF(AND(OR(L1010="131",M1010="131"),H1010='131-CT'!$E$7),"131",""))</f>
        <v/>
      </c>
      <c r="O1010" s="887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909"/>
      <c r="AC1010" s="588"/>
      <c r="AD1010" s="588"/>
      <c r="AF1010" s="588"/>
      <c r="AG1010" s="588"/>
    </row>
    <row r="1011" spans="1:33" s="210" customFormat="1" ht="15.75" customHeight="1">
      <c r="A1011" s="203" t="str">
        <f>IF(B1011&lt;&gt;"",IF(AND(B1011&gt;=_TM1,B1011&lt;=_TM2,OR(TH!L1011="1111",TH!M1011="1111")),TH!D1011,""),"")</f>
        <v/>
      </c>
      <c r="B1011" s="36" t="str">
        <f t="shared" si="53"/>
        <v/>
      </c>
      <c r="C1011" s="183"/>
      <c r="D1011" s="190"/>
      <c r="E1011" s="190"/>
      <c r="F1011" s="188"/>
      <c r="G1011" s="481"/>
      <c r="H1011" s="7"/>
      <c r="I1011" s="256"/>
      <c r="J1011" s="256"/>
      <c r="K1011" s="37"/>
      <c r="L1011" s="193"/>
      <c r="M1011" s="193"/>
      <c r="N1011" s="51" t="str">
        <f>IF(AND('331-CT'!$E$7=TH!H1011,OR(L1011="331",M1011="331")),"331",IF(AND(OR(L1011="131",M1011="131"),H1011='131-CT'!$E$7),"131",""))</f>
        <v/>
      </c>
      <c r="O1011" s="887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909"/>
      <c r="AC1011" s="588"/>
      <c r="AD1011" s="588"/>
    </row>
    <row r="1012" spans="1:33" s="210" customFormat="1" ht="15.75" customHeight="1">
      <c r="A1012" s="203" t="str">
        <f>IF(B1012&lt;&gt;"",IF(AND(B1012&gt;=_TM1,B1012&lt;=_TM2,OR(TH!L1012="1111",TH!M1012="1111")),TH!D1012,""),"")</f>
        <v/>
      </c>
      <c r="B1012" s="36" t="str">
        <f t="shared" si="53"/>
        <v/>
      </c>
      <c r="C1012" s="183"/>
      <c r="D1012" s="190"/>
      <c r="E1012" s="190"/>
      <c r="F1012" s="188"/>
      <c r="G1012" s="481"/>
      <c r="H1012" s="7"/>
      <c r="I1012" s="256"/>
      <c r="J1012" s="256"/>
      <c r="K1012" s="596"/>
      <c r="L1012" s="193"/>
      <c r="M1012" s="193"/>
      <c r="N1012" s="51" t="str">
        <f>IF(AND('331-CT'!$E$7=TH!H1012,OR(L1012="331",M1012="331")),"331",IF(AND(OR(L1012="131",M1012="131"),H1012='131-CT'!$E$7),"131",""))</f>
        <v/>
      </c>
      <c r="O1012" s="887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909"/>
      <c r="AC1012" s="588"/>
      <c r="AD1012" s="588"/>
    </row>
    <row r="1013" spans="1:33" s="210" customFormat="1" ht="15.75" customHeight="1">
      <c r="A1013" s="203" t="str">
        <f>IF(B1013&lt;&gt;"",IF(AND(B1013&gt;=_TM1,B1013&lt;=_TM2,OR(TH!L1013="1111",TH!M1013="1111")),TH!D1013,""),"")</f>
        <v/>
      </c>
      <c r="B1013" s="36" t="str">
        <f t="shared" si="53"/>
        <v/>
      </c>
      <c r="C1013" s="183"/>
      <c r="D1013" s="190"/>
      <c r="E1013" s="190"/>
      <c r="F1013" s="188"/>
      <c r="G1013" s="481"/>
      <c r="H1013" s="7"/>
      <c r="I1013" s="256"/>
      <c r="J1013" s="256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87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909"/>
      <c r="AC1013" s="588"/>
      <c r="AD1013" s="588"/>
    </row>
    <row r="1014" spans="1:33" s="210" customFormat="1" ht="15.75" customHeight="1">
      <c r="A1014" s="203" t="str">
        <f>IF(B1014&lt;&gt;"",IF(AND(B1014&gt;=_TM1,B1014&lt;=_TM2,OR(TH!L1014="1111",TH!M1014="1111")),TH!D1014,""),"")</f>
        <v/>
      </c>
      <c r="B1014" s="36" t="str">
        <f t="shared" si="53"/>
        <v/>
      </c>
      <c r="C1014" s="183"/>
      <c r="D1014" s="190"/>
      <c r="E1014" s="190"/>
      <c r="F1014" s="188"/>
      <c r="G1014" s="481"/>
      <c r="H1014" s="7"/>
      <c r="I1014" s="256"/>
      <c r="J1014" s="256"/>
      <c r="K1014" s="37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87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909"/>
      <c r="AC1014" s="588"/>
      <c r="AD1014" s="588"/>
    </row>
    <row r="1015" spans="1:33" s="210" customFormat="1" ht="15.75" customHeight="1">
      <c r="A1015" s="203" t="str">
        <f>IF(B1015&lt;&gt;"",IF(AND(B1015&gt;=_TM1,B1015&lt;=_TM2,OR(TH!L1015="1111",TH!M1015="1111")),TH!D1015,""),"")</f>
        <v/>
      </c>
      <c r="B1015" s="36" t="str">
        <f t="shared" si="53"/>
        <v/>
      </c>
      <c r="C1015" s="183"/>
      <c r="D1015" s="190"/>
      <c r="E1015" s="190"/>
      <c r="F1015" s="188"/>
      <c r="G1015" s="481"/>
      <c r="H1015" s="7"/>
      <c r="I1015" s="255"/>
      <c r="J1015" s="255"/>
      <c r="K1015" s="37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87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909"/>
      <c r="AC1015" s="588"/>
      <c r="AD1015" s="588"/>
    </row>
    <row r="1016" spans="1:33" s="210" customFormat="1" ht="15.75" customHeight="1">
      <c r="A1016" s="203" t="str">
        <f>IF(B1016&lt;&gt;"",IF(AND(B1016&gt;=_TM1,B1016&lt;=_TM2,OR(TH!L1016="1111",TH!M1016="1111")),TH!D1016,""),"")</f>
        <v/>
      </c>
      <c r="B1016" s="36" t="str">
        <f t="shared" si="53"/>
        <v/>
      </c>
      <c r="C1016" s="183"/>
      <c r="D1016" s="190"/>
      <c r="E1016" s="190"/>
      <c r="F1016" s="188"/>
      <c r="G1016" s="481"/>
      <c r="H1016" s="7"/>
      <c r="I1016" s="255"/>
      <c r="J1016" s="255"/>
      <c r="K1016" s="596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87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909"/>
      <c r="AC1016" s="588"/>
      <c r="AD1016" s="588"/>
    </row>
    <row r="1017" spans="1:33" s="210" customFormat="1" ht="15.75" customHeight="1">
      <c r="A1017" s="203" t="str">
        <f>IF(B1017&lt;&gt;"",IF(AND(B1017&gt;=_TM1,B1017&lt;=_TM2,OR(TH!L1017="1111",TH!M1017="1111")),TH!D1017,""),"")</f>
        <v/>
      </c>
      <c r="B1017" s="36" t="str">
        <f t="shared" si="53"/>
        <v/>
      </c>
      <c r="C1017" s="183"/>
      <c r="D1017" s="190"/>
      <c r="E1017" s="190"/>
      <c r="F1017" s="188"/>
      <c r="G1017" s="481"/>
      <c r="H1017" s="192"/>
      <c r="I1017" s="255"/>
      <c r="J1017" s="255"/>
      <c r="K1017" s="37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87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909"/>
      <c r="AC1017" s="588"/>
    </row>
    <row r="1018" spans="1:33" s="210" customFormat="1" ht="15.75" customHeight="1">
      <c r="A1018" s="203" t="str">
        <f>IF(B1018&lt;&gt;"",IF(AND(B1018&gt;=_TM1,B1018&lt;=_TM2,OR(TH!L1018="1111",TH!M1018="1111")),TH!D1018,""),"")</f>
        <v/>
      </c>
      <c r="B1018" s="36" t="str">
        <f t="shared" si="53"/>
        <v/>
      </c>
      <c r="C1018" s="183"/>
      <c r="D1018" s="190"/>
      <c r="E1018" s="190"/>
      <c r="F1018" s="188"/>
      <c r="G1018" s="481"/>
      <c r="H1018" s="192"/>
      <c r="I1018" s="255"/>
      <c r="J1018" s="255"/>
      <c r="K1018" s="37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87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909"/>
      <c r="AC1018" s="588"/>
      <c r="AD1018" s="588"/>
    </row>
    <row r="1019" spans="1:33" s="210" customFormat="1" ht="15.75" customHeight="1">
      <c r="A1019" s="203" t="str">
        <f>IF(B1019&lt;&gt;"",IF(AND(B1019&gt;=_TM1,B1019&lt;=_TM2,OR(TH!L1019="1111",TH!M1019="1111")),TH!D1019,""),"")</f>
        <v/>
      </c>
      <c r="B1019" s="36" t="str">
        <f t="shared" si="53"/>
        <v/>
      </c>
      <c r="C1019" s="183"/>
      <c r="D1019" s="190"/>
      <c r="E1019" s="190"/>
      <c r="F1019" s="188"/>
      <c r="G1019" s="481"/>
      <c r="H1019" s="192"/>
      <c r="I1019" s="255"/>
      <c r="J1019" s="255"/>
      <c r="K1019" s="37"/>
      <c r="L1019" s="193"/>
      <c r="M1019" s="193"/>
      <c r="N1019" s="51" t="str">
        <f>IF(AND('331-CT'!$E$7=TH!H1019,OR(L1019="331",M1019="331")),"331",IF(AND(OR(L1019="131",M1019="131"),H1019='131-CT'!$E$7),"131",""))</f>
        <v/>
      </c>
      <c r="O1019" s="887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909"/>
      <c r="AC1019" s="588"/>
      <c r="AD1019" s="588"/>
    </row>
    <row r="1020" spans="1:33" s="210" customFormat="1" ht="15.75" customHeight="1">
      <c r="A1020" s="203" t="str">
        <f>IF(B1020&lt;&gt;"",IF(AND(B1020&gt;=_TM1,B1020&lt;=_TM2,OR(TH!L1020="1111",TH!M1020="1111")),TH!D1020,""),"")</f>
        <v/>
      </c>
      <c r="B1020" s="36" t="str">
        <f t="shared" si="53"/>
        <v/>
      </c>
      <c r="C1020" s="183"/>
      <c r="D1020" s="190"/>
      <c r="E1020" s="190"/>
      <c r="F1020" s="191"/>
      <c r="G1020" s="481"/>
      <c r="H1020" s="192"/>
      <c r="I1020" s="255"/>
      <c r="J1020" s="255"/>
      <c r="K1020" s="596"/>
      <c r="L1020" s="193"/>
      <c r="M1020" s="193"/>
      <c r="N1020" s="51" t="str">
        <f>IF(AND('331-CT'!$E$7=TH!H1020,OR(L1020="331",M1020="331")),"331",IF(AND(OR(L1020="131",M1020="131"),H1020='131-CT'!$E$7),"131",""))</f>
        <v/>
      </c>
      <c r="O1020" s="887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909"/>
      <c r="AC1020" s="588"/>
    </row>
    <row r="1021" spans="1:33" s="210" customFormat="1" ht="15.75" customHeight="1">
      <c r="A1021" s="203" t="str">
        <f>IF(B1021&lt;&gt;"",IF(AND(B1021&gt;=_TM1,B1021&lt;=_TM2,OR(TH!L1021="1111",TH!M1021="1111")),TH!D1021,""),"")</f>
        <v/>
      </c>
      <c r="B1021" s="36" t="str">
        <f t="shared" si="53"/>
        <v/>
      </c>
      <c r="C1021" s="183"/>
      <c r="D1021" s="190"/>
      <c r="E1021" s="190"/>
      <c r="F1021" s="191"/>
      <c r="G1021" s="481"/>
      <c r="H1021" s="192"/>
      <c r="I1021" s="255"/>
      <c r="J1021" s="255"/>
      <c r="K1021" s="37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87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909"/>
      <c r="AC1021" s="588"/>
      <c r="AD1021" s="588"/>
    </row>
    <row r="1022" spans="1:33" s="210" customFormat="1" ht="15.75" customHeight="1">
      <c r="A1022" s="203" t="str">
        <f>IF(B1022&lt;&gt;"",IF(AND(B1022&gt;=_TM1,B1022&lt;=_TM2,OR(TH!L1022="1111",TH!M1022="1111")),TH!D1022,""),"")</f>
        <v/>
      </c>
      <c r="B1022" s="36" t="str">
        <f t="shared" si="53"/>
        <v/>
      </c>
      <c r="C1022" s="183"/>
      <c r="D1022" s="190"/>
      <c r="E1022" s="190"/>
      <c r="F1022" s="188"/>
      <c r="G1022" s="481"/>
      <c r="H1022" s="192"/>
      <c r="I1022" s="255"/>
      <c r="J1022" s="255"/>
      <c r="K1022" s="37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87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909"/>
      <c r="AC1022" s="588"/>
      <c r="AD1022" s="588"/>
    </row>
    <row r="1023" spans="1:33" s="210" customFormat="1" ht="15.75" customHeight="1">
      <c r="A1023" s="203" t="str">
        <f>IF(B1023&lt;&gt;"",IF(AND(B1023&gt;=_TM1,B1023&lt;=_TM2,OR(TH!L1023="1111",TH!M1023="1111")),TH!D1023,""),"")</f>
        <v/>
      </c>
      <c r="B1023" s="36" t="str">
        <f t="shared" si="53"/>
        <v/>
      </c>
      <c r="C1023" s="183"/>
      <c r="D1023" s="190"/>
      <c r="E1023" s="190"/>
      <c r="F1023" s="191"/>
      <c r="G1023" s="481"/>
      <c r="H1023" s="192"/>
      <c r="I1023" s="255"/>
      <c r="J1023" s="255"/>
      <c r="K1023" s="596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87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909"/>
      <c r="AC1023" s="588"/>
      <c r="AD1023" s="588"/>
    </row>
    <row r="1024" spans="1:33" s="210" customFormat="1" ht="15.75" customHeight="1">
      <c r="A1024" s="203" t="str">
        <f>IF(B1024&lt;&gt;"",IF(AND(B1024&gt;=_TM1,B1024&lt;=_TM2,OR(TH!L1024="1111",TH!M1024="1111")),TH!D1024,""),"")</f>
        <v/>
      </c>
      <c r="B1024" s="36" t="str">
        <f t="shared" si="53"/>
        <v/>
      </c>
      <c r="C1024" s="183"/>
      <c r="D1024" s="190"/>
      <c r="E1024" s="190"/>
      <c r="F1024" s="191"/>
      <c r="G1024" s="481"/>
      <c r="H1024" s="192"/>
      <c r="I1024" s="255"/>
      <c r="J1024" s="255"/>
      <c r="K1024" s="37"/>
      <c r="L1024" s="193"/>
      <c r="M1024" s="193"/>
      <c r="N1024" s="51" t="str">
        <f>IF(AND('331-CT'!$E$7=TH!H1024,OR(L1024="331",M1024="331")),"331",IF(AND(OR(L1024="131",M1024="131"),H1024='131-CT'!$E$7),"131",""))</f>
        <v/>
      </c>
      <c r="O1024" s="887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909"/>
      <c r="AC1024" s="588"/>
      <c r="AD1024" s="588"/>
    </row>
    <row r="1025" spans="1:33" s="210" customFormat="1" ht="15.75" customHeight="1">
      <c r="A1025" s="203" t="str">
        <f>IF(B1025&lt;&gt;"",IF(AND(B1025&gt;=_TM1,B1025&lt;=_TM2,OR(TH!L1025="1111",TH!M1025="1111")),TH!D1025,""),"")</f>
        <v/>
      </c>
      <c r="B1025" s="36" t="str">
        <f t="shared" si="53"/>
        <v/>
      </c>
      <c r="C1025" s="183"/>
      <c r="D1025" s="190"/>
      <c r="E1025" s="190"/>
      <c r="F1025" s="188"/>
      <c r="G1025" s="481"/>
      <c r="H1025" s="7"/>
      <c r="I1025" s="256"/>
      <c r="J1025" s="256"/>
      <c r="K1025" s="37"/>
      <c r="L1025" s="193"/>
      <c r="M1025" s="193"/>
      <c r="N1025" s="51" t="str">
        <f>IF(AND('331-CT'!$E$7=TH!H1025,OR(L1025="331",M1025="331")),"331",IF(AND(OR(L1025="131",M1025="131"),H1025='131-CT'!$E$7),"131",""))</f>
        <v/>
      </c>
      <c r="O1025" s="887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909"/>
      <c r="AC1025" s="588"/>
    </row>
    <row r="1026" spans="1:33" s="210" customFormat="1" ht="15.75" customHeight="1">
      <c r="A1026" s="203" t="str">
        <f>IF(B1026&lt;&gt;"",IF(AND(B1026&gt;=_TM1,B1026&lt;=_TM2,OR(TH!L1026="1111",TH!M1026="1111")),TH!D1026,""),"")</f>
        <v/>
      </c>
      <c r="B1026" s="36" t="str">
        <f t="shared" si="53"/>
        <v/>
      </c>
      <c r="C1026" s="183"/>
      <c r="D1026" s="190"/>
      <c r="E1026" s="190"/>
      <c r="F1026" s="188"/>
      <c r="G1026" s="481"/>
      <c r="H1026" s="888"/>
      <c r="I1026" s="255"/>
      <c r="J1026" s="255"/>
      <c r="K1026" s="37"/>
      <c r="L1026" s="193"/>
      <c r="M1026" s="193"/>
      <c r="N1026" s="51" t="str">
        <f>IF(AND('331-CT'!$E$7=TH!H1026,OR(L1026="331",M1026="331")),"331",IF(AND(OR(L1026="131",M1026="131"),H1026='131-CT'!$E$7),"131",""))</f>
        <v/>
      </c>
      <c r="O1026" s="887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909"/>
      <c r="AC1026" s="588"/>
      <c r="AD1026" s="588"/>
    </row>
    <row r="1027" spans="1:33" s="210" customFormat="1" ht="15.75" customHeight="1">
      <c r="A1027" s="203" t="str">
        <f>IF(B1027&lt;&gt;"",IF(AND(B1027&gt;=_TM1,B1027&lt;=_TM2,OR(TH!L1027="1111",TH!M1027="1111")),TH!D1027,""),"")</f>
        <v/>
      </c>
      <c r="B1027" s="36" t="str">
        <f t="shared" si="53"/>
        <v/>
      </c>
      <c r="C1027" s="183"/>
      <c r="D1027" s="190"/>
      <c r="E1027" s="190"/>
      <c r="F1027" s="188"/>
      <c r="G1027" s="481"/>
      <c r="H1027" s="888"/>
      <c r="I1027" s="255"/>
      <c r="J1027" s="255"/>
      <c r="K1027" s="37"/>
      <c r="L1027" s="193"/>
      <c r="M1027" s="193"/>
      <c r="N1027" s="51" t="str">
        <f>IF(AND('331-CT'!$E$7=TH!H1027,OR(L1027="331",M1027="331")),"331",IF(AND(OR(L1027="131",M1027="131"),H1027='131-CT'!$E$7),"131",""))</f>
        <v/>
      </c>
      <c r="O1027" s="887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909"/>
      <c r="AC1027" s="588"/>
      <c r="AD1027" s="588"/>
    </row>
    <row r="1028" spans="1:33" s="210" customFormat="1" ht="15.75" customHeight="1">
      <c r="A1028" s="203" t="str">
        <f>IF(B1028&lt;&gt;"",IF(AND(B1028&gt;=_TM1,B1028&lt;=_TM2,OR(TH!L1028="1111",TH!M1028="1111")),TH!D1028,""),"")</f>
        <v/>
      </c>
      <c r="B1028" s="36" t="str">
        <f t="shared" si="53"/>
        <v/>
      </c>
      <c r="C1028" s="183"/>
      <c r="D1028" s="190"/>
      <c r="E1028" s="190"/>
      <c r="F1028" s="188"/>
      <c r="G1028" s="481"/>
      <c r="H1028" s="888"/>
      <c r="I1028" s="256"/>
      <c r="J1028" s="256"/>
      <c r="K1028" s="37"/>
      <c r="L1028" s="193"/>
      <c r="M1028" s="193"/>
      <c r="N1028" s="51" t="str">
        <f>IF(AND('331-CT'!$E$7=TH!H1028,OR(L1028="331",M1028="331")),"331",IF(AND(OR(L1028="131",M1028="131"),H1028='131-CT'!$E$7),"131",""))</f>
        <v/>
      </c>
      <c r="O1028" s="887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909"/>
      <c r="AC1028" s="588"/>
    </row>
    <row r="1029" spans="1:33" s="210" customFormat="1" ht="15.75" customHeight="1">
      <c r="A1029" s="203" t="str">
        <f>IF(B1029&lt;&gt;"",IF(AND(B1029&gt;=_TM1,B1029&lt;=_TM2,OR(TH!L1029="1111",TH!M1029="1111")),TH!D1029,""),"")</f>
        <v/>
      </c>
      <c r="B1029" s="36" t="str">
        <f t="shared" si="53"/>
        <v/>
      </c>
      <c r="C1029" s="183"/>
      <c r="D1029" s="190"/>
      <c r="E1029" s="190"/>
      <c r="F1029" s="188"/>
      <c r="G1029" s="481"/>
      <c r="H1029" s="7"/>
      <c r="I1029" s="255"/>
      <c r="J1029" s="255"/>
      <c r="K1029" s="596"/>
      <c r="L1029" s="193"/>
      <c r="M1029" s="193"/>
      <c r="N1029" s="51" t="str">
        <f>IF(AND('331-CT'!$E$7=TH!H1029,OR(L1029="331",M1029="331")),"331",IF(AND(OR(L1029="131",M1029="131"),H1029='131-CT'!$E$7),"131",""))</f>
        <v/>
      </c>
      <c r="O1029" s="887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909"/>
      <c r="AC1029" s="588"/>
      <c r="AD1029" s="588"/>
    </row>
    <row r="1030" spans="1:33" s="210" customFormat="1" ht="15.75" customHeight="1">
      <c r="A1030" s="203" t="str">
        <f>IF(B1030&lt;&gt;"",IF(AND(B1030&gt;=_TM1,B1030&lt;=_TM2,OR(TH!L1030="1111",TH!M1030="1111")),TH!D1030,""),"")</f>
        <v/>
      </c>
      <c r="B1030" s="36" t="str">
        <f t="shared" si="53"/>
        <v/>
      </c>
      <c r="C1030" s="183"/>
      <c r="D1030" s="190"/>
      <c r="E1030" s="190"/>
      <c r="F1030" s="188"/>
      <c r="G1030" s="481"/>
      <c r="H1030" s="7"/>
      <c r="I1030" s="256"/>
      <c r="J1030" s="256"/>
      <c r="K1030" s="37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87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909"/>
      <c r="AC1030" s="588"/>
    </row>
    <row r="1031" spans="1:33" s="210" customFormat="1" ht="15.75" customHeight="1">
      <c r="A1031" s="203" t="str">
        <f>IF(B1031&lt;&gt;"",IF(AND(B1031&gt;=_TM1,B1031&lt;=_TM2,OR(TH!L1031="1111",TH!M1031="1111")),TH!D1031,""),"")</f>
        <v/>
      </c>
      <c r="B1031" s="36" t="str">
        <f t="shared" si="53"/>
        <v/>
      </c>
      <c r="C1031" s="183"/>
      <c r="D1031" s="190"/>
      <c r="E1031" s="190"/>
      <c r="F1031" s="191"/>
      <c r="G1031" s="481"/>
      <c r="H1031" s="44"/>
      <c r="I1031" s="255"/>
      <c r="J1031" s="255"/>
      <c r="K1031" s="37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87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909"/>
      <c r="AC1031" s="588"/>
      <c r="AD1031" s="588"/>
    </row>
    <row r="1032" spans="1:33" s="210" customFormat="1" ht="15.75" customHeight="1">
      <c r="A1032" s="203" t="str">
        <f>IF(B1032&lt;&gt;"",IF(AND(B1032&gt;=_TM1,B1032&lt;=_TM2,OR(TH!L1032="1111",TH!M1032="1111")),TH!D1032,""),"")</f>
        <v/>
      </c>
      <c r="B1032" s="36" t="str">
        <f t="shared" si="53"/>
        <v/>
      </c>
      <c r="C1032" s="183"/>
      <c r="D1032" s="190"/>
      <c r="E1032" s="190"/>
      <c r="F1032" s="191"/>
      <c r="G1032" s="481"/>
      <c r="H1032" s="888"/>
      <c r="I1032" s="255"/>
      <c r="J1032" s="255"/>
      <c r="K1032" s="37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87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909"/>
      <c r="AC1032" s="588"/>
      <c r="AD1032" s="588"/>
    </row>
    <row r="1033" spans="1:33" s="210" customFormat="1" ht="15.75" customHeight="1">
      <c r="A1033" s="203" t="str">
        <f>IF(B1033&lt;&gt;"",IF(AND(B1033&gt;=_TM1,B1033&lt;=_TM2,OR(TH!L1033="1111",TH!M1033="1111")),TH!D1033,""),"")</f>
        <v/>
      </c>
      <c r="B1033" s="36" t="str">
        <f t="shared" si="53"/>
        <v/>
      </c>
      <c r="C1033" s="183"/>
      <c r="D1033" s="190"/>
      <c r="E1033" s="190"/>
      <c r="F1033" s="188"/>
      <c r="G1033" s="481"/>
      <c r="H1033" s="888"/>
      <c r="I1033" s="255"/>
      <c r="J1033" s="255"/>
      <c r="K1033" s="596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87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909"/>
      <c r="AC1033" s="588"/>
    </row>
    <row r="1034" spans="1:33" s="210" customFormat="1" ht="15.75" customHeight="1">
      <c r="A1034" s="203" t="str">
        <f>IF(B1034&lt;&gt;"",IF(AND(B1034&gt;=_TM1,B1034&lt;=_TM2,OR(TH!L1034="1111",TH!M1034="1111")),TH!D1034,""),"")</f>
        <v/>
      </c>
      <c r="B1034" s="36" t="str">
        <f t="shared" si="53"/>
        <v/>
      </c>
      <c r="C1034" s="183"/>
      <c r="D1034" s="190"/>
      <c r="E1034" s="190"/>
      <c r="F1034" s="188"/>
      <c r="G1034" s="481"/>
      <c r="H1034" s="192"/>
      <c r="I1034" s="255"/>
      <c r="J1034" s="255"/>
      <c r="K1034" s="37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87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909"/>
      <c r="AC1034" s="588"/>
      <c r="AD1034" s="588"/>
    </row>
    <row r="1035" spans="1:33" s="210" customFormat="1" ht="15.75" customHeight="1">
      <c r="A1035" s="203" t="str">
        <f>IF(B1035&lt;&gt;"",IF(AND(B1035&gt;=_TM1,B1035&lt;=_TM2,OR(TH!L1035="1111",TH!M1035="1111")),TH!D1035,""),"")</f>
        <v/>
      </c>
      <c r="B1035" s="36" t="str">
        <f t="shared" si="53"/>
        <v/>
      </c>
      <c r="C1035" s="183"/>
      <c r="D1035" s="190"/>
      <c r="E1035" s="190"/>
      <c r="F1035" s="191"/>
      <c r="G1035" s="481"/>
      <c r="H1035" s="192"/>
      <c r="I1035" s="255"/>
      <c r="J1035" s="255"/>
      <c r="K1035" s="37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87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909"/>
      <c r="AC1035" s="588"/>
      <c r="AD1035" s="588"/>
    </row>
    <row r="1036" spans="1:33" s="210" customFormat="1" ht="15.75" customHeight="1">
      <c r="A1036" s="203" t="str">
        <f>IF(B1036&lt;&gt;"",IF(AND(B1036&gt;=_TM1,B1036&lt;=_TM2,OR(TH!L1036="1111",TH!M1036="1111")),TH!D1036,""),"")</f>
        <v/>
      </c>
      <c r="B1036" s="36" t="str">
        <f t="shared" si="53"/>
        <v/>
      </c>
      <c r="C1036" s="183"/>
      <c r="D1036" s="190"/>
      <c r="E1036" s="190"/>
      <c r="F1036" s="188"/>
      <c r="G1036" s="481"/>
      <c r="H1036" s="7"/>
      <c r="I1036" s="255"/>
      <c r="J1036" s="255"/>
      <c r="K1036" s="37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87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909"/>
      <c r="AC1036" s="588"/>
    </row>
    <row r="1037" spans="1:33" s="210" customFormat="1" ht="15.75" customHeight="1">
      <c r="A1037" s="203" t="str">
        <f>IF(B1037&lt;&gt;"",IF(AND(B1037&gt;=_TM1,B1037&lt;=_TM2,OR(TH!L1037="1111",TH!M1037="1111")),TH!D1037,""),"")</f>
        <v/>
      </c>
      <c r="B1037" s="36" t="str">
        <f t="shared" si="53"/>
        <v/>
      </c>
      <c r="C1037" s="183"/>
      <c r="D1037" s="190"/>
      <c r="E1037" s="190"/>
      <c r="F1037" s="191"/>
      <c r="G1037" s="479"/>
      <c r="H1037" s="44"/>
      <c r="I1037" s="255"/>
      <c r="J1037" s="255"/>
      <c r="K1037" s="37"/>
      <c r="L1037" s="193"/>
      <c r="M1037" s="597"/>
      <c r="N1037" s="51" t="str">
        <f>IF(AND('331-CT'!$E$7=TH!H1037,OR(L1037="331",M1037="331")),"331",IF(AND(OR(L1037="131",M1037="131"),H1037='131-CT'!$E$7),"131",""))</f>
        <v/>
      </c>
      <c r="O1037" s="887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909"/>
      <c r="AC1037" s="588"/>
      <c r="AF1037" s="588"/>
      <c r="AG1037" s="588"/>
    </row>
    <row r="1038" spans="1:33" s="858" customFormat="1" ht="15.75" customHeight="1">
      <c r="A1038" s="203" t="str">
        <f>IF(B1038&lt;&gt;"",IF(AND(B1038&gt;=_TM1,B1038&lt;=_TM2,OR(TH!L1038="1111",TH!M1038="1111")),TH!D1038,""),"")</f>
        <v/>
      </c>
      <c r="B1038" s="36" t="str">
        <f t="shared" si="53"/>
        <v/>
      </c>
      <c r="C1038" s="183"/>
      <c r="D1038" s="190"/>
      <c r="E1038" s="190"/>
      <c r="F1038" s="191"/>
      <c r="G1038" s="479"/>
      <c r="H1038" s="44"/>
      <c r="I1038" s="257"/>
      <c r="J1038" s="255"/>
      <c r="K1038" s="37"/>
      <c r="L1038" s="193"/>
      <c r="M1038" s="597"/>
      <c r="N1038" s="51" t="str">
        <f>IF(AND('331-CT'!$E$7=TH!H1038,OR(L1038="331",M1038="331")),"331",IF(AND(OR(L1038="131",M1038="131"),H1038='131-CT'!$E$7),"131",""))</f>
        <v/>
      </c>
      <c r="O1038" s="887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909"/>
      <c r="AC1038" s="588"/>
      <c r="AD1038" s="588"/>
      <c r="AE1038" s="210"/>
      <c r="AF1038" s="588"/>
      <c r="AG1038" s="588"/>
    </row>
    <row r="1039" spans="1:33" s="210" customFormat="1" ht="15.75" customHeight="1">
      <c r="A1039" s="203" t="str">
        <f>IF(B1039&lt;&gt;"",IF(AND(B1039&gt;=_TM1,B1039&lt;=_TM2,OR(TH!L1039="1111",TH!M1039="1111")),TH!D1039,""),"")</f>
        <v/>
      </c>
      <c r="B1039" s="36" t="str">
        <f t="shared" si="53"/>
        <v/>
      </c>
      <c r="C1039" s="183"/>
      <c r="D1039" s="190"/>
      <c r="E1039" s="190"/>
      <c r="F1039" s="191"/>
      <c r="G1039" s="481"/>
      <c r="H1039" s="192"/>
      <c r="I1039" s="255"/>
      <c r="J1039" s="255"/>
      <c r="K1039" s="37"/>
      <c r="L1039" s="193"/>
      <c r="M1039" s="193"/>
      <c r="N1039" s="51" t="str">
        <f>IF(AND('331-CT'!$E$7=TH!H1039,OR(L1039="331",M1039="331")),"331",IF(AND(OR(L1039="131",M1039="131"),H1039='131-CT'!$E$7),"131",""))</f>
        <v/>
      </c>
      <c r="O1039" s="887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38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1" t="str">
        <f>IF(OR(TH!L1039=TH!$W$7,M1039=TH!$W$7),"x","")</f>
        <v/>
      </c>
      <c r="X1039" s="51" t="str">
        <f>IF(AND(B1039&gt;='IN-NX'!$P$3,B1039&lt;='IN-NX'!$Q$3,'IN-NX'!$D$7=D1039,OR(LEFT(L1039,2)="15",AND(LEFT(M1039,2)&lt;&gt;"15",LEFT(M1039,2)&lt;&gt;"33"))),"x","")</f>
        <v/>
      </c>
      <c r="Y1039" s="51" t="str">
        <f>IF(AND(OR(LEFT(TH!L1039,2)="15",LEFT(TH!M1039,2)="15"),'152-CT'!$J$8=TH!F1039),"x","")</f>
        <v/>
      </c>
      <c r="Z1039" s="51" t="str">
        <f>IF(AND(OR(LEFT(TH!L1039,2)="15",LEFT(TH!M1039,2)="15"),TK!$E$7=TH!F1039),"x","")</f>
        <v/>
      </c>
      <c r="AA1039" s="51" t="str">
        <f>IF(AND(B1039&lt;=NKC!$N$8,B1039&gt;=NKC!$M$8),"x","")</f>
        <v/>
      </c>
      <c r="AB1039" s="909"/>
      <c r="AC1039" s="588"/>
      <c r="AD1039" s="588"/>
    </row>
    <row r="1040" spans="1:33" s="210" customFormat="1" ht="15.75" customHeight="1">
      <c r="A1040" s="203" t="str">
        <f>IF(B1040&lt;&gt;"",IF(AND(B1040&gt;=_TM1,B1040&lt;=_TM2,OR(TH!L1040="1111",TH!M1040="1111")),TH!D1040,""),"")</f>
        <v/>
      </c>
      <c r="B1040" s="36" t="str">
        <f t="shared" si="53"/>
        <v/>
      </c>
      <c r="C1040" s="183"/>
      <c r="D1040" s="190"/>
      <c r="E1040" s="190"/>
      <c r="F1040" s="191"/>
      <c r="G1040" s="481"/>
      <c r="H1040" s="192"/>
      <c r="I1040" s="255"/>
      <c r="J1040" s="255"/>
      <c r="K1040" s="37"/>
      <c r="L1040" s="193"/>
      <c r="M1040" s="193"/>
      <c r="N1040" s="51" t="str">
        <f>IF(AND('331-CT'!$E$7=TH!H1040,OR(L1040="331",M1040="331")),"331",IF(AND(OR(L1040="131",M1040="131"),H1040='131-CT'!$E$7),"131",""))</f>
        <v/>
      </c>
      <c r="O1040" s="887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38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1" t="str">
        <f>IF(OR(TH!L1040=TH!$W$7,M1040=TH!$W$7),"x","")</f>
        <v/>
      </c>
      <c r="X1040" s="51" t="str">
        <f>IF(AND(B1040&gt;='IN-NX'!$P$3,B1040&lt;='IN-NX'!$Q$3,'IN-NX'!$D$7=D1040,OR(LEFT(L1040,2)="15",AND(LEFT(M1040,2)&lt;&gt;"15",LEFT(M1040,2)&lt;&gt;"33"))),"x","")</f>
        <v/>
      </c>
      <c r="Y1040" s="51" t="str">
        <f>IF(AND(OR(LEFT(TH!L1040,2)="15",LEFT(TH!M1040,2)="15"),'152-CT'!$J$8=TH!F1040),"x","")</f>
        <v/>
      </c>
      <c r="Z1040" s="51" t="str">
        <f>IF(AND(OR(LEFT(TH!L1040,2)="15",LEFT(TH!M1040,2)="15"),TK!$E$7=TH!F1040),"x","")</f>
        <v/>
      </c>
      <c r="AA1040" s="51" t="str">
        <f>IF(AND(B1040&lt;=NKC!$N$8,B1040&gt;=NKC!$M$8),"x","")</f>
        <v/>
      </c>
      <c r="AB1040" s="909"/>
      <c r="AC1040" s="588"/>
      <c r="AD1040" s="588"/>
    </row>
    <row r="1041" spans="1:33" s="210" customFormat="1" ht="15.75" customHeight="1">
      <c r="A1041" s="203" t="str">
        <f>IF(B1041&lt;&gt;"",IF(AND(B1041&gt;=_TM1,B1041&lt;=_TM2,OR(TH!L1041="1111",TH!M1041="1111")),TH!D1041,""),"")</f>
        <v/>
      </c>
      <c r="B1041" s="36" t="str">
        <f t="shared" si="53"/>
        <v/>
      </c>
      <c r="C1041" s="183"/>
      <c r="D1041" s="190"/>
      <c r="E1041" s="190"/>
      <c r="F1041" s="191"/>
      <c r="G1041" s="481"/>
      <c r="H1041" s="192"/>
      <c r="I1041" s="256"/>
      <c r="J1041" s="256"/>
      <c r="K1041" s="37"/>
      <c r="L1041" s="193"/>
      <c r="M1041" s="193"/>
      <c r="N1041" s="51" t="str">
        <f>IF(AND('331-CT'!$E$7=TH!H1041,OR(L1041="331",M1041="331")),"331",IF(AND(OR(L1041="131",M1041="131"),H1041='131-CT'!$E$7),"131",""))</f>
        <v/>
      </c>
      <c r="O1041" s="887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38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1" t="str">
        <f>IF(OR(TH!L1041=TH!$W$7,M1041=TH!$W$7),"x","")</f>
        <v/>
      </c>
      <c r="X1041" s="51" t="str">
        <f>IF(AND(B1041&gt;='IN-NX'!$P$3,B1041&lt;='IN-NX'!$Q$3,'IN-NX'!$D$7=D1041,OR(LEFT(L1041,2)="15",AND(LEFT(M1041,2)&lt;&gt;"15",LEFT(M1041,2)&lt;&gt;"33"))),"x","")</f>
        <v/>
      </c>
      <c r="Y1041" s="51" t="str">
        <f>IF(AND(OR(LEFT(TH!L1041,2)="15",LEFT(TH!M1041,2)="15"),'152-CT'!$J$8=TH!F1041),"x","")</f>
        <v/>
      </c>
      <c r="Z1041" s="51" t="str">
        <f>IF(AND(OR(LEFT(TH!L1041,2)="15",LEFT(TH!M1041,2)="15"),TK!$E$7=TH!F1041),"x","")</f>
        <v/>
      </c>
      <c r="AA1041" s="51" t="str">
        <f>IF(AND(B1041&lt;=NKC!$N$8,B1041&gt;=NKC!$M$8),"x","")</f>
        <v/>
      </c>
      <c r="AB1041" s="909"/>
      <c r="AC1041" s="588"/>
      <c r="AD1041" s="588"/>
    </row>
    <row r="1042" spans="1:33" s="210" customFormat="1" ht="15.75" customHeight="1">
      <c r="A1042" s="203" t="str">
        <f>IF(B1042&lt;&gt;"",IF(AND(B1042&gt;=_TM1,B1042&lt;=_TM2,OR(TH!L1042="1111",TH!M1042="1111")),TH!D1042,""),"")</f>
        <v/>
      </c>
      <c r="B1042" s="36" t="str">
        <f t="shared" si="53"/>
        <v/>
      </c>
      <c r="C1042" s="183"/>
      <c r="D1042" s="190"/>
      <c r="E1042" s="190"/>
      <c r="F1042" s="191"/>
      <c r="G1042" s="481"/>
      <c r="H1042" s="192"/>
      <c r="I1042" s="255"/>
      <c r="J1042" s="255"/>
      <c r="K1042" s="596"/>
      <c r="L1042" s="193"/>
      <c r="M1042" s="193"/>
      <c r="N1042" s="51" t="str">
        <f>IF(AND('331-CT'!$E$7=TH!H1042,OR(L1042="331",M1042="331")),"331",IF(AND(OR(L1042="131",M1042="131"),H1042='131-CT'!$E$7),"131",""))</f>
        <v/>
      </c>
      <c r="O1042" s="887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38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1" t="str">
        <f>IF(OR(TH!L1042=TH!$W$7,M1042=TH!$W$7),"x","")</f>
        <v/>
      </c>
      <c r="X1042" s="51" t="str">
        <f>IF(AND(B1042&gt;='IN-NX'!$P$3,B1042&lt;='IN-NX'!$Q$3,'IN-NX'!$D$7=D1042,OR(LEFT(L1042,2)="15",AND(LEFT(M1042,2)&lt;&gt;"15",LEFT(M1042,2)&lt;&gt;"33"))),"x","")</f>
        <v/>
      </c>
      <c r="Y1042" s="51" t="str">
        <f>IF(AND(OR(LEFT(TH!L1042,2)="15",LEFT(TH!M1042,2)="15"),'152-CT'!$J$8=TH!F1042),"x","")</f>
        <v/>
      </c>
      <c r="Z1042" s="51" t="str">
        <f>IF(AND(OR(LEFT(TH!L1042,2)="15",LEFT(TH!M1042,2)="15"),TK!$E$7=TH!F1042),"x","")</f>
        <v/>
      </c>
      <c r="AA1042" s="51" t="str">
        <f>IF(AND(B1042&lt;=NKC!$N$8,B1042&gt;=NKC!$M$8),"x","")</f>
        <v/>
      </c>
      <c r="AB1042" s="909"/>
      <c r="AC1042" s="588"/>
    </row>
    <row r="1043" spans="1:33" s="210" customFormat="1" ht="15.75" customHeight="1">
      <c r="A1043" s="203" t="str">
        <f>IF(B1043&lt;&gt;"",IF(AND(B1043&gt;=_TM1,B1043&lt;=_TM2,OR(TH!L1043="1111",TH!M1043="1111")),TH!D1043,""),"")</f>
        <v/>
      </c>
      <c r="B1043" s="36" t="str">
        <f t="shared" si="53"/>
        <v/>
      </c>
      <c r="C1043" s="183"/>
      <c r="D1043" s="190"/>
      <c r="E1043" s="190"/>
      <c r="F1043" s="296"/>
      <c r="G1043" s="481"/>
      <c r="H1043" s="7"/>
      <c r="I1043" s="255"/>
      <c r="J1043" s="255"/>
      <c r="K1043" s="37"/>
      <c r="L1043" s="193"/>
      <c r="M1043" s="193"/>
      <c r="N1043" s="51" t="str">
        <f>IF(AND('331-CT'!$E$7=TH!H1043,OR(L1043="331",M1043="331")),"331",IF(AND(OR(L1043="131",M1043="131"),H1043='131-CT'!$E$7),"131",""))</f>
        <v/>
      </c>
      <c r="O1043" s="887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38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1" t="str">
        <f>IF(OR(TH!L1043=TH!$W$7,M1043=TH!$W$7),"x","")</f>
        <v/>
      </c>
      <c r="X1043" s="51" t="str">
        <f>IF(AND(B1043&gt;='IN-NX'!$P$3,B1043&lt;='IN-NX'!$Q$3,'IN-NX'!$D$7=D1043,OR(LEFT(L1043,2)="15",AND(LEFT(M1043,2)&lt;&gt;"15",LEFT(M1043,2)&lt;&gt;"33"))),"x","")</f>
        <v/>
      </c>
      <c r="Y1043" s="51" t="str">
        <f>IF(AND(OR(LEFT(TH!L1043,2)="15",LEFT(TH!M1043,2)="15"),'152-CT'!$J$8=TH!F1043),"x","")</f>
        <v/>
      </c>
      <c r="Z1043" s="51" t="str">
        <f>IF(AND(OR(LEFT(TH!L1043,2)="15",LEFT(TH!M1043,2)="15"),TK!$E$7=TH!F1043),"x","")</f>
        <v/>
      </c>
      <c r="AA1043" s="51" t="str">
        <f>IF(AND(B1043&lt;=NKC!$N$8,B1043&gt;=NKC!$M$8),"x","")</f>
        <v/>
      </c>
      <c r="AB1043" s="909"/>
      <c r="AC1043" s="588"/>
      <c r="AD1043" s="588"/>
    </row>
    <row r="1044" spans="1:33" s="210" customFormat="1" ht="15.75" customHeight="1">
      <c r="A1044" s="203" t="str">
        <f>IF(B1044&lt;&gt;"",IF(AND(B1044&gt;=_TM1,B1044&lt;=_TM2,OR(TH!L1044="1111",TH!M1044="1111")),TH!D1044,""),"")</f>
        <v/>
      </c>
      <c r="B1044" s="36" t="str">
        <f t="shared" si="53"/>
        <v/>
      </c>
      <c r="C1044" s="183"/>
      <c r="D1044" s="190"/>
      <c r="E1044" s="190"/>
      <c r="F1044" s="191"/>
      <c r="G1044" s="481"/>
      <c r="H1044" s="7"/>
      <c r="I1044" s="255"/>
      <c r="J1044" s="255"/>
      <c r="K1044" s="596"/>
      <c r="L1044" s="193"/>
      <c r="M1044" s="193"/>
      <c r="N1044" s="51" t="str">
        <f>IF(AND('331-CT'!$E$7=TH!H1044,OR(L1044="331",M1044="331")),"331",IF(AND(OR(L1044="131",M1044="131"),H1044='131-CT'!$E$7),"131",""))</f>
        <v/>
      </c>
      <c r="O1044" s="887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38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1" t="str">
        <f>IF(OR(TH!L1044=TH!$W$7,M1044=TH!$W$7),"x","")</f>
        <v/>
      </c>
      <c r="X1044" s="51" t="str">
        <f>IF(AND(B1044&gt;='IN-NX'!$P$3,B1044&lt;='IN-NX'!$Q$3,'IN-NX'!$D$7=D1044,OR(LEFT(L1044,2)="15",AND(LEFT(M1044,2)&lt;&gt;"15",LEFT(M1044,2)&lt;&gt;"33"))),"x","")</f>
        <v/>
      </c>
      <c r="Y1044" s="51" t="str">
        <f>IF(AND(OR(LEFT(TH!L1044,2)="15",LEFT(TH!M1044,2)="15"),'152-CT'!$J$8=TH!F1044),"x","")</f>
        <v/>
      </c>
      <c r="Z1044" s="51" t="str">
        <f>IF(AND(OR(LEFT(TH!L1044,2)="15",LEFT(TH!M1044,2)="15"),TK!$E$7=TH!F1044),"x","")</f>
        <v/>
      </c>
      <c r="AA1044" s="51" t="str">
        <f>IF(AND(B1044&lt;=NKC!$N$8,B1044&gt;=NKC!$M$8),"x","")</f>
        <v/>
      </c>
      <c r="AB1044" s="909"/>
      <c r="AC1044" s="588"/>
      <c r="AD1044" s="588"/>
    </row>
    <row r="1045" spans="1:33" s="210" customFormat="1" ht="15.75" customHeight="1">
      <c r="A1045" s="203" t="str">
        <f>IF(B1045&lt;&gt;"",IF(AND(B1045&gt;=_TM1,B1045&lt;=_TM2,OR(TH!L1045="1111",TH!M1045="1111")),TH!D1045,""),"")</f>
        <v/>
      </c>
      <c r="B1045" s="36" t="str">
        <f t="shared" si="53"/>
        <v/>
      </c>
      <c r="C1045" s="183"/>
      <c r="D1045" s="190"/>
      <c r="E1045" s="190"/>
      <c r="F1045" s="191"/>
      <c r="G1045" s="481"/>
      <c r="H1045" s="192"/>
      <c r="I1045" s="257"/>
      <c r="J1045" s="257"/>
      <c r="K1045" s="37"/>
      <c r="L1045" s="193"/>
      <c r="M1045" s="193"/>
      <c r="N1045" s="51" t="str">
        <f>IF(AND('331-CT'!$E$7=TH!H1045,OR(L1045="331",M1045="331")),"331",IF(AND(OR(L1045="131",M1045="131"),H1045='131-CT'!$E$7),"131",""))</f>
        <v/>
      </c>
      <c r="O1045" s="887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38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1" t="str">
        <f>IF(OR(TH!L1045=TH!$W$7,M1045=TH!$W$7),"x","")</f>
        <v/>
      </c>
      <c r="X1045" s="51" t="str">
        <f>IF(AND(B1045&gt;='IN-NX'!$P$3,B1045&lt;='IN-NX'!$Q$3,'IN-NX'!$D$7=D1045,OR(LEFT(L1045,2)="15",AND(LEFT(M1045,2)&lt;&gt;"15",LEFT(M1045,2)&lt;&gt;"33"))),"x","")</f>
        <v/>
      </c>
      <c r="Y1045" s="51" t="str">
        <f>IF(AND(OR(LEFT(TH!L1045,2)="15",LEFT(TH!M1045,2)="15"),'152-CT'!$J$8=TH!F1045),"x","")</f>
        <v/>
      </c>
      <c r="Z1045" s="51" t="str">
        <f>IF(AND(OR(LEFT(TH!L1045,2)="15",LEFT(TH!M1045,2)="15"),TK!$E$7=TH!F1045),"x","")</f>
        <v/>
      </c>
      <c r="AA1045" s="51" t="str">
        <f>IF(AND(B1045&lt;=NKC!$N$8,B1045&gt;=NKC!$M$8),"x","")</f>
        <v/>
      </c>
      <c r="AB1045" s="909"/>
      <c r="AC1045" s="588"/>
      <c r="AD1045" s="588"/>
    </row>
    <row r="1046" spans="1:33" s="210" customFormat="1" ht="15.75" customHeight="1">
      <c r="A1046" s="203" t="str">
        <f>IF(B1046&lt;&gt;"",IF(AND(B1046&gt;=_TM1,B1046&lt;=_TM2,OR(TH!L1046="1111",TH!M1046="1111")),TH!D1046,""),"")</f>
        <v/>
      </c>
      <c r="B1046" s="36" t="str">
        <f t="shared" si="53"/>
        <v/>
      </c>
      <c r="C1046" s="183"/>
      <c r="D1046" s="190"/>
      <c r="E1046" s="190"/>
      <c r="F1046" s="191"/>
      <c r="G1046" s="481"/>
      <c r="H1046" s="7"/>
      <c r="I1046" s="255"/>
      <c r="J1046" s="255"/>
      <c r="K1046" s="596"/>
      <c r="L1046" s="193"/>
      <c r="M1046" s="193"/>
      <c r="N1046" s="51" t="str">
        <f>IF(AND('331-CT'!$E$7=TH!H1046,OR(L1046="331",M1046="331")),"331",IF(AND(OR(L1046="131",M1046="131"),H1046='131-CT'!$E$7),"131",""))</f>
        <v/>
      </c>
      <c r="O1046" s="887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38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1" t="str">
        <f>IF(OR(TH!L1046=TH!$W$7,M1046=TH!$W$7),"x","")</f>
        <v/>
      </c>
      <c r="X1046" s="51" t="str">
        <f>IF(AND(B1046&gt;='IN-NX'!$P$3,B1046&lt;='IN-NX'!$Q$3,'IN-NX'!$D$7=D1046,OR(LEFT(L1046,2)="15",AND(LEFT(M1046,2)&lt;&gt;"15",LEFT(M1046,2)&lt;&gt;"33"))),"x","")</f>
        <v/>
      </c>
      <c r="Y1046" s="51" t="str">
        <f>IF(AND(OR(LEFT(TH!L1046,2)="15",LEFT(TH!M1046,2)="15"),'152-CT'!$J$8=TH!F1046),"x","")</f>
        <v/>
      </c>
      <c r="Z1046" s="51" t="str">
        <f>IF(AND(OR(LEFT(TH!L1046,2)="15",LEFT(TH!M1046,2)="15"),TK!$E$7=TH!F1046),"x","")</f>
        <v/>
      </c>
      <c r="AA1046" s="51" t="str">
        <f>IF(AND(B1046&lt;=NKC!$N$8,B1046&gt;=NKC!$M$8),"x","")</f>
        <v/>
      </c>
      <c r="AB1046" s="909"/>
      <c r="AC1046" s="588"/>
      <c r="AD1046" s="588"/>
    </row>
    <row r="1047" spans="1:33" s="210" customFormat="1" ht="15.75" customHeight="1">
      <c r="A1047" s="203" t="str">
        <f>IF(B1047&lt;&gt;"",IF(AND(B1047&gt;=_TM1,B1047&lt;=_TM2,OR(TH!L1047="1111",TH!M1047="1111")),TH!D1047,""),"")</f>
        <v/>
      </c>
      <c r="B1047" s="36" t="str">
        <f t="shared" si="53"/>
        <v/>
      </c>
      <c r="C1047" s="183"/>
      <c r="D1047" s="190"/>
      <c r="E1047" s="190"/>
      <c r="F1047" s="191"/>
      <c r="G1047" s="481"/>
      <c r="H1047" s="7"/>
      <c r="I1047" s="255"/>
      <c r="J1047" s="255"/>
      <c r="K1047" s="37"/>
      <c r="L1047" s="193"/>
      <c r="M1047" s="193"/>
      <c r="N1047" s="51" t="str">
        <f>IF(AND('331-CT'!$E$7=TH!H1047,OR(L1047="331",M1047="331")),"331",IF(AND(OR(L1047="131",M1047="131"),H1047='131-CT'!$E$7),"131",""))</f>
        <v/>
      </c>
      <c r="O1047" s="887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38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1" t="str">
        <f>IF(OR(TH!L1047=TH!$W$7,M1047=TH!$W$7),"x","")</f>
        <v/>
      </c>
      <c r="X1047" s="51" t="str">
        <f>IF(AND(B1047&gt;='IN-NX'!$P$3,B1047&lt;='IN-NX'!$Q$3,'IN-NX'!$D$7=D1047,OR(LEFT(L1047,2)="15",AND(LEFT(M1047,2)&lt;&gt;"15",LEFT(M1047,2)&lt;&gt;"33"))),"x","")</f>
        <v/>
      </c>
      <c r="Y1047" s="51" t="str">
        <f>IF(AND(OR(LEFT(TH!L1047,2)="15",LEFT(TH!M1047,2)="15"),'152-CT'!$J$8=TH!F1047),"x","")</f>
        <v/>
      </c>
      <c r="Z1047" s="51" t="str">
        <f>IF(AND(OR(LEFT(TH!L1047,2)="15",LEFT(TH!M1047,2)="15"),TK!$E$7=TH!F1047),"x","")</f>
        <v/>
      </c>
      <c r="AA1047" s="51" t="str">
        <f>IF(AND(B1047&lt;=NKC!$N$8,B1047&gt;=NKC!$M$8),"x","")</f>
        <v/>
      </c>
      <c r="AB1047" s="909"/>
      <c r="AC1047" s="588"/>
      <c r="AD1047" s="588"/>
    </row>
    <row r="1048" spans="1:33" s="210" customFormat="1" ht="15.75" customHeight="1">
      <c r="A1048" s="203" t="str">
        <f>IF(B1048&lt;&gt;"",IF(AND(B1048&gt;=_TM1,B1048&lt;=_TM2,OR(TH!L1048="1111",TH!M1048="1111")),TH!D1048,""),"")</f>
        <v/>
      </c>
      <c r="B1048" s="36" t="str">
        <f t="shared" si="53"/>
        <v/>
      </c>
      <c r="C1048" s="183"/>
      <c r="D1048" s="190"/>
      <c r="E1048" s="190"/>
      <c r="F1048" s="191"/>
      <c r="G1048" s="481"/>
      <c r="H1048" s="7"/>
      <c r="I1048" s="255"/>
      <c r="J1048" s="255"/>
      <c r="K1048" s="596"/>
      <c r="L1048" s="193"/>
      <c r="M1048" s="193"/>
      <c r="N1048" s="51" t="str">
        <f>IF(AND('331-CT'!$E$7=TH!H1048,OR(L1048="331",M1048="331")),"331",IF(AND(OR(L1048="131",M1048="131"),H1048='131-CT'!$E$7),"131",""))</f>
        <v/>
      </c>
      <c r="O1048" s="887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38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1" t="str">
        <f>IF(OR(TH!L1048=TH!$W$7,M1048=TH!$W$7),"x","")</f>
        <v/>
      </c>
      <c r="X1048" s="51" t="str">
        <f>IF(AND(B1048&gt;='IN-NX'!$P$3,B1048&lt;='IN-NX'!$Q$3,'IN-NX'!$D$7=D1048,OR(LEFT(L1048,2)="15",AND(LEFT(M1048,2)&lt;&gt;"15",LEFT(M1048,2)&lt;&gt;"33"))),"x","")</f>
        <v/>
      </c>
      <c r="Y1048" s="51" t="str">
        <f>IF(AND(OR(LEFT(TH!L1048,2)="15",LEFT(TH!M1048,2)="15"),'152-CT'!$J$8=TH!F1048),"x","")</f>
        <v/>
      </c>
      <c r="Z1048" s="51" t="str">
        <f>IF(AND(OR(LEFT(TH!L1048,2)="15",LEFT(TH!M1048,2)="15"),TK!$E$7=TH!F1048),"x","")</f>
        <v/>
      </c>
      <c r="AA1048" s="51" t="str">
        <f>IF(AND(B1048&lt;=NKC!$N$8,B1048&gt;=NKC!$M$8),"x","")</f>
        <v/>
      </c>
      <c r="AB1048" s="909"/>
      <c r="AC1048" s="588"/>
      <c r="AD1048" s="588"/>
    </row>
    <row r="1049" spans="1:33" s="210" customFormat="1" ht="15.75" customHeight="1">
      <c r="A1049" s="203" t="str">
        <f>IF(B1049&lt;&gt;"",IF(AND(B1049&gt;=_TM1,B1049&lt;=_TM2,OR(TH!L1049="1111",TH!M1049="1111")),TH!D1049,""),"")</f>
        <v/>
      </c>
      <c r="B1049" s="36" t="str">
        <f t="shared" si="53"/>
        <v/>
      </c>
      <c r="C1049" s="183"/>
      <c r="D1049" s="190"/>
      <c r="E1049" s="190"/>
      <c r="F1049" s="191"/>
      <c r="G1049" s="481"/>
      <c r="H1049" s="7"/>
      <c r="I1049" s="256"/>
      <c r="J1049" s="257"/>
      <c r="K1049" s="37"/>
      <c r="L1049" s="193"/>
      <c r="M1049" s="193"/>
      <c r="N1049" s="51" t="str">
        <f>IF(AND('331-CT'!$E$7=TH!H1049,OR(L1049="331",M1049="331")),"331",IF(AND(OR(L1049="131",M1049="131"),H1049='131-CT'!$E$7),"131",""))</f>
        <v/>
      </c>
      <c r="O1049" s="887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38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1" t="str">
        <f>IF(OR(TH!L1049=TH!$W$7,M1049=TH!$W$7),"x","")</f>
        <v/>
      </c>
      <c r="X1049" s="51" t="str">
        <f>IF(AND(B1049&gt;='IN-NX'!$P$3,B1049&lt;='IN-NX'!$Q$3,'IN-NX'!$D$7=D1049,OR(LEFT(L1049,2)="15",AND(LEFT(M1049,2)&lt;&gt;"15",LEFT(M1049,2)&lt;&gt;"33"))),"x","")</f>
        <v/>
      </c>
      <c r="Y1049" s="51" t="str">
        <f>IF(AND(OR(LEFT(TH!L1049,2)="15",LEFT(TH!M1049,2)="15"),'152-CT'!$J$8=TH!F1049),"x","")</f>
        <v/>
      </c>
      <c r="Z1049" s="51" t="str">
        <f>IF(AND(OR(LEFT(TH!L1049,2)="15",LEFT(TH!M1049,2)="15"),TK!$E$7=TH!F1049),"x","")</f>
        <v/>
      </c>
      <c r="AA1049" s="51" t="str">
        <f>IF(AND(B1049&lt;=NKC!$N$8,B1049&gt;=NKC!$M$8),"x","")</f>
        <v/>
      </c>
      <c r="AB1049" s="909"/>
      <c r="AC1049" s="588"/>
      <c r="AD1049" s="588"/>
    </row>
    <row r="1050" spans="1:33" s="210" customFormat="1" ht="15.75" customHeight="1">
      <c r="A1050" s="203" t="str">
        <f>IF(B1050&lt;&gt;"",IF(AND(B1050&gt;=_TM1,B1050&lt;=_TM2,OR(TH!L1050="1111",TH!M1050="1111")),TH!D1050,""),"")</f>
        <v/>
      </c>
      <c r="B1050" s="36" t="str">
        <f t="shared" si="53"/>
        <v/>
      </c>
      <c r="C1050" s="183"/>
      <c r="D1050" s="190"/>
      <c r="E1050" s="190"/>
      <c r="F1050" s="191"/>
      <c r="G1050" s="481"/>
      <c r="H1050" s="7"/>
      <c r="I1050" s="255"/>
      <c r="J1050" s="257"/>
      <c r="K1050" s="37"/>
      <c r="L1050" s="193"/>
      <c r="M1050" s="193"/>
      <c r="N1050" s="51" t="str">
        <f>IF(AND('331-CT'!$E$7=TH!H1050,OR(L1050="331",M1050="331")),"331",IF(AND(OR(L1050="131",M1050="131"),H1050='131-CT'!$E$7),"131",""))</f>
        <v/>
      </c>
      <c r="O1050" s="887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38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1" t="str">
        <f>IF(OR(TH!L1050=TH!$W$7,M1050=TH!$W$7),"x","")</f>
        <v/>
      </c>
      <c r="X1050" s="51" t="str">
        <f>IF(AND(B1050&gt;='IN-NX'!$P$3,B1050&lt;='IN-NX'!$Q$3,'IN-NX'!$D$7=D1050,OR(LEFT(L1050,2)="15",AND(LEFT(M1050,2)&lt;&gt;"15",LEFT(M1050,2)&lt;&gt;"33"))),"x","")</f>
        <v/>
      </c>
      <c r="Y1050" s="51" t="str">
        <f>IF(AND(OR(LEFT(TH!L1050,2)="15",LEFT(TH!M1050,2)="15"),'152-CT'!$J$8=TH!F1050),"x","")</f>
        <v/>
      </c>
      <c r="Z1050" s="51" t="str">
        <f>IF(AND(OR(LEFT(TH!L1050,2)="15",LEFT(TH!M1050,2)="15"),TK!$E$7=TH!F1050),"x","")</f>
        <v/>
      </c>
      <c r="AA1050" s="51" t="str">
        <f>IF(AND(B1050&lt;=NKC!$N$8,B1050&gt;=NKC!$M$8),"x","")</f>
        <v/>
      </c>
      <c r="AB1050" s="909"/>
      <c r="AC1050" s="588"/>
    </row>
    <row r="1051" spans="1:33" s="210" customFormat="1" ht="15.75" customHeight="1">
      <c r="A1051" s="203" t="str">
        <f>IF(B1051&lt;&gt;"",IF(AND(B1051&gt;=_TM1,B1051&lt;=_TM2,OR(TH!L1051="1111",TH!M1051="1111")),TH!D1051,""),"")</f>
        <v/>
      </c>
      <c r="B1051" s="36" t="str">
        <f t="shared" si="53"/>
        <v/>
      </c>
      <c r="C1051" s="183"/>
      <c r="D1051" s="190"/>
      <c r="E1051" s="190"/>
      <c r="F1051" s="191"/>
      <c r="G1051" s="481"/>
      <c r="H1051" s="7"/>
      <c r="I1051" s="255"/>
      <c r="J1051" s="255"/>
      <c r="K1051" s="596"/>
      <c r="L1051" s="193"/>
      <c r="M1051" s="193"/>
      <c r="N1051" s="51" t="str">
        <f>IF(AND('331-CT'!$E$7=TH!H1051,OR(L1051="331",M1051="331")),"331",IF(AND(OR(L1051="131",M1051="131"),H1051='131-CT'!$E$7),"131",""))</f>
        <v/>
      </c>
      <c r="O1051" s="887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38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1" t="str">
        <f>IF(OR(TH!L1051=TH!$W$7,M1051=TH!$W$7),"x","")</f>
        <v/>
      </c>
      <c r="X1051" s="51" t="str">
        <f>IF(AND(B1051&gt;='IN-NX'!$P$3,B1051&lt;='IN-NX'!$Q$3,'IN-NX'!$D$7=D1051,OR(LEFT(L1051,2)="15",AND(LEFT(M1051,2)&lt;&gt;"15",LEFT(M1051,2)&lt;&gt;"33"))),"x","")</f>
        <v/>
      </c>
      <c r="Y1051" s="51" t="str">
        <f>IF(AND(OR(LEFT(TH!L1051,2)="15",LEFT(TH!M1051,2)="15"),'152-CT'!$J$8=TH!F1051),"x","")</f>
        <v/>
      </c>
      <c r="Z1051" s="51" t="str">
        <f>IF(AND(OR(LEFT(TH!L1051,2)="15",LEFT(TH!M1051,2)="15"),TK!$E$7=TH!F1051),"x","")</f>
        <v/>
      </c>
      <c r="AA1051" s="51" t="str">
        <f>IF(AND(B1051&lt;=NKC!$N$8,B1051&gt;=NKC!$M$8),"x","")</f>
        <v/>
      </c>
      <c r="AB1051" s="909"/>
      <c r="AC1051" s="588"/>
      <c r="AD1051" s="588"/>
      <c r="AF1051" s="588"/>
      <c r="AG1051" s="588"/>
    </row>
    <row r="1052" spans="1:33" s="210" customFormat="1" ht="15.75" customHeight="1">
      <c r="A1052" s="203" t="str">
        <f>IF(B1052&lt;&gt;"",IF(AND(B1052&gt;=_TM1,B1052&lt;=_TM2,OR(TH!L1052="1111",TH!M1052="1111")),TH!D1052,""),"")</f>
        <v/>
      </c>
      <c r="B1052" s="36" t="str">
        <f t="shared" si="53"/>
        <v/>
      </c>
      <c r="C1052" s="183"/>
      <c r="D1052" s="190"/>
      <c r="E1052" s="183"/>
      <c r="F1052" s="896"/>
      <c r="G1052" s="481"/>
      <c r="H1052" s="7"/>
      <c r="I1052" s="255"/>
      <c r="J1052" s="255"/>
      <c r="K1052" s="37"/>
      <c r="L1052" s="193"/>
      <c r="M1052" s="193"/>
      <c r="N1052" s="51" t="str">
        <f>IF(AND('331-CT'!$E$7=TH!H1052,OR(L1052="331",M1052="331")),"331",IF(AND(OR(L1052="131",M1052="131"),H1052='131-CT'!$E$7),"131",""))</f>
        <v/>
      </c>
      <c r="O1052" s="887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38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1" t="str">
        <f>IF(OR(TH!L1052=TH!$W$7,M1052=TH!$W$7),"x","")</f>
        <v/>
      </c>
      <c r="X1052" s="51" t="str">
        <f>IF(AND(B1052&gt;='IN-NX'!$P$3,B1052&lt;='IN-NX'!$Q$3,'IN-NX'!$D$7=D1052,OR(LEFT(L1052,2)="15",AND(LEFT(M1052,2)&lt;&gt;"15",LEFT(M1052,2)&lt;&gt;"33"))),"x","")</f>
        <v/>
      </c>
      <c r="Y1052" s="51" t="str">
        <f>IF(AND(OR(LEFT(TH!L1052,2)="15",LEFT(TH!M1052,2)="15"),'152-CT'!$J$8=TH!F1052),"x","")</f>
        <v/>
      </c>
      <c r="Z1052" s="51" t="str">
        <f>IF(AND(OR(LEFT(TH!L1052,2)="15",LEFT(TH!M1052,2)="15"),TK!$E$7=TH!F1052),"x","")</f>
        <v/>
      </c>
      <c r="AA1052" s="51" t="str">
        <f>IF(AND(B1052&lt;=NKC!$N$8,B1052&gt;=NKC!$M$8),"x","")</f>
        <v/>
      </c>
      <c r="AB1052" s="909"/>
      <c r="AC1052" s="588"/>
      <c r="AD1052" s="588"/>
      <c r="AF1052" s="588"/>
      <c r="AG1052" s="588"/>
    </row>
    <row r="1053" spans="1:33" s="210" customFormat="1" ht="15.75" customHeight="1">
      <c r="A1053" s="203" t="str">
        <f>IF(B1053&lt;&gt;"",IF(AND(B1053&gt;=_TM1,B1053&lt;=_TM2,OR(TH!L1053="1111",TH!M1053="1111")),TH!D1053,""),"")</f>
        <v/>
      </c>
      <c r="B1053" s="36" t="str">
        <f t="shared" si="53"/>
        <v/>
      </c>
      <c r="C1053" s="183"/>
      <c r="D1053" s="190"/>
      <c r="E1053" s="183"/>
      <c r="F1053" s="188"/>
      <c r="G1053" s="481"/>
      <c r="H1053" s="7"/>
      <c r="I1053" s="255"/>
      <c r="J1053" s="255"/>
      <c r="K1053" s="37"/>
      <c r="L1053" s="193"/>
      <c r="M1053" s="193"/>
      <c r="N1053" s="51" t="str">
        <f>IF(AND('331-CT'!$E$7=TH!H1053,OR(L1053="331",M1053="331")),"331",IF(AND(OR(L1053="131",M1053="131"),H1053='131-CT'!$E$7),"131",""))</f>
        <v/>
      </c>
      <c r="O1053" s="887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38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1" t="str">
        <f>IF(OR(TH!L1053=TH!$W$7,M1053=TH!$W$7),"x","")</f>
        <v/>
      </c>
      <c r="X1053" s="51" t="str">
        <f>IF(AND(B1053&gt;='IN-NX'!$P$3,B1053&lt;='IN-NX'!$Q$3,'IN-NX'!$D$7=D1053,OR(LEFT(L1053,2)="15",AND(LEFT(M1053,2)&lt;&gt;"15",LEFT(M1053,2)&lt;&gt;"33"))),"x","")</f>
        <v/>
      </c>
      <c r="Y1053" s="51" t="str">
        <f>IF(AND(OR(LEFT(TH!L1053,2)="15",LEFT(TH!M1053,2)="15"),'152-CT'!$J$8=TH!F1053),"x","")</f>
        <v/>
      </c>
      <c r="Z1053" s="51" t="str">
        <f>IF(AND(OR(LEFT(TH!L1053,2)="15",LEFT(TH!M1053,2)="15"),TK!$E$7=TH!F1053),"x","")</f>
        <v/>
      </c>
      <c r="AA1053" s="51" t="str">
        <f>IF(AND(B1053&lt;=NKC!$N$8,B1053&gt;=NKC!$M$8),"x","")</f>
        <v/>
      </c>
      <c r="AB1053" s="909"/>
      <c r="AC1053" s="588"/>
      <c r="AD1053" s="588"/>
      <c r="AF1053" s="588"/>
      <c r="AG1053" s="588"/>
    </row>
    <row r="1054" spans="1:33" s="210" customFormat="1" ht="15.75" customHeight="1">
      <c r="A1054" s="203" t="str">
        <f>IF(B1054&lt;&gt;"",IF(AND(B1054&gt;=_TM1,B1054&lt;=_TM2,OR(TH!L1054="1111",TH!M1054="1111")),TH!D1054,""),"")</f>
        <v/>
      </c>
      <c r="B1054" s="36" t="str">
        <f t="shared" si="53"/>
        <v/>
      </c>
      <c r="C1054" s="183"/>
      <c r="D1054" s="190"/>
      <c r="E1054" s="183"/>
      <c r="F1054" s="191"/>
      <c r="G1054" s="481"/>
      <c r="H1054" s="7"/>
      <c r="I1054" s="255"/>
      <c r="J1054" s="255"/>
      <c r="K1054" s="596"/>
      <c r="L1054" s="193"/>
      <c r="M1054" s="193"/>
      <c r="N1054" s="51" t="str">
        <f>IF(AND('331-CT'!$E$7=TH!H1054,OR(L1054="331",M1054="331")),"331",IF(AND(OR(L1054="131",M1054="131"),H1054='131-CT'!$E$7),"131",""))</f>
        <v/>
      </c>
      <c r="O1054" s="887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38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1" t="str">
        <f>IF(OR(TH!L1054=TH!$W$7,M1054=TH!$W$7),"x","")</f>
        <v/>
      </c>
      <c r="X1054" s="51" t="str">
        <f>IF(AND(B1054&gt;='IN-NX'!$P$3,B1054&lt;='IN-NX'!$Q$3,'IN-NX'!$D$7=D1054,OR(LEFT(L1054,2)="15",AND(LEFT(M1054,2)&lt;&gt;"15",LEFT(M1054,2)&lt;&gt;"33"))),"x","")</f>
        <v/>
      </c>
      <c r="Y1054" s="51" t="str">
        <f>IF(AND(OR(LEFT(TH!L1054,2)="15",LEFT(TH!M1054,2)="15"),'152-CT'!$J$8=TH!F1054),"x","")</f>
        <v/>
      </c>
      <c r="Z1054" s="51" t="str">
        <f>IF(AND(OR(LEFT(TH!L1054,2)="15",LEFT(TH!M1054,2)="15"),TK!$E$7=TH!F1054),"x","")</f>
        <v/>
      </c>
      <c r="AA1054" s="51" t="str">
        <f>IF(AND(B1054&lt;=NKC!$N$8,B1054&gt;=NKC!$M$8),"x","")</f>
        <v/>
      </c>
      <c r="AB1054" s="909"/>
      <c r="AC1054" s="588"/>
      <c r="AD1054" s="588"/>
      <c r="AF1054" s="588"/>
      <c r="AG1054" s="588"/>
    </row>
    <row r="1055" spans="1:33" s="210" customFormat="1" ht="15.75" customHeight="1">
      <c r="A1055" s="203" t="str">
        <f>IF(B1055&lt;&gt;"",IF(AND(B1055&gt;=_TM1,B1055&lt;=_TM2,OR(TH!L1055="1111",TH!M1055="1111")),TH!D1055,""),"")</f>
        <v/>
      </c>
      <c r="B1055" s="36" t="str">
        <f t="shared" si="53"/>
        <v/>
      </c>
      <c r="C1055" s="183"/>
      <c r="D1055" s="190"/>
      <c r="E1055" s="183"/>
      <c r="F1055" s="191"/>
      <c r="G1055" s="481"/>
      <c r="H1055" s="7"/>
      <c r="I1055" s="255"/>
      <c r="J1055" s="255"/>
      <c r="K1055" s="596"/>
      <c r="L1055" s="193"/>
      <c r="M1055" s="193"/>
      <c r="N1055" s="51" t="str">
        <f>IF(AND('331-CT'!$E$7=TH!H1055,OR(L1055="331",M1055="331")),"331",IF(AND(OR(L1055="131",M1055="131"),H1055='131-CT'!$E$7),"131",""))</f>
        <v/>
      </c>
      <c r="O1055" s="887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38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1" t="str">
        <f>IF(OR(TH!L1055=TH!$W$7,M1055=TH!$W$7),"x","")</f>
        <v/>
      </c>
      <c r="X1055" s="51" t="str">
        <f>IF(AND(B1055&gt;='IN-NX'!$P$3,B1055&lt;='IN-NX'!$Q$3,'IN-NX'!$D$7=D1055,OR(LEFT(L1055,2)="15",AND(LEFT(M1055,2)&lt;&gt;"15",LEFT(M1055,2)&lt;&gt;"33"))),"x","")</f>
        <v/>
      </c>
      <c r="Y1055" s="51" t="str">
        <f>IF(AND(OR(LEFT(TH!L1055,2)="15",LEFT(TH!M1055,2)="15"),'152-CT'!$J$8=TH!F1055),"x","")</f>
        <v/>
      </c>
      <c r="Z1055" s="51" t="str">
        <f>IF(AND(OR(LEFT(TH!L1055,2)="15",LEFT(TH!M1055,2)="15"),TK!$E$7=TH!F1055),"x","")</f>
        <v/>
      </c>
      <c r="AA1055" s="51" t="str">
        <f>IF(AND(B1055&lt;=NKC!$N$8,B1055&gt;=NKC!$M$8),"x","")</f>
        <v/>
      </c>
      <c r="AB1055" s="909"/>
      <c r="AC1055" s="588"/>
      <c r="AD1055" s="588"/>
    </row>
    <row r="1056" spans="1:33" s="210" customFormat="1" ht="15.75" customHeight="1">
      <c r="A1056" s="203" t="str">
        <f>IF(B1056&lt;&gt;"",IF(AND(B1056&gt;=_TM1,B1056&lt;=_TM2,OR(TH!L1056="1111",TH!M1056="1111")),TH!D1056,""),"")</f>
        <v/>
      </c>
      <c r="B1056" s="36" t="str">
        <f t="shared" si="53"/>
        <v/>
      </c>
      <c r="C1056" s="183"/>
      <c r="D1056" s="890"/>
      <c r="E1056" s="890"/>
      <c r="F1056" s="891"/>
      <c r="G1056" s="892"/>
      <c r="H1056" s="893"/>
      <c r="I1056" s="253"/>
      <c r="J1056" s="254"/>
      <c r="K1056" s="50"/>
      <c r="L1056" s="887"/>
      <c r="M1056" s="887"/>
      <c r="N1056" s="51" t="str">
        <f>IF(AND('331-CT'!$E$7=TH!H1056,OR(L1056="331",M1056="331")),"331",IF(AND(OR(L1056="131",M1056="131"),H1056='131-CT'!$E$7),"131",""))</f>
        <v/>
      </c>
      <c r="O1056" s="887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38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1" t="str">
        <f>IF(OR(TH!L1056=TH!$W$7,M1056=TH!$W$7),"x","")</f>
        <v/>
      </c>
      <c r="X1056" s="51" t="str">
        <f>IF(AND(B1056&gt;='IN-NX'!$P$3,B1056&lt;='IN-NX'!$Q$3,'IN-NX'!$D$7=D1056,OR(LEFT(L1056,2)="15",AND(LEFT(M1056,2)&lt;&gt;"15",LEFT(M1056,2)&lt;&gt;"33"))),"x","")</f>
        <v/>
      </c>
      <c r="Y1056" s="51" t="str">
        <f>IF(AND(OR(LEFT(TH!L1056,2)="15",LEFT(TH!M1056,2)="15"),'152-CT'!$J$8=TH!F1056),"x","")</f>
        <v/>
      </c>
      <c r="Z1056" s="51" t="str">
        <f>IF(AND(OR(LEFT(TH!L1056,2)="15",LEFT(TH!M1056,2)="15"),TK!$E$7=TH!F1056),"x","")</f>
        <v/>
      </c>
      <c r="AA1056" s="51" t="str">
        <f>IF(AND(B1056&lt;=NKC!$N$8,B1056&gt;=NKC!$M$8),"x","")</f>
        <v/>
      </c>
      <c r="AB1056" s="909"/>
      <c r="AC1056" s="588"/>
      <c r="AF1056" s="588"/>
      <c r="AG1056" s="588"/>
    </row>
    <row r="1057" spans="1:33" s="210" customFormat="1" ht="15.75" customHeight="1">
      <c r="A1057" s="203" t="str">
        <f>IF(B1057&lt;&gt;"",IF(AND(B1057&gt;=_TM1,B1057&lt;=_TM2,OR(TH!L1057="1111",TH!M1057="1111")),TH!D1057,""),"")</f>
        <v/>
      </c>
      <c r="B1057" s="36" t="str">
        <f t="shared" si="53"/>
        <v/>
      </c>
      <c r="C1057" s="183"/>
      <c r="D1057" s="190"/>
      <c r="E1057" s="183"/>
      <c r="F1057" s="188"/>
      <c r="G1057" s="481"/>
      <c r="H1057" s="7"/>
      <c r="I1057" s="255"/>
      <c r="J1057" s="255"/>
      <c r="K1057" s="37"/>
      <c r="L1057" s="193"/>
      <c r="M1057" s="193"/>
      <c r="N1057" s="51" t="str">
        <f>IF(AND('331-CT'!$E$7=TH!H1057,OR(L1057="331",M1057="331")),"331",IF(AND(OR(L1057="131",M1057="131"),H1057='131-CT'!$E$7),"131",""))</f>
        <v/>
      </c>
      <c r="O1057" s="887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38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1" t="str">
        <f>IF(OR(TH!L1057=TH!$W$7,M1057=TH!$W$7),"x","")</f>
        <v/>
      </c>
      <c r="X1057" s="51" t="str">
        <f>IF(AND(B1057&gt;='IN-NX'!$P$3,B1057&lt;='IN-NX'!$Q$3,'IN-NX'!$D$7=D1057,OR(LEFT(L1057,2)="15",AND(LEFT(M1057,2)&lt;&gt;"15",LEFT(M1057,2)&lt;&gt;"33"))),"x","")</f>
        <v/>
      </c>
      <c r="Y1057" s="51" t="str">
        <f>IF(AND(OR(LEFT(TH!L1057,2)="15",LEFT(TH!M1057,2)="15"),'152-CT'!$J$8=TH!F1057),"x","")</f>
        <v/>
      </c>
      <c r="Z1057" s="51" t="str">
        <f>IF(AND(OR(LEFT(TH!L1057,2)="15",LEFT(TH!M1057,2)="15"),TK!$E$7=TH!F1057),"x","")</f>
        <v/>
      </c>
      <c r="AA1057" s="51" t="str">
        <f>IF(AND(B1057&lt;=NKC!$N$8,B1057&gt;=NKC!$M$8),"x","")</f>
        <v/>
      </c>
      <c r="AB1057" s="909"/>
      <c r="AC1057" s="588"/>
      <c r="AD1057" s="588"/>
    </row>
    <row r="1058" spans="1:33" s="210" customFormat="1" ht="15.75" customHeight="1">
      <c r="A1058" s="203" t="str">
        <f>IF(B1058&lt;&gt;"",IF(AND(B1058&gt;=_TM1,B1058&lt;=_TM2,OR(TH!L1058="1111",TH!M1058="1111")),TH!D1058,""),"")</f>
        <v/>
      </c>
      <c r="B1058" s="36" t="str">
        <f t="shared" si="53"/>
        <v/>
      </c>
      <c r="C1058" s="183"/>
      <c r="D1058" s="190"/>
      <c r="E1058" s="183"/>
      <c r="F1058" s="896"/>
      <c r="G1058" s="481"/>
      <c r="H1058" s="7"/>
      <c r="I1058" s="255"/>
      <c r="J1058" s="255"/>
      <c r="K1058" s="596"/>
      <c r="L1058" s="193"/>
      <c r="M1058" s="193"/>
      <c r="N1058" s="51" t="str">
        <f>IF(AND('331-CT'!$E$7=TH!H1058,OR(L1058="331",M1058="331")),"331",IF(AND(OR(L1058="131",M1058="131"),H1058='131-CT'!$E$7),"131",""))</f>
        <v/>
      </c>
      <c r="O1058" s="887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38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1" t="str">
        <f>IF(OR(TH!L1058=TH!$W$7,M1058=TH!$W$7),"x","")</f>
        <v/>
      </c>
      <c r="X1058" s="51" t="str">
        <f>IF(AND(B1058&gt;='IN-NX'!$P$3,B1058&lt;='IN-NX'!$Q$3,'IN-NX'!$D$7=D1058,OR(LEFT(L1058,2)="15",AND(LEFT(M1058,2)&lt;&gt;"15",LEFT(M1058,2)&lt;&gt;"33"))),"x","")</f>
        <v/>
      </c>
      <c r="Y1058" s="51" t="str">
        <f>IF(AND(OR(LEFT(TH!L1058,2)="15",LEFT(TH!M1058,2)="15"),'152-CT'!$J$8=TH!F1058),"x","")</f>
        <v/>
      </c>
      <c r="Z1058" s="51" t="str">
        <f>IF(AND(OR(LEFT(TH!L1058,2)="15",LEFT(TH!M1058,2)="15"),TK!$E$7=TH!F1058),"x","")</f>
        <v/>
      </c>
      <c r="AA1058" s="51" t="str">
        <f>IF(AND(B1058&lt;=NKC!$N$8,B1058&gt;=NKC!$M$8),"x","")</f>
        <v/>
      </c>
      <c r="AB1058" s="909"/>
      <c r="AC1058" s="588"/>
      <c r="AD1058" s="588"/>
    </row>
    <row r="1059" spans="1:33" s="210" customFormat="1" ht="15.75" customHeight="1">
      <c r="A1059" s="203" t="str">
        <f>IF(B1059&lt;&gt;"",IF(AND(B1059&gt;=_TM1,B1059&lt;=_TM2,OR(TH!L1059="1111",TH!M1059="1111")),TH!D1059,""),"")</f>
        <v/>
      </c>
      <c r="B1059" s="36" t="str">
        <f t="shared" si="53"/>
        <v/>
      </c>
      <c r="C1059" s="183"/>
      <c r="D1059" s="190"/>
      <c r="E1059" s="183"/>
      <c r="F1059" s="188"/>
      <c r="G1059" s="481"/>
      <c r="H1059" s="7"/>
      <c r="I1059" s="255"/>
      <c r="J1059" s="255"/>
      <c r="K1059" s="37"/>
      <c r="L1059" s="193"/>
      <c r="M1059" s="193"/>
      <c r="N1059" s="51" t="str">
        <f>IF(AND('331-CT'!$E$7=TH!H1059,OR(L1059="331",M1059="331")),"331",IF(AND(OR(L1059="131",M1059="131"),H1059='131-CT'!$E$7),"131",""))</f>
        <v/>
      </c>
      <c r="O1059" s="887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38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1" t="str">
        <f>IF(OR(TH!L1059=TH!$W$7,M1059=TH!$W$7),"x","")</f>
        <v/>
      </c>
      <c r="X1059" s="51" t="str">
        <f>IF(AND(B1059&gt;='IN-NX'!$P$3,B1059&lt;='IN-NX'!$Q$3,'IN-NX'!$D$7=D1059,OR(LEFT(L1059,2)="15",AND(LEFT(M1059,2)&lt;&gt;"15",LEFT(M1059,2)&lt;&gt;"33"))),"x","")</f>
        <v/>
      </c>
      <c r="Y1059" s="51" t="str">
        <f>IF(AND(OR(LEFT(TH!L1059,2)="15",LEFT(TH!M1059,2)="15"),'152-CT'!$J$8=TH!F1059),"x","")</f>
        <v/>
      </c>
      <c r="Z1059" s="51" t="str">
        <f>IF(AND(OR(LEFT(TH!L1059,2)="15",LEFT(TH!M1059,2)="15"),TK!$E$7=TH!F1059),"x","")</f>
        <v/>
      </c>
      <c r="AA1059" s="51" t="str">
        <f>IF(AND(B1059&lt;=NKC!$N$8,B1059&gt;=NKC!$M$8),"x","")</f>
        <v/>
      </c>
      <c r="AB1059" s="909"/>
      <c r="AC1059" s="588"/>
      <c r="AD1059" s="588"/>
    </row>
    <row r="1060" spans="1:33" s="210" customFormat="1" ht="15.75" customHeight="1">
      <c r="A1060" s="203" t="str">
        <f>IF(B1060&lt;&gt;"",IF(AND(B1060&gt;=_TM1,B1060&lt;=_TM2,OR(TH!L1060="1111",TH!M1060="1111")),TH!D1060,""),"")</f>
        <v/>
      </c>
      <c r="B1060" s="36" t="str">
        <f t="shared" si="53"/>
        <v/>
      </c>
      <c r="C1060" s="183"/>
      <c r="D1060" s="190"/>
      <c r="E1060" s="183"/>
      <c r="F1060" s="188"/>
      <c r="G1060" s="481"/>
      <c r="H1060" s="7"/>
      <c r="I1060" s="255"/>
      <c r="J1060" s="255"/>
      <c r="K1060" s="596"/>
      <c r="L1060" s="193"/>
      <c r="M1060" s="193"/>
      <c r="N1060" s="51" t="str">
        <f>IF(AND('331-CT'!$E$7=TH!H1060,OR(L1060="331",M1060="331")),"331",IF(AND(OR(L1060="131",M1060="131"),H1060='131-CT'!$E$7),"131",""))</f>
        <v/>
      </c>
      <c r="O1060" s="887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38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1" t="str">
        <f>IF(OR(TH!L1060=TH!$W$7,M1060=TH!$W$7),"x","")</f>
        <v/>
      </c>
      <c r="X1060" s="51" t="str">
        <f>IF(AND(B1060&gt;='IN-NX'!$P$3,B1060&lt;='IN-NX'!$Q$3,'IN-NX'!$D$7=D1060,OR(LEFT(L1060,2)="15",AND(LEFT(M1060,2)&lt;&gt;"15",LEFT(M1060,2)&lt;&gt;"33"))),"x","")</f>
        <v/>
      </c>
      <c r="Y1060" s="51" t="str">
        <f>IF(AND(OR(LEFT(TH!L1060,2)="15",LEFT(TH!M1060,2)="15"),'152-CT'!$J$8=TH!F1060),"x","")</f>
        <v/>
      </c>
      <c r="Z1060" s="51" t="str">
        <f>IF(AND(OR(LEFT(TH!L1060,2)="15",LEFT(TH!M1060,2)="15"),TK!$E$7=TH!F1060),"x","")</f>
        <v/>
      </c>
      <c r="AA1060" s="51" t="str">
        <f>IF(AND(B1060&lt;=NKC!$N$8,B1060&gt;=NKC!$M$8),"x","")</f>
        <v/>
      </c>
      <c r="AB1060" s="909"/>
      <c r="AC1060" s="588"/>
      <c r="AF1060" s="588"/>
      <c r="AG1060" s="588"/>
    </row>
    <row r="1061" spans="1:33" s="210" customFormat="1" ht="15.75" customHeight="1">
      <c r="A1061" s="203" t="str">
        <f>IF(B1061&lt;&gt;"",IF(AND(B1061&gt;=_TM1,B1061&lt;=_TM2,OR(TH!L1061="1111",TH!M1061="1111")),TH!D1061,""),"")</f>
        <v/>
      </c>
      <c r="B1061" s="36" t="str">
        <f t="shared" si="53"/>
        <v/>
      </c>
      <c r="C1061" s="183"/>
      <c r="D1061" s="190"/>
      <c r="E1061" s="183"/>
      <c r="F1061" s="188"/>
      <c r="G1061" s="481"/>
      <c r="H1061" s="7"/>
      <c r="I1061" s="255"/>
      <c r="J1061" s="255"/>
      <c r="K1061" s="37"/>
      <c r="L1061" s="193"/>
      <c r="M1061" s="193"/>
      <c r="N1061" s="51" t="str">
        <f>IF(AND('331-CT'!$E$7=TH!H1061,OR(L1061="331",M1061="331")),"331",IF(AND(OR(L1061="131",M1061="131"),H1061='131-CT'!$E$7),"131",""))</f>
        <v/>
      </c>
      <c r="O1061" s="887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38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1" t="str">
        <f>IF(OR(TH!L1061=TH!$W$7,M1061=TH!$W$7),"x","")</f>
        <v/>
      </c>
      <c r="X1061" s="51" t="str">
        <f>IF(AND(B1061&gt;='IN-NX'!$P$3,B1061&lt;='IN-NX'!$Q$3,'IN-NX'!$D$7=D1061,OR(LEFT(L1061,2)="15",AND(LEFT(M1061,2)&lt;&gt;"15",LEFT(M1061,2)&lt;&gt;"33"))),"x","")</f>
        <v/>
      </c>
      <c r="Y1061" s="51" t="str">
        <f>IF(AND(OR(LEFT(TH!L1061,2)="15",LEFT(TH!M1061,2)="15"),'152-CT'!$J$8=TH!F1061),"x","")</f>
        <v/>
      </c>
      <c r="Z1061" s="51" t="str">
        <f>IF(AND(OR(LEFT(TH!L1061,2)="15",LEFT(TH!M1061,2)="15"),TK!$E$7=TH!F1061),"x","")</f>
        <v/>
      </c>
      <c r="AA1061" s="51" t="str">
        <f>IF(AND(B1061&lt;=NKC!$N$8,B1061&gt;=NKC!$M$8),"x","")</f>
        <v/>
      </c>
      <c r="AB1061" s="909"/>
      <c r="AC1061" s="588"/>
      <c r="AD1061" s="588"/>
      <c r="AF1061" s="588"/>
      <c r="AG1061" s="588"/>
    </row>
    <row r="1062" spans="1:33" s="210" customFormat="1" ht="15.75" customHeight="1">
      <c r="A1062" s="203" t="str">
        <f>IF(B1062&lt;&gt;"",IF(AND(B1062&gt;=_TM1,B1062&lt;=_TM2,OR(TH!L1062="1111",TH!M1062="1111")),TH!D1062,""),"")</f>
        <v/>
      </c>
      <c r="B1062" s="36" t="str">
        <f t="shared" ref="B1062:B1125" si="54">IF(C1062&lt;&gt;"",MONTH(C1062),"")</f>
        <v/>
      </c>
      <c r="C1062" s="183"/>
      <c r="D1062" s="190"/>
      <c r="E1062" s="183"/>
      <c r="F1062" s="188"/>
      <c r="G1062" s="481"/>
      <c r="H1062" s="7"/>
      <c r="I1062" s="255"/>
      <c r="J1062" s="255"/>
      <c r="K1062" s="596"/>
      <c r="L1062" s="193"/>
      <c r="M1062" s="193"/>
      <c r="N1062" s="51" t="str">
        <f>IF(AND('331-CT'!$E$7=TH!H1062,OR(L1062="331",M1062="331")),"331",IF(AND(OR(L1062="131",M1062="131"),H1062='131-CT'!$E$7),"131",""))</f>
        <v/>
      </c>
      <c r="O1062" s="887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38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1" t="str">
        <f>IF(OR(TH!L1062=TH!$W$7,M1062=TH!$W$7),"x","")</f>
        <v/>
      </c>
      <c r="X1062" s="51" t="str">
        <f>IF(AND(B1062&gt;='IN-NX'!$P$3,B1062&lt;='IN-NX'!$Q$3,'IN-NX'!$D$7=D1062,OR(LEFT(L1062,2)="15",AND(LEFT(M1062,2)&lt;&gt;"15",LEFT(M1062,2)&lt;&gt;"33"))),"x","")</f>
        <v/>
      </c>
      <c r="Y1062" s="51" t="str">
        <f>IF(AND(OR(LEFT(TH!L1062,2)="15",LEFT(TH!M1062,2)="15"),'152-CT'!$J$8=TH!F1062),"x","")</f>
        <v/>
      </c>
      <c r="Z1062" s="51" t="str">
        <f>IF(AND(OR(LEFT(TH!L1062,2)="15",LEFT(TH!M1062,2)="15"),TK!$E$7=TH!F1062),"x","")</f>
        <v/>
      </c>
      <c r="AA1062" s="51" t="str">
        <f>IF(AND(B1062&lt;=NKC!$N$8,B1062&gt;=NKC!$M$8),"x","")</f>
        <v/>
      </c>
      <c r="AB1062" s="909"/>
      <c r="AC1062" s="588"/>
      <c r="AD1062" s="588"/>
      <c r="AF1062" s="588"/>
      <c r="AG1062" s="588"/>
    </row>
    <row r="1063" spans="1:33" s="210" customFormat="1" ht="15.75" customHeight="1">
      <c r="A1063" s="203" t="str">
        <f>IF(B1063&lt;&gt;"",IF(AND(B1063&gt;=_TM1,B1063&lt;=_TM2,OR(TH!L1063="1111",TH!M1063="1111")),TH!D1063,""),"")</f>
        <v/>
      </c>
      <c r="B1063" s="36" t="str">
        <f t="shared" si="54"/>
        <v/>
      </c>
      <c r="C1063" s="183"/>
      <c r="D1063" s="190"/>
      <c r="E1063" s="190"/>
      <c r="F1063" s="188"/>
      <c r="G1063" s="481"/>
      <c r="H1063" s="7"/>
      <c r="I1063" s="255"/>
      <c r="J1063" s="255"/>
      <c r="K1063" s="37"/>
      <c r="L1063" s="193"/>
      <c r="M1063" s="193"/>
      <c r="N1063" s="51" t="str">
        <f>IF(AND('331-CT'!$E$7=TH!H1063,OR(L1063="331",M1063="331")),"331",IF(AND(OR(L1063="131",M1063="131"),H1063='131-CT'!$E$7),"131",""))</f>
        <v/>
      </c>
      <c r="O1063" s="887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38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1" t="str">
        <f>IF(OR(TH!L1063=TH!$W$7,M1063=TH!$W$7),"x","")</f>
        <v/>
      </c>
      <c r="X1063" s="51" t="str">
        <f>IF(AND(B1063&gt;='IN-NX'!$P$3,B1063&lt;='IN-NX'!$Q$3,'IN-NX'!$D$7=D1063,OR(LEFT(L1063,2)="15",AND(LEFT(M1063,2)&lt;&gt;"15",LEFT(M1063,2)&lt;&gt;"33"))),"x","")</f>
        <v/>
      </c>
      <c r="Y1063" s="51" t="str">
        <f>IF(AND(OR(LEFT(TH!L1063,2)="15",LEFT(TH!M1063,2)="15"),'152-CT'!$J$8=TH!F1063),"x","")</f>
        <v/>
      </c>
      <c r="Z1063" s="51" t="str">
        <f>IF(AND(OR(LEFT(TH!L1063,2)="15",LEFT(TH!M1063,2)="15"),TK!$E$7=TH!F1063),"x","")</f>
        <v/>
      </c>
      <c r="AA1063" s="51" t="str">
        <f>IF(AND(B1063&lt;=NKC!$N$8,B1063&gt;=NKC!$M$8),"x","")</f>
        <v/>
      </c>
      <c r="AB1063" s="909"/>
      <c r="AC1063" s="588"/>
      <c r="AD1063" s="588"/>
    </row>
    <row r="1064" spans="1:33" s="210" customFormat="1" ht="15.75" customHeight="1">
      <c r="A1064" s="203" t="str">
        <f>IF(B1064&lt;&gt;"",IF(AND(B1064&gt;=_TM1,B1064&lt;=_TM2,OR(TH!L1064="1111",TH!M1064="1111")),TH!D1064,""),"")</f>
        <v/>
      </c>
      <c r="B1064" s="36" t="str">
        <f t="shared" si="54"/>
        <v/>
      </c>
      <c r="C1064" s="183"/>
      <c r="D1064" s="190"/>
      <c r="E1064" s="190"/>
      <c r="F1064" s="191"/>
      <c r="G1064" s="481"/>
      <c r="H1064" s="7"/>
      <c r="I1064" s="255"/>
      <c r="J1064" s="255"/>
      <c r="K1064" s="596"/>
      <c r="L1064" s="193"/>
      <c r="M1064" s="193"/>
      <c r="N1064" s="51" t="str">
        <f>IF(AND('331-CT'!$E$7=TH!H1064,OR(L1064="331",M1064="331")),"331",IF(AND(OR(L1064="131",M1064="131"),H1064='131-CT'!$E$7),"131",""))</f>
        <v/>
      </c>
      <c r="O1064" s="887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38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1" t="str">
        <f>IF(OR(TH!L1064=TH!$W$7,M1064=TH!$W$7),"x","")</f>
        <v/>
      </c>
      <c r="X1064" s="51" t="str">
        <f>IF(AND(B1064&gt;='IN-NX'!$P$3,B1064&lt;='IN-NX'!$Q$3,'IN-NX'!$D$7=D1064,OR(LEFT(L1064,2)="15",AND(LEFT(M1064,2)&lt;&gt;"15",LEFT(M1064,2)&lt;&gt;"33"))),"x","")</f>
        <v/>
      </c>
      <c r="Y1064" s="51" t="str">
        <f>IF(AND(OR(LEFT(TH!L1064,2)="15",LEFT(TH!M1064,2)="15"),'152-CT'!$J$8=TH!F1064),"x","")</f>
        <v/>
      </c>
      <c r="Z1064" s="51" t="str">
        <f>IF(AND(OR(LEFT(TH!L1064,2)="15",LEFT(TH!M1064,2)="15"),TK!$E$7=TH!F1064),"x","")</f>
        <v/>
      </c>
      <c r="AA1064" s="51" t="str">
        <f>IF(AND(B1064&lt;=NKC!$N$8,B1064&gt;=NKC!$M$8),"x","")</f>
        <v/>
      </c>
      <c r="AB1064" s="909"/>
      <c r="AC1064" s="588"/>
      <c r="AD1064" s="588"/>
    </row>
    <row r="1065" spans="1:33" s="210" customFormat="1" ht="15.75" customHeight="1">
      <c r="A1065" s="203" t="str">
        <f>IF(B1065&lt;&gt;"",IF(AND(B1065&gt;=_TM1,B1065&lt;=_TM2,OR(TH!L1065="1111",TH!M1065="1111")),TH!D1065,""),"")</f>
        <v/>
      </c>
      <c r="B1065" s="36" t="str">
        <f t="shared" si="54"/>
        <v/>
      </c>
      <c r="C1065" s="183"/>
      <c r="D1065" s="190"/>
      <c r="E1065" s="183"/>
      <c r="F1065" s="188"/>
      <c r="G1065" s="481"/>
      <c r="H1065" s="7"/>
      <c r="I1065" s="255"/>
      <c r="J1065" s="255"/>
      <c r="K1065" s="37"/>
      <c r="L1065" s="193"/>
      <c r="M1065" s="193"/>
      <c r="N1065" s="51" t="str">
        <f>IF(AND('331-CT'!$E$7=TH!H1065,OR(L1065="331",M1065="331")),"331",IF(AND(OR(L1065="131",M1065="131"),H1065='131-CT'!$E$7),"131",""))</f>
        <v/>
      </c>
      <c r="O1065" s="887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38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1" t="str">
        <f>IF(OR(TH!L1065=TH!$W$7,M1065=TH!$W$7),"x","")</f>
        <v/>
      </c>
      <c r="X1065" s="51" t="str">
        <f>IF(AND(B1065&gt;='IN-NX'!$P$3,B1065&lt;='IN-NX'!$Q$3,'IN-NX'!$D$7=D1065,OR(LEFT(L1065,2)="15",AND(LEFT(M1065,2)&lt;&gt;"15",LEFT(M1065,2)&lt;&gt;"33"))),"x","")</f>
        <v/>
      </c>
      <c r="Y1065" s="51" t="str">
        <f>IF(AND(OR(LEFT(TH!L1065,2)="15",LEFT(TH!M1065,2)="15"),'152-CT'!$J$8=TH!F1065),"x","")</f>
        <v/>
      </c>
      <c r="Z1065" s="51" t="str">
        <f>IF(AND(OR(LEFT(TH!L1065,2)="15",LEFT(TH!M1065,2)="15"),TK!$E$7=TH!F1065),"x","")</f>
        <v/>
      </c>
      <c r="AA1065" s="51" t="str">
        <f>IF(AND(B1065&lt;=NKC!$N$8,B1065&gt;=NKC!$M$8),"x","")</f>
        <v/>
      </c>
      <c r="AB1065" s="909"/>
      <c r="AC1065" s="588"/>
      <c r="AF1065" s="588"/>
      <c r="AG1065" s="588"/>
    </row>
    <row r="1066" spans="1:33" s="210" customFormat="1" ht="15.75" customHeight="1">
      <c r="A1066" s="203" t="str">
        <f>IF(B1066&lt;&gt;"",IF(AND(B1066&gt;=_TM1,B1066&lt;=_TM2,OR(TH!L1066="1111",TH!M1066="1111")),TH!D1066,""),"")</f>
        <v/>
      </c>
      <c r="B1066" s="36" t="str">
        <f t="shared" si="54"/>
        <v/>
      </c>
      <c r="C1066" s="183"/>
      <c r="D1066" s="190"/>
      <c r="E1066" s="183"/>
      <c r="F1066" s="188"/>
      <c r="G1066" s="481"/>
      <c r="H1066" s="7"/>
      <c r="I1066" s="255"/>
      <c r="J1066" s="255"/>
      <c r="K1066" s="596"/>
      <c r="L1066" s="193"/>
      <c r="M1066" s="193"/>
      <c r="N1066" s="51" t="str">
        <f>IF(AND('331-CT'!$E$7=TH!H1066,OR(L1066="331",M1066="331")),"331",IF(AND(OR(L1066="131",M1066="131"),H1066='131-CT'!$E$7),"131",""))</f>
        <v/>
      </c>
      <c r="O1066" s="887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38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1" t="str">
        <f>IF(OR(TH!L1066=TH!$W$7,M1066=TH!$W$7),"x","")</f>
        <v/>
      </c>
      <c r="X1066" s="51" t="str">
        <f>IF(AND(B1066&gt;='IN-NX'!$P$3,B1066&lt;='IN-NX'!$Q$3,'IN-NX'!$D$7=D1066,OR(LEFT(L1066,2)="15",AND(LEFT(M1066,2)&lt;&gt;"15",LEFT(M1066,2)&lt;&gt;"33"))),"x","")</f>
        <v/>
      </c>
      <c r="Y1066" s="51" t="str">
        <f>IF(AND(OR(LEFT(TH!L1066,2)="15",LEFT(TH!M1066,2)="15"),'152-CT'!$J$8=TH!F1066),"x","")</f>
        <v/>
      </c>
      <c r="Z1066" s="51" t="str">
        <f>IF(AND(OR(LEFT(TH!L1066,2)="15",LEFT(TH!M1066,2)="15"),TK!$E$7=TH!F1066),"x","")</f>
        <v/>
      </c>
      <c r="AA1066" s="51" t="str">
        <f>IF(AND(B1066&lt;=NKC!$N$8,B1066&gt;=NKC!$M$8),"x","")</f>
        <v/>
      </c>
      <c r="AB1066" s="909"/>
      <c r="AC1066" s="588"/>
      <c r="AD1066" s="588"/>
      <c r="AF1066" s="588"/>
      <c r="AG1066" s="588"/>
    </row>
    <row r="1067" spans="1:33" s="210" customFormat="1" ht="15.75" customHeight="1">
      <c r="A1067" s="203" t="str">
        <f>IF(B1067&lt;&gt;"",IF(AND(B1067&gt;=_TM1,B1067&lt;=_TM2,OR(TH!L1067="1111",TH!M1067="1111")),TH!D1067,""),"")</f>
        <v/>
      </c>
      <c r="B1067" s="36" t="str">
        <f t="shared" si="54"/>
        <v/>
      </c>
      <c r="C1067" s="183"/>
      <c r="D1067" s="190"/>
      <c r="E1067" s="183"/>
      <c r="F1067" s="188"/>
      <c r="G1067" s="481"/>
      <c r="H1067" s="7"/>
      <c r="I1067" s="255"/>
      <c r="J1067" s="255"/>
      <c r="K1067" s="37"/>
      <c r="L1067" s="193"/>
      <c r="M1067" s="193"/>
      <c r="N1067" s="51" t="str">
        <f>IF(AND('331-CT'!$E$7=TH!H1067,OR(L1067="331",M1067="331")),"331",IF(AND(OR(L1067="131",M1067="131"),H1067='131-CT'!$E$7),"131",""))</f>
        <v/>
      </c>
      <c r="O1067" s="887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38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1" t="str">
        <f>IF(OR(TH!L1067=TH!$W$7,M1067=TH!$W$7),"x","")</f>
        <v/>
      </c>
      <c r="X1067" s="51" t="str">
        <f>IF(AND(B1067&gt;='IN-NX'!$P$3,B1067&lt;='IN-NX'!$Q$3,'IN-NX'!$D$7=D1067,OR(LEFT(L1067,2)="15",AND(LEFT(M1067,2)&lt;&gt;"15",LEFT(M1067,2)&lt;&gt;"33"))),"x","")</f>
        <v/>
      </c>
      <c r="Y1067" s="51" t="str">
        <f>IF(AND(OR(LEFT(TH!L1067,2)="15",LEFT(TH!M1067,2)="15"),'152-CT'!$J$8=TH!F1067),"x","")</f>
        <v/>
      </c>
      <c r="Z1067" s="51" t="str">
        <f>IF(AND(OR(LEFT(TH!L1067,2)="15",LEFT(TH!M1067,2)="15"),TK!$E$7=TH!F1067),"x","")</f>
        <v/>
      </c>
      <c r="AA1067" s="51" t="str">
        <f>IF(AND(B1067&lt;=NKC!$N$8,B1067&gt;=NKC!$M$8),"x","")</f>
        <v/>
      </c>
      <c r="AB1067" s="909"/>
      <c r="AC1067" s="588"/>
      <c r="AD1067" s="588"/>
      <c r="AF1067" s="588"/>
      <c r="AG1067" s="588"/>
    </row>
    <row r="1068" spans="1:33" s="210" customFormat="1" ht="15.75" customHeight="1">
      <c r="A1068" s="203" t="str">
        <f>IF(B1068&lt;&gt;"",IF(AND(B1068&gt;=_TM1,B1068&lt;=_TM2,OR(TH!L1068="1111",TH!M1068="1111")),TH!D1068,""),"")</f>
        <v/>
      </c>
      <c r="B1068" s="36" t="str">
        <f t="shared" si="54"/>
        <v/>
      </c>
      <c r="C1068" s="183"/>
      <c r="D1068" s="190"/>
      <c r="E1068" s="183"/>
      <c r="F1068" s="188"/>
      <c r="G1068" s="481"/>
      <c r="H1068" s="7"/>
      <c r="I1068" s="255"/>
      <c r="J1068" s="255"/>
      <c r="K1068" s="596"/>
      <c r="L1068" s="193"/>
      <c r="M1068" s="193"/>
      <c r="N1068" s="51" t="str">
        <f>IF(AND('331-CT'!$E$7=TH!H1068,OR(L1068="331",M1068="331")),"331",IF(AND(OR(L1068="131",M1068="131"),H1068='131-CT'!$E$7),"131",""))</f>
        <v/>
      </c>
      <c r="O1068" s="887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38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1" t="str">
        <f>IF(OR(TH!L1068=TH!$W$7,M1068=TH!$W$7),"x","")</f>
        <v/>
      </c>
      <c r="X1068" s="51" t="str">
        <f>IF(AND(B1068&gt;='IN-NX'!$P$3,B1068&lt;='IN-NX'!$Q$3,'IN-NX'!$D$7=D1068,OR(LEFT(L1068,2)="15",AND(LEFT(M1068,2)&lt;&gt;"15",LEFT(M1068,2)&lt;&gt;"33"))),"x","")</f>
        <v/>
      </c>
      <c r="Y1068" s="51" t="str">
        <f>IF(AND(OR(LEFT(TH!L1068,2)="15",LEFT(TH!M1068,2)="15"),'152-CT'!$J$8=TH!F1068),"x","")</f>
        <v/>
      </c>
      <c r="Z1068" s="51" t="str">
        <f>IF(AND(OR(LEFT(TH!L1068,2)="15",LEFT(TH!M1068,2)="15"),TK!$E$7=TH!F1068),"x","")</f>
        <v/>
      </c>
      <c r="AA1068" s="51" t="str">
        <f>IF(AND(B1068&lt;=NKC!$N$8,B1068&gt;=NKC!$M$8),"x","")</f>
        <v/>
      </c>
      <c r="AB1068" s="909"/>
      <c r="AC1068" s="588"/>
      <c r="AF1068" s="588"/>
      <c r="AG1068" s="588"/>
    </row>
    <row r="1069" spans="1:33" s="210" customFormat="1" ht="15.75" customHeight="1">
      <c r="A1069" s="203" t="str">
        <f>IF(B1069&lt;&gt;"",IF(AND(B1069&gt;=_TM1,B1069&lt;=_TM2,OR(TH!L1069="1111",TH!M1069="1111")),TH!D1069,""),"")</f>
        <v/>
      </c>
      <c r="B1069" s="36" t="str">
        <f t="shared" si="54"/>
        <v/>
      </c>
      <c r="C1069" s="183"/>
      <c r="D1069" s="190"/>
      <c r="E1069" s="190"/>
      <c r="F1069" s="191"/>
      <c r="G1069" s="481"/>
      <c r="H1069" s="7"/>
      <c r="I1069" s="255"/>
      <c r="J1069" s="255"/>
      <c r="K1069" s="37"/>
      <c r="L1069" s="193"/>
      <c r="M1069" s="193"/>
      <c r="N1069" s="51" t="str">
        <f>IF(AND('331-CT'!$E$7=TH!H1069,OR(L1069="331",M1069="331")),"331",IF(AND(OR(L1069="131",M1069="131"),H1069='131-CT'!$E$7),"131",""))</f>
        <v/>
      </c>
      <c r="O1069" s="887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38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1" t="str">
        <f>IF(OR(TH!L1069=TH!$W$7,M1069=TH!$W$7),"x","")</f>
        <v/>
      </c>
      <c r="X1069" s="51" t="str">
        <f>IF(AND(B1069&gt;='IN-NX'!$P$3,B1069&lt;='IN-NX'!$Q$3,'IN-NX'!$D$7=D1069,OR(LEFT(L1069,2)="15",AND(LEFT(M1069,2)&lt;&gt;"15",LEFT(M1069,2)&lt;&gt;"33"))),"x","")</f>
        <v/>
      </c>
      <c r="Y1069" s="51" t="str">
        <f>IF(AND(OR(LEFT(TH!L1069,2)="15",LEFT(TH!M1069,2)="15"),'152-CT'!$J$8=TH!F1069),"x","")</f>
        <v/>
      </c>
      <c r="Z1069" s="51" t="str">
        <f>IF(AND(OR(LEFT(TH!L1069,2)="15",LEFT(TH!M1069,2)="15"),TK!$E$7=TH!F1069),"x","")</f>
        <v/>
      </c>
      <c r="AA1069" s="51" t="str">
        <f>IF(AND(B1069&lt;=NKC!$N$8,B1069&gt;=NKC!$M$8),"x","")</f>
        <v/>
      </c>
      <c r="AB1069" s="909"/>
      <c r="AC1069" s="588"/>
      <c r="AD1069" s="588"/>
    </row>
    <row r="1070" spans="1:33" s="210" customFormat="1" ht="15.75" customHeight="1">
      <c r="A1070" s="203" t="str">
        <f>IF(B1070&lt;&gt;"",IF(AND(B1070&gt;=_TM1,B1070&lt;=_TM2,OR(TH!L1070="1111",TH!M1070="1111")),TH!D1070,""),"")</f>
        <v/>
      </c>
      <c r="B1070" s="36" t="str">
        <f t="shared" si="54"/>
        <v/>
      </c>
      <c r="C1070" s="183"/>
      <c r="D1070" s="190"/>
      <c r="E1070" s="190"/>
      <c r="F1070" s="188"/>
      <c r="G1070" s="481"/>
      <c r="H1070" s="7"/>
      <c r="I1070" s="255"/>
      <c r="J1070" s="255"/>
      <c r="K1070" s="37"/>
      <c r="L1070" s="193"/>
      <c r="M1070" s="193"/>
      <c r="N1070" s="51" t="str">
        <f>IF(AND('331-CT'!$E$7=TH!H1070,OR(L1070="331",M1070="331")),"331",IF(AND(OR(L1070="131",M1070="131"),H1070='131-CT'!$E$7),"131",""))</f>
        <v/>
      </c>
      <c r="O1070" s="887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38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1" t="str">
        <f>IF(OR(TH!L1070=TH!$W$7,M1070=TH!$W$7),"x","")</f>
        <v/>
      </c>
      <c r="X1070" s="51" t="str">
        <f>IF(AND(B1070&gt;='IN-NX'!$P$3,B1070&lt;='IN-NX'!$Q$3,'IN-NX'!$D$7=D1070,OR(LEFT(L1070,2)="15",AND(LEFT(M1070,2)&lt;&gt;"15",LEFT(M1070,2)&lt;&gt;"33"))),"x","")</f>
        <v/>
      </c>
      <c r="Y1070" s="51" t="str">
        <f>IF(AND(OR(LEFT(TH!L1070,2)="15",LEFT(TH!M1070,2)="15"),'152-CT'!$J$8=TH!F1070),"x","")</f>
        <v/>
      </c>
      <c r="Z1070" s="51" t="str">
        <f>IF(AND(OR(LEFT(TH!L1070,2)="15",LEFT(TH!M1070,2)="15"),TK!$E$7=TH!F1070),"x","")</f>
        <v/>
      </c>
      <c r="AA1070" s="51" t="str">
        <f>IF(AND(B1070&lt;=NKC!$N$8,B1070&gt;=NKC!$M$8),"x","")</f>
        <v/>
      </c>
      <c r="AB1070" s="909"/>
      <c r="AC1070" s="588"/>
      <c r="AD1070" s="588"/>
    </row>
    <row r="1071" spans="1:33" s="210" customFormat="1" ht="15.75" customHeight="1">
      <c r="A1071" s="203" t="str">
        <f>IF(B1071&lt;&gt;"",IF(AND(B1071&gt;=_TM1,B1071&lt;=_TM2,OR(TH!L1071="1111",TH!M1071="1111")),TH!D1071,""),"")</f>
        <v/>
      </c>
      <c r="B1071" s="36" t="str">
        <f t="shared" si="54"/>
        <v/>
      </c>
      <c r="C1071" s="183"/>
      <c r="D1071" s="190"/>
      <c r="E1071" s="190"/>
      <c r="F1071" s="188"/>
      <c r="G1071" s="481"/>
      <c r="H1071" s="7"/>
      <c r="I1071" s="255"/>
      <c r="J1071" s="255"/>
      <c r="K1071" s="37"/>
      <c r="L1071" s="193"/>
      <c r="M1071" s="193"/>
      <c r="N1071" s="51" t="str">
        <f>IF(AND('331-CT'!$E$7=TH!H1071,OR(L1071="331",M1071="331")),"331",IF(AND(OR(L1071="131",M1071="131"),H1071='131-CT'!$E$7),"131",""))</f>
        <v/>
      </c>
      <c r="O1071" s="887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38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1" t="str">
        <f>IF(OR(TH!L1071=TH!$W$7,M1071=TH!$W$7),"x","")</f>
        <v/>
      </c>
      <c r="X1071" s="51" t="str">
        <f>IF(AND(B1071&gt;='IN-NX'!$P$3,B1071&lt;='IN-NX'!$Q$3,'IN-NX'!$D$7=D1071,OR(LEFT(L1071,2)="15",AND(LEFT(M1071,2)&lt;&gt;"15",LEFT(M1071,2)&lt;&gt;"33"))),"x","")</f>
        <v/>
      </c>
      <c r="Y1071" s="51" t="str">
        <f>IF(AND(OR(LEFT(TH!L1071,2)="15",LEFT(TH!M1071,2)="15"),'152-CT'!$J$8=TH!F1071),"x","")</f>
        <v/>
      </c>
      <c r="Z1071" s="51" t="str">
        <f>IF(AND(OR(LEFT(TH!L1071,2)="15",LEFT(TH!M1071,2)="15"),TK!$E$7=TH!F1071),"x","")</f>
        <v/>
      </c>
      <c r="AA1071" s="51" t="str">
        <f>IF(AND(B1071&lt;=NKC!$N$8,B1071&gt;=NKC!$M$8),"x","")</f>
        <v/>
      </c>
      <c r="AB1071" s="909"/>
      <c r="AC1071" s="588"/>
    </row>
    <row r="1072" spans="1:33" s="210" customFormat="1" ht="15.75" customHeight="1">
      <c r="A1072" s="203" t="str">
        <f>IF(B1072&lt;&gt;"",IF(AND(B1072&gt;=_TM1,B1072&lt;=_TM2,OR(TH!L1072="1111",TH!M1072="1111")),TH!D1072,""),"")</f>
        <v/>
      </c>
      <c r="B1072" s="36" t="str">
        <f t="shared" si="54"/>
        <v/>
      </c>
      <c r="C1072" s="183"/>
      <c r="D1072" s="190"/>
      <c r="E1072" s="190"/>
      <c r="F1072" s="188"/>
      <c r="G1072" s="481"/>
      <c r="H1072" s="7"/>
      <c r="I1072" s="255"/>
      <c r="J1072" s="255"/>
      <c r="K1072" s="596"/>
      <c r="L1072" s="193"/>
      <c r="M1072" s="193"/>
      <c r="N1072" s="51" t="str">
        <f>IF(AND('331-CT'!$E$7=TH!H1072,OR(L1072="331",M1072="331")),"331",IF(AND(OR(L1072="131",M1072="131"),H1072='131-CT'!$E$7),"131",""))</f>
        <v/>
      </c>
      <c r="O1072" s="887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38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1" t="str">
        <f>IF(OR(TH!L1072=TH!$W$7,M1072=TH!$W$7),"x","")</f>
        <v/>
      </c>
      <c r="X1072" s="51" t="str">
        <f>IF(AND(B1072&gt;='IN-NX'!$P$3,B1072&lt;='IN-NX'!$Q$3,'IN-NX'!$D$7=D1072,OR(LEFT(L1072,2)="15",AND(LEFT(M1072,2)&lt;&gt;"15",LEFT(M1072,2)&lt;&gt;"33"))),"x","")</f>
        <v/>
      </c>
      <c r="Y1072" s="51" t="str">
        <f>IF(AND(OR(LEFT(TH!L1072,2)="15",LEFT(TH!M1072,2)="15"),'152-CT'!$J$8=TH!F1072),"x","")</f>
        <v/>
      </c>
      <c r="Z1072" s="51" t="str">
        <f>IF(AND(OR(LEFT(TH!L1072,2)="15",LEFT(TH!M1072,2)="15"),TK!$E$7=TH!F1072),"x","")</f>
        <v/>
      </c>
      <c r="AA1072" s="51" t="str">
        <f>IF(AND(B1072&lt;=NKC!$N$8,B1072&gt;=NKC!$M$8),"x","")</f>
        <v/>
      </c>
      <c r="AB1072" s="909"/>
      <c r="AC1072" s="588"/>
      <c r="AD1072" s="588"/>
    </row>
    <row r="1073" spans="1:30" s="210" customFormat="1" ht="15.75" customHeight="1">
      <c r="A1073" s="203" t="str">
        <f>IF(B1073&lt;&gt;"",IF(AND(B1073&gt;=_TM1,B1073&lt;=_TM2,OR(TH!L1073="1111",TH!M1073="1111")),TH!D1073,""),"")</f>
        <v/>
      </c>
      <c r="B1073" s="36" t="str">
        <f t="shared" si="54"/>
        <v/>
      </c>
      <c r="C1073" s="183"/>
      <c r="D1073" s="190"/>
      <c r="E1073" s="190"/>
      <c r="F1073" s="296"/>
      <c r="G1073" s="481"/>
      <c r="H1073" s="7"/>
      <c r="I1073" s="256"/>
      <c r="J1073" s="256"/>
      <c r="K1073" s="37"/>
      <c r="L1073" s="193"/>
      <c r="M1073" s="193"/>
      <c r="N1073" s="51" t="str">
        <f>IF(AND('331-CT'!$E$7=TH!H1073,OR(L1073="331",M1073="331")),"331",IF(AND(OR(L1073="131",M1073="131"),H1073='131-CT'!$E$7),"131",""))</f>
        <v/>
      </c>
      <c r="O1073" s="887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38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1" t="str">
        <f>IF(OR(TH!L1073=TH!$W$7,M1073=TH!$W$7),"x","")</f>
        <v/>
      </c>
      <c r="X1073" s="51" t="str">
        <f>IF(AND(B1073&gt;='IN-NX'!$P$3,B1073&lt;='IN-NX'!$Q$3,'IN-NX'!$D$7=D1073,OR(LEFT(L1073,2)="15",AND(LEFT(M1073,2)&lt;&gt;"15",LEFT(M1073,2)&lt;&gt;"33"))),"x","")</f>
        <v/>
      </c>
      <c r="Y1073" s="51" t="str">
        <f>IF(AND(OR(LEFT(TH!L1073,2)="15",LEFT(TH!M1073,2)="15"),'152-CT'!$J$8=TH!F1073),"x","")</f>
        <v/>
      </c>
      <c r="Z1073" s="51" t="str">
        <f>IF(AND(OR(LEFT(TH!L1073,2)="15",LEFT(TH!M1073,2)="15"),TK!$E$7=TH!F1073),"x","")</f>
        <v/>
      </c>
      <c r="AA1073" s="51" t="str">
        <f>IF(AND(B1073&lt;=NKC!$N$8,B1073&gt;=NKC!$M$8),"x","")</f>
        <v/>
      </c>
      <c r="AB1073" s="909"/>
      <c r="AC1073" s="588"/>
      <c r="AD1073" s="588"/>
    </row>
    <row r="1074" spans="1:30" s="210" customFormat="1" ht="15.75" customHeight="1">
      <c r="A1074" s="203" t="str">
        <f>IF(B1074&lt;&gt;"",IF(AND(B1074&gt;=_TM1,B1074&lt;=_TM2,OR(TH!L1074="1111",TH!M1074="1111")),TH!D1074,""),"")</f>
        <v/>
      </c>
      <c r="B1074" s="36" t="str">
        <f t="shared" si="54"/>
        <v/>
      </c>
      <c r="C1074" s="183"/>
      <c r="D1074" s="190"/>
      <c r="E1074" s="190"/>
      <c r="F1074" s="191"/>
      <c r="G1074" s="481"/>
      <c r="H1074" s="7"/>
      <c r="I1074" s="255"/>
      <c r="J1074" s="255"/>
      <c r="K1074" s="37"/>
      <c r="L1074" s="193"/>
      <c r="M1074" s="193"/>
      <c r="N1074" s="51" t="str">
        <f>IF(AND('331-CT'!$E$7=TH!H1074,OR(L1074="331",M1074="331")),"331",IF(AND(OR(L1074="131",M1074="131"),H1074='131-CT'!$E$7),"131",""))</f>
        <v/>
      </c>
      <c r="O1074" s="887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38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1" t="str">
        <f>IF(OR(TH!L1074=TH!$W$7,M1074=TH!$W$7),"x","")</f>
        <v/>
      </c>
      <c r="X1074" s="51" t="str">
        <f>IF(AND(B1074&gt;='IN-NX'!$P$3,B1074&lt;='IN-NX'!$Q$3,'IN-NX'!$D$7=D1074,OR(LEFT(L1074,2)="15",AND(LEFT(M1074,2)&lt;&gt;"15",LEFT(M1074,2)&lt;&gt;"33"))),"x","")</f>
        <v/>
      </c>
      <c r="Y1074" s="51" t="str">
        <f>IF(AND(OR(LEFT(TH!L1074,2)="15",LEFT(TH!M1074,2)="15"),'152-CT'!$J$8=TH!F1074),"x","")</f>
        <v/>
      </c>
      <c r="Z1074" s="51" t="str">
        <f>IF(AND(OR(LEFT(TH!L1074,2)="15",LEFT(TH!M1074,2)="15"),TK!$E$7=TH!F1074),"x","")</f>
        <v/>
      </c>
      <c r="AA1074" s="51" t="str">
        <f>IF(AND(B1074&lt;=NKC!$N$8,B1074&gt;=NKC!$M$8),"x","")</f>
        <v/>
      </c>
      <c r="AB1074" s="909"/>
      <c r="AC1074" s="588"/>
      <c r="AD1074" s="588"/>
    </row>
    <row r="1075" spans="1:30" s="210" customFormat="1" ht="15.75" customHeight="1">
      <c r="A1075" s="203" t="str">
        <f>IF(B1075&lt;&gt;"",IF(AND(B1075&gt;=_TM1,B1075&lt;=_TM2,OR(TH!L1075="1111",TH!M1075="1111")),TH!D1075,""),"")</f>
        <v/>
      </c>
      <c r="B1075" s="36" t="str">
        <f t="shared" si="54"/>
        <v/>
      </c>
      <c r="C1075" s="183"/>
      <c r="D1075" s="190"/>
      <c r="E1075" s="183"/>
      <c r="F1075" s="188"/>
      <c r="G1075" s="598"/>
      <c r="H1075" s="7"/>
      <c r="I1075" s="255"/>
      <c r="J1075" s="255"/>
      <c r="K1075" s="37"/>
      <c r="L1075" s="193"/>
      <c r="M1075" s="193"/>
      <c r="N1075" s="51" t="str">
        <f>IF(AND('331-CT'!$E$7=TH!H1075,OR(L1075="331",M1075="331")),"331",IF(AND(OR(L1075="131",M1075="131"),H1075='131-CT'!$E$7),"131",""))</f>
        <v/>
      </c>
      <c r="O1075" s="887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38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1" t="str">
        <f>IF(OR(TH!L1075=TH!$W$7,M1075=TH!$W$7),"x","")</f>
        <v/>
      </c>
      <c r="X1075" s="51" t="str">
        <f>IF(AND(B1075&gt;='IN-NX'!$P$3,B1075&lt;='IN-NX'!$Q$3,'IN-NX'!$D$7=D1075,OR(LEFT(L1075,2)="15",AND(LEFT(M1075,2)&lt;&gt;"15",LEFT(M1075,2)&lt;&gt;"33"))),"x","")</f>
        <v/>
      </c>
      <c r="Y1075" s="51" t="str">
        <f>IF(AND(OR(LEFT(TH!L1075,2)="15",LEFT(TH!M1075,2)="15"),'152-CT'!$J$8=TH!F1075),"x","")</f>
        <v/>
      </c>
      <c r="Z1075" s="51" t="str">
        <f>IF(AND(OR(LEFT(TH!L1075,2)="15",LEFT(TH!M1075,2)="15"),TK!$E$7=TH!F1075),"x","")</f>
        <v/>
      </c>
      <c r="AA1075" s="51" t="str">
        <f>IF(AND(B1075&lt;=NKC!$N$8,B1075&gt;=NKC!$M$8),"x","")</f>
        <v/>
      </c>
      <c r="AB1075" s="909"/>
      <c r="AC1075" s="588"/>
      <c r="AD1075" s="588"/>
    </row>
    <row r="1076" spans="1:30" s="210" customFormat="1" ht="15.75" customHeight="1">
      <c r="A1076" s="203" t="str">
        <f>IF(B1076&lt;&gt;"",IF(AND(B1076&gt;=_TM1,B1076&lt;=_TM2,OR(TH!L1076="1111",TH!M1076="1111")),TH!D1076,""),"")</f>
        <v/>
      </c>
      <c r="B1076" s="36" t="str">
        <f t="shared" si="54"/>
        <v/>
      </c>
      <c r="C1076" s="183"/>
      <c r="D1076" s="190"/>
      <c r="E1076" s="190"/>
      <c r="F1076" s="191"/>
      <c r="G1076" s="481"/>
      <c r="H1076" s="7"/>
      <c r="I1076" s="256"/>
      <c r="J1076" s="256"/>
      <c r="K1076" s="37"/>
      <c r="L1076" s="193"/>
      <c r="M1076" s="193"/>
      <c r="N1076" s="51" t="str">
        <f>IF(AND('331-CT'!$E$7=TH!H1076,OR(L1076="331",M1076="331")),"331",IF(AND(OR(L1076="131",M1076="131"),H1076='131-CT'!$E$7),"131",""))</f>
        <v/>
      </c>
      <c r="O1076" s="887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38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1" t="str">
        <f>IF(OR(TH!L1076=TH!$W$7,M1076=TH!$W$7),"x","")</f>
        <v/>
      </c>
      <c r="X1076" s="51" t="str">
        <f>IF(AND(B1076&gt;='IN-NX'!$P$3,B1076&lt;='IN-NX'!$Q$3,'IN-NX'!$D$7=D1076,OR(LEFT(L1076,2)="15",AND(LEFT(M1076,2)&lt;&gt;"15",LEFT(M1076,2)&lt;&gt;"33"))),"x","")</f>
        <v/>
      </c>
      <c r="Y1076" s="51" t="str">
        <f>IF(AND(OR(LEFT(TH!L1076,2)="15",LEFT(TH!M1076,2)="15"),'152-CT'!$J$8=TH!F1076),"x","")</f>
        <v/>
      </c>
      <c r="Z1076" s="51" t="str">
        <f>IF(AND(OR(LEFT(TH!L1076,2)="15",LEFT(TH!M1076,2)="15"),TK!$E$7=TH!F1076),"x","")</f>
        <v/>
      </c>
      <c r="AA1076" s="51" t="str">
        <f>IF(AND(B1076&lt;=NKC!$N$8,B1076&gt;=NKC!$M$8),"x","")</f>
        <v/>
      </c>
      <c r="AB1076" s="909"/>
      <c r="AC1076" s="588"/>
      <c r="AD1076" s="588"/>
    </row>
    <row r="1077" spans="1:30" s="210" customFormat="1" ht="15.75" customHeight="1">
      <c r="A1077" s="203" t="str">
        <f>IF(B1077&lt;&gt;"",IF(AND(B1077&gt;=_TM1,B1077&lt;=_TM2,OR(TH!L1077="1111",TH!M1077="1111")),TH!D1077,""),"")</f>
        <v/>
      </c>
      <c r="B1077" s="36" t="str">
        <f t="shared" si="54"/>
        <v/>
      </c>
      <c r="C1077" s="183"/>
      <c r="D1077" s="190"/>
      <c r="E1077" s="183"/>
      <c r="F1077" s="188"/>
      <c r="G1077" s="598"/>
      <c r="H1077" s="888"/>
      <c r="I1077" s="255"/>
      <c r="J1077" s="255"/>
      <c r="K1077" s="37"/>
      <c r="L1077" s="193"/>
      <c r="M1077" s="193"/>
      <c r="N1077" s="51" t="str">
        <f>IF(AND('331-CT'!$E$7=TH!H1077,OR(L1077="331",M1077="331")),"331",IF(AND(OR(L1077="131",M1077="131"),H1077='131-CT'!$E$7),"131",""))</f>
        <v/>
      </c>
      <c r="O1077" s="887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38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1" t="str">
        <f>IF(OR(TH!L1077=TH!$W$7,M1077=TH!$W$7),"x","")</f>
        <v/>
      </c>
      <c r="X1077" s="51" t="str">
        <f>IF(AND(B1077&gt;='IN-NX'!$P$3,B1077&lt;='IN-NX'!$Q$3,'IN-NX'!$D$7=D1077,OR(LEFT(L1077,2)="15",AND(LEFT(M1077,2)&lt;&gt;"15",LEFT(M1077,2)&lt;&gt;"33"))),"x","")</f>
        <v/>
      </c>
      <c r="Y1077" s="51" t="str">
        <f>IF(AND(OR(LEFT(TH!L1077,2)="15",LEFT(TH!M1077,2)="15"),'152-CT'!$J$8=TH!F1077),"x","")</f>
        <v/>
      </c>
      <c r="Z1077" s="51" t="str">
        <f>IF(AND(OR(LEFT(TH!L1077,2)="15",LEFT(TH!M1077,2)="15"),TK!$E$7=TH!F1077),"x","")</f>
        <v/>
      </c>
      <c r="AA1077" s="51" t="str">
        <f>IF(AND(B1077&lt;=NKC!$N$8,B1077&gt;=NKC!$M$8),"x","")</f>
        <v/>
      </c>
      <c r="AB1077" s="909"/>
      <c r="AC1077" s="588"/>
      <c r="AD1077" s="588"/>
    </row>
    <row r="1078" spans="1:30" s="210" customFormat="1" ht="15.75" customHeight="1">
      <c r="A1078" s="203" t="str">
        <f>IF(B1078&lt;&gt;"",IF(AND(B1078&gt;=_TM1,B1078&lt;=_TM2,OR(TH!L1078="1111",TH!M1078="1111")),TH!D1078,""),"")</f>
        <v/>
      </c>
      <c r="B1078" s="36" t="str">
        <f t="shared" si="54"/>
        <v/>
      </c>
      <c r="C1078" s="183"/>
      <c r="D1078" s="190"/>
      <c r="E1078" s="183"/>
      <c r="F1078" s="191"/>
      <c r="G1078" s="598"/>
      <c r="H1078" s="888"/>
      <c r="I1078" s="255"/>
      <c r="J1078" s="255"/>
      <c r="K1078" s="37"/>
      <c r="L1078" s="193"/>
      <c r="M1078" s="193"/>
      <c r="N1078" s="51" t="str">
        <f>IF(AND('331-CT'!$E$7=TH!H1078,OR(L1078="331",M1078="331")),"331",IF(AND(OR(L1078="131",M1078="131"),H1078='131-CT'!$E$7),"131",""))</f>
        <v/>
      </c>
      <c r="O1078" s="887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38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1" t="str">
        <f>IF(OR(TH!L1078=TH!$W$7,M1078=TH!$W$7),"x","")</f>
        <v/>
      </c>
      <c r="X1078" s="51" t="str">
        <f>IF(AND(B1078&gt;='IN-NX'!$P$3,B1078&lt;='IN-NX'!$Q$3,'IN-NX'!$D$7=D1078,OR(LEFT(L1078,2)="15",AND(LEFT(M1078,2)&lt;&gt;"15",LEFT(M1078,2)&lt;&gt;"33"))),"x","")</f>
        <v/>
      </c>
      <c r="Y1078" s="51" t="str">
        <f>IF(AND(OR(LEFT(TH!L1078,2)="15",LEFT(TH!M1078,2)="15"),'152-CT'!$J$8=TH!F1078),"x","")</f>
        <v/>
      </c>
      <c r="Z1078" s="51" t="str">
        <f>IF(AND(OR(LEFT(TH!L1078,2)="15",LEFT(TH!M1078,2)="15"),TK!$E$7=TH!F1078),"x","")</f>
        <v/>
      </c>
      <c r="AA1078" s="51" t="str">
        <f>IF(AND(B1078&lt;=NKC!$N$8,B1078&gt;=NKC!$M$8),"x","")</f>
        <v/>
      </c>
      <c r="AB1078" s="909"/>
      <c r="AC1078" s="588"/>
    </row>
    <row r="1079" spans="1:30" s="210" customFormat="1" ht="15.75" customHeight="1">
      <c r="A1079" s="203" t="str">
        <f>IF(B1079&lt;&gt;"",IF(AND(B1079&gt;=_TM1,B1079&lt;=_TM2,OR(TH!L1079="1111",TH!M1079="1111")),TH!D1079,""),"")</f>
        <v/>
      </c>
      <c r="B1079" s="36" t="str">
        <f t="shared" si="54"/>
        <v/>
      </c>
      <c r="C1079" s="183"/>
      <c r="D1079" s="190"/>
      <c r="E1079" s="190"/>
      <c r="F1079" s="191"/>
      <c r="G1079" s="481"/>
      <c r="H1079" s="888"/>
      <c r="I1079" s="255"/>
      <c r="J1079" s="255"/>
      <c r="K1079" s="596"/>
      <c r="L1079" s="193"/>
      <c r="M1079" s="193"/>
      <c r="N1079" s="51" t="str">
        <f>IF(AND('331-CT'!$E$7=TH!H1079,OR(L1079="331",M1079="331")),"331",IF(AND(OR(L1079="131",M1079="131"),H1079='131-CT'!$E$7),"131",""))</f>
        <v/>
      </c>
      <c r="O1079" s="887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38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1" t="str">
        <f>IF(OR(TH!L1079=TH!$W$7,M1079=TH!$W$7),"x","")</f>
        <v/>
      </c>
      <c r="X1079" s="51" t="str">
        <f>IF(AND(B1079&gt;='IN-NX'!$P$3,B1079&lt;='IN-NX'!$Q$3,'IN-NX'!$D$7=D1079,OR(LEFT(L1079,2)="15",AND(LEFT(M1079,2)&lt;&gt;"15",LEFT(M1079,2)&lt;&gt;"33"))),"x","")</f>
        <v/>
      </c>
      <c r="Y1079" s="51" t="str">
        <f>IF(AND(OR(LEFT(TH!L1079,2)="15",LEFT(TH!M1079,2)="15"),'152-CT'!$J$8=TH!F1079),"x","")</f>
        <v/>
      </c>
      <c r="Z1079" s="51" t="str">
        <f>IF(AND(OR(LEFT(TH!L1079,2)="15",LEFT(TH!M1079,2)="15"),TK!$E$7=TH!F1079),"x","")</f>
        <v/>
      </c>
      <c r="AA1079" s="51" t="str">
        <f>IF(AND(B1079&lt;=NKC!$N$8,B1079&gt;=NKC!$M$8),"x","")</f>
        <v/>
      </c>
      <c r="AB1079" s="909"/>
      <c r="AC1079" s="588"/>
      <c r="AD1079" s="588"/>
    </row>
    <row r="1080" spans="1:30" s="210" customFormat="1" ht="15.75" customHeight="1">
      <c r="A1080" s="203" t="str">
        <f>IF(B1080&lt;&gt;"",IF(AND(B1080&gt;=_TM1,B1080&lt;=_TM2,OR(TH!L1080="1111",TH!M1080="1111")),TH!D1080,""),"")</f>
        <v/>
      </c>
      <c r="B1080" s="36" t="str">
        <f t="shared" si="54"/>
        <v/>
      </c>
      <c r="C1080" s="183"/>
      <c r="D1080" s="190"/>
      <c r="E1080" s="190"/>
      <c r="F1080" s="191"/>
      <c r="G1080" s="481"/>
      <c r="H1080" s="192"/>
      <c r="I1080" s="255"/>
      <c r="J1080" s="255"/>
      <c r="K1080" s="37"/>
      <c r="L1080" s="193"/>
      <c r="M1080" s="193"/>
      <c r="N1080" s="51" t="str">
        <f>IF(AND('331-CT'!$E$7=TH!H1080,OR(L1080="331",M1080="331")),"331",IF(AND(OR(L1080="131",M1080="131"),H1080='131-CT'!$E$7),"131",""))</f>
        <v/>
      </c>
      <c r="O1080" s="887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38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1" t="str">
        <f>IF(OR(TH!L1080=TH!$W$7,M1080=TH!$W$7),"x","")</f>
        <v/>
      </c>
      <c r="X1080" s="51" t="str">
        <f>IF(AND(B1080&gt;='IN-NX'!$P$3,B1080&lt;='IN-NX'!$Q$3,'IN-NX'!$D$7=D1080,OR(LEFT(L1080,2)="15",AND(LEFT(M1080,2)&lt;&gt;"15",LEFT(M1080,2)&lt;&gt;"33"))),"x","")</f>
        <v/>
      </c>
      <c r="Y1080" s="51" t="str">
        <f>IF(AND(OR(LEFT(TH!L1080,2)="15",LEFT(TH!M1080,2)="15"),'152-CT'!$J$8=TH!F1080),"x","")</f>
        <v/>
      </c>
      <c r="Z1080" s="51" t="str">
        <f>IF(AND(OR(LEFT(TH!L1080,2)="15",LEFT(TH!M1080,2)="15"),TK!$E$7=TH!F1080),"x","")</f>
        <v/>
      </c>
      <c r="AA1080" s="51" t="str">
        <f>IF(AND(B1080&lt;=NKC!$N$8,B1080&gt;=NKC!$M$8),"x","")</f>
        <v/>
      </c>
      <c r="AB1080" s="909"/>
      <c r="AC1080" s="588"/>
      <c r="AD1080" s="588"/>
    </row>
    <row r="1081" spans="1:30" s="210" customFormat="1" ht="15.75" customHeight="1">
      <c r="A1081" s="203" t="str">
        <f>IF(B1081&lt;&gt;"",IF(AND(B1081&gt;=_TM1,B1081&lt;=_TM2,OR(TH!L1081="1111",TH!M1081="1111")),TH!D1081,""),"")</f>
        <v/>
      </c>
      <c r="B1081" s="36" t="str">
        <f t="shared" si="54"/>
        <v/>
      </c>
      <c r="C1081" s="183"/>
      <c r="D1081" s="190"/>
      <c r="E1081" s="190"/>
      <c r="F1081" s="191"/>
      <c r="G1081" s="481"/>
      <c r="H1081" s="192"/>
      <c r="I1081" s="255"/>
      <c r="J1081" s="255"/>
      <c r="K1081" s="37"/>
      <c r="L1081" s="193"/>
      <c r="M1081" s="193"/>
      <c r="N1081" s="51" t="str">
        <f>IF(AND('331-CT'!$E$7=TH!H1081,OR(L1081="331",M1081="331")),"331",IF(AND(OR(L1081="131",M1081="131"),H1081='131-CT'!$E$7),"131",""))</f>
        <v/>
      </c>
      <c r="O1081" s="887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38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1" t="str">
        <f>IF(OR(TH!L1081=TH!$W$7,M1081=TH!$W$7),"x","")</f>
        <v/>
      </c>
      <c r="X1081" s="51" t="str">
        <f>IF(AND(B1081&gt;='IN-NX'!$P$3,B1081&lt;='IN-NX'!$Q$3,'IN-NX'!$D$7=D1081,OR(LEFT(L1081,2)="15",AND(LEFT(M1081,2)&lt;&gt;"15",LEFT(M1081,2)&lt;&gt;"33"))),"x","")</f>
        <v/>
      </c>
      <c r="Y1081" s="51" t="str">
        <f>IF(AND(OR(LEFT(TH!L1081,2)="15",LEFT(TH!M1081,2)="15"),'152-CT'!$J$8=TH!F1081),"x","")</f>
        <v/>
      </c>
      <c r="Z1081" s="51" t="str">
        <f>IF(AND(OR(LEFT(TH!L1081,2)="15",LEFT(TH!M1081,2)="15"),TK!$E$7=TH!F1081),"x","")</f>
        <v/>
      </c>
      <c r="AA1081" s="51" t="str">
        <f>IF(AND(B1081&lt;=NKC!$N$8,B1081&gt;=NKC!$M$8),"x","")</f>
        <v/>
      </c>
      <c r="AB1081" s="909"/>
      <c r="AC1081" s="588"/>
      <c r="AD1081" s="588"/>
    </row>
    <row r="1082" spans="1:30" s="210" customFormat="1" ht="15.75" customHeight="1">
      <c r="A1082" s="203" t="str">
        <f>IF(B1082&lt;&gt;"",IF(AND(B1082&gt;=_TM1,B1082&lt;=_TM2,OR(TH!L1082="1111",TH!M1082="1111")),TH!D1082,""),"")</f>
        <v/>
      </c>
      <c r="B1082" s="36" t="str">
        <f t="shared" si="54"/>
        <v/>
      </c>
      <c r="C1082" s="183"/>
      <c r="D1082" s="190"/>
      <c r="E1082" s="190"/>
      <c r="F1082" s="191"/>
      <c r="G1082" s="481"/>
      <c r="H1082" s="192"/>
      <c r="I1082" s="255"/>
      <c r="J1082" s="255"/>
      <c r="K1082" s="37"/>
      <c r="L1082" s="193"/>
      <c r="M1082" s="193"/>
      <c r="N1082" s="51" t="str">
        <f>IF(AND('331-CT'!$E$7=TH!H1082,OR(L1082="331",M1082="331")),"331",IF(AND(OR(L1082="131",M1082="131"),H1082='131-CT'!$E$7),"131",""))</f>
        <v/>
      </c>
      <c r="O1082" s="887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38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1" t="str">
        <f>IF(OR(TH!L1082=TH!$W$7,M1082=TH!$W$7),"x","")</f>
        <v/>
      </c>
      <c r="X1082" s="51" t="str">
        <f>IF(AND(B1082&gt;='IN-NX'!$P$3,B1082&lt;='IN-NX'!$Q$3,'IN-NX'!$D$7=D1082,OR(LEFT(L1082,2)="15",AND(LEFT(M1082,2)&lt;&gt;"15",LEFT(M1082,2)&lt;&gt;"33"))),"x","")</f>
        <v/>
      </c>
      <c r="Y1082" s="51" t="str">
        <f>IF(AND(OR(LEFT(TH!L1082,2)="15",LEFT(TH!M1082,2)="15"),'152-CT'!$J$8=TH!F1082),"x","")</f>
        <v/>
      </c>
      <c r="Z1082" s="51" t="str">
        <f>IF(AND(OR(LEFT(TH!L1082,2)="15",LEFT(TH!M1082,2)="15"),TK!$E$7=TH!F1082),"x","")</f>
        <v/>
      </c>
      <c r="AA1082" s="51" t="str">
        <f>IF(AND(B1082&lt;=NKC!$N$8,B1082&gt;=NKC!$M$8),"x","")</f>
        <v/>
      </c>
      <c r="AB1082" s="909"/>
      <c r="AC1082" s="588"/>
      <c r="AD1082" s="588"/>
    </row>
    <row r="1083" spans="1:30" s="210" customFormat="1" ht="15.75" customHeight="1">
      <c r="A1083" s="203" t="str">
        <f>IF(B1083&lt;&gt;"",IF(AND(B1083&gt;=_TM1,B1083&lt;=_TM2,OR(TH!L1083="1111",TH!M1083="1111")),TH!D1083,""),"")</f>
        <v/>
      </c>
      <c r="B1083" s="36" t="str">
        <f t="shared" si="54"/>
        <v/>
      </c>
      <c r="C1083" s="183"/>
      <c r="D1083" s="190"/>
      <c r="E1083" s="190"/>
      <c r="F1083" s="188"/>
      <c r="G1083" s="481"/>
      <c r="H1083" s="7"/>
      <c r="I1083" s="255"/>
      <c r="J1083" s="255"/>
      <c r="K1083" s="37"/>
      <c r="L1083" s="193"/>
      <c r="M1083" s="193"/>
      <c r="N1083" s="51" t="str">
        <f>IF(AND('331-CT'!$E$7=TH!H1083,OR(L1083="331",M1083="331")),"331",IF(AND(OR(L1083="131",M1083="131"),H1083='131-CT'!$E$7),"131",""))</f>
        <v/>
      </c>
      <c r="O1083" s="887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38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1" t="str">
        <f>IF(OR(TH!L1083=TH!$W$7,M1083=TH!$W$7),"x","")</f>
        <v/>
      </c>
      <c r="X1083" s="51" t="str">
        <f>IF(AND(B1083&gt;='IN-NX'!$P$3,B1083&lt;='IN-NX'!$Q$3,'IN-NX'!$D$7=D1083,OR(LEFT(L1083,2)="15",AND(LEFT(M1083,2)&lt;&gt;"15",LEFT(M1083,2)&lt;&gt;"33"))),"x","")</f>
        <v/>
      </c>
      <c r="Y1083" s="51" t="str">
        <f>IF(AND(OR(LEFT(TH!L1083,2)="15",LEFT(TH!M1083,2)="15"),'152-CT'!$J$8=TH!F1083),"x","")</f>
        <v/>
      </c>
      <c r="Z1083" s="51" t="str">
        <f>IF(AND(OR(LEFT(TH!L1083,2)="15",LEFT(TH!M1083,2)="15"),TK!$E$7=TH!F1083),"x","")</f>
        <v/>
      </c>
      <c r="AA1083" s="51" t="str">
        <f>IF(AND(B1083&lt;=NKC!$N$8,B1083&gt;=NKC!$M$8),"x","")</f>
        <v/>
      </c>
      <c r="AB1083" s="909"/>
      <c r="AC1083" s="588"/>
      <c r="AD1083" s="588"/>
    </row>
    <row r="1084" spans="1:30" s="210" customFormat="1" ht="15.75" customHeight="1">
      <c r="A1084" s="203" t="str">
        <f>IF(B1084&lt;&gt;"",IF(AND(B1084&gt;=_TM1,B1084&lt;=_TM2,OR(TH!L1084="1111",TH!M1084="1111")),TH!D1084,""),"")</f>
        <v/>
      </c>
      <c r="B1084" s="36" t="str">
        <f t="shared" si="54"/>
        <v/>
      </c>
      <c r="C1084" s="183"/>
      <c r="D1084" s="190"/>
      <c r="E1084" s="190"/>
      <c r="F1084" s="188"/>
      <c r="G1084" s="481"/>
      <c r="H1084" s="7"/>
      <c r="I1084" s="255"/>
      <c r="J1084" s="255"/>
      <c r="K1084" s="37"/>
      <c r="L1084" s="193"/>
      <c r="M1084" s="193"/>
      <c r="N1084" s="51" t="str">
        <f>IF(AND('331-CT'!$E$7=TH!H1084,OR(L1084="331",M1084="331")),"331",IF(AND(OR(L1084="131",M1084="131"),H1084='131-CT'!$E$7),"131",""))</f>
        <v/>
      </c>
      <c r="O1084" s="887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38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1" t="str">
        <f>IF(OR(TH!L1084=TH!$W$7,M1084=TH!$W$7),"x","")</f>
        <v/>
      </c>
      <c r="X1084" s="51" t="str">
        <f>IF(AND(B1084&gt;='IN-NX'!$P$3,B1084&lt;='IN-NX'!$Q$3,'IN-NX'!$D$7=D1084,OR(LEFT(L1084,2)="15",AND(LEFT(M1084,2)&lt;&gt;"15",LEFT(M1084,2)&lt;&gt;"33"))),"x","")</f>
        <v/>
      </c>
      <c r="Y1084" s="51" t="str">
        <f>IF(AND(OR(LEFT(TH!L1084,2)="15",LEFT(TH!M1084,2)="15"),'152-CT'!$J$8=TH!F1084),"x","")</f>
        <v/>
      </c>
      <c r="Z1084" s="51" t="str">
        <f>IF(AND(OR(LEFT(TH!L1084,2)="15",LEFT(TH!M1084,2)="15"),TK!$E$7=TH!F1084),"x","")</f>
        <v/>
      </c>
      <c r="AA1084" s="51" t="str">
        <f>IF(AND(B1084&lt;=NKC!$N$8,B1084&gt;=NKC!$M$8),"x","")</f>
        <v/>
      </c>
      <c r="AB1084" s="909"/>
      <c r="AC1084" s="588"/>
      <c r="AD1084" s="588"/>
    </row>
    <row r="1085" spans="1:30" s="210" customFormat="1" ht="15.75" customHeight="1">
      <c r="A1085" s="203" t="str">
        <f>IF(B1085&lt;&gt;"",IF(AND(B1085&gt;=_TM1,B1085&lt;=_TM2,OR(TH!L1085="1111",TH!M1085="1111")),TH!D1085,""),"")</f>
        <v/>
      </c>
      <c r="B1085" s="36" t="str">
        <f t="shared" si="54"/>
        <v/>
      </c>
      <c r="C1085" s="183"/>
      <c r="D1085" s="190"/>
      <c r="E1085" s="183"/>
      <c r="F1085" s="188"/>
      <c r="G1085" s="598"/>
      <c r="H1085" s="192"/>
      <c r="I1085" s="255"/>
      <c r="J1085" s="255"/>
      <c r="K1085" s="37"/>
      <c r="L1085" s="193"/>
      <c r="M1085" s="193"/>
      <c r="N1085" s="51" t="str">
        <f>IF(AND('331-CT'!$E$7=TH!H1085,OR(L1085="331",M1085="331")),"331",IF(AND(OR(L1085="131",M1085="131"),H1085='131-CT'!$E$7),"131",""))</f>
        <v/>
      </c>
      <c r="O1085" s="887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38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1" t="str">
        <f>IF(OR(TH!L1085=TH!$W$7,M1085=TH!$W$7),"x","")</f>
        <v/>
      </c>
      <c r="X1085" s="51" t="str">
        <f>IF(AND(B1085&gt;='IN-NX'!$P$3,B1085&lt;='IN-NX'!$Q$3,'IN-NX'!$D$7=D1085,OR(LEFT(L1085,2)="15",AND(LEFT(M1085,2)&lt;&gt;"15",LEFT(M1085,2)&lt;&gt;"33"))),"x","")</f>
        <v/>
      </c>
      <c r="Y1085" s="51" t="str">
        <f>IF(AND(OR(LEFT(TH!L1085,2)="15",LEFT(TH!M1085,2)="15"),'152-CT'!$J$8=TH!F1085),"x","")</f>
        <v/>
      </c>
      <c r="Z1085" s="51" t="str">
        <f>IF(AND(OR(LEFT(TH!L1085,2)="15",LEFT(TH!M1085,2)="15"),TK!$E$7=TH!F1085),"x","")</f>
        <v/>
      </c>
      <c r="AA1085" s="51" t="str">
        <f>IF(AND(B1085&lt;=NKC!$N$8,B1085&gt;=NKC!$M$8),"x","")</f>
        <v/>
      </c>
      <c r="AB1085" s="909"/>
      <c r="AC1085" s="588"/>
      <c r="AD1085" s="588"/>
    </row>
    <row r="1086" spans="1:30" s="210" customFormat="1" ht="15.75" customHeight="1">
      <c r="A1086" s="203" t="str">
        <f>IF(B1086&lt;&gt;"",IF(AND(B1086&gt;=_TM1,B1086&lt;=_TM2,OR(TH!L1086="1111",TH!M1086="1111")),TH!D1086,""),"")</f>
        <v/>
      </c>
      <c r="B1086" s="36" t="str">
        <f t="shared" si="54"/>
        <v/>
      </c>
      <c r="C1086" s="183"/>
      <c r="D1086" s="190"/>
      <c r="E1086" s="190"/>
      <c r="F1086" s="782"/>
      <c r="G1086" s="481"/>
      <c r="H1086" s="7"/>
      <c r="I1086" s="255"/>
      <c r="J1086" s="255"/>
      <c r="K1086" s="37"/>
      <c r="L1086" s="193"/>
      <c r="M1086" s="193"/>
      <c r="N1086" s="51" t="str">
        <f>IF(AND('331-CT'!$E$7=TH!H1086,OR(L1086="331",M1086="331")),"331",IF(AND(OR(L1086="131",M1086="131"),H1086='131-CT'!$E$7),"131",""))</f>
        <v/>
      </c>
      <c r="O1086" s="887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38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1" t="str">
        <f>IF(OR(TH!L1086=TH!$W$7,M1086=TH!$W$7),"x","")</f>
        <v/>
      </c>
      <c r="X1086" s="51" t="str">
        <f>IF(AND(B1086&gt;='IN-NX'!$P$3,B1086&lt;='IN-NX'!$Q$3,'IN-NX'!$D$7=D1086,OR(LEFT(L1086,2)="15",AND(LEFT(M1086,2)&lt;&gt;"15",LEFT(M1086,2)&lt;&gt;"33"))),"x","")</f>
        <v/>
      </c>
      <c r="Y1086" s="51" t="str">
        <f>IF(AND(OR(LEFT(TH!L1086,2)="15",LEFT(TH!M1086,2)="15"),'152-CT'!$J$8=TH!F1086),"x","")</f>
        <v/>
      </c>
      <c r="Z1086" s="51" t="str">
        <f>IF(AND(OR(LEFT(TH!L1086,2)="15",LEFT(TH!M1086,2)="15"),TK!$E$7=TH!F1086),"x","")</f>
        <v/>
      </c>
      <c r="AA1086" s="51" t="str">
        <f>IF(AND(B1086&lt;=NKC!$N$8,B1086&gt;=NKC!$M$8),"x","")</f>
        <v/>
      </c>
      <c r="AB1086" s="909"/>
      <c r="AC1086" s="588"/>
      <c r="AD1086" s="588"/>
    </row>
    <row r="1087" spans="1:30" s="210" customFormat="1" ht="15.75" customHeight="1">
      <c r="A1087" s="203" t="str">
        <f>IF(B1087&lt;&gt;"",IF(AND(B1087&gt;=_TM1,B1087&lt;=_TM2,OR(TH!L1087="1111",TH!M1087="1111")),TH!D1087,""),"")</f>
        <v/>
      </c>
      <c r="B1087" s="36" t="str">
        <f t="shared" si="54"/>
        <v/>
      </c>
      <c r="C1087" s="183"/>
      <c r="D1087" s="190"/>
      <c r="E1087" s="190"/>
      <c r="F1087" s="191"/>
      <c r="G1087" s="481"/>
      <c r="H1087" s="7"/>
      <c r="I1087" s="255"/>
      <c r="J1087" s="255"/>
      <c r="K1087" s="37"/>
      <c r="L1087" s="193"/>
      <c r="M1087" s="193"/>
      <c r="N1087" s="51" t="str">
        <f>IF(AND('331-CT'!$E$7=TH!H1087,OR(L1087="331",M1087="331")),"331",IF(AND(OR(L1087="131",M1087="131"),H1087='131-CT'!$E$7),"131",""))</f>
        <v/>
      </c>
      <c r="O1087" s="887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38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1" t="str">
        <f>IF(OR(TH!L1087=TH!$W$7,M1087=TH!$W$7),"x","")</f>
        <v/>
      </c>
      <c r="X1087" s="51" t="str">
        <f>IF(AND(B1087&gt;='IN-NX'!$P$3,B1087&lt;='IN-NX'!$Q$3,'IN-NX'!$D$7=D1087,OR(LEFT(L1087,2)="15",AND(LEFT(M1087,2)&lt;&gt;"15",LEFT(M1087,2)&lt;&gt;"33"))),"x","")</f>
        <v/>
      </c>
      <c r="Y1087" s="51" t="str">
        <f>IF(AND(OR(LEFT(TH!L1087,2)="15",LEFT(TH!M1087,2)="15"),'152-CT'!$J$8=TH!F1087),"x","")</f>
        <v/>
      </c>
      <c r="Z1087" s="51" t="str">
        <f>IF(AND(OR(LEFT(TH!L1087,2)="15",LEFT(TH!M1087,2)="15"),TK!$E$7=TH!F1087),"x","")</f>
        <v/>
      </c>
      <c r="AA1087" s="51" t="str">
        <f>IF(AND(B1087&lt;=NKC!$N$8,B1087&gt;=NKC!$M$8),"x","")</f>
        <v/>
      </c>
      <c r="AB1087" s="909"/>
      <c r="AC1087" s="588"/>
    </row>
    <row r="1088" spans="1:30" s="210" customFormat="1" ht="15.75" customHeight="1">
      <c r="A1088" s="203" t="str">
        <f>IF(B1088&lt;&gt;"",IF(AND(B1088&gt;=_TM1,B1088&lt;=_TM2,OR(TH!L1088="1111",TH!M1088="1111")),TH!D1088,""),"")</f>
        <v/>
      </c>
      <c r="B1088" s="36" t="str">
        <f t="shared" si="54"/>
        <v/>
      </c>
      <c r="C1088" s="183"/>
      <c r="D1088" s="190"/>
      <c r="E1088" s="190"/>
      <c r="F1088" s="191"/>
      <c r="G1088" s="481"/>
      <c r="H1088" s="192"/>
      <c r="I1088" s="255"/>
      <c r="J1088" s="255"/>
      <c r="K1088" s="37"/>
      <c r="L1088" s="193"/>
      <c r="M1088" s="193"/>
      <c r="N1088" s="51" t="str">
        <f>IF(AND('331-CT'!$E$7=TH!H1088,OR(L1088="331",M1088="331")),"331",IF(AND(OR(L1088="131",M1088="131"),H1088='131-CT'!$E$7),"131",""))</f>
        <v/>
      </c>
      <c r="O1088" s="887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38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1" t="str">
        <f>IF(OR(TH!L1088=TH!$W$7,M1088=TH!$W$7),"x","")</f>
        <v/>
      </c>
      <c r="X1088" s="51" t="str">
        <f>IF(AND(B1088&gt;='IN-NX'!$P$3,B1088&lt;='IN-NX'!$Q$3,'IN-NX'!$D$7=D1088,OR(LEFT(L1088,2)="15",AND(LEFT(M1088,2)&lt;&gt;"15",LEFT(M1088,2)&lt;&gt;"33"))),"x","")</f>
        <v/>
      </c>
      <c r="Y1088" s="51" t="str">
        <f>IF(AND(OR(LEFT(TH!L1088,2)="15",LEFT(TH!M1088,2)="15"),'152-CT'!$J$8=TH!F1088),"x","")</f>
        <v/>
      </c>
      <c r="Z1088" s="51" t="str">
        <f>IF(AND(OR(LEFT(TH!L1088,2)="15",LEFT(TH!M1088,2)="15"),TK!$E$7=TH!F1088),"x","")</f>
        <v/>
      </c>
      <c r="AA1088" s="51" t="str">
        <f>IF(AND(B1088&lt;=NKC!$N$8,B1088&gt;=NKC!$M$8),"x","")</f>
        <v/>
      </c>
      <c r="AB1088" s="909"/>
      <c r="AC1088" s="588"/>
      <c r="AD1088" s="588"/>
    </row>
    <row r="1089" spans="1:30" s="210" customFormat="1" ht="15.75" customHeight="1">
      <c r="A1089" s="203" t="str">
        <f>IF(B1089&lt;&gt;"",IF(AND(B1089&gt;=_TM1,B1089&lt;=_TM2,OR(TH!L1089="1111",TH!M1089="1111")),TH!D1089,""),"")</f>
        <v/>
      </c>
      <c r="B1089" s="36" t="str">
        <f t="shared" si="54"/>
        <v/>
      </c>
      <c r="C1089" s="183"/>
      <c r="D1089" s="190"/>
      <c r="E1089" s="190"/>
      <c r="F1089" s="191"/>
      <c r="G1089" s="481"/>
      <c r="H1089" s="192"/>
      <c r="I1089" s="255"/>
      <c r="J1089" s="255"/>
      <c r="K1089" s="37"/>
      <c r="L1089" s="193"/>
      <c r="M1089" s="193"/>
      <c r="N1089" s="51" t="str">
        <f>IF(AND('331-CT'!$E$7=TH!H1089,OR(L1089="331",M1089="331")),"331",IF(AND(OR(L1089="131",M1089="131"),H1089='131-CT'!$E$7),"131",""))</f>
        <v/>
      </c>
      <c r="O1089" s="887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38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1" t="str">
        <f>IF(OR(TH!L1089=TH!$W$7,M1089=TH!$W$7),"x","")</f>
        <v/>
      </c>
      <c r="X1089" s="51" t="str">
        <f>IF(AND(B1089&gt;='IN-NX'!$P$3,B1089&lt;='IN-NX'!$Q$3,'IN-NX'!$D$7=D1089,OR(LEFT(L1089,2)="15",AND(LEFT(M1089,2)&lt;&gt;"15",LEFT(M1089,2)&lt;&gt;"33"))),"x","")</f>
        <v/>
      </c>
      <c r="Y1089" s="51" t="str">
        <f>IF(AND(OR(LEFT(TH!L1089,2)="15",LEFT(TH!M1089,2)="15"),'152-CT'!$J$8=TH!F1089),"x","")</f>
        <v/>
      </c>
      <c r="Z1089" s="51" t="str">
        <f>IF(AND(OR(LEFT(TH!L1089,2)="15",LEFT(TH!M1089,2)="15"),TK!$E$7=TH!F1089),"x","")</f>
        <v/>
      </c>
      <c r="AA1089" s="51" t="str">
        <f>IF(AND(B1089&lt;=NKC!$N$8,B1089&gt;=NKC!$M$8),"x","")</f>
        <v/>
      </c>
      <c r="AB1089" s="909"/>
      <c r="AC1089" s="588"/>
      <c r="AD1089" s="588"/>
    </row>
    <row r="1090" spans="1:30" s="210" customFormat="1" ht="15.75" customHeight="1">
      <c r="A1090" s="203" t="str">
        <f>IF(B1090&lt;&gt;"",IF(AND(B1090&gt;=_TM1,B1090&lt;=_TM2,OR(TH!L1090="1111",TH!M1090="1111")),TH!D1090,""),"")</f>
        <v/>
      </c>
      <c r="B1090" s="36" t="str">
        <f t="shared" si="54"/>
        <v/>
      </c>
      <c r="C1090" s="183"/>
      <c r="D1090" s="190"/>
      <c r="E1090" s="190"/>
      <c r="F1090" s="188"/>
      <c r="G1090" s="481"/>
      <c r="H1090" s="7"/>
      <c r="I1090" s="255"/>
      <c r="J1090" s="255"/>
      <c r="K1090" s="37"/>
      <c r="L1090" s="193"/>
      <c r="M1090" s="193"/>
      <c r="N1090" s="51" t="str">
        <f>IF(AND('331-CT'!$E$7=TH!H1090,OR(L1090="331",M1090="331")),"331",IF(AND(OR(L1090="131",M1090="131"),H1090='131-CT'!$E$7),"131",""))</f>
        <v/>
      </c>
      <c r="O1090" s="887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38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1" t="str">
        <f>IF(OR(TH!L1090=TH!$W$7,M1090=TH!$W$7),"x","")</f>
        <v/>
      </c>
      <c r="X1090" s="51" t="str">
        <f>IF(AND(B1090&gt;='IN-NX'!$P$3,B1090&lt;='IN-NX'!$Q$3,'IN-NX'!$D$7=D1090,OR(LEFT(L1090,2)="15",AND(LEFT(M1090,2)&lt;&gt;"15",LEFT(M1090,2)&lt;&gt;"33"))),"x","")</f>
        <v/>
      </c>
      <c r="Y1090" s="51" t="str">
        <f>IF(AND(OR(LEFT(TH!L1090,2)="15",LEFT(TH!M1090,2)="15"),'152-CT'!$J$8=TH!F1090),"x","")</f>
        <v/>
      </c>
      <c r="Z1090" s="51" t="str">
        <f>IF(AND(OR(LEFT(TH!L1090,2)="15",LEFT(TH!M1090,2)="15"),TK!$E$7=TH!F1090),"x","")</f>
        <v/>
      </c>
      <c r="AA1090" s="51" t="str">
        <f>IF(AND(B1090&lt;=NKC!$N$8,B1090&gt;=NKC!$M$8),"x","")</f>
        <v/>
      </c>
      <c r="AB1090" s="909"/>
      <c r="AC1090" s="588"/>
      <c r="AD1090" s="588"/>
    </row>
    <row r="1091" spans="1:30" s="210" customFormat="1" ht="15.75" customHeight="1">
      <c r="A1091" s="203" t="str">
        <f>IF(B1091&lt;&gt;"",IF(AND(B1091&gt;=_TM1,B1091&lt;=_TM2,OR(TH!L1091="1111",TH!M1091="1111")),TH!D1091,""),"")</f>
        <v/>
      </c>
      <c r="B1091" s="36" t="str">
        <f t="shared" si="54"/>
        <v/>
      </c>
      <c r="C1091" s="183"/>
      <c r="D1091" s="190"/>
      <c r="E1091" s="190"/>
      <c r="F1091" s="188"/>
      <c r="G1091" s="481"/>
      <c r="H1091" s="7"/>
      <c r="I1091" s="255"/>
      <c r="J1091" s="255"/>
      <c r="K1091" s="596"/>
      <c r="L1091" s="193"/>
      <c r="M1091" s="193"/>
      <c r="N1091" s="51" t="str">
        <f>IF(AND('331-CT'!$E$7=TH!H1091,OR(L1091="331",M1091="331")),"331",IF(AND(OR(L1091="131",M1091="131"),H1091='131-CT'!$E$7),"131",""))</f>
        <v/>
      </c>
      <c r="O1091" s="887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38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1" t="str">
        <f>IF(OR(TH!L1091=TH!$W$7,M1091=TH!$W$7),"x","")</f>
        <v/>
      </c>
      <c r="X1091" s="51" t="str">
        <f>IF(AND(B1091&gt;='IN-NX'!$P$3,B1091&lt;='IN-NX'!$Q$3,'IN-NX'!$D$7=D1091,OR(LEFT(L1091,2)="15",AND(LEFT(M1091,2)&lt;&gt;"15",LEFT(M1091,2)&lt;&gt;"33"))),"x","")</f>
        <v/>
      </c>
      <c r="Y1091" s="51" t="str">
        <f>IF(AND(OR(LEFT(TH!L1091,2)="15",LEFT(TH!M1091,2)="15"),'152-CT'!$J$8=TH!F1091),"x","")</f>
        <v/>
      </c>
      <c r="Z1091" s="51" t="str">
        <f>IF(AND(OR(LEFT(TH!L1091,2)="15",LEFT(TH!M1091,2)="15"),TK!$E$7=TH!F1091),"x","")</f>
        <v/>
      </c>
      <c r="AA1091" s="51" t="str">
        <f>IF(AND(B1091&lt;=NKC!$N$8,B1091&gt;=NKC!$M$8),"x","")</f>
        <v/>
      </c>
      <c r="AB1091" s="909"/>
      <c r="AC1091" s="588"/>
    </row>
    <row r="1092" spans="1:30" s="210" customFormat="1" ht="15.75" customHeight="1">
      <c r="A1092" s="203" t="str">
        <f>IF(B1092&lt;&gt;"",IF(AND(B1092&gt;=_TM1,B1092&lt;=_TM2,OR(TH!L1092="1111",TH!M1092="1111")),TH!D1092,""),"")</f>
        <v/>
      </c>
      <c r="B1092" s="36" t="str">
        <f t="shared" si="54"/>
        <v/>
      </c>
      <c r="C1092" s="183"/>
      <c r="D1092" s="190"/>
      <c r="E1092" s="190"/>
      <c r="F1092" s="296"/>
      <c r="G1092" s="481"/>
      <c r="H1092" s="7"/>
      <c r="I1092" s="255"/>
      <c r="J1092" s="255"/>
      <c r="K1092" s="37"/>
      <c r="L1092" s="193"/>
      <c r="M1092" s="193"/>
      <c r="N1092" s="51" t="str">
        <f>IF(AND('331-CT'!$E$7=TH!H1092,OR(L1092="331",M1092="331")),"331",IF(AND(OR(L1092="131",M1092="131"),H1092='131-CT'!$E$7),"131",""))</f>
        <v/>
      </c>
      <c r="O1092" s="887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38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1" t="str">
        <f>IF(OR(TH!L1092=TH!$W$7,M1092=TH!$W$7),"x","")</f>
        <v/>
      </c>
      <c r="X1092" s="51" t="str">
        <f>IF(AND(B1092&gt;='IN-NX'!$P$3,B1092&lt;='IN-NX'!$Q$3,'IN-NX'!$D$7=D1092,OR(LEFT(L1092,2)="15",AND(LEFT(M1092,2)&lt;&gt;"15",LEFT(M1092,2)&lt;&gt;"33"))),"x","")</f>
        <v/>
      </c>
      <c r="Y1092" s="51" t="str">
        <f>IF(AND(OR(LEFT(TH!L1092,2)="15",LEFT(TH!M1092,2)="15"),'152-CT'!$J$8=TH!F1092),"x","")</f>
        <v/>
      </c>
      <c r="Z1092" s="51" t="str">
        <f>IF(AND(OR(LEFT(TH!L1092,2)="15",LEFT(TH!M1092,2)="15"),TK!$E$7=TH!F1092),"x","")</f>
        <v/>
      </c>
      <c r="AA1092" s="51" t="str">
        <f>IF(AND(B1092&lt;=NKC!$N$8,B1092&gt;=NKC!$M$8),"x","")</f>
        <v/>
      </c>
      <c r="AB1092" s="909"/>
      <c r="AC1092" s="588"/>
      <c r="AD1092" s="588"/>
    </row>
    <row r="1093" spans="1:30" s="210" customFormat="1" ht="15.75" customHeight="1">
      <c r="A1093" s="203" t="str">
        <f>IF(B1093&lt;&gt;"",IF(AND(B1093&gt;=_TM1,B1093&lt;=_TM2,OR(TH!L1093="1111",TH!M1093="1111")),TH!D1093,""),"")</f>
        <v/>
      </c>
      <c r="B1093" s="36" t="str">
        <f t="shared" si="54"/>
        <v/>
      </c>
      <c r="C1093" s="183"/>
      <c r="D1093" s="190"/>
      <c r="E1093" s="190"/>
      <c r="F1093" s="188"/>
      <c r="G1093" s="481"/>
      <c r="H1093" s="7"/>
      <c r="I1093" s="255"/>
      <c r="J1093" s="255"/>
      <c r="K1093" s="596"/>
      <c r="L1093" s="193"/>
      <c r="M1093" s="193"/>
      <c r="N1093" s="51" t="str">
        <f>IF(AND('331-CT'!$E$7=TH!H1093,OR(L1093="331",M1093="331")),"331",IF(AND(OR(L1093="131",M1093="131"),H1093='131-CT'!$E$7),"131",""))</f>
        <v/>
      </c>
      <c r="O1093" s="887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38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1" t="str">
        <f>IF(OR(TH!L1093=TH!$W$7,M1093=TH!$W$7),"x","")</f>
        <v/>
      </c>
      <c r="X1093" s="51" t="str">
        <f>IF(AND(B1093&gt;='IN-NX'!$P$3,B1093&lt;='IN-NX'!$Q$3,'IN-NX'!$D$7=D1093,OR(LEFT(L1093,2)="15",AND(LEFT(M1093,2)&lt;&gt;"15",LEFT(M1093,2)&lt;&gt;"33"))),"x","")</f>
        <v/>
      </c>
      <c r="Y1093" s="51" t="str">
        <f>IF(AND(OR(LEFT(TH!L1093,2)="15",LEFT(TH!M1093,2)="15"),'152-CT'!$J$8=TH!F1093),"x","")</f>
        <v/>
      </c>
      <c r="Z1093" s="51" t="str">
        <f>IF(AND(OR(LEFT(TH!L1093,2)="15",LEFT(TH!M1093,2)="15"),TK!$E$7=TH!F1093),"x","")</f>
        <v/>
      </c>
      <c r="AA1093" s="51" t="str">
        <f>IF(AND(B1093&lt;=NKC!$N$8,B1093&gt;=NKC!$M$8),"x","")</f>
        <v/>
      </c>
      <c r="AB1093" s="909"/>
      <c r="AC1093" s="588"/>
    </row>
    <row r="1094" spans="1:30" s="210" customFormat="1" ht="15.75" customHeight="1">
      <c r="A1094" s="203" t="str">
        <f>IF(B1094&lt;&gt;"",IF(AND(B1094&gt;=_TM1,B1094&lt;=_TM2,OR(TH!L1094="1111",TH!M1094="1111")),TH!D1094,""),"")</f>
        <v/>
      </c>
      <c r="B1094" s="36" t="str">
        <f t="shared" si="54"/>
        <v/>
      </c>
      <c r="C1094" s="183"/>
      <c r="D1094" s="190"/>
      <c r="E1094" s="190"/>
      <c r="F1094" s="296"/>
      <c r="G1094" s="481"/>
      <c r="H1094" s="7"/>
      <c r="I1094" s="255"/>
      <c r="J1094" s="255"/>
      <c r="K1094" s="37"/>
      <c r="L1094" s="193"/>
      <c r="M1094" s="193"/>
      <c r="N1094" s="51" t="str">
        <f>IF(AND('331-CT'!$E$7=TH!H1094,OR(L1094="331",M1094="331")),"331",IF(AND(OR(L1094="131",M1094="131"),H1094='131-CT'!$E$7),"131",""))</f>
        <v/>
      </c>
      <c r="O1094" s="887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38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1" t="str">
        <f>IF(OR(TH!L1094=TH!$W$7,M1094=TH!$W$7),"x","")</f>
        <v/>
      </c>
      <c r="X1094" s="51" t="str">
        <f>IF(AND(B1094&gt;='IN-NX'!$P$3,B1094&lt;='IN-NX'!$Q$3,'IN-NX'!$D$7=D1094,OR(LEFT(L1094,2)="15",AND(LEFT(M1094,2)&lt;&gt;"15",LEFT(M1094,2)&lt;&gt;"33"))),"x","")</f>
        <v/>
      </c>
      <c r="Y1094" s="51" t="str">
        <f>IF(AND(OR(LEFT(TH!L1094,2)="15",LEFT(TH!M1094,2)="15"),'152-CT'!$J$8=TH!F1094),"x","")</f>
        <v/>
      </c>
      <c r="Z1094" s="51" t="str">
        <f>IF(AND(OR(LEFT(TH!L1094,2)="15",LEFT(TH!M1094,2)="15"),TK!$E$7=TH!F1094),"x","")</f>
        <v/>
      </c>
      <c r="AA1094" s="51" t="str">
        <f>IF(AND(B1094&lt;=NKC!$N$8,B1094&gt;=NKC!$M$8),"x","")</f>
        <v/>
      </c>
      <c r="AB1094" s="909"/>
      <c r="AC1094" s="588"/>
      <c r="AD1094" s="588"/>
    </row>
    <row r="1095" spans="1:30" s="210" customFormat="1" ht="15.75" customHeight="1">
      <c r="A1095" s="203" t="str">
        <f>IF(B1095&lt;&gt;"",IF(AND(B1095&gt;=_TM1,B1095&lt;=_TM2,OR(TH!L1095="1111",TH!M1095="1111")),TH!D1095,""),"")</f>
        <v/>
      </c>
      <c r="B1095" s="36" t="str">
        <f t="shared" si="54"/>
        <v/>
      </c>
      <c r="C1095" s="183"/>
      <c r="D1095" s="190"/>
      <c r="E1095" s="190"/>
      <c r="F1095" s="188"/>
      <c r="G1095" s="481"/>
      <c r="H1095" s="7"/>
      <c r="I1095" s="255"/>
      <c r="J1095" s="255"/>
      <c r="K1095" s="37"/>
      <c r="L1095" s="193"/>
      <c r="M1095" s="193"/>
      <c r="N1095" s="51" t="str">
        <f>IF(AND('331-CT'!$E$7=TH!H1095,OR(L1095="331",M1095="331")),"331",IF(AND(OR(L1095="131",M1095="131"),H1095='131-CT'!$E$7),"131",""))</f>
        <v/>
      </c>
      <c r="O1095" s="887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38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1" t="str">
        <f>IF(OR(TH!L1095=TH!$W$7,M1095=TH!$W$7),"x","")</f>
        <v/>
      </c>
      <c r="X1095" s="51" t="str">
        <f>IF(AND(B1095&gt;='IN-NX'!$P$3,B1095&lt;='IN-NX'!$Q$3,'IN-NX'!$D$7=D1095,OR(LEFT(L1095,2)="15",AND(LEFT(M1095,2)&lt;&gt;"15",LEFT(M1095,2)&lt;&gt;"33"))),"x","")</f>
        <v/>
      </c>
      <c r="Y1095" s="51" t="str">
        <f>IF(AND(OR(LEFT(TH!L1095,2)="15",LEFT(TH!M1095,2)="15"),'152-CT'!$J$8=TH!F1095),"x","")</f>
        <v/>
      </c>
      <c r="Z1095" s="51" t="str">
        <f>IF(AND(OR(LEFT(TH!L1095,2)="15",LEFT(TH!M1095,2)="15"),TK!$E$7=TH!F1095),"x","")</f>
        <v/>
      </c>
      <c r="AA1095" s="51" t="str">
        <f>IF(AND(B1095&lt;=NKC!$N$8,B1095&gt;=NKC!$M$8),"x","")</f>
        <v/>
      </c>
      <c r="AB1095" s="909"/>
      <c r="AC1095" s="588"/>
      <c r="AD1095" s="588"/>
    </row>
    <row r="1096" spans="1:30" s="210" customFormat="1" ht="15.75" customHeight="1">
      <c r="A1096" s="203" t="str">
        <f>IF(B1096&lt;&gt;"",IF(AND(B1096&gt;=_TM1,B1096&lt;=_TM2,OR(TH!L1096="1111",TH!M1096="1111")),TH!D1096,""),"")</f>
        <v/>
      </c>
      <c r="B1096" s="36" t="str">
        <f t="shared" si="54"/>
        <v/>
      </c>
      <c r="C1096" s="183"/>
      <c r="D1096" s="190"/>
      <c r="E1096" s="190"/>
      <c r="F1096" s="188"/>
      <c r="G1096" s="481"/>
      <c r="H1096" s="7"/>
      <c r="I1096" s="255"/>
      <c r="J1096" s="255"/>
      <c r="K1096" s="37"/>
      <c r="L1096" s="193"/>
      <c r="M1096" s="193"/>
      <c r="N1096" s="51" t="str">
        <f>IF(AND('331-CT'!$E$7=TH!H1096,OR(L1096="331",M1096="331")),"331",IF(AND(OR(L1096="131",M1096="131"),H1096='131-CT'!$E$7),"131",""))</f>
        <v/>
      </c>
      <c r="O1096" s="887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38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1" t="str">
        <f>IF(OR(TH!L1096=TH!$W$7,M1096=TH!$W$7),"x","")</f>
        <v/>
      </c>
      <c r="X1096" s="51" t="str">
        <f>IF(AND(B1096&gt;='IN-NX'!$P$3,B1096&lt;='IN-NX'!$Q$3,'IN-NX'!$D$7=D1096,OR(LEFT(L1096,2)="15",AND(LEFT(M1096,2)&lt;&gt;"15",LEFT(M1096,2)&lt;&gt;"33"))),"x","")</f>
        <v/>
      </c>
      <c r="Y1096" s="51" t="str">
        <f>IF(AND(OR(LEFT(TH!L1096,2)="15",LEFT(TH!M1096,2)="15"),'152-CT'!$J$8=TH!F1096),"x","")</f>
        <v/>
      </c>
      <c r="Z1096" s="51" t="str">
        <f>IF(AND(OR(LEFT(TH!L1096,2)="15",LEFT(TH!M1096,2)="15"),TK!$E$7=TH!F1096),"x","")</f>
        <v/>
      </c>
      <c r="AA1096" s="51" t="str">
        <f>IF(AND(B1096&lt;=NKC!$N$8,B1096&gt;=NKC!$M$8),"x","")</f>
        <v/>
      </c>
      <c r="AB1096" s="909"/>
      <c r="AC1096" s="588"/>
      <c r="AD1096" s="588"/>
    </row>
    <row r="1097" spans="1:30" s="210" customFormat="1" ht="15.75" customHeight="1">
      <c r="A1097" s="203" t="str">
        <f>IF(B1097&lt;&gt;"",IF(AND(B1097&gt;=_TM1,B1097&lt;=_TM2,OR(TH!L1097="1111",TH!M1097="1111")),TH!D1097,""),"")</f>
        <v/>
      </c>
      <c r="B1097" s="36" t="str">
        <f t="shared" si="54"/>
        <v/>
      </c>
      <c r="C1097" s="183"/>
      <c r="D1097" s="190"/>
      <c r="E1097" s="190"/>
      <c r="F1097" s="188"/>
      <c r="G1097" s="481"/>
      <c r="H1097" s="7"/>
      <c r="I1097" s="255"/>
      <c r="J1097" s="255"/>
      <c r="K1097" s="596"/>
      <c r="L1097" s="193"/>
      <c r="M1097" s="193"/>
      <c r="N1097" s="51" t="str">
        <f>IF(AND('331-CT'!$E$7=TH!H1097,OR(L1097="331",M1097="331")),"331",IF(AND(OR(L1097="131",M1097="131"),H1097='131-CT'!$E$7),"131",""))</f>
        <v/>
      </c>
      <c r="O1097" s="887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38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1" t="str">
        <f>IF(OR(TH!L1097=TH!$W$7,M1097=TH!$W$7),"x","")</f>
        <v/>
      </c>
      <c r="X1097" s="51" t="str">
        <f>IF(AND(B1097&gt;='IN-NX'!$P$3,B1097&lt;='IN-NX'!$Q$3,'IN-NX'!$D$7=D1097,OR(LEFT(L1097,2)="15",AND(LEFT(M1097,2)&lt;&gt;"15",LEFT(M1097,2)&lt;&gt;"33"))),"x","")</f>
        <v/>
      </c>
      <c r="Y1097" s="51" t="str">
        <f>IF(AND(OR(LEFT(TH!L1097,2)="15",LEFT(TH!M1097,2)="15"),'152-CT'!$J$8=TH!F1097),"x","")</f>
        <v/>
      </c>
      <c r="Z1097" s="51" t="str">
        <f>IF(AND(OR(LEFT(TH!L1097,2)="15",LEFT(TH!M1097,2)="15"),TK!$E$7=TH!F1097),"x","")</f>
        <v/>
      </c>
      <c r="AA1097" s="51" t="str">
        <f>IF(AND(B1097&lt;=NKC!$N$8,B1097&gt;=NKC!$M$8),"x","")</f>
        <v/>
      </c>
      <c r="AB1097" s="909"/>
      <c r="AC1097" s="588"/>
      <c r="AD1097" s="588"/>
    </row>
    <row r="1098" spans="1:30" s="210" customFormat="1" ht="15.75" customHeight="1">
      <c r="A1098" s="203" t="str">
        <f>IF(B1098&lt;&gt;"",IF(AND(B1098&gt;=_TM1,B1098&lt;=_TM2,OR(TH!L1098="1111",TH!M1098="1111")),TH!D1098,""),"")</f>
        <v/>
      </c>
      <c r="B1098" s="36" t="str">
        <f t="shared" si="54"/>
        <v/>
      </c>
      <c r="C1098" s="183"/>
      <c r="D1098" s="190"/>
      <c r="E1098" s="190"/>
      <c r="F1098" s="188"/>
      <c r="G1098" s="481"/>
      <c r="H1098" s="7"/>
      <c r="I1098" s="255"/>
      <c r="J1098" s="255"/>
      <c r="K1098" s="37"/>
      <c r="L1098" s="193"/>
      <c r="M1098" s="193"/>
      <c r="N1098" s="51" t="str">
        <f>IF(AND('331-CT'!$E$7=TH!H1098,OR(L1098="331",M1098="331")),"331",IF(AND(OR(L1098="131",M1098="131"),H1098='131-CT'!$E$7),"131",""))</f>
        <v/>
      </c>
      <c r="O1098" s="887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38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1" t="str">
        <f>IF(OR(TH!L1098=TH!$W$7,M1098=TH!$W$7),"x","")</f>
        <v/>
      </c>
      <c r="X1098" s="51" t="str">
        <f>IF(AND(B1098&gt;='IN-NX'!$P$3,B1098&lt;='IN-NX'!$Q$3,'IN-NX'!$D$7=D1098,OR(LEFT(L1098,2)="15",AND(LEFT(M1098,2)&lt;&gt;"15",LEFT(M1098,2)&lt;&gt;"33"))),"x","")</f>
        <v/>
      </c>
      <c r="Y1098" s="51" t="str">
        <f>IF(AND(OR(LEFT(TH!L1098,2)="15",LEFT(TH!M1098,2)="15"),'152-CT'!$J$8=TH!F1098),"x","")</f>
        <v/>
      </c>
      <c r="Z1098" s="51" t="str">
        <f>IF(AND(OR(LEFT(TH!L1098,2)="15",LEFT(TH!M1098,2)="15"),TK!$E$7=TH!F1098),"x","")</f>
        <v/>
      </c>
      <c r="AA1098" s="51" t="str">
        <f>IF(AND(B1098&lt;=NKC!$N$8,B1098&gt;=NKC!$M$8),"x","")</f>
        <v/>
      </c>
      <c r="AB1098" s="909"/>
      <c r="AC1098" s="588"/>
      <c r="AD1098" s="588"/>
    </row>
    <row r="1099" spans="1:30" s="210" customFormat="1" ht="15.75" customHeight="1">
      <c r="A1099" s="203" t="str">
        <f>IF(B1099&lt;&gt;"",IF(AND(B1099&gt;=_TM1,B1099&lt;=_TM2,OR(TH!L1099="1111",TH!M1099="1111")),TH!D1099,""),"")</f>
        <v/>
      </c>
      <c r="B1099" s="36" t="str">
        <f t="shared" si="54"/>
        <v/>
      </c>
      <c r="C1099" s="183"/>
      <c r="D1099" s="190"/>
      <c r="E1099" s="183"/>
      <c r="F1099" s="188"/>
      <c r="G1099" s="598"/>
      <c r="H1099" s="192"/>
      <c r="I1099" s="255"/>
      <c r="J1099" s="255"/>
      <c r="K1099" s="37"/>
      <c r="L1099" s="193"/>
      <c r="M1099" s="193"/>
      <c r="N1099" s="51" t="str">
        <f>IF(AND('331-CT'!$E$7=TH!H1099,OR(L1099="331",M1099="331")),"331",IF(AND(OR(L1099="131",M1099="131"),H1099='131-CT'!$E$7),"131",""))</f>
        <v/>
      </c>
      <c r="O1099" s="887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38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1" t="str">
        <f>IF(OR(TH!L1099=TH!$W$7,M1099=TH!$W$7),"x","")</f>
        <v/>
      </c>
      <c r="X1099" s="51" t="str">
        <f>IF(AND(B1099&gt;='IN-NX'!$P$3,B1099&lt;='IN-NX'!$Q$3,'IN-NX'!$D$7=D1099,OR(LEFT(L1099,2)="15",AND(LEFT(M1099,2)&lt;&gt;"15",LEFT(M1099,2)&lt;&gt;"33"))),"x","")</f>
        <v/>
      </c>
      <c r="Y1099" s="51" t="str">
        <f>IF(AND(OR(LEFT(TH!L1099,2)="15",LEFT(TH!M1099,2)="15"),'152-CT'!$J$8=TH!F1099),"x","")</f>
        <v/>
      </c>
      <c r="Z1099" s="51" t="str">
        <f>IF(AND(OR(LEFT(TH!L1099,2)="15",LEFT(TH!M1099,2)="15"),TK!$E$7=TH!F1099),"x","")</f>
        <v/>
      </c>
      <c r="AA1099" s="51" t="str">
        <f>IF(AND(B1099&lt;=NKC!$N$8,B1099&gt;=NKC!$M$8),"x","")</f>
        <v/>
      </c>
      <c r="AB1099" s="909"/>
      <c r="AC1099" s="588"/>
      <c r="AD1099" s="588"/>
    </row>
    <row r="1100" spans="1:30" s="210" customFormat="1" ht="15.75" customHeight="1">
      <c r="A1100" s="203" t="str">
        <f>IF(B1100&lt;&gt;"",IF(AND(B1100&gt;=_TM1,B1100&lt;=_TM2,OR(TH!L1100="1111",TH!M1100="1111")),TH!D1100,""),"")</f>
        <v/>
      </c>
      <c r="B1100" s="36" t="str">
        <f t="shared" si="54"/>
        <v/>
      </c>
      <c r="C1100" s="183"/>
      <c r="D1100" s="190"/>
      <c r="E1100" s="183"/>
      <c r="F1100" s="188"/>
      <c r="G1100" s="598"/>
      <c r="H1100" s="7"/>
      <c r="I1100" s="255"/>
      <c r="J1100" s="255"/>
      <c r="K1100" s="596"/>
      <c r="L1100" s="193"/>
      <c r="M1100" s="193"/>
      <c r="N1100" s="51" t="str">
        <f>IF(AND('331-CT'!$E$7=TH!H1100,OR(L1100="331",M1100="331")),"331",IF(AND(OR(L1100="131",M1100="131"),H1100='131-CT'!$E$7),"131",""))</f>
        <v/>
      </c>
      <c r="O1100" s="887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38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1" t="str">
        <f>IF(OR(TH!L1100=TH!$W$7,M1100=TH!$W$7),"x","")</f>
        <v/>
      </c>
      <c r="X1100" s="51" t="str">
        <f>IF(AND(B1100&gt;='IN-NX'!$P$3,B1100&lt;='IN-NX'!$Q$3,'IN-NX'!$D$7=D1100,OR(LEFT(L1100,2)="15",AND(LEFT(M1100,2)&lt;&gt;"15",LEFT(M1100,2)&lt;&gt;"33"))),"x","")</f>
        <v/>
      </c>
      <c r="Y1100" s="51" t="str">
        <f>IF(AND(OR(LEFT(TH!L1100,2)="15",LEFT(TH!M1100,2)="15"),'152-CT'!$J$8=TH!F1100),"x","")</f>
        <v/>
      </c>
      <c r="Z1100" s="51" t="str">
        <f>IF(AND(OR(LEFT(TH!L1100,2)="15",LEFT(TH!M1100,2)="15"),TK!$E$7=TH!F1100),"x","")</f>
        <v/>
      </c>
      <c r="AA1100" s="51" t="str">
        <f>IF(AND(B1100&lt;=NKC!$N$8,B1100&gt;=NKC!$M$8),"x","")</f>
        <v/>
      </c>
      <c r="AB1100" s="909"/>
      <c r="AC1100" s="588"/>
      <c r="AD1100" s="588"/>
    </row>
    <row r="1101" spans="1:30" s="210" customFormat="1" ht="15.75" customHeight="1">
      <c r="A1101" s="203" t="str">
        <f>IF(B1101&lt;&gt;"",IF(AND(B1101&gt;=_TM1,B1101&lt;=_TM2,OR(TH!L1101="1111",TH!M1101="1111")),TH!D1101,""),"")</f>
        <v/>
      </c>
      <c r="B1101" s="36" t="str">
        <f t="shared" si="54"/>
        <v/>
      </c>
      <c r="C1101" s="183"/>
      <c r="D1101" s="190"/>
      <c r="E1101" s="183"/>
      <c r="F1101" s="188"/>
      <c r="G1101" s="598"/>
      <c r="H1101" s="192"/>
      <c r="I1101" s="255"/>
      <c r="J1101" s="255"/>
      <c r="K1101" s="37"/>
      <c r="L1101" s="193"/>
      <c r="M1101" s="193"/>
      <c r="N1101" s="51" t="str">
        <f>IF(AND('331-CT'!$E$7=TH!H1101,OR(L1101="331",M1101="331")),"331",IF(AND(OR(L1101="131",M1101="131"),H1101='131-CT'!$E$7),"131",""))</f>
        <v/>
      </c>
      <c r="O1101" s="887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38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1" t="str">
        <f>IF(OR(TH!L1101=TH!$W$7,M1101=TH!$W$7),"x","")</f>
        <v/>
      </c>
      <c r="X1101" s="51" t="str">
        <f>IF(AND(B1101&gt;='IN-NX'!$P$3,B1101&lt;='IN-NX'!$Q$3,'IN-NX'!$D$7=D1101,OR(LEFT(L1101,2)="15",AND(LEFT(M1101,2)&lt;&gt;"15",LEFT(M1101,2)&lt;&gt;"33"))),"x","")</f>
        <v/>
      </c>
      <c r="Y1101" s="51" t="str">
        <f>IF(AND(OR(LEFT(TH!L1101,2)="15",LEFT(TH!M1101,2)="15"),'152-CT'!$J$8=TH!F1101),"x","")</f>
        <v/>
      </c>
      <c r="Z1101" s="51" t="str">
        <f>IF(AND(OR(LEFT(TH!L1101,2)="15",LEFT(TH!M1101,2)="15"),TK!$E$7=TH!F1101),"x","")</f>
        <v/>
      </c>
      <c r="AA1101" s="51" t="str">
        <f>IF(AND(B1101&lt;=NKC!$N$8,B1101&gt;=NKC!$M$8),"x","")</f>
        <v/>
      </c>
      <c r="AB1101" s="909"/>
      <c r="AC1101" s="588"/>
      <c r="AD1101" s="588"/>
    </row>
    <row r="1102" spans="1:30" s="210" customFormat="1" ht="15.75" customHeight="1">
      <c r="A1102" s="203" t="str">
        <f>IF(B1102&lt;&gt;"",IF(AND(B1102&gt;=_TM1,B1102&lt;=_TM2,OR(TH!L1102="1111",TH!M1102="1111")),TH!D1102,""),"")</f>
        <v/>
      </c>
      <c r="B1102" s="36" t="str">
        <f t="shared" si="54"/>
        <v/>
      </c>
      <c r="C1102" s="183"/>
      <c r="D1102" s="190"/>
      <c r="E1102" s="183"/>
      <c r="F1102" s="188"/>
      <c r="G1102" s="598"/>
      <c r="H1102" s="192"/>
      <c r="I1102" s="255"/>
      <c r="J1102" s="255"/>
      <c r="K1102" s="37"/>
      <c r="L1102" s="193"/>
      <c r="M1102" s="193"/>
      <c r="N1102" s="51" t="str">
        <f>IF(AND('331-CT'!$E$7=TH!H1102,OR(L1102="331",M1102="331")),"331",IF(AND(OR(L1102="131",M1102="131"),H1102='131-CT'!$E$7),"131",""))</f>
        <v/>
      </c>
      <c r="O1102" s="887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38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1" t="str">
        <f>IF(OR(TH!L1102=TH!$W$7,M1102=TH!$W$7),"x","")</f>
        <v/>
      </c>
      <c r="X1102" s="51" t="str">
        <f>IF(AND(B1102&gt;='IN-NX'!$P$3,B1102&lt;='IN-NX'!$Q$3,'IN-NX'!$D$7=D1102,OR(LEFT(L1102,2)="15",AND(LEFT(M1102,2)&lt;&gt;"15",LEFT(M1102,2)&lt;&gt;"33"))),"x","")</f>
        <v/>
      </c>
      <c r="Y1102" s="51" t="str">
        <f>IF(AND(OR(LEFT(TH!L1102,2)="15",LEFT(TH!M1102,2)="15"),'152-CT'!$J$8=TH!F1102),"x","")</f>
        <v/>
      </c>
      <c r="Z1102" s="51" t="str">
        <f>IF(AND(OR(LEFT(TH!L1102,2)="15",LEFT(TH!M1102,2)="15"),TK!$E$7=TH!F1102),"x","")</f>
        <v/>
      </c>
      <c r="AA1102" s="51" t="str">
        <f>IF(AND(B1102&lt;=NKC!$N$8,B1102&gt;=NKC!$M$8),"x","")</f>
        <v/>
      </c>
      <c r="AB1102" s="909"/>
      <c r="AC1102" s="588"/>
    </row>
    <row r="1103" spans="1:30" s="210" customFormat="1" ht="15.75" customHeight="1">
      <c r="A1103" s="203" t="str">
        <f>IF(B1103&lt;&gt;"",IF(AND(B1103&gt;=_TM1,B1103&lt;=_TM2,OR(TH!L1103="1111",TH!M1103="1111")),TH!D1103,""),"")</f>
        <v/>
      </c>
      <c r="B1103" s="36" t="str">
        <f t="shared" si="54"/>
        <v/>
      </c>
      <c r="C1103" s="183"/>
      <c r="D1103" s="190"/>
      <c r="E1103" s="190"/>
      <c r="F1103" s="188"/>
      <c r="G1103" s="481"/>
      <c r="H1103" s="192"/>
      <c r="I1103" s="255"/>
      <c r="J1103" s="255"/>
      <c r="K1103" s="596"/>
      <c r="L1103" s="193"/>
      <c r="M1103" s="193"/>
      <c r="N1103" s="51" t="str">
        <f>IF(AND('331-CT'!$E$7=TH!H1103,OR(L1103="331",M1103="331")),"331",IF(AND(OR(L1103="131",M1103="131"),H1103='131-CT'!$E$7),"131",""))</f>
        <v/>
      </c>
      <c r="O1103" s="887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38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1" t="str">
        <f>IF(OR(TH!L1103=TH!$W$7,M1103=TH!$W$7),"x","")</f>
        <v/>
      </c>
      <c r="X1103" s="51" t="str">
        <f>IF(AND(B1103&gt;='IN-NX'!$P$3,B1103&lt;='IN-NX'!$Q$3,'IN-NX'!$D$7=D1103,OR(LEFT(L1103,2)="15",AND(LEFT(M1103,2)&lt;&gt;"15",LEFT(M1103,2)&lt;&gt;"33"))),"x","")</f>
        <v/>
      </c>
      <c r="Y1103" s="51" t="str">
        <f>IF(AND(OR(LEFT(TH!L1103,2)="15",LEFT(TH!M1103,2)="15"),'152-CT'!$J$8=TH!F1103),"x","")</f>
        <v/>
      </c>
      <c r="Z1103" s="51" t="str">
        <f>IF(AND(OR(LEFT(TH!L1103,2)="15",LEFT(TH!M1103,2)="15"),TK!$E$7=TH!F1103),"x","")</f>
        <v/>
      </c>
      <c r="AA1103" s="51" t="str">
        <f>IF(AND(B1103&lt;=NKC!$N$8,B1103&gt;=NKC!$M$8),"x","")</f>
        <v/>
      </c>
      <c r="AB1103" s="909"/>
      <c r="AC1103" s="588"/>
      <c r="AD1103" s="588"/>
    </row>
    <row r="1104" spans="1:30" s="210" customFormat="1" ht="15.75" customHeight="1">
      <c r="A1104" s="203" t="str">
        <f>IF(B1104&lt;&gt;"",IF(AND(B1104&gt;=_TM1,B1104&lt;=_TM2,OR(TH!L1104="1111",TH!M1104="1111")),TH!D1104,""),"")</f>
        <v/>
      </c>
      <c r="B1104" s="36" t="str">
        <f t="shared" si="54"/>
        <v/>
      </c>
      <c r="C1104" s="183"/>
      <c r="D1104" s="190"/>
      <c r="E1104" s="190"/>
      <c r="F1104" s="188"/>
      <c r="G1104" s="481"/>
      <c r="H1104" s="7"/>
      <c r="I1104" s="255"/>
      <c r="J1104" s="255"/>
      <c r="K1104" s="37"/>
      <c r="L1104" s="193"/>
      <c r="M1104" s="193"/>
      <c r="N1104" s="51" t="str">
        <f>IF(AND('331-CT'!$E$7=TH!H1104,OR(L1104="331",M1104="331")),"331",IF(AND(OR(L1104="131",M1104="131"),H1104='131-CT'!$E$7),"131",""))</f>
        <v/>
      </c>
      <c r="O1104" s="887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38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1" t="str">
        <f>IF(OR(TH!L1104=TH!$W$7,M1104=TH!$W$7),"x","")</f>
        <v/>
      </c>
      <c r="X1104" s="51" t="str">
        <f>IF(AND(B1104&gt;='IN-NX'!$P$3,B1104&lt;='IN-NX'!$Q$3,'IN-NX'!$D$7=D1104,OR(LEFT(L1104,2)="15",AND(LEFT(M1104,2)&lt;&gt;"15",LEFT(M1104,2)&lt;&gt;"33"))),"x","")</f>
        <v/>
      </c>
      <c r="Y1104" s="51" t="str">
        <f>IF(AND(OR(LEFT(TH!L1104,2)="15",LEFT(TH!M1104,2)="15"),'152-CT'!$J$8=TH!F1104),"x","")</f>
        <v/>
      </c>
      <c r="Z1104" s="51" t="str">
        <f>IF(AND(OR(LEFT(TH!L1104,2)="15",LEFT(TH!M1104,2)="15"),TK!$E$7=TH!F1104),"x","")</f>
        <v/>
      </c>
      <c r="AA1104" s="51" t="str">
        <f>IF(AND(B1104&lt;=NKC!$N$8,B1104&gt;=NKC!$M$8),"x","")</f>
        <v/>
      </c>
      <c r="AB1104" s="909"/>
      <c r="AC1104" s="588"/>
      <c r="AD1104" s="588"/>
    </row>
    <row r="1105" spans="1:33" s="210" customFormat="1" ht="15.75" customHeight="1">
      <c r="A1105" s="203" t="str">
        <f>IF(B1105&lt;&gt;"",IF(AND(B1105&gt;=_TM1,B1105&lt;=_TM2,OR(TH!L1105="1111",TH!M1105="1111")),TH!D1105,""),"")</f>
        <v/>
      </c>
      <c r="B1105" s="36" t="str">
        <f t="shared" si="54"/>
        <v/>
      </c>
      <c r="C1105" s="183"/>
      <c r="D1105" s="190"/>
      <c r="E1105" s="190"/>
      <c r="F1105" s="188"/>
      <c r="G1105" s="481"/>
      <c r="H1105" s="7"/>
      <c r="I1105" s="255"/>
      <c r="J1105" s="255"/>
      <c r="K1105" s="37"/>
      <c r="L1105" s="193"/>
      <c r="M1105" s="193"/>
      <c r="N1105" s="51" t="str">
        <f>IF(AND('331-CT'!$E$7=TH!H1105,OR(L1105="331",M1105="331")),"331",IF(AND(OR(L1105="131",M1105="131"),H1105='131-CT'!$E$7),"131",""))</f>
        <v/>
      </c>
      <c r="O1105" s="887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38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1" t="str">
        <f>IF(OR(TH!L1105=TH!$W$7,M1105=TH!$W$7),"x","")</f>
        <v/>
      </c>
      <c r="X1105" s="51" t="str">
        <f>IF(AND(B1105&gt;='IN-NX'!$P$3,B1105&lt;='IN-NX'!$Q$3,'IN-NX'!$D$7=D1105,OR(LEFT(L1105,2)="15",AND(LEFT(M1105,2)&lt;&gt;"15",LEFT(M1105,2)&lt;&gt;"33"))),"x","")</f>
        <v/>
      </c>
      <c r="Y1105" s="51" t="str">
        <f>IF(AND(OR(LEFT(TH!L1105,2)="15",LEFT(TH!M1105,2)="15"),'152-CT'!$J$8=TH!F1105),"x","")</f>
        <v/>
      </c>
      <c r="Z1105" s="51" t="str">
        <f>IF(AND(OR(LEFT(TH!L1105,2)="15",LEFT(TH!M1105,2)="15"),TK!$E$7=TH!F1105),"x","")</f>
        <v/>
      </c>
      <c r="AA1105" s="51" t="str">
        <f>IF(AND(B1105&lt;=NKC!$N$8,B1105&gt;=NKC!$M$8),"x","")</f>
        <v/>
      </c>
      <c r="AB1105" s="909"/>
      <c r="AC1105" s="588"/>
    </row>
    <row r="1106" spans="1:33" s="210" customFormat="1" ht="15.75" customHeight="1">
      <c r="A1106" s="203" t="str">
        <f>IF(B1106&lt;&gt;"",IF(AND(B1106&gt;=_TM1,B1106&lt;=_TM2,OR(TH!L1106="1111",TH!M1106="1111")),TH!D1106,""),"")</f>
        <v/>
      </c>
      <c r="B1106" s="36" t="str">
        <f t="shared" si="54"/>
        <v/>
      </c>
      <c r="C1106" s="183"/>
      <c r="D1106" s="190"/>
      <c r="E1106" s="190"/>
      <c r="F1106" s="188"/>
      <c r="G1106" s="481"/>
      <c r="H1106" s="7"/>
      <c r="I1106" s="255"/>
      <c r="J1106" s="255"/>
      <c r="K1106" s="596"/>
      <c r="L1106" s="193"/>
      <c r="M1106" s="193"/>
      <c r="N1106" s="51" t="str">
        <f>IF(AND('331-CT'!$E$7=TH!H1106,OR(L1106="331",M1106="331")),"331",IF(AND(OR(L1106="131",M1106="131"),H1106='131-CT'!$E$7),"131",""))</f>
        <v/>
      </c>
      <c r="O1106" s="887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38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1" t="str">
        <f>IF(OR(TH!L1106=TH!$W$7,M1106=TH!$W$7),"x","")</f>
        <v/>
      </c>
      <c r="X1106" s="51" t="str">
        <f>IF(AND(B1106&gt;='IN-NX'!$P$3,B1106&lt;='IN-NX'!$Q$3,'IN-NX'!$D$7=D1106,OR(LEFT(L1106,2)="15",AND(LEFT(M1106,2)&lt;&gt;"15",LEFT(M1106,2)&lt;&gt;"33"))),"x","")</f>
        <v/>
      </c>
      <c r="Y1106" s="51" t="str">
        <f>IF(AND(OR(LEFT(TH!L1106,2)="15",LEFT(TH!M1106,2)="15"),'152-CT'!$J$8=TH!F1106),"x","")</f>
        <v/>
      </c>
      <c r="Z1106" s="51" t="str">
        <f>IF(AND(OR(LEFT(TH!L1106,2)="15",LEFT(TH!M1106,2)="15"),TK!$E$7=TH!F1106),"x","")</f>
        <v/>
      </c>
      <c r="AA1106" s="51" t="str">
        <f>IF(AND(B1106&lt;=NKC!$N$8,B1106&gt;=NKC!$M$8),"x","")</f>
        <v/>
      </c>
      <c r="AB1106" s="909"/>
      <c r="AC1106" s="588"/>
      <c r="AD1106" s="588"/>
    </row>
    <row r="1107" spans="1:33" s="210" customFormat="1" ht="15.75" customHeight="1">
      <c r="A1107" s="203" t="str">
        <f>IF(B1107&lt;&gt;"",IF(AND(B1107&gt;=_TM1,B1107&lt;=_TM2,OR(TH!L1107="1111",TH!M1107="1111")),TH!D1107,""),"")</f>
        <v/>
      </c>
      <c r="B1107" s="36" t="str">
        <f t="shared" si="54"/>
        <v/>
      </c>
      <c r="C1107" s="183"/>
      <c r="D1107" s="190"/>
      <c r="E1107" s="190"/>
      <c r="F1107" s="188"/>
      <c r="G1107" s="481"/>
      <c r="H1107" s="7"/>
      <c r="I1107" s="255"/>
      <c r="J1107" s="255"/>
      <c r="K1107" s="37"/>
      <c r="L1107" s="193"/>
      <c r="M1107" s="193"/>
      <c r="N1107" s="51" t="str">
        <f>IF(AND('331-CT'!$E$7=TH!H1107,OR(L1107="331",M1107="331")),"331",IF(AND(OR(L1107="131",M1107="131"),H1107='131-CT'!$E$7),"131",""))</f>
        <v/>
      </c>
      <c r="O1107" s="887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38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1" t="str">
        <f>IF(OR(TH!L1107=TH!$W$7,M1107=TH!$W$7),"x","")</f>
        <v/>
      </c>
      <c r="X1107" s="51" t="str">
        <f>IF(AND(B1107&gt;='IN-NX'!$P$3,B1107&lt;='IN-NX'!$Q$3,'IN-NX'!$D$7=D1107,OR(LEFT(L1107,2)="15",AND(LEFT(M1107,2)&lt;&gt;"15",LEFT(M1107,2)&lt;&gt;"33"))),"x","")</f>
        <v/>
      </c>
      <c r="Y1107" s="51" t="str">
        <f>IF(AND(OR(LEFT(TH!L1107,2)="15",LEFT(TH!M1107,2)="15"),'152-CT'!$J$8=TH!F1107),"x","")</f>
        <v/>
      </c>
      <c r="Z1107" s="51" t="str">
        <f>IF(AND(OR(LEFT(TH!L1107,2)="15",LEFT(TH!M1107,2)="15"),TK!$E$7=TH!F1107),"x","")</f>
        <v/>
      </c>
      <c r="AA1107" s="51" t="str">
        <f>IF(AND(B1107&lt;=NKC!$N$8,B1107&gt;=NKC!$M$8),"x","")</f>
        <v/>
      </c>
      <c r="AB1107" s="909"/>
      <c r="AC1107" s="588"/>
    </row>
    <row r="1108" spans="1:33" s="210" customFormat="1" ht="15.75" customHeight="1">
      <c r="A1108" s="203" t="str">
        <f>IF(B1108&lt;&gt;"",IF(AND(B1108&gt;=_TM1,B1108&lt;=_TM2,OR(TH!L1108="1111",TH!M1108="1111")),TH!D1108,""),"")</f>
        <v/>
      </c>
      <c r="B1108" s="36" t="str">
        <f t="shared" si="54"/>
        <v/>
      </c>
      <c r="C1108" s="183"/>
      <c r="D1108" s="190"/>
      <c r="E1108" s="190"/>
      <c r="F1108" s="191"/>
      <c r="G1108" s="481"/>
      <c r="H1108" s="7"/>
      <c r="I1108" s="255"/>
      <c r="J1108" s="255"/>
      <c r="K1108" s="37"/>
      <c r="L1108" s="193"/>
      <c r="M1108" s="193"/>
      <c r="N1108" s="51" t="str">
        <f>IF(AND('331-CT'!$E$7=TH!H1108,OR(L1108="331",M1108="331")),"331",IF(AND(OR(L1108="131",M1108="131"),H1108='131-CT'!$E$7),"131",""))</f>
        <v/>
      </c>
      <c r="O1108" s="887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38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1" t="str">
        <f>IF(OR(TH!L1108=TH!$W$7,M1108=TH!$W$7),"x","")</f>
        <v/>
      </c>
      <c r="X1108" s="51" t="str">
        <f>IF(AND(B1108&gt;='IN-NX'!$P$3,B1108&lt;='IN-NX'!$Q$3,'IN-NX'!$D$7=D1108,OR(LEFT(L1108,2)="15",AND(LEFT(M1108,2)&lt;&gt;"15",LEFT(M1108,2)&lt;&gt;"33"))),"x","")</f>
        <v/>
      </c>
      <c r="Y1108" s="51" t="str">
        <f>IF(AND(OR(LEFT(TH!L1108,2)="15",LEFT(TH!M1108,2)="15"),'152-CT'!$J$8=TH!F1108),"x","")</f>
        <v/>
      </c>
      <c r="Z1108" s="51" t="str">
        <f>IF(AND(OR(LEFT(TH!L1108,2)="15",LEFT(TH!M1108,2)="15"),TK!$E$7=TH!F1108),"x","")</f>
        <v/>
      </c>
      <c r="AA1108" s="51" t="str">
        <f>IF(AND(B1108&lt;=NKC!$N$8,B1108&gt;=NKC!$M$8),"x","")</f>
        <v/>
      </c>
      <c r="AB1108" s="909"/>
      <c r="AC1108" s="588"/>
      <c r="AD1108" s="588"/>
    </row>
    <row r="1109" spans="1:33" s="210" customFormat="1" ht="15.75" customHeight="1">
      <c r="A1109" s="203" t="str">
        <f>IF(B1109&lt;&gt;"",IF(AND(B1109&gt;=_TM1,B1109&lt;=_TM2,OR(TH!L1109="1111",TH!M1109="1111")),TH!D1109,""),"")</f>
        <v/>
      </c>
      <c r="B1109" s="36" t="str">
        <f t="shared" si="54"/>
        <v/>
      </c>
      <c r="C1109" s="183"/>
      <c r="D1109" s="190"/>
      <c r="E1109" s="190"/>
      <c r="F1109" s="188"/>
      <c r="G1109" s="481"/>
      <c r="H1109" s="7"/>
      <c r="I1109" s="255"/>
      <c r="J1109" s="255"/>
      <c r="K1109" s="37"/>
      <c r="L1109" s="193"/>
      <c r="M1109" s="193"/>
      <c r="N1109" s="51" t="str">
        <f>IF(AND('331-CT'!$E$7=TH!H1109,OR(L1109="331",M1109="331")),"331",IF(AND(OR(L1109="131",M1109="131"),H1109='131-CT'!$E$7),"131",""))</f>
        <v/>
      </c>
      <c r="O1109" s="887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38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1" t="str">
        <f>IF(OR(TH!L1109=TH!$W$7,M1109=TH!$W$7),"x","")</f>
        <v/>
      </c>
      <c r="X1109" s="51" t="str">
        <f>IF(AND(B1109&gt;='IN-NX'!$P$3,B1109&lt;='IN-NX'!$Q$3,'IN-NX'!$D$7=D1109,OR(LEFT(L1109,2)="15",AND(LEFT(M1109,2)&lt;&gt;"15",LEFT(M1109,2)&lt;&gt;"33"))),"x","")</f>
        <v/>
      </c>
      <c r="Y1109" s="51" t="str">
        <f>IF(AND(OR(LEFT(TH!L1109,2)="15",LEFT(TH!M1109,2)="15"),'152-CT'!$J$8=TH!F1109),"x","")</f>
        <v/>
      </c>
      <c r="Z1109" s="51" t="str">
        <f>IF(AND(OR(LEFT(TH!L1109,2)="15",LEFT(TH!M1109,2)="15"),TK!$E$7=TH!F1109),"x","")</f>
        <v/>
      </c>
      <c r="AA1109" s="51" t="str">
        <f>IF(AND(B1109&lt;=NKC!$N$8,B1109&gt;=NKC!$M$8),"x","")</f>
        <v/>
      </c>
      <c r="AB1109" s="909"/>
      <c r="AC1109" s="588"/>
      <c r="AD1109" s="588"/>
    </row>
    <row r="1110" spans="1:33" s="210" customFormat="1" ht="15.75" customHeight="1">
      <c r="A1110" s="203" t="str">
        <f>IF(B1110&lt;&gt;"",IF(AND(B1110&gt;=_TM1,B1110&lt;=_TM2,OR(TH!L1110="1111",TH!M1110="1111")),TH!D1110,""),"")</f>
        <v/>
      </c>
      <c r="B1110" s="36" t="str">
        <f t="shared" si="54"/>
        <v/>
      </c>
      <c r="C1110" s="183"/>
      <c r="D1110" s="190"/>
      <c r="E1110" s="190"/>
      <c r="F1110" s="188"/>
      <c r="G1110" s="481"/>
      <c r="H1110" s="7"/>
      <c r="I1110" s="256"/>
      <c r="J1110" s="255"/>
      <c r="K1110" s="596"/>
      <c r="L1110" s="193"/>
      <c r="M1110" s="193"/>
      <c r="N1110" s="51" t="str">
        <f>IF(AND('331-CT'!$E$7=TH!H1110,OR(L1110="331",M1110="331")),"331",IF(AND(OR(L1110="131",M1110="131"),H1110='131-CT'!$E$7),"131",""))</f>
        <v/>
      </c>
      <c r="O1110" s="887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38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1" t="str">
        <f>IF(OR(TH!L1110=TH!$W$7,M1110=TH!$W$7),"x","")</f>
        <v/>
      </c>
      <c r="X1110" s="51" t="str">
        <f>IF(AND(B1110&gt;='IN-NX'!$P$3,B1110&lt;='IN-NX'!$Q$3,'IN-NX'!$D$7=D1110,OR(LEFT(L1110,2)="15",AND(LEFT(M1110,2)&lt;&gt;"15",LEFT(M1110,2)&lt;&gt;"33"))),"x","")</f>
        <v/>
      </c>
      <c r="Y1110" s="51" t="str">
        <f>IF(AND(OR(LEFT(TH!L1110,2)="15",LEFT(TH!M1110,2)="15"),'152-CT'!$J$8=TH!F1110),"x","")</f>
        <v/>
      </c>
      <c r="Z1110" s="51" t="str">
        <f>IF(AND(OR(LEFT(TH!L1110,2)="15",LEFT(TH!M1110,2)="15"),TK!$E$7=TH!F1110),"x","")</f>
        <v/>
      </c>
      <c r="AA1110" s="51" t="str">
        <f>IF(AND(B1110&lt;=NKC!$N$8,B1110&gt;=NKC!$M$8),"x","")</f>
        <v/>
      </c>
      <c r="AB1110" s="909"/>
      <c r="AC1110" s="588"/>
      <c r="AD1110" s="588"/>
    </row>
    <row r="1111" spans="1:33" s="210" customFormat="1" ht="15.75" customHeight="1">
      <c r="A1111" s="203" t="str">
        <f>IF(B1111&lt;&gt;"",IF(AND(B1111&gt;=_TM1,B1111&lt;=_TM2,OR(TH!L1111="1111",TH!M1111="1111")),TH!D1111,""),"")</f>
        <v/>
      </c>
      <c r="B1111" s="36" t="str">
        <f t="shared" si="54"/>
        <v/>
      </c>
      <c r="C1111" s="183"/>
      <c r="D1111" s="190"/>
      <c r="E1111" s="190"/>
      <c r="F1111" s="188"/>
      <c r="G1111" s="481"/>
      <c r="H1111" s="7"/>
      <c r="I1111" s="255"/>
      <c r="J1111" s="255"/>
      <c r="K1111" s="37"/>
      <c r="L1111" s="193"/>
      <c r="M1111" s="193"/>
      <c r="N1111" s="51" t="str">
        <f>IF(AND('331-CT'!$E$7=TH!H1111,OR(L1111="331",M1111="331")),"331",IF(AND(OR(L1111="131",M1111="131"),H1111='131-CT'!$E$7),"131",""))</f>
        <v/>
      </c>
      <c r="O1111" s="887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38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1" t="str">
        <f>IF(OR(TH!L1111=TH!$W$7,M1111=TH!$W$7),"x","")</f>
        <v/>
      </c>
      <c r="X1111" s="51" t="str">
        <f>IF(AND(B1111&gt;='IN-NX'!$P$3,B1111&lt;='IN-NX'!$Q$3,'IN-NX'!$D$7=D1111,OR(LEFT(L1111,2)="15",AND(LEFT(M1111,2)&lt;&gt;"15",LEFT(M1111,2)&lt;&gt;"33"))),"x","")</f>
        <v/>
      </c>
      <c r="Y1111" s="51" t="str">
        <f>IF(AND(OR(LEFT(TH!L1111,2)="15",LEFT(TH!M1111,2)="15"),'152-CT'!$J$8=TH!F1111),"x","")</f>
        <v/>
      </c>
      <c r="Z1111" s="51" t="str">
        <f>IF(AND(OR(LEFT(TH!L1111,2)="15",LEFT(TH!M1111,2)="15"),TK!$E$7=TH!F1111),"x","")</f>
        <v/>
      </c>
      <c r="AA1111" s="51" t="str">
        <f>IF(AND(B1111&lt;=NKC!$N$8,B1111&gt;=NKC!$M$8),"x","")</f>
        <v/>
      </c>
      <c r="AB1111" s="909"/>
      <c r="AC1111" s="588"/>
    </row>
    <row r="1112" spans="1:33" s="210" customFormat="1" ht="15.75" customHeight="1">
      <c r="A1112" s="203" t="str">
        <f>IF(B1112&lt;&gt;"",IF(AND(B1112&gt;=_TM1,B1112&lt;=_TM2,OR(TH!L1112="1111",TH!M1112="1111")),TH!D1112,""),"")</f>
        <v/>
      </c>
      <c r="B1112" s="36" t="str">
        <f t="shared" si="54"/>
        <v/>
      </c>
      <c r="C1112" s="183"/>
      <c r="D1112" s="190"/>
      <c r="E1112" s="190"/>
      <c r="F1112" s="191"/>
      <c r="G1112" s="481"/>
      <c r="H1112" s="7"/>
      <c r="I1112" s="255"/>
      <c r="J1112" s="255"/>
      <c r="K1112" s="37"/>
      <c r="L1112" s="193"/>
      <c r="M1112" s="193"/>
      <c r="N1112" s="51" t="str">
        <f>IF(AND('331-CT'!$E$7=TH!H1112,OR(L1112="331",M1112="331")),"331",IF(AND(OR(L1112="131",M1112="131"),H1112='131-CT'!$E$7),"131",""))</f>
        <v/>
      </c>
      <c r="O1112" s="887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38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1" t="str">
        <f>IF(OR(TH!L1112=TH!$W$7,M1112=TH!$W$7),"x","")</f>
        <v/>
      </c>
      <c r="X1112" s="51" t="str">
        <f>IF(AND(B1112&gt;='IN-NX'!$P$3,B1112&lt;='IN-NX'!$Q$3,'IN-NX'!$D$7=D1112,OR(LEFT(L1112,2)="15",AND(LEFT(M1112,2)&lt;&gt;"15",LEFT(M1112,2)&lt;&gt;"33"))),"x","")</f>
        <v/>
      </c>
      <c r="Y1112" s="51" t="str">
        <f>IF(AND(OR(LEFT(TH!L1112,2)="15",LEFT(TH!M1112,2)="15"),'152-CT'!$J$8=TH!F1112),"x","")</f>
        <v/>
      </c>
      <c r="Z1112" s="51" t="str">
        <f>IF(AND(OR(LEFT(TH!L1112,2)="15",LEFT(TH!M1112,2)="15"),TK!$E$7=TH!F1112),"x","")</f>
        <v/>
      </c>
      <c r="AA1112" s="51" t="str">
        <f>IF(AND(B1112&lt;=NKC!$N$8,B1112&gt;=NKC!$M$8),"x","")</f>
        <v/>
      </c>
      <c r="AB1112" s="909"/>
      <c r="AC1112" s="588"/>
      <c r="AD1112" s="588"/>
    </row>
    <row r="1113" spans="1:33" s="210" customFormat="1" ht="15.75" customHeight="1">
      <c r="A1113" s="203" t="str">
        <f>IF(B1113&lt;&gt;"",IF(AND(B1113&gt;=_TM1,B1113&lt;=_TM2,OR(TH!L1113="1111",TH!M1113="1111")),TH!D1113,""),"")</f>
        <v/>
      </c>
      <c r="B1113" s="36" t="str">
        <f t="shared" si="54"/>
        <v/>
      </c>
      <c r="C1113" s="183"/>
      <c r="D1113" s="190"/>
      <c r="E1113" s="190"/>
      <c r="F1113" s="191"/>
      <c r="G1113" s="481"/>
      <c r="H1113" s="7"/>
      <c r="I1113" s="255"/>
      <c r="J1113" s="255"/>
      <c r="K1113" s="596"/>
      <c r="L1113" s="193"/>
      <c r="M1113" s="193"/>
      <c r="N1113" s="51" t="str">
        <f>IF(AND('331-CT'!$E$7=TH!H1113,OR(L1113="331",M1113="331")),"331",IF(AND(OR(L1113="131",M1113="131"),H1113='131-CT'!$E$7),"131",""))</f>
        <v/>
      </c>
      <c r="O1113" s="887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38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1" t="str">
        <f>IF(OR(TH!L1113=TH!$W$7,M1113=TH!$W$7),"x","")</f>
        <v/>
      </c>
      <c r="X1113" s="51" t="str">
        <f>IF(AND(B1113&gt;='IN-NX'!$P$3,B1113&lt;='IN-NX'!$Q$3,'IN-NX'!$D$7=D1113,OR(LEFT(L1113,2)="15",AND(LEFT(M1113,2)&lt;&gt;"15",LEFT(M1113,2)&lt;&gt;"33"))),"x","")</f>
        <v/>
      </c>
      <c r="Y1113" s="51" t="str">
        <f>IF(AND(OR(LEFT(TH!L1113,2)="15",LEFT(TH!M1113,2)="15"),'152-CT'!$J$8=TH!F1113),"x","")</f>
        <v/>
      </c>
      <c r="Z1113" s="51" t="str">
        <f>IF(AND(OR(LEFT(TH!L1113,2)="15",LEFT(TH!M1113,2)="15"),TK!$E$7=TH!F1113),"x","")</f>
        <v/>
      </c>
      <c r="AA1113" s="51" t="str">
        <f>IF(AND(B1113&lt;=NKC!$N$8,B1113&gt;=NKC!$M$8),"x","")</f>
        <v/>
      </c>
      <c r="AB1113" s="909"/>
      <c r="AC1113" s="588"/>
    </row>
    <row r="1114" spans="1:33" s="210" customFormat="1" ht="15.75" customHeight="1">
      <c r="A1114" s="203" t="str">
        <f>IF(B1114&lt;&gt;"",IF(AND(B1114&gt;=_TM1,B1114&lt;=_TM2,OR(TH!L1114="1111",TH!M1114="1111")),TH!D1114,""),"")</f>
        <v/>
      </c>
      <c r="B1114" s="36" t="str">
        <f t="shared" si="54"/>
        <v/>
      </c>
      <c r="C1114" s="183"/>
      <c r="D1114" s="190"/>
      <c r="E1114" s="190"/>
      <c r="F1114" s="188"/>
      <c r="G1114" s="481"/>
      <c r="H1114" s="7"/>
      <c r="I1114" s="255"/>
      <c r="J1114" s="255"/>
      <c r="K1114" s="37"/>
      <c r="L1114" s="193"/>
      <c r="M1114" s="193"/>
      <c r="N1114" s="51" t="str">
        <f>IF(AND('331-CT'!$E$7=TH!H1114,OR(L1114="331",M1114="331")),"331",IF(AND(OR(L1114="131",M1114="131"),H1114='131-CT'!$E$7),"131",""))</f>
        <v/>
      </c>
      <c r="O1114" s="887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38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1" t="str">
        <f>IF(OR(TH!L1114=TH!$W$7,M1114=TH!$W$7),"x","")</f>
        <v/>
      </c>
      <c r="X1114" s="51" t="str">
        <f>IF(AND(B1114&gt;='IN-NX'!$P$3,B1114&lt;='IN-NX'!$Q$3,'IN-NX'!$D$7=D1114,OR(LEFT(L1114,2)="15",AND(LEFT(M1114,2)&lt;&gt;"15",LEFT(M1114,2)&lt;&gt;"33"))),"x","")</f>
        <v/>
      </c>
      <c r="Y1114" s="51" t="str">
        <f>IF(AND(OR(LEFT(TH!L1114,2)="15",LEFT(TH!M1114,2)="15"),'152-CT'!$J$8=TH!F1114),"x","")</f>
        <v/>
      </c>
      <c r="Z1114" s="51" t="str">
        <f>IF(AND(OR(LEFT(TH!L1114,2)="15",LEFT(TH!M1114,2)="15"),TK!$E$7=TH!F1114),"x","")</f>
        <v/>
      </c>
      <c r="AA1114" s="51" t="str">
        <f>IF(AND(B1114&lt;=NKC!$N$8,B1114&gt;=NKC!$M$8),"x","")</f>
        <v/>
      </c>
      <c r="AB1114" s="909"/>
      <c r="AC1114" s="588"/>
    </row>
    <row r="1115" spans="1:33" s="210" customFormat="1" ht="15.75" customHeight="1">
      <c r="A1115" s="203" t="str">
        <f>IF(B1115&lt;&gt;"",IF(AND(B1115&gt;=_TM1,B1115&lt;=_TM2,OR(TH!L1115="1111",TH!M1115="1111")),TH!D1115,""),"")</f>
        <v/>
      </c>
      <c r="B1115" s="36" t="str">
        <f t="shared" si="54"/>
        <v/>
      </c>
      <c r="C1115" s="183"/>
      <c r="D1115" s="190"/>
      <c r="E1115" s="190"/>
      <c r="F1115" s="188"/>
      <c r="G1115" s="481"/>
      <c r="H1115" s="7"/>
      <c r="I1115" s="255"/>
      <c r="J1115" s="255"/>
      <c r="K1115" s="37"/>
      <c r="L1115" s="193"/>
      <c r="M1115" s="193"/>
      <c r="N1115" s="51" t="str">
        <f>IF(AND('331-CT'!$E$7=TH!H1115,OR(L1115="331",M1115="331")),"331",IF(AND(OR(L1115="131",M1115="131"),H1115='131-CT'!$E$7),"131",""))</f>
        <v/>
      </c>
      <c r="O1115" s="887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38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1" t="str">
        <f>IF(OR(TH!L1115=TH!$W$7,M1115=TH!$W$7),"x","")</f>
        <v/>
      </c>
      <c r="X1115" s="51" t="str">
        <f>IF(AND(B1115&gt;='IN-NX'!$P$3,B1115&lt;='IN-NX'!$Q$3,'IN-NX'!$D$7=D1115,OR(LEFT(L1115,2)="15",AND(LEFT(M1115,2)&lt;&gt;"15",LEFT(M1115,2)&lt;&gt;"33"))),"x","")</f>
        <v/>
      </c>
      <c r="Y1115" s="51" t="str">
        <f>IF(AND(OR(LEFT(TH!L1115,2)="15",LEFT(TH!M1115,2)="15"),'152-CT'!$J$8=TH!F1115),"x","")</f>
        <v/>
      </c>
      <c r="Z1115" s="51" t="str">
        <f>IF(AND(OR(LEFT(TH!L1115,2)="15",LEFT(TH!M1115,2)="15"),TK!$E$7=TH!F1115),"x","")</f>
        <v/>
      </c>
      <c r="AA1115" s="51" t="str">
        <f>IF(AND(B1115&lt;=NKC!$N$8,B1115&gt;=NKC!$M$8),"x","")</f>
        <v/>
      </c>
      <c r="AB1115" s="909"/>
      <c r="AC1115" s="588"/>
    </row>
    <row r="1116" spans="1:33" s="210" customFormat="1" ht="15.75" customHeight="1">
      <c r="A1116" s="203" t="str">
        <f>IF(B1116&lt;&gt;"",IF(AND(B1116&gt;=_TM1,B1116&lt;=_TM2,OR(TH!L1116="1111",TH!M1116="1111")),TH!D1116,""),"")</f>
        <v/>
      </c>
      <c r="B1116" s="36" t="str">
        <f t="shared" si="54"/>
        <v/>
      </c>
      <c r="C1116" s="183"/>
      <c r="D1116" s="190"/>
      <c r="E1116" s="190"/>
      <c r="F1116" s="188"/>
      <c r="G1116" s="481"/>
      <c r="H1116" s="7"/>
      <c r="I1116" s="255"/>
      <c r="J1116" s="255"/>
      <c r="K1116" s="596"/>
      <c r="L1116" s="193"/>
      <c r="M1116" s="193"/>
      <c r="N1116" s="51" t="str">
        <f>IF(AND('331-CT'!$E$7=TH!H1116,OR(L1116="331",M1116="331")),"331",IF(AND(OR(L1116="131",M1116="131"),H1116='131-CT'!$E$7),"131",""))</f>
        <v/>
      </c>
      <c r="O1116" s="887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38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1" t="str">
        <f>IF(OR(TH!L1116=TH!$W$7,M1116=TH!$W$7),"x","")</f>
        <v/>
      </c>
      <c r="X1116" s="51" t="str">
        <f>IF(AND(B1116&gt;='IN-NX'!$P$3,B1116&lt;='IN-NX'!$Q$3,'IN-NX'!$D$7=D1116,OR(LEFT(L1116,2)="15",AND(LEFT(M1116,2)&lt;&gt;"15",LEFT(M1116,2)&lt;&gt;"33"))),"x","")</f>
        <v/>
      </c>
      <c r="Y1116" s="51" t="str">
        <f>IF(AND(OR(LEFT(TH!L1116,2)="15",LEFT(TH!M1116,2)="15"),'152-CT'!$J$8=TH!F1116),"x","")</f>
        <v/>
      </c>
      <c r="Z1116" s="51" t="str">
        <f>IF(AND(OR(LEFT(TH!L1116,2)="15",LEFT(TH!M1116,2)="15"),TK!$E$7=TH!F1116),"x","")</f>
        <v/>
      </c>
      <c r="AA1116" s="51" t="str">
        <f>IF(AND(B1116&lt;=NKC!$N$8,B1116&gt;=NKC!$M$8),"x","")</f>
        <v/>
      </c>
      <c r="AB1116" s="909"/>
      <c r="AC1116" s="588"/>
      <c r="AD1116" s="588"/>
    </row>
    <row r="1117" spans="1:33" s="210" customFormat="1" ht="15.75" customHeight="1">
      <c r="A1117" s="203" t="str">
        <f>IF(B1117&lt;&gt;"",IF(AND(B1117&gt;=_TM1,B1117&lt;=_TM2,OR(TH!L1117="1111",TH!M1117="1111")),TH!D1117,""),"")</f>
        <v/>
      </c>
      <c r="B1117" s="36" t="str">
        <f t="shared" si="54"/>
        <v/>
      </c>
      <c r="C1117" s="183"/>
      <c r="D1117" s="190"/>
      <c r="E1117" s="183"/>
      <c r="F1117" s="191"/>
      <c r="G1117" s="481"/>
      <c r="H1117" s="7"/>
      <c r="I1117" s="255"/>
      <c r="J1117" s="255"/>
      <c r="K1117" s="37"/>
      <c r="L1117" s="193"/>
      <c r="M1117" s="193"/>
      <c r="N1117" s="51" t="str">
        <f>IF(AND('331-CT'!$E$7=TH!H1117,OR(L1117="331",M1117="331")),"331",IF(AND(OR(L1117="131",M1117="131"),H1117='131-CT'!$E$7),"131",""))</f>
        <v/>
      </c>
      <c r="O1117" s="887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38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1" t="str">
        <f>IF(OR(TH!L1117=TH!$W$7,M1117=TH!$W$7),"x","")</f>
        <v/>
      </c>
      <c r="X1117" s="51" t="str">
        <f>IF(AND(B1117&gt;='IN-NX'!$P$3,B1117&lt;='IN-NX'!$Q$3,'IN-NX'!$D$7=D1117,OR(LEFT(L1117,2)="15",AND(LEFT(M1117,2)&lt;&gt;"15",LEFT(M1117,2)&lt;&gt;"33"))),"x","")</f>
        <v/>
      </c>
      <c r="Y1117" s="51" t="str">
        <f>IF(AND(OR(LEFT(TH!L1117,2)="15",LEFT(TH!M1117,2)="15"),'152-CT'!$J$8=TH!F1117),"x","")</f>
        <v/>
      </c>
      <c r="Z1117" s="51" t="str">
        <f>IF(AND(OR(LEFT(TH!L1117,2)="15",LEFT(TH!M1117,2)="15"),TK!$E$7=TH!F1117),"x","")</f>
        <v/>
      </c>
      <c r="AA1117" s="51" t="str">
        <f>IF(AND(B1117&lt;=NKC!$N$8,B1117&gt;=NKC!$M$8),"x","")</f>
        <v/>
      </c>
      <c r="AB1117" s="909"/>
      <c r="AC1117" s="588"/>
      <c r="AD1117" s="588"/>
      <c r="AF1117" s="588"/>
      <c r="AG1117" s="588"/>
    </row>
    <row r="1118" spans="1:33" s="210" customFormat="1" ht="15.75" customHeight="1">
      <c r="A1118" s="203" t="str">
        <f>IF(B1118&lt;&gt;"",IF(AND(B1118&gt;=_TM1,B1118&lt;=_TM2,OR(TH!L1118="1111",TH!M1118="1111")),TH!D1118,""),"")</f>
        <v/>
      </c>
      <c r="B1118" s="36" t="str">
        <f t="shared" si="54"/>
        <v/>
      </c>
      <c r="C1118" s="183"/>
      <c r="D1118" s="190"/>
      <c r="E1118" s="183"/>
      <c r="F1118" s="191"/>
      <c r="G1118" s="481"/>
      <c r="H1118" s="7"/>
      <c r="I1118" s="255"/>
      <c r="J1118" s="255"/>
      <c r="K1118" s="596"/>
      <c r="L1118" s="193"/>
      <c r="M1118" s="193"/>
      <c r="N1118" s="51" t="str">
        <f>IF(AND('331-CT'!$E$7=TH!H1118,OR(L1118="331",M1118="331")),"331",IF(AND(OR(L1118="131",M1118="131"),H1118='131-CT'!$E$7),"131",""))</f>
        <v/>
      </c>
      <c r="O1118" s="887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38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1" t="str">
        <f>IF(OR(TH!L1118=TH!$W$7,M1118=TH!$W$7),"x","")</f>
        <v/>
      </c>
      <c r="X1118" s="51" t="str">
        <f>IF(AND(B1118&gt;='IN-NX'!$P$3,B1118&lt;='IN-NX'!$Q$3,'IN-NX'!$D$7=D1118,OR(LEFT(L1118,2)="15",AND(LEFT(M1118,2)&lt;&gt;"15",LEFT(M1118,2)&lt;&gt;"33"))),"x","")</f>
        <v/>
      </c>
      <c r="Y1118" s="51" t="str">
        <f>IF(AND(OR(LEFT(TH!L1118,2)="15",LEFT(TH!M1118,2)="15"),'152-CT'!$J$8=TH!F1118),"x","")</f>
        <v/>
      </c>
      <c r="Z1118" s="51" t="str">
        <f>IF(AND(OR(LEFT(TH!L1118,2)="15",LEFT(TH!M1118,2)="15"),TK!$E$7=TH!F1118),"x","")</f>
        <v/>
      </c>
      <c r="AA1118" s="51" t="str">
        <f>IF(AND(B1118&lt;=NKC!$N$8,B1118&gt;=NKC!$M$8),"x","")</f>
        <v/>
      </c>
      <c r="AB1118" s="909"/>
      <c r="AC1118" s="588"/>
      <c r="AF1118" s="588"/>
      <c r="AG1118" s="588"/>
    </row>
    <row r="1119" spans="1:33" s="210" customFormat="1" ht="15.75" customHeight="1">
      <c r="A1119" s="203" t="str">
        <f>IF(B1119&lt;&gt;"",IF(AND(B1119&gt;=_TM1,B1119&lt;=_TM2,OR(TH!L1119="1111",TH!M1119="1111")),TH!D1119,""),"")</f>
        <v/>
      </c>
      <c r="B1119" s="36" t="str">
        <f t="shared" si="54"/>
        <v/>
      </c>
      <c r="C1119" s="183"/>
      <c r="D1119" s="190"/>
      <c r="E1119" s="190"/>
      <c r="F1119" s="191"/>
      <c r="G1119" s="481"/>
      <c r="H1119" s="7"/>
      <c r="I1119" s="255"/>
      <c r="J1119" s="255"/>
      <c r="K1119" s="37"/>
      <c r="L1119" s="193"/>
      <c r="M1119" s="193"/>
      <c r="N1119" s="51" t="str">
        <f>IF(AND('331-CT'!$E$7=TH!H1119,OR(L1119="331",M1119="331")),"331",IF(AND(OR(L1119="131",M1119="131"),H1119='131-CT'!$E$7),"131",""))</f>
        <v/>
      </c>
      <c r="O1119" s="887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38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1" t="str">
        <f>IF(OR(TH!L1119=TH!$W$7,M1119=TH!$W$7),"x","")</f>
        <v/>
      </c>
      <c r="X1119" s="51" t="str">
        <f>IF(AND(B1119&gt;='IN-NX'!$P$3,B1119&lt;='IN-NX'!$Q$3,'IN-NX'!$D$7=D1119,OR(LEFT(L1119,2)="15",AND(LEFT(M1119,2)&lt;&gt;"15",LEFT(M1119,2)&lt;&gt;"33"))),"x","")</f>
        <v/>
      </c>
      <c r="Y1119" s="51" t="str">
        <f>IF(AND(OR(LEFT(TH!L1119,2)="15",LEFT(TH!M1119,2)="15"),'152-CT'!$J$8=TH!F1119),"x","")</f>
        <v/>
      </c>
      <c r="Z1119" s="51" t="str">
        <f>IF(AND(OR(LEFT(TH!L1119,2)="15",LEFT(TH!M1119,2)="15"),TK!$E$7=TH!F1119),"x","")</f>
        <v/>
      </c>
      <c r="AA1119" s="51" t="str">
        <f>IF(AND(B1119&lt;=NKC!$N$8,B1119&gt;=NKC!$M$8),"x","")</f>
        <v/>
      </c>
      <c r="AB1119" s="909"/>
      <c r="AC1119" s="588"/>
      <c r="AD1119" s="588"/>
    </row>
    <row r="1120" spans="1:33" s="210" customFormat="1" ht="15.75" customHeight="1">
      <c r="A1120" s="203" t="str">
        <f>IF(B1120&lt;&gt;"",IF(AND(B1120&gt;=_TM1,B1120&lt;=_TM2,OR(TH!L1120="1111",TH!M1120="1111")),TH!D1120,""),"")</f>
        <v/>
      </c>
      <c r="B1120" s="849" t="str">
        <f t="shared" si="54"/>
        <v/>
      </c>
      <c r="C1120" s="850"/>
      <c r="D1120" s="190"/>
      <c r="E1120" s="190"/>
      <c r="F1120" s="188"/>
      <c r="G1120" s="481"/>
      <c r="H1120" s="7"/>
      <c r="I1120" s="255"/>
      <c r="J1120" s="255"/>
      <c r="K1120" s="37"/>
      <c r="L1120" s="193"/>
      <c r="M1120" s="193"/>
      <c r="N1120" s="51" t="str">
        <f>IF(AND('331-CT'!$E$7=TH!H1120,OR(L1120="331",M1120="331")),"331",IF(AND(OR(L1120="131",M1120="131"),H1120='131-CT'!$E$7),"131",""))</f>
        <v/>
      </c>
      <c r="O1120" s="887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38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1" t="str">
        <f>IF(OR(TH!L1120=TH!$W$7,M1120=TH!$W$7),"x","")</f>
        <v/>
      </c>
      <c r="X1120" s="51" t="str">
        <f>IF(AND(B1120&gt;='IN-NX'!$P$3,B1120&lt;='IN-NX'!$Q$3,'IN-NX'!$D$7=D1120,OR(LEFT(L1120,2)="15",AND(LEFT(M1120,2)&lt;&gt;"15",LEFT(M1120,2)&lt;&gt;"33"))),"x","")</f>
        <v/>
      </c>
      <c r="Y1120" s="51" t="str">
        <f>IF(AND(OR(LEFT(TH!L1120,2)="15",LEFT(TH!M1120,2)="15"),'152-CT'!$J$8=TH!F1120),"x","")</f>
        <v/>
      </c>
      <c r="Z1120" s="51" t="str">
        <f>IF(AND(OR(LEFT(TH!L1120,2)="15",LEFT(TH!M1120,2)="15"),TK!$E$7=TH!F1120),"x","")</f>
        <v/>
      </c>
      <c r="AA1120" s="51" t="str">
        <f>IF(AND(B1120&lt;=NKC!$N$8,B1120&gt;=NKC!$M$8),"x","")</f>
        <v/>
      </c>
      <c r="AB1120" s="909"/>
      <c r="AC1120" s="857"/>
      <c r="AD1120" s="858"/>
      <c r="AE1120" s="858"/>
      <c r="AF1120" s="858"/>
      <c r="AG1120" s="858"/>
    </row>
    <row r="1121" spans="1:33" s="210" customFormat="1" ht="15.75" customHeight="1">
      <c r="A1121" s="203" t="str">
        <f>IF(B1121&lt;&gt;"",IF(AND(B1121&gt;=_TM1,B1121&lt;=_TM2,OR(TH!L1121="1111",TH!M1121="1111")),TH!D1121,""),"")</f>
        <v/>
      </c>
      <c r="B1121" s="36" t="str">
        <f t="shared" si="54"/>
        <v/>
      </c>
      <c r="C1121" s="183"/>
      <c r="D1121" s="190"/>
      <c r="E1121" s="183"/>
      <c r="F1121" s="188"/>
      <c r="G1121" s="598"/>
      <c r="H1121" s="192"/>
      <c r="I1121" s="255"/>
      <c r="J1121" s="255"/>
      <c r="K1121" s="596"/>
      <c r="L1121" s="193"/>
      <c r="M1121" s="193"/>
      <c r="N1121" s="51" t="str">
        <f>IF(AND('331-CT'!$E$7=TH!H1121,OR(L1121="331",M1121="331")),"331",IF(AND(OR(L1121="131",M1121="131"),H1121='131-CT'!$E$7),"131",""))</f>
        <v/>
      </c>
      <c r="O1121" s="887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38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1" t="str">
        <f>IF(OR(TH!L1121=TH!$W$7,M1121=TH!$W$7),"x","")</f>
        <v/>
      </c>
      <c r="X1121" s="51" t="str">
        <f>IF(AND(B1121&gt;='IN-NX'!$P$3,B1121&lt;='IN-NX'!$Q$3,'IN-NX'!$D$7=D1121,OR(LEFT(L1121,2)="15",AND(LEFT(M1121,2)&lt;&gt;"15",LEFT(M1121,2)&lt;&gt;"33"))),"x","")</f>
        <v/>
      </c>
      <c r="Y1121" s="51" t="str">
        <f>IF(AND(OR(LEFT(TH!L1121,2)="15",LEFT(TH!M1121,2)="15"),'152-CT'!$J$8=TH!F1121),"x","")</f>
        <v/>
      </c>
      <c r="Z1121" s="51" t="str">
        <f>IF(AND(OR(LEFT(TH!L1121,2)="15",LEFT(TH!M1121,2)="15"),TK!$E$7=TH!F1121),"x","")</f>
        <v/>
      </c>
      <c r="AA1121" s="51" t="str">
        <f>IF(AND(B1121&lt;=NKC!$N$8,B1121&gt;=NKC!$M$8),"x","")</f>
        <v/>
      </c>
      <c r="AB1121" s="909"/>
      <c r="AC1121" s="588"/>
      <c r="AD1121" s="588"/>
    </row>
    <row r="1122" spans="1:33" s="210" customFormat="1" ht="15.75" customHeight="1">
      <c r="A1122" s="203" t="str">
        <f>IF(B1122&lt;&gt;"",IF(AND(B1122&gt;=_TM1,B1122&lt;=_TM2,OR(TH!L1122="1111",TH!M1122="1111")),TH!D1122,""),"")</f>
        <v/>
      </c>
      <c r="B1122" s="36" t="str">
        <f t="shared" si="54"/>
        <v/>
      </c>
      <c r="C1122" s="183"/>
      <c r="D1122" s="190"/>
      <c r="E1122" s="183"/>
      <c r="F1122" s="188"/>
      <c r="G1122" s="598"/>
      <c r="H1122" s="7"/>
      <c r="I1122" s="255"/>
      <c r="J1122" s="255"/>
      <c r="K1122" s="37"/>
      <c r="L1122" s="193"/>
      <c r="M1122" s="193"/>
      <c r="N1122" s="51" t="str">
        <f>IF(AND('331-CT'!$E$7=TH!H1122,OR(L1122="331",M1122="331")),"331",IF(AND(OR(L1122="131",M1122="131"),H1122='131-CT'!$E$7),"131",""))</f>
        <v/>
      </c>
      <c r="O1122" s="887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38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1" t="str">
        <f>IF(OR(TH!L1122=TH!$W$7,M1122=TH!$W$7),"x","")</f>
        <v/>
      </c>
      <c r="X1122" s="51" t="str">
        <f>IF(AND(B1122&gt;='IN-NX'!$P$3,B1122&lt;='IN-NX'!$Q$3,'IN-NX'!$D$7=D1122,OR(LEFT(L1122,2)="15",AND(LEFT(M1122,2)&lt;&gt;"15",LEFT(M1122,2)&lt;&gt;"33"))),"x","")</f>
        <v/>
      </c>
      <c r="Y1122" s="51" t="str">
        <f>IF(AND(OR(LEFT(TH!L1122,2)="15",LEFT(TH!M1122,2)="15"),'152-CT'!$J$8=TH!F1122),"x","")</f>
        <v/>
      </c>
      <c r="Z1122" s="51" t="str">
        <f>IF(AND(OR(LEFT(TH!L1122,2)="15",LEFT(TH!M1122,2)="15"),TK!$E$7=TH!F1122),"x","")</f>
        <v/>
      </c>
      <c r="AA1122" s="51" t="str">
        <f>IF(AND(B1122&lt;=NKC!$N$8,B1122&gt;=NKC!$M$8),"x","")</f>
        <v/>
      </c>
      <c r="AB1122" s="909"/>
      <c r="AC1122" s="588"/>
    </row>
    <row r="1123" spans="1:33" s="210" customFormat="1" ht="15.75" customHeight="1">
      <c r="A1123" s="203" t="str">
        <f>IF(B1123&lt;&gt;"",IF(AND(B1123&gt;=_TM1,B1123&lt;=_TM2,OR(TH!L1123="1111",TH!M1123="1111")),TH!D1123,""),"")</f>
        <v/>
      </c>
      <c r="B1123" s="36" t="str">
        <f t="shared" si="54"/>
        <v/>
      </c>
      <c r="C1123" s="183"/>
      <c r="D1123" s="190"/>
      <c r="E1123" s="190"/>
      <c r="F1123" s="188"/>
      <c r="G1123" s="481"/>
      <c r="H1123" s="7"/>
      <c r="I1123" s="255"/>
      <c r="J1123" s="255"/>
      <c r="K1123" s="37"/>
      <c r="L1123" s="193"/>
      <c r="M1123" s="193"/>
      <c r="N1123" s="51" t="str">
        <f>IF(AND('331-CT'!$E$7=TH!H1123,OR(L1123="331",M1123="331")),"331",IF(AND(OR(L1123="131",M1123="131"),H1123='131-CT'!$E$7),"131",""))</f>
        <v/>
      </c>
      <c r="O1123" s="887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38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1" t="str">
        <f>IF(OR(TH!L1123=TH!$W$7,M1123=TH!$W$7),"x","")</f>
        <v/>
      </c>
      <c r="X1123" s="51" t="str">
        <f>IF(AND(B1123&gt;='IN-NX'!$P$3,B1123&lt;='IN-NX'!$Q$3,'IN-NX'!$D$7=D1123,OR(LEFT(L1123,2)="15",AND(LEFT(M1123,2)&lt;&gt;"15",LEFT(M1123,2)&lt;&gt;"33"))),"x","")</f>
        <v/>
      </c>
      <c r="Y1123" s="51" t="str">
        <f>IF(AND(OR(LEFT(TH!L1123,2)="15",LEFT(TH!M1123,2)="15"),'152-CT'!$J$8=TH!F1123),"x","")</f>
        <v/>
      </c>
      <c r="Z1123" s="51" t="str">
        <f>IF(AND(OR(LEFT(TH!L1123,2)="15",LEFT(TH!M1123,2)="15"),TK!$E$7=TH!F1123),"x","")</f>
        <v/>
      </c>
      <c r="AA1123" s="51" t="str">
        <f>IF(AND(B1123&lt;=NKC!$N$8,B1123&gt;=NKC!$M$8),"x","")</f>
        <v/>
      </c>
      <c r="AB1123" s="909"/>
      <c r="AC1123" s="588"/>
      <c r="AD1123" s="588"/>
    </row>
    <row r="1124" spans="1:33" s="210" customFormat="1" ht="15.75" customHeight="1">
      <c r="A1124" s="203" t="str">
        <f>IF(B1124&lt;&gt;"",IF(AND(B1124&gt;=_TM1,B1124&lt;=_TM2,OR(TH!L1124="1111",TH!M1124="1111")),TH!D1124,""),"")</f>
        <v/>
      </c>
      <c r="B1124" s="36" t="str">
        <f t="shared" si="54"/>
        <v/>
      </c>
      <c r="C1124" s="183"/>
      <c r="D1124" s="190"/>
      <c r="E1124" s="190"/>
      <c r="F1124" s="188"/>
      <c r="G1124" s="481"/>
      <c r="H1124" s="7"/>
      <c r="I1124" s="255"/>
      <c r="J1124" s="255"/>
      <c r="K1124" s="37"/>
      <c r="L1124" s="193"/>
      <c r="M1124" s="193"/>
      <c r="N1124" s="51" t="str">
        <f>IF(AND('331-CT'!$E$7=TH!H1124,OR(L1124="331",M1124="331")),"331",IF(AND(OR(L1124="131",M1124="131"),H1124='131-CT'!$E$7),"131",""))</f>
        <v/>
      </c>
      <c r="O1124" s="887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38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1" t="str">
        <f>IF(OR(TH!L1124=TH!$W$7,M1124=TH!$W$7),"x","")</f>
        <v/>
      </c>
      <c r="X1124" s="51" t="str">
        <f>IF(AND(B1124&gt;='IN-NX'!$P$3,B1124&lt;='IN-NX'!$Q$3,'IN-NX'!$D$7=D1124,OR(LEFT(L1124,2)="15",AND(LEFT(M1124,2)&lt;&gt;"15",LEFT(M1124,2)&lt;&gt;"33"))),"x","")</f>
        <v/>
      </c>
      <c r="Y1124" s="51" t="str">
        <f>IF(AND(OR(LEFT(TH!L1124,2)="15",LEFT(TH!M1124,2)="15"),'152-CT'!$J$8=TH!F1124),"x","")</f>
        <v/>
      </c>
      <c r="Z1124" s="51" t="str">
        <f>IF(AND(OR(LEFT(TH!L1124,2)="15",LEFT(TH!M1124,2)="15"),TK!$E$7=TH!F1124),"x","")</f>
        <v/>
      </c>
      <c r="AA1124" s="51" t="str">
        <f>IF(AND(B1124&lt;=NKC!$N$8,B1124&gt;=NKC!$M$8),"x","")</f>
        <v/>
      </c>
      <c r="AB1124" s="909"/>
      <c r="AC1124" s="588"/>
    </row>
    <row r="1125" spans="1:33" s="210" customFormat="1" ht="15.75" customHeight="1">
      <c r="A1125" s="203" t="str">
        <f>IF(B1125&lt;&gt;"",IF(AND(B1125&gt;=_TM1,B1125&lt;=_TM2,OR(TH!L1125="1111",TH!M1125="1111")),TH!D1125,""),"")</f>
        <v/>
      </c>
      <c r="B1125" s="36" t="str">
        <f t="shared" si="54"/>
        <v/>
      </c>
      <c r="C1125" s="183"/>
      <c r="D1125" s="190"/>
      <c r="E1125" s="190"/>
      <c r="F1125" s="188"/>
      <c r="G1125" s="481"/>
      <c r="H1125" s="7"/>
      <c r="I1125" s="255"/>
      <c r="J1125" s="255"/>
      <c r="K1125" s="596"/>
      <c r="L1125" s="193"/>
      <c r="M1125" s="193"/>
      <c r="N1125" s="51" t="str">
        <f>IF(AND('331-CT'!$E$7=TH!H1125,OR(L1125="331",M1125="331")),"331",IF(AND(OR(L1125="131",M1125="131"),H1125='131-CT'!$E$7),"131",""))</f>
        <v/>
      </c>
      <c r="O1125" s="887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38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1" t="str">
        <f>IF(OR(TH!L1125=TH!$W$7,M1125=TH!$W$7),"x","")</f>
        <v/>
      </c>
      <c r="X1125" s="51" t="str">
        <f>IF(AND(B1125&gt;='IN-NX'!$P$3,B1125&lt;='IN-NX'!$Q$3,'IN-NX'!$D$7=D1125,OR(LEFT(L1125,2)="15",AND(LEFT(M1125,2)&lt;&gt;"15",LEFT(M1125,2)&lt;&gt;"33"))),"x","")</f>
        <v/>
      </c>
      <c r="Y1125" s="51" t="str">
        <f>IF(AND(OR(LEFT(TH!L1125,2)="15",LEFT(TH!M1125,2)="15"),'152-CT'!$J$8=TH!F1125),"x","")</f>
        <v/>
      </c>
      <c r="Z1125" s="51" t="str">
        <f>IF(AND(OR(LEFT(TH!L1125,2)="15",LEFT(TH!M1125,2)="15"),TK!$E$7=TH!F1125),"x","")</f>
        <v/>
      </c>
      <c r="AA1125" s="51" t="str">
        <f>IF(AND(B1125&lt;=NKC!$N$8,B1125&gt;=NKC!$M$8),"x","")</f>
        <v/>
      </c>
      <c r="AB1125" s="909"/>
      <c r="AC1125" s="588"/>
      <c r="AD1125" s="588"/>
    </row>
    <row r="1126" spans="1:33" s="210" customFormat="1" ht="15.75" customHeight="1">
      <c r="A1126" s="203" t="str">
        <f>IF(B1126&lt;&gt;"",IF(AND(B1126&gt;=_TM1,B1126&lt;=_TM2,OR(TH!L1126="1111",TH!M1126="1111")),TH!D1126,""),"")</f>
        <v/>
      </c>
      <c r="B1126" s="36" t="str">
        <f t="shared" ref="B1126:B1189" si="55">IF(C1126&lt;&gt;"",MONTH(C1126),"")</f>
        <v/>
      </c>
      <c r="C1126" s="183"/>
      <c r="D1126" s="190"/>
      <c r="E1126" s="183"/>
      <c r="F1126" s="191"/>
      <c r="G1126" s="481"/>
      <c r="H1126" s="209"/>
      <c r="I1126" s="255"/>
      <c r="J1126" s="255"/>
      <c r="K1126" s="596"/>
      <c r="L1126" s="193"/>
      <c r="M1126" s="193"/>
      <c r="N1126" s="51" t="str">
        <f>IF(AND('331-CT'!$E$7=TH!H1126,OR(L1126="331",M1126="331")),"331",IF(AND(OR(L1126="131",M1126="131"),H1126='131-CT'!$E$7),"131",""))</f>
        <v/>
      </c>
      <c r="O1126" s="887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38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1" t="str">
        <f>IF(OR(TH!L1126=TH!$W$7,M1126=TH!$W$7),"x","")</f>
        <v/>
      </c>
      <c r="X1126" s="51" t="str">
        <f>IF(AND(B1126&gt;='IN-NX'!$P$3,B1126&lt;='IN-NX'!$Q$3,'IN-NX'!$D$7=D1126,OR(LEFT(L1126,2)="15",AND(LEFT(M1126,2)&lt;&gt;"15",LEFT(M1126,2)&lt;&gt;"33"))),"x","")</f>
        <v/>
      </c>
      <c r="Y1126" s="51" t="str">
        <f>IF(AND(OR(LEFT(TH!L1126,2)="15",LEFT(TH!M1126,2)="15"),'152-CT'!$J$8=TH!F1126),"x","")</f>
        <v/>
      </c>
      <c r="Z1126" s="51" t="str">
        <f>IF(AND(OR(LEFT(TH!L1126,2)="15",LEFT(TH!M1126,2)="15"),TK!$E$7=TH!F1126),"x","")</f>
        <v/>
      </c>
      <c r="AA1126" s="51" t="str">
        <f>IF(AND(B1126&lt;=NKC!$N$8,B1126&gt;=NKC!$M$8),"x","")</f>
        <v/>
      </c>
      <c r="AB1126" s="909"/>
      <c r="AC1126" s="588"/>
      <c r="AD1126" s="588"/>
      <c r="AF1126" s="588"/>
      <c r="AG1126" s="588"/>
    </row>
    <row r="1127" spans="1:33" s="210" customFormat="1" ht="15.75" customHeight="1">
      <c r="A1127" s="203" t="str">
        <f>IF(B1127&lt;&gt;"",IF(AND(B1127&gt;=_TM1,B1127&lt;=_TM2,OR(TH!L1127="1111",TH!M1127="1111")),TH!D1127,""),"")</f>
        <v/>
      </c>
      <c r="B1127" s="36" t="str">
        <f t="shared" si="55"/>
        <v/>
      </c>
      <c r="C1127" s="183"/>
      <c r="D1127" s="190"/>
      <c r="E1127" s="183"/>
      <c r="F1127" s="188"/>
      <c r="G1127" s="481"/>
      <c r="H1127" s="209"/>
      <c r="I1127" s="255"/>
      <c r="J1127" s="255"/>
      <c r="K1127" s="596"/>
      <c r="L1127" s="193"/>
      <c r="M1127" s="193"/>
      <c r="N1127" s="51" t="str">
        <f>IF(AND('331-CT'!$E$7=TH!H1127,OR(L1127="331",M1127="331")),"331",IF(AND(OR(L1127="131",M1127="131"),H1127='131-CT'!$E$7),"131",""))</f>
        <v/>
      </c>
      <c r="O1127" s="887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38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1" t="str">
        <f>IF(OR(TH!L1127=TH!$W$7,M1127=TH!$W$7),"x","")</f>
        <v/>
      </c>
      <c r="X1127" s="51" t="str">
        <f>IF(AND(B1127&gt;='IN-NX'!$P$3,B1127&lt;='IN-NX'!$Q$3,'IN-NX'!$D$7=D1127,OR(LEFT(L1127,2)="15",AND(LEFT(M1127,2)&lt;&gt;"15",LEFT(M1127,2)&lt;&gt;"33"))),"x","")</f>
        <v/>
      </c>
      <c r="Y1127" s="51" t="str">
        <f>IF(AND(OR(LEFT(TH!L1127,2)="15",LEFT(TH!M1127,2)="15"),'152-CT'!$J$8=TH!F1127),"x","")</f>
        <v/>
      </c>
      <c r="Z1127" s="51" t="str">
        <f>IF(AND(OR(LEFT(TH!L1127,2)="15",LEFT(TH!M1127,2)="15"),TK!$E$7=TH!F1127),"x","")</f>
        <v/>
      </c>
      <c r="AA1127" s="51" t="str">
        <f>IF(AND(B1127&lt;=NKC!$N$8,B1127&gt;=NKC!$M$8),"x","")</f>
        <v/>
      </c>
      <c r="AB1127" s="909"/>
      <c r="AC1127" s="588"/>
      <c r="AD1127" s="588"/>
      <c r="AF1127" s="588"/>
      <c r="AG1127" s="588"/>
    </row>
    <row r="1128" spans="1:33" s="210" customFormat="1" ht="15.75" customHeight="1">
      <c r="A1128" s="203" t="str">
        <f>IF(B1128&lt;&gt;"",IF(AND(B1128&gt;=_TM1,B1128&lt;=_TM2,OR(TH!L1128="1111",TH!M1128="1111")),TH!D1128,""),"")</f>
        <v/>
      </c>
      <c r="B1128" s="849" t="str">
        <f t="shared" si="55"/>
        <v/>
      </c>
      <c r="C1128" s="850"/>
      <c r="D1128" s="190"/>
      <c r="E1128" s="183"/>
      <c r="F1128" s="191"/>
      <c r="G1128" s="481"/>
      <c r="H1128" s="209"/>
      <c r="I1128" s="255"/>
      <c r="J1128" s="255"/>
      <c r="K1128" s="596"/>
      <c r="L1128" s="193"/>
      <c r="M1128" s="193"/>
      <c r="N1128" s="51" t="str">
        <f>IF(AND('331-CT'!$E$7=TH!H1128,OR(L1128="331",M1128="331")),"331",IF(AND(OR(L1128="131",M1128="131"),H1128='131-CT'!$E$7),"131",""))</f>
        <v/>
      </c>
      <c r="O1128" s="887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38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1" t="str">
        <f>IF(OR(TH!L1128=TH!$W$7,M1128=TH!$W$7),"x","")</f>
        <v/>
      </c>
      <c r="X1128" s="51" t="str">
        <f>IF(AND(B1128&gt;='IN-NX'!$P$3,B1128&lt;='IN-NX'!$Q$3,'IN-NX'!$D$7=D1128,OR(LEFT(L1128,2)="15",AND(LEFT(M1128,2)&lt;&gt;"15",LEFT(M1128,2)&lt;&gt;"33"))),"x","")</f>
        <v/>
      </c>
      <c r="Y1128" s="51" t="str">
        <f>IF(AND(OR(LEFT(TH!L1128,2)="15",LEFT(TH!M1128,2)="15"),'152-CT'!$J$8=TH!F1128),"x","")</f>
        <v/>
      </c>
      <c r="Z1128" s="51" t="str">
        <f>IF(AND(OR(LEFT(TH!L1128,2)="15",LEFT(TH!M1128,2)="15"),TK!$E$7=TH!F1128),"x","")</f>
        <v/>
      </c>
      <c r="AA1128" s="51" t="str">
        <f>IF(AND(B1128&lt;=NKC!$N$8,B1128&gt;=NKC!$M$8),"x","")</f>
        <v/>
      </c>
      <c r="AB1128" s="909"/>
      <c r="AC1128" s="857"/>
      <c r="AD1128" s="858"/>
      <c r="AE1128" s="858"/>
      <c r="AF1128" s="857"/>
      <c r="AG1128" s="857"/>
    </row>
    <row r="1129" spans="1:33" s="210" customFormat="1" ht="15.75" customHeight="1">
      <c r="A1129" s="203" t="str">
        <f>IF(B1129&lt;&gt;"",IF(AND(B1129&gt;=_TM1,B1129&lt;=_TM2,OR(TH!L1129="1111",TH!M1129="1111")),TH!D1129,""),"")</f>
        <v/>
      </c>
      <c r="B1129" s="36" t="str">
        <f t="shared" si="55"/>
        <v/>
      </c>
      <c r="C1129" s="183"/>
      <c r="D1129" s="190"/>
      <c r="E1129" s="183"/>
      <c r="F1129" s="188"/>
      <c r="G1129" s="481"/>
      <c r="H1129" s="209"/>
      <c r="I1129" s="255"/>
      <c r="J1129" s="255"/>
      <c r="K1129" s="596"/>
      <c r="L1129" s="193"/>
      <c r="M1129" s="193"/>
      <c r="N1129" s="51" t="str">
        <f>IF(AND('331-CT'!$E$7=TH!H1129,OR(L1129="331",M1129="331")),"331",IF(AND(OR(L1129="131",M1129="131"),H1129='131-CT'!$E$7),"131",""))</f>
        <v/>
      </c>
      <c r="O1129" s="887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38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1" t="str">
        <f>IF(OR(TH!L1129=TH!$W$7,M1129=TH!$W$7),"x","")</f>
        <v/>
      </c>
      <c r="X1129" s="51" t="str">
        <f>IF(AND(B1129&gt;='IN-NX'!$P$3,B1129&lt;='IN-NX'!$Q$3,'IN-NX'!$D$7=D1129,OR(LEFT(L1129,2)="15",AND(LEFT(M1129,2)&lt;&gt;"15",LEFT(M1129,2)&lt;&gt;"33"))),"x","")</f>
        <v/>
      </c>
      <c r="Y1129" s="51" t="str">
        <f>IF(AND(OR(LEFT(TH!L1129,2)="15",LEFT(TH!M1129,2)="15"),'152-CT'!$J$8=TH!F1129),"x","")</f>
        <v/>
      </c>
      <c r="Z1129" s="51" t="str">
        <f>IF(AND(OR(LEFT(TH!L1129,2)="15",LEFT(TH!M1129,2)="15"),TK!$E$7=TH!F1129),"x","")</f>
        <v/>
      </c>
      <c r="AA1129" s="51" t="str">
        <f>IF(AND(B1129&lt;=NKC!$N$8,B1129&gt;=NKC!$M$8),"x","")</f>
        <v/>
      </c>
      <c r="AB1129" s="909"/>
      <c r="AC1129" s="588"/>
      <c r="AD1129" s="588"/>
      <c r="AF1129" s="588"/>
      <c r="AG1129" s="588"/>
    </row>
    <row r="1130" spans="1:33" s="210" customFormat="1" ht="15.75" customHeight="1">
      <c r="A1130" s="203" t="str">
        <f>IF(B1130&lt;&gt;"",IF(AND(B1130&gt;=_TM1,B1130&lt;=_TM2,OR(TH!L1130="1111",TH!M1130="1111")),TH!D1130,""),"")</f>
        <v/>
      </c>
      <c r="B1130" s="36" t="str">
        <f t="shared" si="55"/>
        <v/>
      </c>
      <c r="C1130" s="183"/>
      <c r="D1130" s="190"/>
      <c r="E1130" s="190"/>
      <c r="F1130" s="191"/>
      <c r="G1130" s="481"/>
      <c r="H1130" s="888"/>
      <c r="I1130" s="255"/>
      <c r="J1130" s="255"/>
      <c r="K1130" s="37"/>
      <c r="L1130" s="193"/>
      <c r="M1130" s="193"/>
      <c r="N1130" s="51" t="str">
        <f>IF(AND('331-CT'!$E$7=TH!H1130,OR(L1130="331",M1130="331")),"331",IF(AND(OR(L1130="131",M1130="131"),H1130='131-CT'!$E$7),"131",""))</f>
        <v/>
      </c>
      <c r="O1130" s="887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38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W1130" s="51" t="str">
        <f>IF(OR(TH!L1130=TH!$W$7,M1130=TH!$W$7),"x","")</f>
        <v/>
      </c>
      <c r="X1130" s="51" t="str">
        <f>IF(AND(B1130&gt;='IN-NX'!$P$3,B1130&lt;='IN-NX'!$Q$3,'IN-NX'!$D$7=D1130,OR(LEFT(L1130,2)="15",AND(LEFT(M1130,2)&lt;&gt;"15",LEFT(M1130,2)&lt;&gt;"33"))),"x","")</f>
        <v/>
      </c>
      <c r="Y1130" s="51" t="str">
        <f>IF(AND(OR(LEFT(TH!L1130,2)="15",LEFT(TH!M1130,2)="15"),'152-CT'!$J$8=TH!F1130),"x","")</f>
        <v/>
      </c>
      <c r="Z1130" s="51" t="str">
        <f>IF(AND(OR(LEFT(TH!L1130,2)="15",LEFT(TH!M1130,2)="15"),TK!$E$7=TH!F1130),"x","")</f>
        <v/>
      </c>
      <c r="AA1130" s="51" t="str">
        <f>IF(AND(B1130&lt;=NKC!$N$8,B1130&gt;=NKC!$M$8),"x","")</f>
        <v/>
      </c>
      <c r="AB1130" s="909"/>
      <c r="AC1130" s="588"/>
      <c r="AD1130" s="588"/>
    </row>
    <row r="1131" spans="1:33" s="210" customFormat="1" ht="15.75" customHeight="1">
      <c r="A1131" s="203" t="str">
        <f>IF(B1131&lt;&gt;"",IF(AND(B1131&gt;=_TM1,B1131&lt;=_TM2,OR(TH!L1131="1111",TH!M1131="1111")),TH!D1131,""),"")</f>
        <v/>
      </c>
      <c r="B1131" s="36" t="str">
        <f t="shared" si="55"/>
        <v/>
      </c>
      <c r="C1131" s="183"/>
      <c r="D1131" s="190"/>
      <c r="E1131" s="190"/>
      <c r="F1131" s="188"/>
      <c r="G1131" s="481"/>
      <c r="H1131" s="888"/>
      <c r="I1131" s="255"/>
      <c r="J1131" s="255"/>
      <c r="K1131" s="596"/>
      <c r="L1131" s="193"/>
      <c r="M1131" s="193"/>
      <c r="N1131" s="51" t="str">
        <f>IF(AND('331-CT'!$E$7=TH!H1131,OR(L1131="331",M1131="331")),"331",IF(AND(OR(L1131="131",M1131="131"),H1131='131-CT'!$E$7),"131",""))</f>
        <v/>
      </c>
      <c r="O1131" s="887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38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W1131" s="51" t="str">
        <f>IF(OR(TH!L1131=TH!$W$7,M1131=TH!$W$7),"x","")</f>
        <v/>
      </c>
      <c r="X1131" s="51" t="str">
        <f>IF(AND(B1131&gt;='IN-NX'!$P$3,B1131&lt;='IN-NX'!$Q$3,'IN-NX'!$D$7=D1131,OR(LEFT(L1131,2)="15",AND(LEFT(M1131,2)&lt;&gt;"15",LEFT(M1131,2)&lt;&gt;"33"))),"x","")</f>
        <v/>
      </c>
      <c r="Y1131" s="51" t="str">
        <f>IF(AND(OR(LEFT(TH!L1131,2)="15",LEFT(TH!M1131,2)="15"),'152-CT'!$J$8=TH!F1131),"x","")</f>
        <v/>
      </c>
      <c r="Z1131" s="51" t="str">
        <f>IF(AND(OR(LEFT(TH!L1131,2)="15",LEFT(TH!M1131,2)="15"),TK!$E$7=TH!F1131),"x","")</f>
        <v/>
      </c>
      <c r="AA1131" s="51" t="str">
        <f>IF(AND(B1131&lt;=NKC!$N$8,B1131&gt;=NKC!$M$8),"x","")</f>
        <v/>
      </c>
      <c r="AB1131" s="909"/>
      <c r="AC1131" s="588"/>
    </row>
    <row r="1132" spans="1:33" s="210" customFormat="1" ht="15.75" customHeight="1">
      <c r="A1132" s="203" t="str">
        <f>IF(B1132&lt;&gt;"",IF(AND(B1132&gt;=_TM1,B1132&lt;=_TM2,OR(TH!L1132="1111",TH!M1132="1111")),TH!D1132,""),"")</f>
        <v/>
      </c>
      <c r="B1132" s="36" t="str">
        <f t="shared" si="55"/>
        <v/>
      </c>
      <c r="C1132" s="183"/>
      <c r="D1132" s="190"/>
      <c r="E1132" s="190"/>
      <c r="F1132" s="191"/>
      <c r="G1132" s="481"/>
      <c r="H1132" s="7"/>
      <c r="I1132" s="255"/>
      <c r="J1132" s="255"/>
      <c r="K1132" s="37"/>
      <c r="L1132" s="193"/>
      <c r="M1132" s="193"/>
      <c r="N1132" s="51" t="str">
        <f>IF(AND('331-CT'!$E$7=TH!H1132,OR(L1132="331",M1132="331")),"331",IF(AND(OR(L1132="131",M1132="131"),H1132='131-CT'!$E$7),"131",""))</f>
        <v/>
      </c>
      <c r="O1132" s="887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38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W1132" s="51" t="str">
        <f>IF(OR(TH!L1132=TH!$W$7,M1132=TH!$W$7),"x","")</f>
        <v/>
      </c>
      <c r="X1132" s="51" t="str">
        <f>IF(AND(B1132&gt;='IN-NX'!$P$3,B1132&lt;='IN-NX'!$Q$3,'IN-NX'!$D$7=D1132,OR(LEFT(L1132,2)="15",AND(LEFT(M1132,2)&lt;&gt;"15",LEFT(M1132,2)&lt;&gt;"33"))),"x","")</f>
        <v/>
      </c>
      <c r="Y1132" s="51" t="str">
        <f>IF(AND(OR(LEFT(TH!L1132,2)="15",LEFT(TH!M1132,2)="15"),'152-CT'!$J$8=TH!F1132),"x","")</f>
        <v/>
      </c>
      <c r="Z1132" s="51" t="str">
        <f>IF(AND(OR(LEFT(TH!L1132,2)="15",LEFT(TH!M1132,2)="15"),TK!$E$7=TH!F1132),"x","")</f>
        <v/>
      </c>
      <c r="AA1132" s="51" t="str">
        <f>IF(AND(B1132&lt;=NKC!$N$8,B1132&gt;=NKC!$M$8),"x","")</f>
        <v/>
      </c>
      <c r="AB1132" s="909"/>
      <c r="AC1132" s="588"/>
      <c r="AD1132" s="588"/>
    </row>
    <row r="1133" spans="1:33" s="210" customFormat="1" ht="15.75" customHeight="1">
      <c r="A1133" s="203" t="str">
        <f>IF(B1133&lt;&gt;"",IF(AND(B1133&gt;=_TM1,B1133&lt;=_TM2,OR(TH!L1133="1111",TH!M1133="1111")),TH!D1133,""),"")</f>
        <v/>
      </c>
      <c r="B1133" s="36" t="str">
        <f t="shared" si="55"/>
        <v/>
      </c>
      <c r="C1133" s="183"/>
      <c r="D1133" s="190"/>
      <c r="E1133" s="190"/>
      <c r="F1133" s="191"/>
      <c r="G1133" s="481"/>
      <c r="H1133" s="7"/>
      <c r="I1133" s="255"/>
      <c r="J1133" s="255"/>
      <c r="K1133" s="596"/>
      <c r="L1133" s="193"/>
      <c r="M1133" s="193"/>
      <c r="N1133" s="51" t="str">
        <f>IF(AND('331-CT'!$E$7=TH!H1133,OR(L1133="331",M1133="331")),"331",IF(AND(OR(L1133="131",M1133="131"),H1133='131-CT'!$E$7),"131",""))</f>
        <v/>
      </c>
      <c r="O1133" s="887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38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W1133" s="51" t="str">
        <f>IF(OR(TH!L1133=TH!$W$7,M1133=TH!$W$7),"x","")</f>
        <v/>
      </c>
      <c r="X1133" s="51" t="str">
        <f>IF(AND(B1133&gt;='IN-NX'!$P$3,B1133&lt;='IN-NX'!$Q$3,'IN-NX'!$D$7=D1133,OR(LEFT(L1133,2)="15",AND(LEFT(M1133,2)&lt;&gt;"15",LEFT(M1133,2)&lt;&gt;"33"))),"x","")</f>
        <v/>
      </c>
      <c r="Y1133" s="51" t="str">
        <f>IF(AND(OR(LEFT(TH!L1133,2)="15",LEFT(TH!M1133,2)="15"),'152-CT'!$J$8=TH!F1133),"x","")</f>
        <v/>
      </c>
      <c r="Z1133" s="51" t="str">
        <f>IF(AND(OR(LEFT(TH!L1133,2)="15",LEFT(TH!M1133,2)="15"),TK!$E$7=TH!F1133),"x","")</f>
        <v/>
      </c>
      <c r="AA1133" s="51" t="str">
        <f>IF(AND(B1133&lt;=NKC!$N$8,B1133&gt;=NKC!$M$8),"x","")</f>
        <v/>
      </c>
      <c r="AB1133" s="909"/>
      <c r="AC1133" s="588"/>
      <c r="AD1133" s="588"/>
    </row>
    <row r="1134" spans="1:33" s="210" customFormat="1" ht="15.75" customHeight="1">
      <c r="A1134" s="203" t="str">
        <f>IF(B1134&lt;&gt;"",IF(AND(B1134&gt;=_TM1,B1134&lt;=_TM2,OR(TH!L1134="1111",TH!M1134="1111")),TH!D1134,""),"")</f>
        <v/>
      </c>
      <c r="B1134" s="36" t="str">
        <f t="shared" si="55"/>
        <v/>
      </c>
      <c r="C1134" s="183"/>
      <c r="D1134" s="190"/>
      <c r="E1134" s="190"/>
      <c r="F1134" s="191"/>
      <c r="G1134" s="481"/>
      <c r="H1134" s="7"/>
      <c r="I1134" s="255"/>
      <c r="J1134" s="255"/>
      <c r="K1134" s="37"/>
      <c r="L1134" s="193"/>
      <c r="M1134" s="193"/>
      <c r="N1134" s="51" t="str">
        <f>IF(AND('331-CT'!$E$7=TH!H1134,OR(L1134="331",M1134="331")),"331",IF(AND(OR(L1134="131",M1134="131"),H1134='131-CT'!$E$7),"131",""))</f>
        <v/>
      </c>
      <c r="O1134" s="887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38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W1134" s="51" t="str">
        <f>IF(OR(TH!L1134=TH!$W$7,M1134=TH!$W$7),"x","")</f>
        <v/>
      </c>
      <c r="X1134" s="51" t="str">
        <f>IF(AND(B1134&gt;='IN-NX'!$P$3,B1134&lt;='IN-NX'!$Q$3,'IN-NX'!$D$7=D1134,OR(LEFT(L1134,2)="15",AND(LEFT(M1134,2)&lt;&gt;"15",LEFT(M1134,2)&lt;&gt;"33"))),"x","")</f>
        <v/>
      </c>
      <c r="Y1134" s="51" t="str">
        <f>IF(AND(OR(LEFT(TH!L1134,2)="15",LEFT(TH!M1134,2)="15"),'152-CT'!$J$8=TH!F1134),"x","")</f>
        <v/>
      </c>
      <c r="Z1134" s="51" t="str">
        <f>IF(AND(OR(LEFT(TH!L1134,2)="15",LEFT(TH!M1134,2)="15"),TK!$E$7=TH!F1134),"x","")</f>
        <v/>
      </c>
      <c r="AA1134" s="51" t="str">
        <f>IF(AND(B1134&lt;=NKC!$N$8,B1134&gt;=NKC!$M$8),"x","")</f>
        <v/>
      </c>
      <c r="AB1134" s="909"/>
      <c r="AC1134" s="588"/>
    </row>
    <row r="1135" spans="1:33" s="210" customFormat="1" ht="15.75" customHeight="1">
      <c r="A1135" s="203" t="str">
        <f>IF(B1135&lt;&gt;"",IF(AND(B1135&gt;=_TM1,B1135&lt;=_TM2,OR(TH!L1135="1111",TH!M1135="1111")),TH!D1135,""),"")</f>
        <v/>
      </c>
      <c r="B1135" s="36" t="str">
        <f t="shared" si="55"/>
        <v/>
      </c>
      <c r="C1135" s="183"/>
      <c r="D1135" s="190"/>
      <c r="E1135" s="190"/>
      <c r="F1135" s="188"/>
      <c r="G1135" s="481"/>
      <c r="H1135" s="7"/>
      <c r="I1135" s="255"/>
      <c r="J1135" s="255"/>
      <c r="K1135" s="37"/>
      <c r="L1135" s="193"/>
      <c r="M1135" s="193"/>
      <c r="N1135" s="51" t="str">
        <f>IF(AND('331-CT'!$E$7=TH!H1135,OR(L1135="331",M1135="331")),"331",IF(AND(OR(L1135="131",M1135="131"),H1135='131-CT'!$E$7),"131",""))</f>
        <v/>
      </c>
      <c r="O1135" s="887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38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W1135" s="51" t="str">
        <f>IF(OR(TH!L1135=TH!$W$7,M1135=TH!$W$7),"x","")</f>
        <v/>
      </c>
      <c r="X1135" s="51" t="str">
        <f>IF(AND(B1135&gt;='IN-NX'!$P$3,B1135&lt;='IN-NX'!$Q$3,'IN-NX'!$D$7=D1135,OR(LEFT(L1135,2)="15",AND(LEFT(M1135,2)&lt;&gt;"15",LEFT(M1135,2)&lt;&gt;"33"))),"x","")</f>
        <v/>
      </c>
      <c r="Y1135" s="51" t="str">
        <f>IF(AND(OR(LEFT(TH!L1135,2)="15",LEFT(TH!M1135,2)="15"),'152-CT'!$J$8=TH!F1135),"x","")</f>
        <v/>
      </c>
      <c r="Z1135" s="51" t="str">
        <f>IF(AND(OR(LEFT(TH!L1135,2)="15",LEFT(TH!M1135,2)="15"),TK!$E$7=TH!F1135),"x","")</f>
        <v/>
      </c>
      <c r="AA1135" s="51" t="str">
        <f>IF(AND(B1135&lt;=NKC!$N$8,B1135&gt;=NKC!$M$8),"x","")</f>
        <v/>
      </c>
      <c r="AB1135" s="909"/>
      <c r="AC1135" s="588"/>
      <c r="AD1135" s="588"/>
    </row>
    <row r="1136" spans="1:33" s="210" customFormat="1" ht="15.75" customHeight="1">
      <c r="A1136" s="203" t="str">
        <f>IF(B1136&lt;&gt;"",IF(AND(B1136&gt;=_TM1,B1136&lt;=_TM2,OR(TH!L1136="1111",TH!M1136="1111")),TH!D1136,""),"")</f>
        <v/>
      </c>
      <c r="B1136" s="36" t="str">
        <f t="shared" si="55"/>
        <v/>
      </c>
      <c r="C1136" s="183"/>
      <c r="D1136" s="190"/>
      <c r="E1136" s="183"/>
      <c r="F1136" s="188"/>
      <c r="G1136" s="598"/>
      <c r="H1136" s="7"/>
      <c r="I1136" s="255"/>
      <c r="J1136" s="255"/>
      <c r="K1136" s="596"/>
      <c r="L1136" s="193"/>
      <c r="M1136" s="193"/>
      <c r="N1136" s="51" t="str">
        <f>IF(AND('331-CT'!$E$7=TH!H1136,OR(L1136="331",M1136="331")),"331",IF(AND(OR(L1136="131",M1136="131"),H1136='131-CT'!$E$7),"131",""))</f>
        <v/>
      </c>
      <c r="O1136" s="887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38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W1136" s="51" t="str">
        <f>IF(OR(TH!L1136=TH!$W$7,M1136=TH!$W$7),"x","")</f>
        <v/>
      </c>
      <c r="X1136" s="51" t="str">
        <f>IF(AND(B1136&gt;='IN-NX'!$P$3,B1136&lt;='IN-NX'!$Q$3,'IN-NX'!$D$7=D1136,OR(LEFT(L1136,2)="15",AND(LEFT(M1136,2)&lt;&gt;"15",LEFT(M1136,2)&lt;&gt;"33"))),"x","")</f>
        <v/>
      </c>
      <c r="Y1136" s="51" t="str">
        <f>IF(AND(OR(LEFT(TH!L1136,2)="15",LEFT(TH!M1136,2)="15"),'152-CT'!$J$8=TH!F1136),"x","")</f>
        <v/>
      </c>
      <c r="Z1136" s="51" t="str">
        <f>IF(AND(OR(LEFT(TH!L1136,2)="15",LEFT(TH!M1136,2)="15"),TK!$E$7=TH!F1136),"x","")</f>
        <v/>
      </c>
      <c r="AA1136" s="51" t="str">
        <f>IF(AND(B1136&lt;=NKC!$N$8,B1136&gt;=NKC!$M$8),"x","")</f>
        <v/>
      </c>
      <c r="AB1136" s="909"/>
      <c r="AC1136" s="588"/>
      <c r="AD1136" s="588"/>
    </row>
    <row r="1137" spans="1:30" s="210" customFormat="1" ht="15.75" customHeight="1">
      <c r="A1137" s="203" t="str">
        <f>IF(B1137&lt;&gt;"",IF(AND(B1137&gt;=_TM1,B1137&lt;=_TM2,OR(TH!L1137="1111",TH!M1137="1111")),TH!D1137,""),"")</f>
        <v/>
      </c>
      <c r="B1137" s="36" t="str">
        <f t="shared" si="55"/>
        <v/>
      </c>
      <c r="C1137" s="183"/>
      <c r="D1137" s="190"/>
      <c r="E1137" s="190"/>
      <c r="F1137" s="191"/>
      <c r="G1137" s="481"/>
      <c r="H1137" s="192"/>
      <c r="I1137" s="255"/>
      <c r="J1137" s="255"/>
      <c r="K1137" s="37"/>
      <c r="L1137" s="193"/>
      <c r="M1137" s="193"/>
      <c r="N1137" s="51" t="str">
        <f>IF(AND('331-CT'!$E$7=TH!H1137,OR(L1137="331",M1137="331")),"331",IF(AND(OR(L1137="131",M1137="131"),H1137='131-CT'!$E$7),"131",""))</f>
        <v/>
      </c>
      <c r="O1137" s="887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38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W1137" s="51" t="str">
        <f>IF(OR(TH!L1137=TH!$W$7,M1137=TH!$W$7),"x","")</f>
        <v/>
      </c>
      <c r="X1137" s="51" t="str">
        <f>IF(AND(B1137&gt;='IN-NX'!$P$3,B1137&lt;='IN-NX'!$Q$3,'IN-NX'!$D$7=D1137,OR(LEFT(L1137,2)="15",AND(LEFT(M1137,2)&lt;&gt;"15",LEFT(M1137,2)&lt;&gt;"33"))),"x","")</f>
        <v/>
      </c>
      <c r="Y1137" s="51" t="str">
        <f>IF(AND(OR(LEFT(TH!L1137,2)="15",LEFT(TH!M1137,2)="15"),'152-CT'!$J$8=TH!F1137),"x","")</f>
        <v/>
      </c>
      <c r="Z1137" s="51" t="str">
        <f>IF(AND(OR(LEFT(TH!L1137,2)="15",LEFT(TH!M1137,2)="15"),TK!$E$7=TH!F1137),"x","")</f>
        <v/>
      </c>
      <c r="AA1137" s="51" t="str">
        <f>IF(AND(B1137&lt;=NKC!$N$8,B1137&gt;=NKC!$M$8),"x","")</f>
        <v/>
      </c>
      <c r="AB1137" s="909"/>
      <c r="AC1137" s="588"/>
      <c r="AD1137" s="588"/>
    </row>
    <row r="1138" spans="1:30" s="210" customFormat="1" ht="15.75" customHeight="1">
      <c r="A1138" s="203" t="str">
        <f>IF(B1138&lt;&gt;"",IF(AND(B1138&gt;=_TM1,B1138&lt;=_TM2,OR(TH!L1138="1111",TH!M1138="1111")),TH!D1138,""),"")</f>
        <v/>
      </c>
      <c r="B1138" s="36" t="str">
        <f t="shared" si="55"/>
        <v/>
      </c>
      <c r="C1138" s="183"/>
      <c r="D1138" s="190"/>
      <c r="E1138" s="190"/>
      <c r="F1138" s="191"/>
      <c r="G1138" s="481"/>
      <c r="H1138" s="192"/>
      <c r="I1138" s="256"/>
      <c r="J1138" s="256"/>
      <c r="K1138" s="37"/>
      <c r="L1138" s="193"/>
      <c r="M1138" s="193"/>
      <c r="N1138" s="51" t="str">
        <f>IF(AND('331-CT'!$E$7=TH!H1138,OR(L1138="331",M1138="331")),"331",IF(AND(OR(L1138="131",M1138="131"),H1138='131-CT'!$E$7),"131",""))</f>
        <v/>
      </c>
      <c r="O1138" s="887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38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W1138" s="51" t="str">
        <f>IF(OR(TH!L1138=TH!$W$7,M1138=TH!$W$7),"x","")</f>
        <v/>
      </c>
      <c r="X1138" s="51" t="str">
        <f>IF(AND(B1138&gt;='IN-NX'!$P$3,B1138&lt;='IN-NX'!$Q$3,'IN-NX'!$D$7=D1138,OR(LEFT(L1138,2)="15",AND(LEFT(M1138,2)&lt;&gt;"15",LEFT(M1138,2)&lt;&gt;"33"))),"x","")</f>
        <v/>
      </c>
      <c r="Y1138" s="51" t="str">
        <f>IF(AND(OR(LEFT(TH!L1138,2)="15",LEFT(TH!M1138,2)="15"),'152-CT'!$J$8=TH!F1138),"x","")</f>
        <v/>
      </c>
      <c r="Z1138" s="51" t="str">
        <f>IF(AND(OR(LEFT(TH!L1138,2)="15",LEFT(TH!M1138,2)="15"),TK!$E$7=TH!F1138),"x","")</f>
        <v/>
      </c>
      <c r="AA1138" s="51" t="str">
        <f>IF(AND(B1138&lt;=NKC!$N$8,B1138&gt;=NKC!$M$8),"x","")</f>
        <v/>
      </c>
      <c r="AB1138" s="909"/>
      <c r="AC1138" s="588"/>
      <c r="AD1138" s="588"/>
    </row>
    <row r="1139" spans="1:30" s="210" customFormat="1" ht="15.75" customHeight="1">
      <c r="A1139" s="203" t="str">
        <f>IF(B1139&lt;&gt;"",IF(AND(B1139&gt;=_TM1,B1139&lt;=_TM2,OR(TH!L1139="1111",TH!M1139="1111")),TH!D1139,""),"")</f>
        <v/>
      </c>
      <c r="B1139" s="36" t="str">
        <f t="shared" si="55"/>
        <v/>
      </c>
      <c r="C1139" s="183"/>
      <c r="D1139" s="190"/>
      <c r="E1139" s="190"/>
      <c r="F1139" s="191"/>
      <c r="G1139" s="481"/>
      <c r="H1139" s="192"/>
      <c r="I1139" s="255"/>
      <c r="J1139" s="255"/>
      <c r="K1139" s="37"/>
      <c r="L1139" s="193"/>
      <c r="M1139" s="193"/>
      <c r="N1139" s="51" t="str">
        <f>IF(AND('331-CT'!$E$7=TH!H1139,OR(L1139="331",M1139="331")),"331",IF(AND(OR(L1139="131",M1139="131"),H1139='131-CT'!$E$7),"131",""))</f>
        <v/>
      </c>
      <c r="O1139" s="887" t="str">
        <f>IF(AND('341-CT'!$E$9=H1139,OR(LEFT(L1139,3)=$O$7,LEFT(M1139,3)=$O$7)),"x","")</f>
        <v/>
      </c>
      <c r="P1139" s="51" t="str">
        <f>IF(AND($B1139&gt;='111'!$N$11,$B1139&lt;='111'!$O$11,OR($L1139=$P$7,$M1139=$P$7)),"x","")</f>
        <v/>
      </c>
      <c r="Q1139" s="51" t="str">
        <f>IF(AND($L1139=$P$7,$B1139&lt;'111'!$N$11),"x","")</f>
        <v/>
      </c>
      <c r="R1139" s="51" t="str">
        <f>IF(AND($M1139=$P$7,$B1139&lt;'111'!$N$11),"x","")</f>
        <v/>
      </c>
      <c r="S1139" s="51" t="str">
        <f>IF(ISERROR(FIND('112'!$M$9,G1139,1)),"",IF((AND(FIND('112'!$M$9,G1139,1)&gt;=1,$B1139&gt;='112'!$N$8,$B1139&lt;='112'!$O$8,OR($L1139='112'!$I$6,$M1139='112'!$I$6))),"x",""))</f>
        <v/>
      </c>
      <c r="T1139" s="51" t="str">
        <f>IF(ISERROR(FIND('112'!$M$9,G1139,1)),"",IF((AND(LEFT(G1139,2)=LEFT('112'!$M$9,2),B1139&lt;'112'!$N$8,$L1139='112'!$I$6)),"x",""))</f>
        <v/>
      </c>
      <c r="U1139" s="51" t="str">
        <f>IF(ISERROR(FIND('112'!$M$9,G1139,1)),"",IF((AND(RIGHT(G1139,2)=RIGHT('112'!$M$9,2),B1139&lt;'112'!$N$8,$M1139='112'!$I$6)),"x",""))</f>
        <v/>
      </c>
      <c r="V1139" s="38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W1139" s="51" t="str">
        <f>IF(OR(TH!L1139=TH!$W$7,M1139=TH!$W$7),"x","")</f>
        <v/>
      </c>
      <c r="X1139" s="51" t="str">
        <f>IF(AND(B1139&gt;='IN-NX'!$P$3,B1139&lt;='IN-NX'!$Q$3,'IN-NX'!$D$7=D1139,OR(LEFT(L1139,2)="15",AND(LEFT(M1139,2)&lt;&gt;"15",LEFT(M1139,2)&lt;&gt;"33"))),"x","")</f>
        <v/>
      </c>
      <c r="Y1139" s="51" t="str">
        <f>IF(AND(OR(LEFT(TH!L1139,2)="15",LEFT(TH!M1139,2)="15"),'152-CT'!$J$8=TH!F1139),"x","")</f>
        <v/>
      </c>
      <c r="Z1139" s="51" t="str">
        <f>IF(AND(OR(LEFT(TH!L1139,2)="15",LEFT(TH!M1139,2)="15"),TK!$E$7=TH!F1139),"x","")</f>
        <v/>
      </c>
      <c r="AA1139" s="51" t="str">
        <f>IF(AND(B1139&lt;=NKC!$N$8,B1139&gt;=NKC!$M$8),"x","")</f>
        <v/>
      </c>
      <c r="AB1139" s="909"/>
      <c r="AC1139" s="588"/>
      <c r="AD1139" s="588"/>
    </row>
    <row r="1140" spans="1:30" s="210" customFormat="1" ht="15.75" customHeight="1">
      <c r="A1140" s="203" t="str">
        <f>IF(B1140&lt;&gt;"",IF(AND(B1140&gt;=_TM1,B1140&lt;=_TM2,OR(TH!L1140="1111",TH!M1140="1111")),TH!D1140,""),"")</f>
        <v/>
      </c>
      <c r="B1140" s="36" t="str">
        <f t="shared" si="55"/>
        <v/>
      </c>
      <c r="C1140" s="183"/>
      <c r="D1140" s="190"/>
      <c r="E1140" s="190"/>
      <c r="F1140" s="191"/>
      <c r="G1140" s="481"/>
      <c r="H1140" s="192"/>
      <c r="I1140" s="256"/>
      <c r="J1140" s="256"/>
      <c r="K1140" s="596"/>
      <c r="L1140" s="193"/>
      <c r="M1140" s="193"/>
      <c r="N1140" s="51" t="str">
        <f>IF(AND('331-CT'!$E$7=TH!H1140,OR(L1140="331",M1140="331")),"331",IF(AND(OR(L1140="131",M1140="131"),H1140='131-CT'!$E$7),"131",""))</f>
        <v/>
      </c>
      <c r="O1140" s="887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38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W1140" s="51" t="str">
        <f>IF(OR(TH!L1140=TH!$W$7,M1140=TH!$W$7),"x","")</f>
        <v/>
      </c>
      <c r="X1140" s="51" t="str">
        <f>IF(AND(B1140&gt;='IN-NX'!$P$3,B1140&lt;='IN-NX'!$Q$3,'IN-NX'!$D$7=D1140,OR(LEFT(L1140,2)="15",AND(LEFT(M1140,2)&lt;&gt;"15",LEFT(M1140,2)&lt;&gt;"33"))),"x","")</f>
        <v/>
      </c>
      <c r="Y1140" s="51" t="str">
        <f>IF(AND(OR(LEFT(TH!L1140,2)="15",LEFT(TH!M1140,2)="15"),'152-CT'!$J$8=TH!F1140),"x","")</f>
        <v/>
      </c>
      <c r="Z1140" s="51" t="str">
        <f>IF(AND(OR(LEFT(TH!L1140,2)="15",LEFT(TH!M1140,2)="15"),TK!$E$7=TH!F1140),"x","")</f>
        <v/>
      </c>
      <c r="AA1140" s="51" t="str">
        <f>IF(AND(B1140&lt;=NKC!$N$8,B1140&gt;=NKC!$M$8),"x","")</f>
        <v/>
      </c>
      <c r="AB1140" s="909"/>
      <c r="AC1140" s="588"/>
      <c r="AD1140" s="588"/>
    </row>
    <row r="1141" spans="1:30" s="210" customFormat="1" ht="15.75" customHeight="1">
      <c r="A1141" s="203" t="str">
        <f>IF(B1141&lt;&gt;"",IF(AND(B1141&gt;=_TM1,B1141&lt;=_TM2,OR(TH!L1141="1111",TH!M1141="1111")),TH!D1141,""),"")</f>
        <v/>
      </c>
      <c r="B1141" s="36" t="str">
        <f t="shared" si="55"/>
        <v/>
      </c>
      <c r="C1141" s="183"/>
      <c r="D1141" s="190"/>
      <c r="E1141" s="190"/>
      <c r="F1141" s="191"/>
      <c r="G1141" s="481"/>
      <c r="H1141" s="192"/>
      <c r="I1141" s="255"/>
      <c r="J1141" s="255"/>
      <c r="K1141" s="37"/>
      <c r="L1141" s="193"/>
      <c r="M1141" s="193"/>
      <c r="N1141" s="51" t="str">
        <f>IF(AND('331-CT'!$E$7=TH!H1141,OR(L1141="331",M1141="331")),"331",IF(AND(OR(L1141="131",M1141="131"),H1141='131-CT'!$E$7),"131",""))</f>
        <v/>
      </c>
      <c r="O1141" s="887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38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W1141" s="51" t="str">
        <f>IF(OR(TH!L1141=TH!$W$7,M1141=TH!$W$7),"x","")</f>
        <v/>
      </c>
      <c r="X1141" s="51" t="str">
        <f>IF(AND(B1141&gt;='IN-NX'!$P$3,B1141&lt;='IN-NX'!$Q$3,'IN-NX'!$D$7=D1141,OR(LEFT(L1141,2)="15",AND(LEFT(M1141,2)&lt;&gt;"15",LEFT(M1141,2)&lt;&gt;"33"))),"x","")</f>
        <v/>
      </c>
      <c r="Y1141" s="51" t="str">
        <f>IF(AND(OR(LEFT(TH!L1141,2)="15",LEFT(TH!M1141,2)="15"),'152-CT'!$J$8=TH!F1141),"x","")</f>
        <v/>
      </c>
      <c r="Z1141" s="51" t="str">
        <f>IF(AND(OR(LEFT(TH!L1141,2)="15",LEFT(TH!M1141,2)="15"),TK!$E$7=TH!F1141),"x","")</f>
        <v/>
      </c>
      <c r="AA1141" s="51" t="str">
        <f>IF(AND(B1141&lt;=NKC!$N$8,B1141&gt;=NKC!$M$8),"x","")</f>
        <v/>
      </c>
      <c r="AB1141" s="909"/>
      <c r="AC1141" s="588"/>
    </row>
    <row r="1142" spans="1:30" s="210" customFormat="1" ht="15.75" customHeight="1">
      <c r="A1142" s="203" t="str">
        <f>IF(B1142&lt;&gt;"",IF(AND(B1142&gt;=_TM1,B1142&lt;=_TM2,OR(TH!L1142="1111",TH!M1142="1111")),TH!D1142,""),"")</f>
        <v/>
      </c>
      <c r="B1142" s="36" t="str">
        <f t="shared" si="55"/>
        <v/>
      </c>
      <c r="C1142" s="183"/>
      <c r="D1142" s="190"/>
      <c r="E1142" s="190"/>
      <c r="F1142" s="191"/>
      <c r="G1142" s="481"/>
      <c r="H1142" s="192"/>
      <c r="I1142" s="256"/>
      <c r="J1142" s="256"/>
      <c r="K1142" s="37"/>
      <c r="L1142" s="193"/>
      <c r="M1142" s="193"/>
      <c r="N1142" s="51" t="str">
        <f>IF(AND('331-CT'!$E$7=TH!H1142,OR(L1142="331",M1142="331")),"331",IF(AND(OR(L1142="131",M1142="131"),H1142='131-CT'!$E$7),"131",""))</f>
        <v/>
      </c>
      <c r="O1142" s="887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38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W1142" s="51" t="str">
        <f>IF(OR(TH!L1142=TH!$W$7,M1142=TH!$W$7),"x","")</f>
        <v/>
      </c>
      <c r="X1142" s="51" t="str">
        <f>IF(AND(B1142&gt;='IN-NX'!$P$3,B1142&lt;='IN-NX'!$Q$3,'IN-NX'!$D$7=D1142,OR(LEFT(L1142,2)="15",AND(LEFT(M1142,2)&lt;&gt;"15",LEFT(M1142,2)&lt;&gt;"33"))),"x","")</f>
        <v/>
      </c>
      <c r="Y1142" s="51" t="str">
        <f>IF(AND(OR(LEFT(TH!L1142,2)="15",LEFT(TH!M1142,2)="15"),'152-CT'!$J$8=TH!F1142),"x","")</f>
        <v/>
      </c>
      <c r="Z1142" s="51" t="str">
        <f>IF(AND(OR(LEFT(TH!L1142,2)="15",LEFT(TH!M1142,2)="15"),TK!$E$7=TH!F1142),"x","")</f>
        <v/>
      </c>
      <c r="AA1142" s="51" t="str">
        <f>IF(AND(B1142&lt;=NKC!$N$8,B1142&gt;=NKC!$M$8),"x","")</f>
        <v/>
      </c>
      <c r="AB1142" s="909"/>
      <c r="AC1142" s="588"/>
      <c r="AD1142" s="588"/>
    </row>
    <row r="1143" spans="1:30" s="210" customFormat="1" ht="15.75" customHeight="1">
      <c r="A1143" s="203" t="str">
        <f>IF(B1143&lt;&gt;"",IF(AND(B1143&gt;=_TM1,B1143&lt;=_TM2,OR(TH!L1143="1111",TH!M1143="1111")),TH!D1143,""),"")</f>
        <v/>
      </c>
      <c r="B1143" s="36" t="str">
        <f t="shared" si="55"/>
        <v/>
      </c>
      <c r="C1143" s="183"/>
      <c r="D1143" s="190"/>
      <c r="E1143" s="190"/>
      <c r="F1143" s="191"/>
      <c r="G1143" s="481"/>
      <c r="H1143" s="192"/>
      <c r="I1143" s="255"/>
      <c r="J1143" s="255"/>
      <c r="K1143" s="596"/>
      <c r="L1143" s="193"/>
      <c r="M1143" s="193"/>
      <c r="N1143" s="51" t="str">
        <f>IF(AND('331-CT'!$E$7=TH!H1143,OR(L1143="331",M1143="331")),"331",IF(AND(OR(L1143="131",M1143="131"),H1143='131-CT'!$E$7),"131",""))</f>
        <v/>
      </c>
      <c r="O1143" s="887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38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W1143" s="51" t="str">
        <f>IF(OR(TH!L1143=TH!$W$7,M1143=TH!$W$7),"x","")</f>
        <v/>
      </c>
      <c r="X1143" s="51" t="str">
        <f>IF(AND(B1143&gt;='IN-NX'!$P$3,B1143&lt;='IN-NX'!$Q$3,'IN-NX'!$D$7=D1143,OR(LEFT(L1143,2)="15",AND(LEFT(M1143,2)&lt;&gt;"15",LEFT(M1143,2)&lt;&gt;"33"))),"x","")</f>
        <v/>
      </c>
      <c r="Y1143" s="51" t="str">
        <f>IF(AND(OR(LEFT(TH!L1143,2)="15",LEFT(TH!M1143,2)="15"),'152-CT'!$J$8=TH!F1143),"x","")</f>
        <v/>
      </c>
      <c r="Z1143" s="51" t="str">
        <f>IF(AND(OR(LEFT(TH!L1143,2)="15",LEFT(TH!M1143,2)="15"),TK!$E$7=TH!F1143),"x","")</f>
        <v/>
      </c>
      <c r="AA1143" s="51" t="str">
        <f>IF(AND(B1143&lt;=NKC!$N$8,B1143&gt;=NKC!$M$8),"x","")</f>
        <v/>
      </c>
      <c r="AB1143" s="909"/>
      <c r="AC1143" s="588"/>
      <c r="AD1143" s="588"/>
    </row>
    <row r="1144" spans="1:30" s="210" customFormat="1" ht="15.75" customHeight="1">
      <c r="A1144" s="203" t="str">
        <f>IF(B1144&lt;&gt;"",IF(AND(B1144&gt;=_TM1,B1144&lt;=_TM2,OR(TH!L1144="1111",TH!M1144="1111")),TH!D1144,""),"")</f>
        <v/>
      </c>
      <c r="B1144" s="36" t="str">
        <f t="shared" si="55"/>
        <v/>
      </c>
      <c r="C1144" s="183"/>
      <c r="D1144" s="190"/>
      <c r="E1144" s="190"/>
      <c r="F1144" s="191"/>
      <c r="G1144" s="481"/>
      <c r="H1144" s="192"/>
      <c r="I1144" s="256"/>
      <c r="J1144" s="256"/>
      <c r="K1144" s="37"/>
      <c r="L1144" s="193"/>
      <c r="M1144" s="193"/>
      <c r="N1144" s="51" t="str">
        <f>IF(AND('331-CT'!$E$7=TH!H1144,OR(L1144="331",M1144="331")),"331",IF(AND(OR(L1144="131",M1144="131"),H1144='131-CT'!$E$7),"131",""))</f>
        <v/>
      </c>
      <c r="O1144" s="887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38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W1144" s="51" t="str">
        <f>IF(OR(TH!L1144=TH!$W$7,M1144=TH!$W$7),"x","")</f>
        <v/>
      </c>
      <c r="X1144" s="51" t="str">
        <f>IF(AND(B1144&gt;='IN-NX'!$P$3,B1144&lt;='IN-NX'!$Q$3,'IN-NX'!$D$7=D1144,OR(LEFT(L1144,2)="15",AND(LEFT(M1144,2)&lt;&gt;"15",LEFT(M1144,2)&lt;&gt;"33"))),"x","")</f>
        <v/>
      </c>
      <c r="Y1144" s="51" t="str">
        <f>IF(AND(OR(LEFT(TH!L1144,2)="15",LEFT(TH!M1144,2)="15"),'152-CT'!$J$8=TH!F1144),"x","")</f>
        <v/>
      </c>
      <c r="Z1144" s="51" t="str">
        <f>IF(AND(OR(LEFT(TH!L1144,2)="15",LEFT(TH!M1144,2)="15"),TK!$E$7=TH!F1144),"x","")</f>
        <v/>
      </c>
      <c r="AA1144" s="51" t="str">
        <f>IF(AND(B1144&lt;=NKC!$N$8,B1144&gt;=NKC!$M$8),"x","")</f>
        <v/>
      </c>
      <c r="AB1144" s="909"/>
      <c r="AC1144" s="588"/>
    </row>
    <row r="1145" spans="1:30" s="210" customFormat="1" ht="15.75" customHeight="1">
      <c r="A1145" s="203" t="str">
        <f>IF(B1145&lt;&gt;"",IF(AND(B1145&gt;=_TM1,B1145&lt;=_TM2,OR(TH!L1145="1111",TH!M1145="1111")),TH!D1145,""),"")</f>
        <v/>
      </c>
      <c r="B1145" s="36" t="str">
        <f t="shared" si="55"/>
        <v/>
      </c>
      <c r="C1145" s="183"/>
      <c r="D1145" s="190"/>
      <c r="E1145" s="190"/>
      <c r="F1145" s="191"/>
      <c r="G1145" s="481"/>
      <c r="H1145" s="192"/>
      <c r="I1145" s="255"/>
      <c r="J1145" s="255"/>
      <c r="K1145" s="37"/>
      <c r="L1145" s="193"/>
      <c r="M1145" s="193"/>
      <c r="N1145" s="51" t="str">
        <f>IF(AND('331-CT'!$E$7=TH!H1145,OR(L1145="331",M1145="331")),"331",IF(AND(OR(L1145="131",M1145="131"),H1145='131-CT'!$E$7),"131",""))</f>
        <v/>
      </c>
      <c r="O1145" s="887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38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W1145" s="51" t="str">
        <f>IF(OR(TH!L1145=TH!$W$7,M1145=TH!$W$7),"x","")</f>
        <v/>
      </c>
      <c r="X1145" s="51" t="str">
        <f>IF(AND(B1145&gt;='IN-NX'!$P$3,B1145&lt;='IN-NX'!$Q$3,'IN-NX'!$D$7=D1145,OR(LEFT(L1145,2)="15",AND(LEFT(M1145,2)&lt;&gt;"15",LEFT(M1145,2)&lt;&gt;"33"))),"x","")</f>
        <v/>
      </c>
      <c r="Y1145" s="51" t="str">
        <f>IF(AND(OR(LEFT(TH!L1145,2)="15",LEFT(TH!M1145,2)="15"),'152-CT'!$J$8=TH!F1145),"x","")</f>
        <v/>
      </c>
      <c r="Z1145" s="51" t="str">
        <f>IF(AND(OR(LEFT(TH!L1145,2)="15",LEFT(TH!M1145,2)="15"),TK!$E$7=TH!F1145),"x","")</f>
        <v/>
      </c>
      <c r="AA1145" s="51" t="str">
        <f>IF(AND(B1145&lt;=NKC!$N$8,B1145&gt;=NKC!$M$8),"x","")</f>
        <v/>
      </c>
      <c r="AB1145" s="909"/>
      <c r="AC1145" s="588"/>
      <c r="AD1145" s="588"/>
    </row>
    <row r="1146" spans="1:30" s="210" customFormat="1" ht="15.75" customHeight="1">
      <c r="A1146" s="203" t="str">
        <f>IF(B1146&lt;&gt;"",IF(AND(B1146&gt;=_TM1,B1146&lt;=_TM2,OR(TH!L1146="1111",TH!M1146="1111")),TH!D1146,""),"")</f>
        <v/>
      </c>
      <c r="B1146" s="36" t="str">
        <f t="shared" si="55"/>
        <v/>
      </c>
      <c r="C1146" s="183"/>
      <c r="D1146" s="190"/>
      <c r="E1146" s="190"/>
      <c r="F1146" s="188"/>
      <c r="G1146" s="481"/>
      <c r="H1146" s="7"/>
      <c r="I1146" s="255"/>
      <c r="J1146" s="255"/>
      <c r="K1146" s="37"/>
      <c r="L1146" s="193"/>
      <c r="M1146" s="193"/>
      <c r="N1146" s="51" t="str">
        <f>IF(AND('331-CT'!$E$7=TH!H1146,OR(L1146="331",M1146="331")),"331",IF(AND(OR(L1146="131",M1146="131"),H1146='131-CT'!$E$7),"131",""))</f>
        <v/>
      </c>
      <c r="O1146" s="887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38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W1146" s="51" t="str">
        <f>IF(OR(TH!L1146=TH!$W$7,M1146=TH!$W$7),"x","")</f>
        <v/>
      </c>
      <c r="X1146" s="51" t="str">
        <f>IF(AND(B1146&gt;='IN-NX'!$P$3,B1146&lt;='IN-NX'!$Q$3,'IN-NX'!$D$7=D1146,OR(LEFT(L1146,2)="15",AND(LEFT(M1146,2)&lt;&gt;"15",LEFT(M1146,2)&lt;&gt;"33"))),"x","")</f>
        <v/>
      </c>
      <c r="Y1146" s="51" t="str">
        <f>IF(AND(OR(LEFT(TH!L1146,2)="15",LEFT(TH!M1146,2)="15"),'152-CT'!$J$8=TH!F1146),"x","")</f>
        <v/>
      </c>
      <c r="Z1146" s="51" t="str">
        <f>IF(AND(OR(LEFT(TH!L1146,2)="15",LEFT(TH!M1146,2)="15"),TK!$E$7=TH!F1146),"x","")</f>
        <v/>
      </c>
      <c r="AA1146" s="51" t="str">
        <f>IF(AND(B1146&lt;=NKC!$N$8,B1146&gt;=NKC!$M$8),"x","")</f>
        <v/>
      </c>
      <c r="AB1146" s="909"/>
      <c r="AC1146" s="588"/>
    </row>
    <row r="1147" spans="1:30" s="210" customFormat="1" ht="15.75" customHeight="1">
      <c r="A1147" s="203" t="str">
        <f>IF(B1147&lt;&gt;"",IF(AND(B1147&gt;=_TM1,B1147&lt;=_TM2,OR(TH!L1147="1111",TH!M1147="1111")),TH!D1147,""),"")</f>
        <v/>
      </c>
      <c r="B1147" s="36" t="str">
        <f t="shared" si="55"/>
        <v/>
      </c>
      <c r="C1147" s="183"/>
      <c r="D1147" s="190"/>
      <c r="E1147" s="190"/>
      <c r="F1147" s="188"/>
      <c r="G1147" s="481"/>
      <c r="H1147" s="7"/>
      <c r="I1147" s="255"/>
      <c r="J1147" s="255"/>
      <c r="K1147" s="37"/>
      <c r="L1147" s="193"/>
      <c r="M1147" s="193"/>
      <c r="N1147" s="51" t="str">
        <f>IF(AND('331-CT'!$E$7=TH!H1147,OR(L1147="331",M1147="331")),"331",IF(AND(OR(L1147="131",M1147="131"),H1147='131-CT'!$E$7),"131",""))</f>
        <v/>
      </c>
      <c r="O1147" s="887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38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W1147" s="51" t="str">
        <f>IF(OR(TH!L1147=TH!$W$7,M1147=TH!$W$7),"x","")</f>
        <v/>
      </c>
      <c r="X1147" s="51" t="str">
        <f>IF(AND(B1147&gt;='IN-NX'!$P$3,B1147&lt;='IN-NX'!$Q$3,'IN-NX'!$D$7=D1147,OR(LEFT(L1147,2)="15",AND(LEFT(M1147,2)&lt;&gt;"15",LEFT(M1147,2)&lt;&gt;"33"))),"x","")</f>
        <v/>
      </c>
      <c r="Y1147" s="51" t="str">
        <f>IF(AND(OR(LEFT(TH!L1147,2)="15",LEFT(TH!M1147,2)="15"),'152-CT'!$J$8=TH!F1147),"x","")</f>
        <v/>
      </c>
      <c r="Z1147" s="51" t="str">
        <f>IF(AND(OR(LEFT(TH!L1147,2)="15",LEFT(TH!M1147,2)="15"),TK!$E$7=TH!F1147),"x","")</f>
        <v/>
      </c>
      <c r="AA1147" s="51" t="str">
        <f>IF(AND(B1147&lt;=NKC!$N$8,B1147&gt;=NKC!$M$8),"x","")</f>
        <v/>
      </c>
      <c r="AB1147" s="909"/>
      <c r="AC1147" s="588"/>
      <c r="AD1147" s="588"/>
    </row>
    <row r="1148" spans="1:30" s="210" customFormat="1" ht="15.75" customHeight="1">
      <c r="A1148" s="203" t="str">
        <f>IF(B1148&lt;&gt;"",IF(AND(B1148&gt;=_TM1,B1148&lt;=_TM2,OR(TH!L1148="1111",TH!M1148="1111")),TH!D1148,""),"")</f>
        <v/>
      </c>
      <c r="B1148" s="36" t="str">
        <f t="shared" si="55"/>
        <v/>
      </c>
      <c r="C1148" s="183"/>
      <c r="D1148" s="190"/>
      <c r="E1148" s="190"/>
      <c r="F1148" s="188"/>
      <c r="G1148" s="481"/>
      <c r="H1148" s="7"/>
      <c r="I1148" s="255"/>
      <c r="J1148" s="255"/>
      <c r="K1148" s="596"/>
      <c r="L1148" s="193"/>
      <c r="M1148" s="193"/>
      <c r="N1148" s="51" t="str">
        <f>IF(AND('331-CT'!$E$7=TH!H1148,OR(L1148="331",M1148="331")),"331",IF(AND(OR(L1148="131",M1148="131"),H1148='131-CT'!$E$7),"131",""))</f>
        <v/>
      </c>
      <c r="O1148" s="887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38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W1148" s="51" t="str">
        <f>IF(OR(TH!L1148=TH!$W$7,M1148=TH!$W$7),"x","")</f>
        <v/>
      </c>
      <c r="X1148" s="51" t="str">
        <f>IF(AND(B1148&gt;='IN-NX'!$P$3,B1148&lt;='IN-NX'!$Q$3,'IN-NX'!$D$7=D1148,OR(LEFT(L1148,2)="15",AND(LEFT(M1148,2)&lt;&gt;"15",LEFT(M1148,2)&lt;&gt;"33"))),"x","")</f>
        <v/>
      </c>
      <c r="Y1148" s="51" t="str">
        <f>IF(AND(OR(LEFT(TH!L1148,2)="15",LEFT(TH!M1148,2)="15"),'152-CT'!$J$8=TH!F1148),"x","")</f>
        <v/>
      </c>
      <c r="Z1148" s="51" t="str">
        <f>IF(AND(OR(LEFT(TH!L1148,2)="15",LEFT(TH!M1148,2)="15"),TK!$E$7=TH!F1148),"x","")</f>
        <v/>
      </c>
      <c r="AA1148" s="51" t="str">
        <f>IF(AND(B1148&lt;=NKC!$N$8,B1148&gt;=NKC!$M$8),"x","")</f>
        <v/>
      </c>
      <c r="AB1148" s="909"/>
      <c r="AC1148" s="588"/>
      <c r="AD1148" s="588"/>
    </row>
    <row r="1149" spans="1:30" s="210" customFormat="1" ht="15.75" customHeight="1">
      <c r="A1149" s="203" t="str">
        <f>IF(B1149&lt;&gt;"",IF(AND(B1149&gt;=_TM1,B1149&lt;=_TM2,OR(TH!L1149="1111",TH!M1149="1111")),TH!D1149,""),"")</f>
        <v/>
      </c>
      <c r="B1149" s="36" t="str">
        <f t="shared" si="55"/>
        <v/>
      </c>
      <c r="C1149" s="183"/>
      <c r="D1149" s="190"/>
      <c r="E1149" s="898"/>
      <c r="F1149" s="899"/>
      <c r="G1149" s="900"/>
      <c r="H1149" s="192"/>
      <c r="I1149" s="901"/>
      <c r="J1149" s="901"/>
      <c r="K1149" s="902"/>
      <c r="L1149" s="903"/>
      <c r="M1149" s="903"/>
      <c r="N1149" s="51" t="str">
        <f>IF(AND('331-CT'!$E$7=TH!H1149,OR(L1149="331",M1149="331")),"331",IF(AND(OR(L1149="131",M1149="131"),H1149='131-CT'!$E$7),"131",""))</f>
        <v/>
      </c>
      <c r="O1149" s="887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38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W1149" s="51" t="str">
        <f>IF(OR(TH!L1149=TH!$W$7,M1149=TH!$W$7),"x","")</f>
        <v/>
      </c>
      <c r="X1149" s="51" t="str">
        <f>IF(AND(B1149&gt;='IN-NX'!$P$3,B1149&lt;='IN-NX'!$Q$3,'IN-NX'!$D$7=D1149,OR(LEFT(L1149,2)="15",AND(LEFT(M1149,2)&lt;&gt;"15",LEFT(M1149,2)&lt;&gt;"33"))),"x","")</f>
        <v/>
      </c>
      <c r="Y1149" s="51" t="str">
        <f>IF(AND(OR(LEFT(TH!L1149,2)="15",LEFT(TH!M1149,2)="15"),'152-CT'!$J$8=TH!F1149),"x","")</f>
        <v/>
      </c>
      <c r="Z1149" s="51" t="str">
        <f>IF(AND(OR(LEFT(TH!L1149,2)="15",LEFT(TH!M1149,2)="15"),TK!$E$7=TH!F1149),"x","")</f>
        <v/>
      </c>
      <c r="AA1149" s="51" t="str">
        <f>IF(AND(B1149&lt;=NKC!$N$8,B1149&gt;=NKC!$M$8),"x","")</f>
        <v/>
      </c>
      <c r="AB1149" s="912"/>
      <c r="AC1149" s="588"/>
    </row>
    <row r="1150" spans="1:30" s="210" customFormat="1" ht="15.75" customHeight="1">
      <c r="A1150" s="203" t="str">
        <f>IF(B1150&lt;&gt;"",IF(AND(B1150&gt;=_TM1,B1150&lt;=_TM2,OR(TH!L1150="1111",TH!M1150="1111")),TH!D1150,""),"")</f>
        <v/>
      </c>
      <c r="B1150" s="36" t="str">
        <f t="shared" si="55"/>
        <v/>
      </c>
      <c r="C1150" s="183"/>
      <c r="D1150" s="190"/>
      <c r="E1150" s="898"/>
      <c r="F1150" s="904"/>
      <c r="G1150" s="900"/>
      <c r="H1150" s="192"/>
      <c r="I1150" s="901"/>
      <c r="J1150" s="901"/>
      <c r="K1150" s="902"/>
      <c r="L1150" s="903"/>
      <c r="M1150" s="903"/>
      <c r="N1150" s="51" t="str">
        <f>IF(AND('331-CT'!$E$7=TH!H1150,OR(L1150="331",M1150="331")),"331",IF(AND(OR(L1150="131",M1150="131"),H1150='131-CT'!$E$7),"131",""))</f>
        <v/>
      </c>
      <c r="O1150" s="887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38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W1150" s="51" t="str">
        <f>IF(OR(TH!L1150=TH!$W$7,M1150=TH!$W$7),"x","")</f>
        <v/>
      </c>
      <c r="X1150" s="51" t="str">
        <f>IF(AND(B1150&gt;='IN-NX'!$P$3,B1150&lt;='IN-NX'!$Q$3,'IN-NX'!$D$7=D1150,OR(LEFT(L1150,2)="15",AND(LEFT(M1150,2)&lt;&gt;"15",LEFT(M1150,2)&lt;&gt;"33"))),"x","")</f>
        <v/>
      </c>
      <c r="Y1150" s="51" t="str">
        <f>IF(AND(OR(LEFT(TH!L1150,2)="15",LEFT(TH!M1150,2)="15"),'152-CT'!$J$8=TH!F1150),"x","")</f>
        <v/>
      </c>
      <c r="Z1150" s="51" t="str">
        <f>IF(AND(OR(LEFT(TH!L1150,2)="15",LEFT(TH!M1150,2)="15"),TK!$E$7=TH!F1150),"x","")</f>
        <v/>
      </c>
      <c r="AA1150" s="51" t="str">
        <f>IF(AND(B1150&lt;=NKC!$N$8,B1150&gt;=NKC!$M$8),"x","")</f>
        <v/>
      </c>
      <c r="AB1150" s="912"/>
      <c r="AC1150" s="588"/>
      <c r="AD1150" s="588"/>
    </row>
    <row r="1151" spans="1:30" s="210" customFormat="1" ht="15.75" customHeight="1">
      <c r="A1151" s="203" t="str">
        <f>IF(B1151&lt;&gt;"",IF(AND(B1151&gt;=_TM1,B1151&lt;=_TM2,OR(TH!L1151="1111",TH!M1151="1111")),TH!D1151,""),"")</f>
        <v/>
      </c>
      <c r="B1151" s="36" t="str">
        <f t="shared" si="55"/>
        <v/>
      </c>
      <c r="C1151" s="183"/>
      <c r="D1151" s="190"/>
      <c r="E1151" s="898"/>
      <c r="F1151" s="905"/>
      <c r="G1151" s="900"/>
      <c r="H1151" s="192"/>
      <c r="I1151" s="901"/>
      <c r="J1151" s="901"/>
      <c r="K1151" s="902"/>
      <c r="L1151" s="903"/>
      <c r="M1151" s="903"/>
      <c r="N1151" s="51" t="str">
        <f>IF(AND('331-CT'!$E$7=TH!H1151,OR(L1151="331",M1151="331")),"331",IF(AND(OR(L1151="131",M1151="131"),H1151='131-CT'!$E$7),"131",""))</f>
        <v/>
      </c>
      <c r="O1151" s="887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38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W1151" s="51" t="str">
        <f>IF(OR(TH!L1151=TH!$W$7,M1151=TH!$W$7),"x","")</f>
        <v/>
      </c>
      <c r="X1151" s="51" t="str">
        <f>IF(AND(B1151&gt;='IN-NX'!$P$3,B1151&lt;='IN-NX'!$Q$3,'IN-NX'!$D$7=D1151,OR(LEFT(L1151,2)="15",AND(LEFT(M1151,2)&lt;&gt;"15",LEFT(M1151,2)&lt;&gt;"33"))),"x","")</f>
        <v/>
      </c>
      <c r="Y1151" s="51" t="str">
        <f>IF(AND(OR(LEFT(TH!L1151,2)="15",LEFT(TH!M1151,2)="15"),'152-CT'!$J$8=TH!F1151),"x","")</f>
        <v/>
      </c>
      <c r="Z1151" s="51" t="str">
        <f>IF(AND(OR(LEFT(TH!L1151,2)="15",LEFT(TH!M1151,2)="15"),TK!$E$7=TH!F1151),"x","")</f>
        <v/>
      </c>
      <c r="AA1151" s="51" t="str">
        <f>IF(AND(B1151&lt;=NKC!$N$8,B1151&gt;=NKC!$M$8),"x","")</f>
        <v/>
      </c>
      <c r="AB1151" s="912"/>
      <c r="AC1151" s="588"/>
    </row>
    <row r="1152" spans="1:30" s="210" customFormat="1" ht="15.75" customHeight="1">
      <c r="A1152" s="203" t="str">
        <f>IF(B1152&lt;&gt;"",IF(AND(B1152&gt;=_TM1,B1152&lt;=_TM2,OR(TH!L1152="1111",TH!M1152="1111")),TH!D1152,""),"")</f>
        <v/>
      </c>
      <c r="B1152" s="36" t="str">
        <f t="shared" si="55"/>
        <v/>
      </c>
      <c r="C1152" s="183"/>
      <c r="D1152" s="190"/>
      <c r="E1152" s="190"/>
      <c r="F1152" s="188"/>
      <c r="G1152" s="481"/>
      <c r="H1152" s="192"/>
      <c r="I1152" s="255"/>
      <c r="J1152" s="255"/>
      <c r="K1152" s="596"/>
      <c r="L1152" s="193"/>
      <c r="M1152" s="193"/>
      <c r="N1152" s="51" t="str">
        <f>IF(AND('331-CT'!$E$7=TH!H1152,OR(L1152="331",M1152="331")),"331",IF(AND(OR(L1152="131",M1152="131"),H1152='131-CT'!$E$7),"131",""))</f>
        <v/>
      </c>
      <c r="O1152" s="887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38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W1152" s="51" t="str">
        <f>IF(OR(TH!L1152=TH!$W$7,M1152=TH!$W$7),"x","")</f>
        <v/>
      </c>
      <c r="X1152" s="51" t="str">
        <f>IF(AND(B1152&gt;='IN-NX'!$P$3,B1152&lt;='IN-NX'!$Q$3,'IN-NX'!$D$7=D1152,OR(LEFT(L1152,2)="15",AND(LEFT(M1152,2)&lt;&gt;"15",LEFT(M1152,2)&lt;&gt;"33"))),"x","")</f>
        <v/>
      </c>
      <c r="Y1152" s="51" t="str">
        <f>IF(AND(OR(LEFT(TH!L1152,2)="15",LEFT(TH!M1152,2)="15"),'152-CT'!$J$8=TH!F1152),"x","")</f>
        <v/>
      </c>
      <c r="Z1152" s="51" t="str">
        <f>IF(AND(OR(LEFT(TH!L1152,2)="15",LEFT(TH!M1152,2)="15"),TK!$E$7=TH!F1152),"x","")</f>
        <v/>
      </c>
      <c r="AA1152" s="51" t="str">
        <f>IF(AND(B1152&lt;=NKC!$N$8,B1152&gt;=NKC!$M$8),"x","")</f>
        <v/>
      </c>
      <c r="AB1152" s="909"/>
      <c r="AC1152" s="588"/>
      <c r="AD1152" s="588"/>
    </row>
    <row r="1153" spans="1:33" s="210" customFormat="1" ht="15.75" customHeight="1">
      <c r="A1153" s="203" t="str">
        <f>IF(B1153&lt;&gt;"",IF(AND(B1153&gt;=_TM1,B1153&lt;=_TM2,OR(TH!L1153="1111",TH!M1153="1111")),TH!D1153,""),"")</f>
        <v/>
      </c>
      <c r="B1153" s="36" t="str">
        <f t="shared" si="55"/>
        <v/>
      </c>
      <c r="C1153" s="183"/>
      <c r="D1153" s="190"/>
      <c r="E1153" s="190"/>
      <c r="F1153" s="188"/>
      <c r="G1153" s="481"/>
      <c r="H1153" s="192"/>
      <c r="I1153" s="255"/>
      <c r="J1153" s="255"/>
      <c r="K1153" s="37"/>
      <c r="L1153" s="193"/>
      <c r="M1153" s="193"/>
      <c r="N1153" s="51" t="str">
        <f>IF(AND('331-CT'!$E$7=TH!H1153,OR(L1153="331",M1153="331")),"331",IF(AND(OR(L1153="131",M1153="131"),H1153='131-CT'!$E$7),"131",""))</f>
        <v/>
      </c>
      <c r="O1153" s="887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38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W1153" s="51" t="str">
        <f>IF(OR(TH!L1153=TH!$W$7,M1153=TH!$W$7),"x","")</f>
        <v/>
      </c>
      <c r="X1153" s="51" t="str">
        <f>IF(AND(B1153&gt;='IN-NX'!$P$3,B1153&lt;='IN-NX'!$Q$3,'IN-NX'!$D$7=D1153,OR(LEFT(L1153,2)="15",AND(LEFT(M1153,2)&lt;&gt;"15",LEFT(M1153,2)&lt;&gt;"33"))),"x","")</f>
        <v/>
      </c>
      <c r="Y1153" s="51" t="str">
        <f>IF(AND(OR(LEFT(TH!L1153,2)="15",LEFT(TH!M1153,2)="15"),'152-CT'!$J$8=TH!F1153),"x","")</f>
        <v/>
      </c>
      <c r="Z1153" s="51" t="str">
        <f>IF(AND(OR(LEFT(TH!L1153,2)="15",LEFT(TH!M1153,2)="15"),TK!$E$7=TH!F1153),"x","")</f>
        <v/>
      </c>
      <c r="AA1153" s="51" t="str">
        <f>IF(AND(B1153&lt;=NKC!$N$8,B1153&gt;=NKC!$M$8),"x","")</f>
        <v/>
      </c>
      <c r="AB1153" s="909"/>
      <c r="AC1153" s="588"/>
      <c r="AD1153" s="588"/>
    </row>
    <row r="1154" spans="1:33" s="210" customFormat="1" ht="15.75" customHeight="1">
      <c r="A1154" s="203" t="str">
        <f>IF(B1154&lt;&gt;"",IF(AND(B1154&gt;=_TM1,B1154&lt;=_TM2,OR(TH!L1154="1111",TH!M1154="1111")),TH!D1154,""),"")</f>
        <v/>
      </c>
      <c r="B1154" s="36" t="str">
        <f t="shared" si="55"/>
        <v/>
      </c>
      <c r="C1154" s="183"/>
      <c r="D1154" s="190"/>
      <c r="E1154" s="190"/>
      <c r="F1154" s="191"/>
      <c r="G1154" s="481"/>
      <c r="H1154" s="192"/>
      <c r="I1154" s="256"/>
      <c r="J1154" s="256"/>
      <c r="K1154" s="37"/>
      <c r="L1154" s="193"/>
      <c r="M1154" s="193"/>
      <c r="N1154" s="51" t="str">
        <f>IF(AND('331-CT'!$E$7=TH!H1154,OR(L1154="331",M1154="331")),"331",IF(AND(OR(L1154="131",M1154="131"),H1154='131-CT'!$E$7),"131",""))</f>
        <v/>
      </c>
      <c r="O1154" s="887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38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W1154" s="51" t="str">
        <f>IF(OR(TH!L1154=TH!$W$7,M1154=TH!$W$7),"x","")</f>
        <v/>
      </c>
      <c r="X1154" s="51" t="str">
        <f>IF(AND(B1154&gt;='IN-NX'!$P$3,B1154&lt;='IN-NX'!$Q$3,'IN-NX'!$D$7=D1154,OR(LEFT(L1154,2)="15",AND(LEFT(M1154,2)&lt;&gt;"15",LEFT(M1154,2)&lt;&gt;"33"))),"x","")</f>
        <v/>
      </c>
      <c r="Y1154" s="51" t="str">
        <f>IF(AND(OR(LEFT(TH!L1154,2)="15",LEFT(TH!M1154,2)="15"),'152-CT'!$J$8=TH!F1154),"x","")</f>
        <v/>
      </c>
      <c r="Z1154" s="51" t="str">
        <f>IF(AND(OR(LEFT(TH!L1154,2)="15",LEFT(TH!M1154,2)="15"),TK!$E$7=TH!F1154),"x","")</f>
        <v/>
      </c>
      <c r="AA1154" s="51" t="str">
        <f>IF(AND(B1154&lt;=NKC!$N$8,B1154&gt;=NKC!$M$8),"x","")</f>
        <v/>
      </c>
      <c r="AB1154" s="909"/>
      <c r="AC1154" s="588"/>
      <c r="AD1154" s="588"/>
    </row>
    <row r="1155" spans="1:33" s="210" customFormat="1" ht="15.75" customHeight="1">
      <c r="A1155" s="203" t="str">
        <f>IF(B1155&lt;&gt;"",IF(AND(B1155&gt;=_TM1,B1155&lt;=_TM2,OR(TH!L1155="1111",TH!M1155="1111")),TH!D1155,""),"")</f>
        <v/>
      </c>
      <c r="B1155" s="36" t="str">
        <f t="shared" si="55"/>
        <v/>
      </c>
      <c r="C1155" s="183"/>
      <c r="D1155" s="190"/>
      <c r="E1155" s="190"/>
      <c r="F1155" s="188"/>
      <c r="G1155" s="481"/>
      <c r="H1155" s="192"/>
      <c r="I1155" s="255"/>
      <c r="J1155" s="255"/>
      <c r="K1155" s="37"/>
      <c r="L1155" s="193"/>
      <c r="M1155" s="193"/>
      <c r="N1155" s="51" t="str">
        <f>IF(AND('331-CT'!$E$7=TH!H1155,OR(L1155="331",M1155="331")),"331",IF(AND(OR(L1155="131",M1155="131"),H1155='131-CT'!$E$7),"131",""))</f>
        <v/>
      </c>
      <c r="O1155" s="887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38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W1155" s="51" t="str">
        <f>IF(OR(TH!L1155=TH!$W$7,M1155=TH!$W$7),"x","")</f>
        <v/>
      </c>
      <c r="X1155" s="51" t="str">
        <f>IF(AND(B1155&gt;='IN-NX'!$P$3,B1155&lt;='IN-NX'!$Q$3,'IN-NX'!$D$7=D1155,OR(LEFT(L1155,2)="15",AND(LEFT(M1155,2)&lt;&gt;"15",LEFT(M1155,2)&lt;&gt;"33"))),"x","")</f>
        <v/>
      </c>
      <c r="Y1155" s="51" t="str">
        <f>IF(AND(OR(LEFT(TH!L1155,2)="15",LEFT(TH!M1155,2)="15"),'152-CT'!$J$8=TH!F1155),"x","")</f>
        <v/>
      </c>
      <c r="Z1155" s="51" t="str">
        <f>IF(AND(OR(LEFT(TH!L1155,2)="15",LEFT(TH!M1155,2)="15"),TK!$E$7=TH!F1155),"x","")</f>
        <v/>
      </c>
      <c r="AA1155" s="51" t="str">
        <f>IF(AND(B1155&lt;=NKC!$N$8,B1155&gt;=NKC!$M$8),"x","")</f>
        <v/>
      </c>
      <c r="AB1155" s="909"/>
      <c r="AC1155" s="588"/>
      <c r="AD1155" s="588"/>
    </row>
    <row r="1156" spans="1:33" s="210" customFormat="1" ht="15.75" customHeight="1">
      <c r="A1156" s="203" t="str">
        <f>IF(B1156&lt;&gt;"",IF(AND(B1156&gt;=_TM1,B1156&lt;=_TM2,OR(TH!L1156="1111",TH!M1156="1111")),TH!D1156,""),"")</f>
        <v/>
      </c>
      <c r="B1156" s="36" t="str">
        <f t="shared" si="55"/>
        <v/>
      </c>
      <c r="C1156" s="183"/>
      <c r="D1156" s="190"/>
      <c r="E1156" s="190"/>
      <c r="F1156" s="188"/>
      <c r="G1156" s="481"/>
      <c r="H1156" s="192"/>
      <c r="I1156" s="255"/>
      <c r="J1156" s="255"/>
      <c r="K1156" s="37"/>
      <c r="L1156" s="193"/>
      <c r="M1156" s="193"/>
      <c r="N1156" s="51" t="str">
        <f>IF(AND('331-CT'!$E$7=TH!H1156,OR(L1156="331",M1156="331")),"331",IF(AND(OR(L1156="131",M1156="131"),H1156='131-CT'!$E$7),"131",""))</f>
        <v/>
      </c>
      <c r="O1156" s="887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38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W1156" s="51" t="str">
        <f>IF(OR(TH!L1156=TH!$W$7,M1156=TH!$W$7),"x","")</f>
        <v/>
      </c>
      <c r="X1156" s="51" t="str">
        <f>IF(AND(B1156&gt;='IN-NX'!$P$3,B1156&lt;='IN-NX'!$Q$3,'IN-NX'!$D$7=D1156,OR(LEFT(L1156,2)="15",AND(LEFT(M1156,2)&lt;&gt;"15",LEFT(M1156,2)&lt;&gt;"33"))),"x","")</f>
        <v/>
      </c>
      <c r="Y1156" s="51" t="str">
        <f>IF(AND(OR(LEFT(TH!L1156,2)="15",LEFT(TH!M1156,2)="15"),'152-CT'!$J$8=TH!F1156),"x","")</f>
        <v/>
      </c>
      <c r="Z1156" s="51" t="str">
        <f>IF(AND(OR(LEFT(TH!L1156,2)="15",LEFT(TH!M1156,2)="15"),TK!$E$7=TH!F1156),"x","")</f>
        <v/>
      </c>
      <c r="AA1156" s="51" t="str">
        <f>IF(AND(B1156&lt;=NKC!$N$8,B1156&gt;=NKC!$M$8),"x","")</f>
        <v/>
      </c>
      <c r="AB1156" s="909"/>
      <c r="AC1156" s="588"/>
      <c r="AD1156" s="588"/>
    </row>
    <row r="1157" spans="1:33" s="210" customFormat="1" ht="15.75" customHeight="1">
      <c r="A1157" s="203" t="str">
        <f>IF(B1157&lt;&gt;"",IF(AND(B1157&gt;=_TM1,B1157&lt;=_TM2,OR(TH!L1157="1111",TH!M1157="1111")),TH!D1157,""),"")</f>
        <v/>
      </c>
      <c r="B1157" s="36" t="str">
        <f t="shared" si="55"/>
        <v/>
      </c>
      <c r="C1157" s="183"/>
      <c r="D1157" s="190"/>
      <c r="E1157" s="183"/>
      <c r="F1157" s="188"/>
      <c r="G1157" s="598"/>
      <c r="H1157" s="192"/>
      <c r="I1157" s="255"/>
      <c r="J1157" s="255"/>
      <c r="K1157" s="596"/>
      <c r="L1157" s="193"/>
      <c r="M1157" s="193"/>
      <c r="N1157" s="51" t="str">
        <f>IF(AND('331-CT'!$E$7=TH!H1157,OR(L1157="331",M1157="331")),"331",IF(AND(OR(L1157="131",M1157="131"),H1157='131-CT'!$E$7),"131",""))</f>
        <v/>
      </c>
      <c r="O1157" s="887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38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W1157" s="51" t="str">
        <f>IF(OR(TH!L1157=TH!$W$7,M1157=TH!$W$7),"x","")</f>
        <v/>
      </c>
      <c r="X1157" s="51" t="str">
        <f>IF(AND(B1157&gt;='IN-NX'!$P$3,B1157&lt;='IN-NX'!$Q$3,'IN-NX'!$D$7=D1157,OR(LEFT(L1157,2)="15",AND(LEFT(M1157,2)&lt;&gt;"15",LEFT(M1157,2)&lt;&gt;"33"))),"x","")</f>
        <v/>
      </c>
      <c r="Y1157" s="51" t="str">
        <f>IF(AND(OR(LEFT(TH!L1157,2)="15",LEFT(TH!M1157,2)="15"),'152-CT'!$J$8=TH!F1157),"x","")</f>
        <v/>
      </c>
      <c r="Z1157" s="51" t="str">
        <f>IF(AND(OR(LEFT(TH!L1157,2)="15",LEFT(TH!M1157,2)="15"),TK!$E$7=TH!F1157),"x","")</f>
        <v/>
      </c>
      <c r="AA1157" s="51" t="str">
        <f>IF(AND(B1157&lt;=NKC!$N$8,B1157&gt;=NKC!$M$8),"x","")</f>
        <v/>
      </c>
      <c r="AB1157" s="909"/>
      <c r="AC1157" s="588"/>
      <c r="AD1157" s="588"/>
    </row>
    <row r="1158" spans="1:33" s="210" customFormat="1" ht="15.75" customHeight="1">
      <c r="A1158" s="203" t="str">
        <f>IF(B1158&lt;&gt;"",IF(AND(B1158&gt;=_TM1,B1158&lt;=_TM2,OR(TH!L1158="1111",TH!M1158="1111")),TH!D1158,""),"")</f>
        <v/>
      </c>
      <c r="B1158" s="36" t="str">
        <f t="shared" si="55"/>
        <v/>
      </c>
      <c r="C1158" s="183"/>
      <c r="D1158" s="190"/>
      <c r="E1158" s="183"/>
      <c r="F1158" s="188"/>
      <c r="G1158" s="481"/>
      <c r="H1158" s="192"/>
      <c r="I1158" s="255"/>
      <c r="J1158" s="255"/>
      <c r="K1158" s="596"/>
      <c r="L1158" s="193"/>
      <c r="M1158" s="193"/>
      <c r="N1158" s="51" t="str">
        <f>IF(AND('331-CT'!$E$7=TH!H1158,OR(L1158="331",M1158="331")),"331",IF(AND(OR(L1158="131",M1158="131"),H1158='131-CT'!$E$7),"131",""))</f>
        <v/>
      </c>
      <c r="O1158" s="887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38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W1158" s="51" t="str">
        <f>IF(OR(TH!L1158=TH!$W$7,M1158=TH!$W$7),"x","")</f>
        <v/>
      </c>
      <c r="X1158" s="51" t="str">
        <f>IF(AND(B1158&gt;='IN-NX'!$P$3,B1158&lt;='IN-NX'!$Q$3,'IN-NX'!$D$7=D1158,OR(LEFT(L1158,2)="15",AND(LEFT(M1158,2)&lt;&gt;"15",LEFT(M1158,2)&lt;&gt;"33"))),"x","")</f>
        <v/>
      </c>
      <c r="Y1158" s="51" t="str">
        <f>IF(AND(OR(LEFT(TH!L1158,2)="15",LEFT(TH!M1158,2)="15"),'152-CT'!$J$8=TH!F1158),"x","")</f>
        <v/>
      </c>
      <c r="Z1158" s="51" t="str">
        <f>IF(AND(OR(LEFT(TH!L1158,2)="15",LEFT(TH!M1158,2)="15"),TK!$E$7=TH!F1158),"x","")</f>
        <v/>
      </c>
      <c r="AA1158" s="51" t="str">
        <f>IF(AND(B1158&lt;=NKC!$N$8,B1158&gt;=NKC!$M$8),"x","")</f>
        <v/>
      </c>
      <c r="AB1158" s="909"/>
      <c r="AC1158" s="588"/>
      <c r="AF1158" s="588"/>
      <c r="AG1158" s="588"/>
    </row>
    <row r="1159" spans="1:33" s="210" customFormat="1" ht="15.75" customHeight="1">
      <c r="A1159" s="203" t="str">
        <f>IF(B1159&lt;&gt;"",IF(AND(B1159&gt;=_TM1,B1159&lt;=_TM2,OR(TH!L1159="1111",TH!M1159="1111")),TH!D1159,""),"")</f>
        <v/>
      </c>
      <c r="B1159" s="36" t="str">
        <f t="shared" si="55"/>
        <v/>
      </c>
      <c r="C1159" s="183"/>
      <c r="D1159" s="190"/>
      <c r="E1159" s="183"/>
      <c r="F1159" s="191"/>
      <c r="G1159" s="481"/>
      <c r="H1159" s="192"/>
      <c r="I1159" s="255"/>
      <c r="J1159" s="255"/>
      <c r="K1159" s="596"/>
      <c r="L1159" s="193"/>
      <c r="M1159" s="193"/>
      <c r="N1159" s="51" t="str">
        <f>IF(AND('331-CT'!$E$7=TH!H1159,OR(L1159="331",M1159="331")),"331",IF(AND(OR(L1159="131",M1159="131"),H1159='131-CT'!$E$7),"131",""))</f>
        <v/>
      </c>
      <c r="O1159" s="887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38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W1159" s="51" t="str">
        <f>IF(OR(TH!L1159=TH!$W$7,M1159=TH!$W$7),"x","")</f>
        <v/>
      </c>
      <c r="X1159" s="51" t="str">
        <f>IF(AND(B1159&gt;='IN-NX'!$P$3,B1159&lt;='IN-NX'!$Q$3,'IN-NX'!$D$7=D1159,OR(LEFT(L1159,2)="15",AND(LEFT(M1159,2)&lt;&gt;"15",LEFT(M1159,2)&lt;&gt;"33"))),"x","")</f>
        <v/>
      </c>
      <c r="Y1159" s="51" t="str">
        <f>IF(AND(OR(LEFT(TH!L1159,2)="15",LEFT(TH!M1159,2)="15"),'152-CT'!$J$8=TH!F1159),"x","")</f>
        <v/>
      </c>
      <c r="Z1159" s="51" t="str">
        <f>IF(AND(OR(LEFT(TH!L1159,2)="15",LEFT(TH!M1159,2)="15"),TK!$E$7=TH!F1159),"x","")</f>
        <v/>
      </c>
      <c r="AA1159" s="51" t="str">
        <f>IF(AND(B1159&lt;=NKC!$N$8,B1159&gt;=NKC!$M$8),"x","")</f>
        <v/>
      </c>
      <c r="AB1159" s="909"/>
      <c r="AC1159" s="588"/>
      <c r="AD1159" s="588"/>
      <c r="AF1159" s="588"/>
      <c r="AG1159" s="588"/>
    </row>
    <row r="1160" spans="1:33" s="210" customFormat="1" ht="15.75" customHeight="1">
      <c r="A1160" s="203" t="str">
        <f>IF(B1160&lt;&gt;"",IF(AND(B1160&gt;=_TM1,B1160&lt;=_TM2,OR(TH!L1160="1111",TH!M1160="1111")),TH!D1160,""),"")</f>
        <v/>
      </c>
      <c r="B1160" s="36" t="str">
        <f t="shared" si="55"/>
        <v/>
      </c>
      <c r="C1160" s="183"/>
      <c r="D1160" s="190"/>
      <c r="E1160" s="898"/>
      <c r="F1160" s="905"/>
      <c r="G1160" s="900"/>
      <c r="H1160" s="192"/>
      <c r="I1160" s="906"/>
      <c r="J1160" s="906"/>
      <c r="K1160" s="902"/>
      <c r="L1160" s="903"/>
      <c r="M1160" s="903"/>
      <c r="N1160" s="51" t="str">
        <f>IF(AND('331-CT'!$E$7=TH!H1160,OR(L1160="331",M1160="331")),"331",IF(AND(OR(L1160="131",M1160="131"),H1160='131-CT'!$E$7),"131",""))</f>
        <v/>
      </c>
      <c r="O1160" s="887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38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W1160" s="51" t="str">
        <f>IF(OR(TH!L1160=TH!$W$7,M1160=TH!$W$7),"x","")</f>
        <v/>
      </c>
      <c r="X1160" s="51" t="str">
        <f>IF(AND(B1160&gt;='IN-NX'!$P$3,B1160&lt;='IN-NX'!$Q$3,'IN-NX'!$D$7=D1160,OR(LEFT(L1160,2)="15",AND(LEFT(M1160,2)&lt;&gt;"15",LEFT(M1160,2)&lt;&gt;"33"))),"x","")</f>
        <v/>
      </c>
      <c r="Y1160" s="51" t="str">
        <f>IF(AND(OR(LEFT(TH!L1160,2)="15",LEFT(TH!M1160,2)="15"),'152-CT'!$J$8=TH!F1160),"x","")</f>
        <v/>
      </c>
      <c r="Z1160" s="51" t="str">
        <f>IF(AND(OR(LEFT(TH!L1160,2)="15",LEFT(TH!M1160,2)="15"),TK!$E$7=TH!F1160),"x","")</f>
        <v/>
      </c>
      <c r="AA1160" s="51" t="str">
        <f>IF(AND(B1160&lt;=NKC!$N$8,B1160&gt;=NKC!$M$8),"x","")</f>
        <v/>
      </c>
      <c r="AB1160" s="912"/>
      <c r="AC1160" s="588"/>
      <c r="AD1160" s="588"/>
    </row>
    <row r="1161" spans="1:33" s="210" customFormat="1" ht="15.75" customHeight="1">
      <c r="A1161" s="203" t="str">
        <f>IF(B1161&lt;&gt;"",IF(AND(B1161&gt;=_TM1,B1161&lt;=_TM2,OR(TH!L1161="1111",TH!M1161="1111")),TH!D1161,""),"")</f>
        <v/>
      </c>
      <c r="B1161" s="36" t="str">
        <f t="shared" si="55"/>
        <v/>
      </c>
      <c r="C1161" s="183"/>
      <c r="D1161" s="190"/>
      <c r="E1161" s="898"/>
      <c r="F1161" s="905"/>
      <c r="G1161" s="900"/>
      <c r="H1161" s="192"/>
      <c r="I1161" s="906"/>
      <c r="J1161" s="906"/>
      <c r="K1161" s="902"/>
      <c r="L1161" s="903"/>
      <c r="M1161" s="903"/>
      <c r="N1161" s="51" t="str">
        <f>IF(AND('331-CT'!$E$7=TH!H1161,OR(L1161="331",M1161="331")),"331",IF(AND(OR(L1161="131",M1161="131"),H1161='131-CT'!$E$7),"131",""))</f>
        <v/>
      </c>
      <c r="O1161" s="887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38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W1161" s="51" t="str">
        <f>IF(OR(TH!L1161=TH!$W$7,M1161=TH!$W$7),"x","")</f>
        <v/>
      </c>
      <c r="X1161" s="51" t="str">
        <f>IF(AND(B1161&gt;='IN-NX'!$P$3,B1161&lt;='IN-NX'!$Q$3,'IN-NX'!$D$7=D1161,OR(LEFT(L1161,2)="15",AND(LEFT(M1161,2)&lt;&gt;"15",LEFT(M1161,2)&lt;&gt;"33"))),"x","")</f>
        <v/>
      </c>
      <c r="Y1161" s="51" t="str">
        <f>IF(AND(OR(LEFT(TH!L1161,2)="15",LEFT(TH!M1161,2)="15"),'152-CT'!$J$8=TH!F1161),"x","")</f>
        <v/>
      </c>
      <c r="Z1161" s="51" t="str">
        <f>IF(AND(OR(LEFT(TH!L1161,2)="15",LEFT(TH!M1161,2)="15"),TK!$E$7=TH!F1161),"x","")</f>
        <v/>
      </c>
      <c r="AA1161" s="51" t="str">
        <f>IF(AND(B1161&lt;=NKC!$N$8,B1161&gt;=NKC!$M$8),"x","")</f>
        <v/>
      </c>
      <c r="AB1161" s="912"/>
      <c r="AC1161" s="588"/>
      <c r="AD1161" s="588"/>
    </row>
    <row r="1162" spans="1:33" s="210" customFormat="1" ht="15.75" customHeight="1">
      <c r="A1162" s="203" t="str">
        <f>IF(B1162&lt;&gt;"",IF(AND(B1162&gt;=_TM1,B1162&lt;=_TM2,OR(TH!L1162="1111",TH!M1162="1111")),TH!D1162,""),"")</f>
        <v/>
      </c>
      <c r="B1162" s="36" t="str">
        <f t="shared" si="55"/>
        <v/>
      </c>
      <c r="C1162" s="183"/>
      <c r="D1162" s="190"/>
      <c r="E1162" s="898"/>
      <c r="F1162" s="905"/>
      <c r="G1162" s="900"/>
      <c r="H1162" s="192"/>
      <c r="I1162" s="906"/>
      <c r="J1162" s="906"/>
      <c r="K1162" s="902"/>
      <c r="L1162" s="903"/>
      <c r="M1162" s="903"/>
      <c r="N1162" s="51" t="str">
        <f>IF(AND('331-CT'!$E$7=TH!H1162,OR(L1162="331",M1162="331")),"331",IF(AND(OR(L1162="131",M1162="131"),H1162='131-CT'!$E$7),"131",""))</f>
        <v/>
      </c>
      <c r="O1162" s="887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38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W1162" s="51" t="str">
        <f>IF(OR(TH!L1162=TH!$W$7,M1162=TH!$W$7),"x","")</f>
        <v/>
      </c>
      <c r="X1162" s="51" t="str">
        <f>IF(AND(B1162&gt;='IN-NX'!$P$3,B1162&lt;='IN-NX'!$Q$3,'IN-NX'!$D$7=D1162,OR(LEFT(L1162,2)="15",AND(LEFT(M1162,2)&lt;&gt;"15",LEFT(M1162,2)&lt;&gt;"33"))),"x","")</f>
        <v/>
      </c>
      <c r="Y1162" s="51" t="str">
        <f>IF(AND(OR(LEFT(TH!L1162,2)="15",LEFT(TH!M1162,2)="15"),'152-CT'!$J$8=TH!F1162),"x","")</f>
        <v/>
      </c>
      <c r="Z1162" s="51" t="str">
        <f>IF(AND(OR(LEFT(TH!L1162,2)="15",LEFT(TH!M1162,2)="15"),TK!$E$7=TH!F1162),"x","")</f>
        <v/>
      </c>
      <c r="AA1162" s="51" t="str">
        <f>IF(AND(B1162&lt;=NKC!$N$8,B1162&gt;=NKC!$M$8),"x","")</f>
        <v/>
      </c>
      <c r="AB1162" s="912"/>
      <c r="AC1162" s="588"/>
      <c r="AD1162" s="588"/>
    </row>
    <row r="1163" spans="1:33" s="210" customFormat="1" ht="15.75" customHeight="1">
      <c r="A1163" s="203" t="str">
        <f>IF(B1163&lt;&gt;"",IF(AND(B1163&gt;=_TM1,B1163&lt;=_TM2,OR(TH!L1163="1111",TH!M1163="1111")),TH!D1163,""),"")</f>
        <v/>
      </c>
      <c r="B1163" s="36" t="str">
        <f t="shared" si="55"/>
        <v/>
      </c>
      <c r="C1163" s="183"/>
      <c r="D1163" s="190"/>
      <c r="E1163" s="190"/>
      <c r="F1163" s="191"/>
      <c r="G1163" s="481"/>
      <c r="H1163" s="192"/>
      <c r="I1163" s="255"/>
      <c r="J1163" s="255"/>
      <c r="K1163" s="596"/>
      <c r="L1163" s="193"/>
      <c r="M1163" s="193"/>
      <c r="N1163" s="51" t="str">
        <f>IF(AND('331-CT'!$E$7=TH!H1163,OR(L1163="331",M1163="331")),"331",IF(AND(OR(L1163="131",M1163="131"),H1163='131-CT'!$E$7),"131",""))</f>
        <v/>
      </c>
      <c r="O1163" s="887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38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W1163" s="51" t="str">
        <f>IF(OR(TH!L1163=TH!$W$7,M1163=TH!$W$7),"x","")</f>
        <v/>
      </c>
      <c r="X1163" s="51" t="str">
        <f>IF(AND(B1163&gt;='IN-NX'!$P$3,B1163&lt;='IN-NX'!$Q$3,'IN-NX'!$D$7=D1163,OR(LEFT(L1163,2)="15",AND(LEFT(M1163,2)&lt;&gt;"15",LEFT(M1163,2)&lt;&gt;"33"))),"x","")</f>
        <v/>
      </c>
      <c r="Y1163" s="51" t="str">
        <f>IF(AND(OR(LEFT(TH!L1163,2)="15",LEFT(TH!M1163,2)="15"),'152-CT'!$J$8=TH!F1163),"x","")</f>
        <v/>
      </c>
      <c r="Z1163" s="51" t="str">
        <f>IF(AND(OR(LEFT(TH!L1163,2)="15",LEFT(TH!M1163,2)="15"),TK!$E$7=TH!F1163),"x","")</f>
        <v/>
      </c>
      <c r="AA1163" s="51" t="str">
        <f>IF(AND(B1163&lt;=NKC!$N$8,B1163&gt;=NKC!$M$8),"x","")</f>
        <v/>
      </c>
      <c r="AB1163" s="909"/>
      <c r="AC1163" s="588"/>
      <c r="AD1163" s="588"/>
    </row>
    <row r="1164" spans="1:33" s="210" customFormat="1" ht="15.75" customHeight="1">
      <c r="A1164" s="203" t="str">
        <f>IF(B1164&lt;&gt;"",IF(AND(B1164&gt;=_TM1,B1164&lt;=_TM2,OR(TH!L1164="1111",TH!M1164="1111")),TH!D1164,""),"")</f>
        <v/>
      </c>
      <c r="B1164" s="36" t="str">
        <f t="shared" si="55"/>
        <v/>
      </c>
      <c r="C1164" s="183"/>
      <c r="D1164" s="190"/>
      <c r="E1164" s="190"/>
      <c r="F1164" s="191"/>
      <c r="G1164" s="481"/>
      <c r="H1164" s="7"/>
      <c r="I1164" s="255"/>
      <c r="J1164" s="255"/>
      <c r="K1164" s="37"/>
      <c r="L1164" s="193"/>
      <c r="M1164" s="193"/>
      <c r="N1164" s="51" t="str">
        <f>IF(AND('331-CT'!$E$7=TH!H1164,OR(L1164="331",M1164="331")),"331",IF(AND(OR(L1164="131",M1164="131"),H1164='131-CT'!$E$7),"131",""))</f>
        <v/>
      </c>
      <c r="O1164" s="887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38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W1164" s="51" t="str">
        <f>IF(OR(TH!L1164=TH!$W$7,M1164=TH!$W$7),"x","")</f>
        <v/>
      </c>
      <c r="X1164" s="51" t="str">
        <f>IF(AND(B1164&gt;='IN-NX'!$P$3,B1164&lt;='IN-NX'!$Q$3,'IN-NX'!$D$7=D1164,OR(LEFT(L1164,2)="15",AND(LEFT(M1164,2)&lt;&gt;"15",LEFT(M1164,2)&lt;&gt;"33"))),"x","")</f>
        <v/>
      </c>
      <c r="Y1164" s="51" t="str">
        <f>IF(AND(OR(LEFT(TH!L1164,2)="15",LEFT(TH!M1164,2)="15"),'152-CT'!$J$8=TH!F1164),"x","")</f>
        <v/>
      </c>
      <c r="Z1164" s="51" t="str">
        <f>IF(AND(OR(LEFT(TH!L1164,2)="15",LEFT(TH!M1164,2)="15"),TK!$E$7=TH!F1164),"x","")</f>
        <v/>
      </c>
      <c r="AA1164" s="51" t="str">
        <f>IF(AND(B1164&lt;=NKC!$N$8,B1164&gt;=NKC!$M$8),"x","")</f>
        <v/>
      </c>
      <c r="AB1164" s="909"/>
      <c r="AC1164" s="588"/>
    </row>
    <row r="1165" spans="1:33" s="210" customFormat="1" ht="15.75" customHeight="1">
      <c r="A1165" s="203" t="str">
        <f>IF(B1165&lt;&gt;"",IF(AND(B1165&gt;=_TM1,B1165&lt;=_TM2,OR(TH!L1165="1111",TH!M1165="1111")),TH!D1165,""),"")</f>
        <v/>
      </c>
      <c r="B1165" s="36" t="str">
        <f t="shared" si="55"/>
        <v/>
      </c>
      <c r="C1165" s="183"/>
      <c r="D1165" s="190"/>
      <c r="E1165" s="190"/>
      <c r="F1165" s="188"/>
      <c r="G1165" s="481"/>
      <c r="H1165" s="7"/>
      <c r="I1165" s="256"/>
      <c r="J1165" s="255"/>
      <c r="K1165" s="596"/>
      <c r="L1165" s="193"/>
      <c r="M1165" s="193"/>
      <c r="N1165" s="51" t="str">
        <f>IF(AND('331-CT'!$E$7=TH!H1165,OR(L1165="331",M1165="331")),"331",IF(AND(OR(L1165="131",M1165="131"),H1165='131-CT'!$E$7),"131",""))</f>
        <v/>
      </c>
      <c r="O1165" s="887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38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W1165" s="51" t="str">
        <f>IF(OR(TH!L1165=TH!$W$7,M1165=TH!$W$7),"x","")</f>
        <v/>
      </c>
      <c r="X1165" s="51" t="str">
        <f>IF(AND(B1165&gt;='IN-NX'!$P$3,B1165&lt;='IN-NX'!$Q$3,'IN-NX'!$D$7=D1165,OR(LEFT(L1165,2)="15",AND(LEFT(M1165,2)&lt;&gt;"15",LEFT(M1165,2)&lt;&gt;"33"))),"x","")</f>
        <v/>
      </c>
      <c r="Y1165" s="51" t="str">
        <f>IF(AND(OR(LEFT(TH!L1165,2)="15",LEFT(TH!M1165,2)="15"),'152-CT'!$J$8=TH!F1165),"x","")</f>
        <v/>
      </c>
      <c r="Z1165" s="51" t="str">
        <f>IF(AND(OR(LEFT(TH!L1165,2)="15",LEFT(TH!M1165,2)="15"),TK!$E$7=TH!F1165),"x","")</f>
        <v/>
      </c>
      <c r="AA1165" s="51" t="str">
        <f>IF(AND(B1165&lt;=NKC!$N$8,B1165&gt;=NKC!$M$8),"x","")</f>
        <v/>
      </c>
      <c r="AB1165" s="909"/>
      <c r="AC1165" s="588"/>
      <c r="AD1165" s="588"/>
    </row>
    <row r="1166" spans="1:33" s="210" customFormat="1" ht="15.75" customHeight="1">
      <c r="A1166" s="203" t="str">
        <f>IF(B1166&lt;&gt;"",IF(AND(B1166&gt;=_TM1,B1166&lt;=_TM2,OR(TH!L1166="1111",TH!M1166="1111")),TH!D1166,""),"")</f>
        <v/>
      </c>
      <c r="B1166" s="36" t="str">
        <f t="shared" si="55"/>
        <v/>
      </c>
      <c r="C1166" s="183"/>
      <c r="D1166" s="190"/>
      <c r="E1166" s="183"/>
      <c r="F1166" s="188"/>
      <c r="G1166" s="481"/>
      <c r="H1166" s="7"/>
      <c r="I1166" s="255"/>
      <c r="J1166" s="255"/>
      <c r="K1166" s="596"/>
      <c r="L1166" s="193"/>
      <c r="M1166" s="193"/>
      <c r="N1166" s="51" t="str">
        <f>IF(AND('331-CT'!$E$7=TH!H1166,OR(L1166="331",M1166="331")),"331",IF(AND(OR(L1166="131",M1166="131"),H1166='131-CT'!$E$7),"131",""))</f>
        <v/>
      </c>
      <c r="O1166" s="887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38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W1166" s="51" t="str">
        <f>IF(OR(TH!L1166=TH!$W$7,M1166=TH!$W$7),"x","")</f>
        <v/>
      </c>
      <c r="X1166" s="51" t="str">
        <f>IF(AND(B1166&gt;='IN-NX'!$P$3,B1166&lt;='IN-NX'!$Q$3,'IN-NX'!$D$7=D1166,OR(LEFT(L1166,2)="15",AND(LEFT(M1166,2)&lt;&gt;"15",LEFT(M1166,2)&lt;&gt;"33"))),"x","")</f>
        <v/>
      </c>
      <c r="Y1166" s="51" t="str">
        <f>IF(AND(OR(LEFT(TH!L1166,2)="15",LEFT(TH!M1166,2)="15"),'152-CT'!$J$8=TH!F1166),"x","")</f>
        <v/>
      </c>
      <c r="Z1166" s="51" t="str">
        <f>IF(AND(OR(LEFT(TH!L1166,2)="15",LEFT(TH!M1166,2)="15"),TK!$E$7=TH!F1166),"x","")</f>
        <v/>
      </c>
      <c r="AA1166" s="51" t="str">
        <f>IF(AND(B1166&lt;=NKC!$N$8,B1166&gt;=NKC!$M$8),"x","")</f>
        <v/>
      </c>
      <c r="AB1166" s="909"/>
      <c r="AC1166" s="588"/>
      <c r="AD1166" s="588"/>
      <c r="AF1166" s="588"/>
      <c r="AG1166" s="588"/>
    </row>
    <row r="1167" spans="1:33" s="210" customFormat="1" ht="15.75" customHeight="1">
      <c r="A1167" s="203" t="str">
        <f>IF(B1167&lt;&gt;"",IF(AND(B1167&gt;=_TM1,B1167&lt;=_TM2,OR(TH!L1167="1111",TH!M1167="1111")),TH!D1167,""),"")</f>
        <v/>
      </c>
      <c r="B1167" s="36" t="str">
        <f t="shared" si="55"/>
        <v/>
      </c>
      <c r="C1167" s="183"/>
      <c r="D1167" s="190"/>
      <c r="E1167" s="183"/>
      <c r="F1167" s="188"/>
      <c r="G1167" s="481"/>
      <c r="H1167" s="7"/>
      <c r="I1167" s="255"/>
      <c r="J1167" s="255"/>
      <c r="K1167" s="596"/>
      <c r="L1167" s="193"/>
      <c r="M1167" s="193"/>
      <c r="N1167" s="51" t="str">
        <f>IF(AND('331-CT'!$E$7=TH!H1167,OR(L1167="331",M1167="331")),"331",IF(AND(OR(L1167="131",M1167="131"),H1167='131-CT'!$E$7),"131",""))</f>
        <v/>
      </c>
      <c r="O1167" s="887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38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W1167" s="51" t="str">
        <f>IF(OR(TH!L1167=TH!$W$7,M1167=TH!$W$7),"x","")</f>
        <v/>
      </c>
      <c r="X1167" s="51" t="str">
        <f>IF(AND(B1167&gt;='IN-NX'!$P$3,B1167&lt;='IN-NX'!$Q$3,'IN-NX'!$D$7=D1167,OR(LEFT(L1167,2)="15",AND(LEFT(M1167,2)&lt;&gt;"15",LEFT(M1167,2)&lt;&gt;"33"))),"x","")</f>
        <v/>
      </c>
      <c r="Y1167" s="51" t="str">
        <f>IF(AND(OR(LEFT(TH!L1167,2)="15",LEFT(TH!M1167,2)="15"),'152-CT'!$J$8=TH!F1167),"x","")</f>
        <v/>
      </c>
      <c r="Z1167" s="51" t="str">
        <f>IF(AND(OR(LEFT(TH!L1167,2)="15",LEFT(TH!M1167,2)="15"),TK!$E$7=TH!F1167),"x","")</f>
        <v/>
      </c>
      <c r="AA1167" s="51" t="str">
        <f>IF(AND(B1167&lt;=NKC!$N$8,B1167&gt;=NKC!$M$8),"x","")</f>
        <v/>
      </c>
      <c r="AB1167" s="909"/>
      <c r="AC1167" s="588"/>
      <c r="AF1167" s="588"/>
      <c r="AG1167" s="588"/>
    </row>
    <row r="1168" spans="1:33" s="858" customFormat="1" ht="15.75" customHeight="1">
      <c r="A1168" s="203" t="str">
        <f>IF(B1168&lt;&gt;"",IF(AND(B1168&gt;=_TM1,B1168&lt;=_TM2,OR(TH!L1168="1111",TH!M1168="1111")),TH!D1168,""),"")</f>
        <v/>
      </c>
      <c r="B1168" s="36" t="str">
        <f t="shared" si="55"/>
        <v/>
      </c>
      <c r="C1168" s="183"/>
      <c r="D1168" s="190"/>
      <c r="E1168" s="183"/>
      <c r="F1168" s="188"/>
      <c r="G1168" s="481"/>
      <c r="H1168" s="7"/>
      <c r="I1168" s="255"/>
      <c r="J1168" s="255"/>
      <c r="K1168" s="37"/>
      <c r="L1168" s="193"/>
      <c r="M1168" s="193"/>
      <c r="N1168" s="51" t="str">
        <f>IF(AND('331-CT'!$E$7=TH!H1168,OR(L1168="331",M1168="331")),"331",IF(AND(OR(L1168="131",M1168="131"),H1168='131-CT'!$E$7),"131",""))</f>
        <v/>
      </c>
      <c r="O1168" s="887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38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W1168" s="51" t="str">
        <f>IF(OR(TH!L1168=TH!$W$7,M1168=TH!$W$7),"x","")</f>
        <v/>
      </c>
      <c r="X1168" s="51" t="str">
        <f>IF(AND(B1168&gt;='IN-NX'!$P$3,B1168&lt;='IN-NX'!$Q$3,'IN-NX'!$D$7=D1168,OR(LEFT(L1168,2)="15",AND(LEFT(M1168,2)&lt;&gt;"15",LEFT(M1168,2)&lt;&gt;"33"))),"x","")</f>
        <v/>
      </c>
      <c r="Y1168" s="51" t="str">
        <f>IF(AND(OR(LEFT(TH!L1168,2)="15",LEFT(TH!M1168,2)="15"),'152-CT'!$J$8=TH!F1168),"x","")</f>
        <v/>
      </c>
      <c r="Z1168" s="51" t="str">
        <f>IF(AND(OR(LEFT(TH!L1168,2)="15",LEFT(TH!M1168,2)="15"),TK!$E$7=TH!F1168),"x","")</f>
        <v/>
      </c>
      <c r="AA1168" s="51" t="str">
        <f>IF(AND(B1168&lt;=NKC!$N$8,B1168&gt;=NKC!$M$8),"x","")</f>
        <v/>
      </c>
      <c r="AB1168" s="909"/>
      <c r="AC1168" s="588"/>
      <c r="AD1168" s="588"/>
      <c r="AE1168" s="210"/>
      <c r="AF1168" s="588"/>
      <c r="AG1168" s="588"/>
    </row>
    <row r="1169" spans="1:33" s="210" customFormat="1" ht="15.75" customHeight="1">
      <c r="A1169" s="203" t="str">
        <f>IF(B1169&lt;&gt;"",IF(AND(B1169&gt;=_TM1,B1169&lt;=_TM2,OR(TH!L1169="1111",TH!M1169="1111")),TH!D1169,""),"")</f>
        <v/>
      </c>
      <c r="B1169" s="36" t="str">
        <f t="shared" si="55"/>
        <v/>
      </c>
      <c r="C1169" s="183"/>
      <c r="D1169" s="190"/>
      <c r="E1169" s="183"/>
      <c r="F1169" s="188"/>
      <c r="G1169" s="481"/>
      <c r="H1169" s="7"/>
      <c r="I1169" s="255"/>
      <c r="J1169" s="255"/>
      <c r="K1169" s="596"/>
      <c r="L1169" s="193"/>
      <c r="M1169" s="193"/>
      <c r="N1169" s="51" t="str">
        <f>IF(AND('331-CT'!$E$7=TH!H1169,OR(L1169="331",M1169="331")),"331",IF(AND(OR(L1169="131",M1169="131"),H1169='131-CT'!$E$7),"131",""))</f>
        <v/>
      </c>
      <c r="O1169" s="887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38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W1169" s="51" t="str">
        <f>IF(OR(TH!L1169=TH!$W$7,M1169=TH!$W$7),"x","")</f>
        <v/>
      </c>
      <c r="X1169" s="51" t="str">
        <f>IF(AND(B1169&gt;='IN-NX'!$P$3,B1169&lt;='IN-NX'!$Q$3,'IN-NX'!$D$7=D1169,OR(LEFT(L1169,2)="15",AND(LEFT(M1169,2)&lt;&gt;"15",LEFT(M1169,2)&lt;&gt;"33"))),"x","")</f>
        <v/>
      </c>
      <c r="Y1169" s="51" t="str">
        <f>IF(AND(OR(LEFT(TH!L1169,2)="15",LEFT(TH!M1169,2)="15"),'152-CT'!$J$8=TH!F1169),"x","")</f>
        <v/>
      </c>
      <c r="Z1169" s="51" t="str">
        <f>IF(AND(OR(LEFT(TH!L1169,2)="15",LEFT(TH!M1169,2)="15"),TK!$E$7=TH!F1169),"x","")</f>
        <v/>
      </c>
      <c r="AA1169" s="51" t="str">
        <f>IF(AND(B1169&lt;=NKC!$N$8,B1169&gt;=NKC!$M$8),"x","")</f>
        <v/>
      </c>
      <c r="AB1169" s="909"/>
      <c r="AC1169" s="588"/>
      <c r="AD1169" s="588"/>
      <c r="AF1169" s="588"/>
      <c r="AG1169" s="588"/>
    </row>
    <row r="1170" spans="1:33" s="210" customFormat="1" ht="15.75" customHeight="1">
      <c r="A1170" s="203" t="str">
        <f>IF(B1170&lt;&gt;"",IF(AND(B1170&gt;=_TM1,B1170&lt;=_TM2,OR(TH!L1170="1111",TH!M1170="1111")),TH!D1170,""),"")</f>
        <v/>
      </c>
      <c r="B1170" s="36" t="str">
        <f t="shared" si="55"/>
        <v/>
      </c>
      <c r="C1170" s="183"/>
      <c r="D1170" s="190"/>
      <c r="E1170" s="190"/>
      <c r="F1170" s="191"/>
      <c r="G1170" s="481"/>
      <c r="H1170" s="7"/>
      <c r="I1170" s="255"/>
      <c r="J1170" s="255"/>
      <c r="K1170" s="37"/>
      <c r="L1170" s="193"/>
      <c r="M1170" s="193"/>
      <c r="N1170" s="51" t="str">
        <f>IF(AND('331-CT'!$E$7=TH!H1170,OR(L1170="331",M1170="331")),"331",IF(AND(OR(L1170="131",M1170="131"),H1170='131-CT'!$E$7),"131",""))</f>
        <v/>
      </c>
      <c r="O1170" s="887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38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W1170" s="51" t="str">
        <f>IF(OR(TH!L1170=TH!$W$7,M1170=TH!$W$7),"x","")</f>
        <v/>
      </c>
      <c r="X1170" s="51" t="str">
        <f>IF(AND(B1170&gt;='IN-NX'!$P$3,B1170&lt;='IN-NX'!$Q$3,'IN-NX'!$D$7=D1170,OR(LEFT(L1170,2)="15",AND(LEFT(M1170,2)&lt;&gt;"15",LEFT(M1170,2)&lt;&gt;"33"))),"x","")</f>
        <v/>
      </c>
      <c r="Y1170" s="51" t="str">
        <f>IF(AND(OR(LEFT(TH!L1170,2)="15",LEFT(TH!M1170,2)="15"),'152-CT'!$J$8=TH!F1170),"x","")</f>
        <v/>
      </c>
      <c r="Z1170" s="51" t="str">
        <f>IF(AND(OR(LEFT(TH!L1170,2)="15",LEFT(TH!M1170,2)="15"),TK!$E$7=TH!F1170),"x","")</f>
        <v/>
      </c>
      <c r="AA1170" s="51" t="str">
        <f>IF(AND(B1170&lt;=NKC!$N$8,B1170&gt;=NKC!$M$8),"x","")</f>
        <v/>
      </c>
      <c r="AB1170" s="909"/>
      <c r="AC1170" s="588"/>
    </row>
    <row r="1171" spans="1:33" s="210" customFormat="1" ht="15.75" customHeight="1">
      <c r="A1171" s="203" t="str">
        <f>IF(B1171&lt;&gt;"",IF(AND(B1171&gt;=_TM1,B1171&lt;=_TM2,OR(TH!L1171="1111",TH!M1171="1111")),TH!D1171,""),"")</f>
        <v/>
      </c>
      <c r="B1171" s="36" t="str">
        <f t="shared" si="55"/>
        <v/>
      </c>
      <c r="C1171" s="183"/>
      <c r="D1171" s="190"/>
      <c r="E1171" s="190"/>
      <c r="F1171" s="191"/>
      <c r="G1171" s="481"/>
      <c r="H1171" s="7"/>
      <c r="I1171" s="255"/>
      <c r="J1171" s="255"/>
      <c r="K1171" s="596"/>
      <c r="L1171" s="193"/>
      <c r="M1171" s="193"/>
      <c r="N1171" s="51" t="str">
        <f>IF(AND('331-CT'!$E$7=TH!H1171,OR(L1171="331",M1171="331")),"331",IF(AND(OR(L1171="131",M1171="131"),H1171='131-CT'!$E$7),"131",""))</f>
        <v/>
      </c>
      <c r="O1171" s="887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38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W1171" s="51" t="str">
        <f>IF(OR(TH!L1171=TH!$W$7,M1171=TH!$W$7),"x","")</f>
        <v/>
      </c>
      <c r="X1171" s="51" t="str">
        <f>IF(AND(B1171&gt;='IN-NX'!$P$3,B1171&lt;='IN-NX'!$Q$3,'IN-NX'!$D$7=D1171,OR(LEFT(L1171,2)="15",AND(LEFT(M1171,2)&lt;&gt;"15",LEFT(M1171,2)&lt;&gt;"33"))),"x","")</f>
        <v/>
      </c>
      <c r="Y1171" s="51" t="str">
        <f>IF(AND(OR(LEFT(TH!L1171,2)="15",LEFT(TH!M1171,2)="15"),'152-CT'!$J$8=TH!F1171),"x","")</f>
        <v/>
      </c>
      <c r="Z1171" s="51" t="str">
        <f>IF(AND(OR(LEFT(TH!L1171,2)="15",LEFT(TH!M1171,2)="15"),TK!$E$7=TH!F1171),"x","")</f>
        <v/>
      </c>
      <c r="AA1171" s="51" t="str">
        <f>IF(AND(B1171&lt;=NKC!$N$8,B1171&gt;=NKC!$M$8),"x","")</f>
        <v/>
      </c>
      <c r="AB1171" s="909"/>
      <c r="AC1171" s="588"/>
      <c r="AD1171" s="588"/>
    </row>
    <row r="1172" spans="1:33" s="210" customFormat="1" ht="15.75" customHeight="1">
      <c r="A1172" s="203" t="str">
        <f>IF(B1172&lt;&gt;"",IF(AND(B1172&gt;=_TM1,B1172&lt;=_TM2,OR(TH!L1172="1111",TH!M1172="1111")),TH!D1172,""),"")</f>
        <v/>
      </c>
      <c r="B1172" s="36" t="str">
        <f t="shared" si="55"/>
        <v/>
      </c>
      <c r="C1172" s="183"/>
      <c r="D1172" s="190"/>
      <c r="E1172" s="190"/>
      <c r="F1172" s="191"/>
      <c r="G1172" s="481"/>
      <c r="H1172" s="7"/>
      <c r="I1172" s="255"/>
      <c r="J1172" s="255"/>
      <c r="K1172" s="37"/>
      <c r="L1172" s="193"/>
      <c r="M1172" s="193"/>
      <c r="N1172" s="51" t="str">
        <f>IF(AND('331-CT'!$E$7=TH!H1172,OR(L1172="331",M1172="331")),"331",IF(AND(OR(L1172="131",M1172="131"),H1172='131-CT'!$E$7),"131",""))</f>
        <v/>
      </c>
      <c r="O1172" s="887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38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W1172" s="51" t="str">
        <f>IF(OR(TH!L1172=TH!$W$7,M1172=TH!$W$7),"x","")</f>
        <v/>
      </c>
      <c r="X1172" s="51" t="str">
        <f>IF(AND(B1172&gt;='IN-NX'!$P$3,B1172&lt;='IN-NX'!$Q$3,'IN-NX'!$D$7=D1172,OR(LEFT(L1172,2)="15",AND(LEFT(M1172,2)&lt;&gt;"15",LEFT(M1172,2)&lt;&gt;"33"))),"x","")</f>
        <v/>
      </c>
      <c r="Y1172" s="51" t="str">
        <f>IF(AND(OR(LEFT(TH!L1172,2)="15",LEFT(TH!M1172,2)="15"),'152-CT'!$J$8=TH!F1172),"x","")</f>
        <v/>
      </c>
      <c r="Z1172" s="51" t="str">
        <f>IF(AND(OR(LEFT(TH!L1172,2)="15",LEFT(TH!M1172,2)="15"),TK!$E$7=TH!F1172),"x","")</f>
        <v/>
      </c>
      <c r="AA1172" s="51" t="str">
        <f>IF(AND(B1172&lt;=NKC!$N$8,B1172&gt;=NKC!$M$8),"x","")</f>
        <v/>
      </c>
      <c r="AB1172" s="909"/>
      <c r="AC1172" s="588"/>
      <c r="AD1172" s="588"/>
    </row>
    <row r="1173" spans="1:33" s="210" customFormat="1" ht="15.75" customHeight="1">
      <c r="A1173" s="203" t="str">
        <f>IF(B1173&lt;&gt;"",IF(AND(B1173&gt;=_TM1,B1173&lt;=_TM2,OR(TH!L1173="1111",TH!M1173="1111")),TH!D1173,""),"")</f>
        <v/>
      </c>
      <c r="B1173" s="36" t="str">
        <f t="shared" si="55"/>
        <v/>
      </c>
      <c r="C1173" s="183"/>
      <c r="D1173" s="190"/>
      <c r="E1173" s="190"/>
      <c r="F1173" s="191"/>
      <c r="G1173" s="481"/>
      <c r="H1173" s="7"/>
      <c r="I1173" s="255"/>
      <c r="J1173" s="255"/>
      <c r="K1173" s="596"/>
      <c r="L1173" s="193"/>
      <c r="M1173" s="193"/>
      <c r="N1173" s="51" t="str">
        <f>IF(AND('331-CT'!$E$7=TH!H1173,OR(L1173="331",M1173="331")),"331",IF(AND(OR(L1173="131",M1173="131"),H1173='131-CT'!$E$7),"131",""))</f>
        <v/>
      </c>
      <c r="O1173" s="887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38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W1173" s="51" t="str">
        <f>IF(OR(TH!L1173=TH!$W$7,M1173=TH!$W$7),"x","")</f>
        <v/>
      </c>
      <c r="X1173" s="51" t="str">
        <f>IF(AND(B1173&gt;='IN-NX'!$P$3,B1173&lt;='IN-NX'!$Q$3,'IN-NX'!$D$7=D1173,OR(LEFT(L1173,2)="15",AND(LEFT(M1173,2)&lt;&gt;"15",LEFT(M1173,2)&lt;&gt;"33"))),"x","")</f>
        <v/>
      </c>
      <c r="Y1173" s="51" t="str">
        <f>IF(AND(OR(LEFT(TH!L1173,2)="15",LEFT(TH!M1173,2)="15"),'152-CT'!$J$8=TH!F1173),"x","")</f>
        <v/>
      </c>
      <c r="Z1173" s="51" t="str">
        <f>IF(AND(OR(LEFT(TH!L1173,2)="15",LEFT(TH!M1173,2)="15"),TK!$E$7=TH!F1173),"x","")</f>
        <v/>
      </c>
      <c r="AA1173" s="51" t="str">
        <f>IF(AND(B1173&lt;=NKC!$N$8,B1173&gt;=NKC!$M$8),"x","")</f>
        <v/>
      </c>
      <c r="AB1173" s="909"/>
      <c r="AC1173" s="588"/>
      <c r="AD1173" s="588"/>
    </row>
    <row r="1174" spans="1:33" s="210" customFormat="1" ht="15.75" customHeight="1">
      <c r="A1174" s="203" t="str">
        <f>IF(B1174&lt;&gt;"",IF(AND(B1174&gt;=_TM1,B1174&lt;=_TM2,OR(TH!L1174="1111",TH!M1174="1111")),TH!D1174,""),"")</f>
        <v/>
      </c>
      <c r="B1174" s="36" t="str">
        <f t="shared" si="55"/>
        <v/>
      </c>
      <c r="C1174" s="183"/>
      <c r="D1174" s="190"/>
      <c r="E1174" s="190"/>
      <c r="F1174" s="191"/>
      <c r="G1174" s="481"/>
      <c r="H1174" s="7"/>
      <c r="I1174" s="255"/>
      <c r="J1174" s="255"/>
      <c r="K1174" s="37"/>
      <c r="L1174" s="193"/>
      <c r="M1174" s="193"/>
      <c r="N1174" s="51" t="str">
        <f>IF(AND('331-CT'!$E$7=TH!H1174,OR(L1174="331",M1174="331")),"331",IF(AND(OR(L1174="131",M1174="131"),H1174='131-CT'!$E$7),"131",""))</f>
        <v/>
      </c>
      <c r="O1174" s="887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38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W1174" s="51" t="str">
        <f>IF(OR(TH!L1174=TH!$W$7,M1174=TH!$W$7),"x","")</f>
        <v/>
      </c>
      <c r="X1174" s="51" t="str">
        <f>IF(AND(B1174&gt;='IN-NX'!$P$3,B1174&lt;='IN-NX'!$Q$3,'IN-NX'!$D$7=D1174,OR(LEFT(L1174,2)="15",AND(LEFT(M1174,2)&lt;&gt;"15",LEFT(M1174,2)&lt;&gt;"33"))),"x","")</f>
        <v/>
      </c>
      <c r="Y1174" s="51" t="str">
        <f>IF(AND(OR(LEFT(TH!L1174,2)="15",LEFT(TH!M1174,2)="15"),'152-CT'!$J$8=TH!F1174),"x","")</f>
        <v/>
      </c>
      <c r="Z1174" s="51" t="str">
        <f>IF(AND(OR(LEFT(TH!L1174,2)="15",LEFT(TH!M1174,2)="15"),TK!$E$7=TH!F1174),"x","")</f>
        <v/>
      </c>
      <c r="AA1174" s="51" t="str">
        <f>IF(AND(B1174&lt;=NKC!$N$8,B1174&gt;=NKC!$M$8),"x","")</f>
        <v/>
      </c>
      <c r="AB1174" s="909"/>
      <c r="AC1174" s="588"/>
      <c r="AD1174" s="588"/>
    </row>
    <row r="1175" spans="1:33" s="210" customFormat="1" ht="15.75" customHeight="1">
      <c r="A1175" s="203" t="str">
        <f>IF(B1175&lt;&gt;"",IF(AND(B1175&gt;=_TM1,B1175&lt;=_TM2,OR(TH!L1175="1111",TH!M1175="1111")),TH!D1175,""),"")</f>
        <v/>
      </c>
      <c r="B1175" s="36" t="str">
        <f t="shared" si="55"/>
        <v/>
      </c>
      <c r="C1175" s="183"/>
      <c r="D1175" s="190"/>
      <c r="E1175" s="190"/>
      <c r="F1175" s="191"/>
      <c r="G1175" s="481"/>
      <c r="H1175" s="7"/>
      <c r="I1175" s="255"/>
      <c r="J1175" s="255"/>
      <c r="K1175" s="37"/>
      <c r="L1175" s="193"/>
      <c r="M1175" s="193"/>
      <c r="N1175" s="51" t="str">
        <f>IF(AND('331-CT'!$E$7=TH!H1175,OR(L1175="331",M1175="331")),"331",IF(AND(OR(L1175="131",M1175="131"),H1175='131-CT'!$E$7),"131",""))</f>
        <v/>
      </c>
      <c r="O1175" s="887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38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W1175" s="51" t="str">
        <f>IF(OR(TH!L1175=TH!$W$7,M1175=TH!$W$7),"x","")</f>
        <v/>
      </c>
      <c r="X1175" s="51" t="str">
        <f>IF(AND(B1175&gt;='IN-NX'!$P$3,B1175&lt;='IN-NX'!$Q$3,'IN-NX'!$D$7=D1175,OR(LEFT(L1175,2)="15",AND(LEFT(M1175,2)&lt;&gt;"15",LEFT(M1175,2)&lt;&gt;"33"))),"x","")</f>
        <v/>
      </c>
      <c r="Y1175" s="51" t="str">
        <f>IF(AND(OR(LEFT(TH!L1175,2)="15",LEFT(TH!M1175,2)="15"),'152-CT'!$J$8=TH!F1175),"x","")</f>
        <v/>
      </c>
      <c r="Z1175" s="51" t="str">
        <f>IF(AND(OR(LEFT(TH!L1175,2)="15",LEFT(TH!M1175,2)="15"),TK!$E$7=TH!F1175),"x","")</f>
        <v/>
      </c>
      <c r="AA1175" s="51" t="str">
        <f>IF(AND(B1175&lt;=NKC!$N$8,B1175&gt;=NKC!$M$8),"x","")</f>
        <v/>
      </c>
      <c r="AB1175" s="909"/>
      <c r="AC1175" s="588"/>
      <c r="AD1175" s="588"/>
    </row>
    <row r="1176" spans="1:33" s="210" customFormat="1" ht="15.75" customHeight="1">
      <c r="A1176" s="203" t="str">
        <f>IF(B1176&lt;&gt;"",IF(AND(B1176&gt;=_TM1,B1176&lt;=_TM2,OR(TH!L1176="1111",TH!M1176="1111")),TH!D1176,""),"")</f>
        <v/>
      </c>
      <c r="B1176" s="36" t="str">
        <f t="shared" si="55"/>
        <v/>
      </c>
      <c r="C1176" s="183"/>
      <c r="D1176" s="190"/>
      <c r="E1176" s="190"/>
      <c r="F1176" s="191"/>
      <c r="G1176" s="481"/>
      <c r="H1176" s="7"/>
      <c r="I1176" s="255"/>
      <c r="J1176" s="255"/>
      <c r="K1176" s="37"/>
      <c r="L1176" s="193"/>
      <c r="M1176" s="193"/>
      <c r="N1176" s="51" t="str">
        <f>IF(AND('331-CT'!$E$7=TH!H1176,OR(L1176="331",M1176="331")),"331",IF(AND(OR(L1176="131",M1176="131"),H1176='131-CT'!$E$7),"131",""))</f>
        <v/>
      </c>
      <c r="O1176" s="887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38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W1176" s="51" t="str">
        <f>IF(OR(TH!L1176=TH!$W$7,M1176=TH!$W$7),"x","")</f>
        <v/>
      </c>
      <c r="X1176" s="51" t="str">
        <f>IF(AND(B1176&gt;='IN-NX'!$P$3,B1176&lt;='IN-NX'!$Q$3,'IN-NX'!$D$7=D1176,OR(LEFT(L1176,2)="15",AND(LEFT(M1176,2)&lt;&gt;"15",LEFT(M1176,2)&lt;&gt;"33"))),"x","")</f>
        <v/>
      </c>
      <c r="Y1176" s="51" t="str">
        <f>IF(AND(OR(LEFT(TH!L1176,2)="15",LEFT(TH!M1176,2)="15"),'152-CT'!$J$8=TH!F1176),"x","")</f>
        <v/>
      </c>
      <c r="Z1176" s="51" t="str">
        <f>IF(AND(OR(LEFT(TH!L1176,2)="15",LEFT(TH!M1176,2)="15"),TK!$E$7=TH!F1176),"x","")</f>
        <v/>
      </c>
      <c r="AA1176" s="51" t="str">
        <f>IF(AND(B1176&lt;=NKC!$N$8,B1176&gt;=NKC!$M$8),"x","")</f>
        <v/>
      </c>
      <c r="AB1176" s="909"/>
      <c r="AC1176" s="588"/>
      <c r="AD1176" s="588"/>
    </row>
    <row r="1177" spans="1:33" s="210" customFormat="1" ht="15.75" customHeight="1">
      <c r="A1177" s="203" t="str">
        <f>IF(B1177&lt;&gt;"",IF(AND(B1177&gt;=_TM1,B1177&lt;=_TM2,OR(TH!L1177="1111",TH!M1177="1111")),TH!D1177,""),"")</f>
        <v/>
      </c>
      <c r="B1177" s="36" t="str">
        <f t="shared" si="55"/>
        <v/>
      </c>
      <c r="C1177" s="183"/>
      <c r="D1177" s="190"/>
      <c r="E1177" s="190"/>
      <c r="F1177" s="191"/>
      <c r="G1177" s="481"/>
      <c r="H1177" s="7"/>
      <c r="I1177" s="255"/>
      <c r="J1177" s="255"/>
      <c r="K1177" s="596"/>
      <c r="L1177" s="193"/>
      <c r="M1177" s="193"/>
      <c r="N1177" s="51" t="str">
        <f>IF(AND('331-CT'!$E$7=TH!H1177,OR(L1177="331",M1177="331")),"331",IF(AND(OR(L1177="131",M1177="131"),H1177='131-CT'!$E$7),"131",""))</f>
        <v/>
      </c>
      <c r="O1177" s="887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38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W1177" s="51" t="str">
        <f>IF(OR(TH!L1177=TH!$W$7,M1177=TH!$W$7),"x","")</f>
        <v/>
      </c>
      <c r="X1177" s="51" t="str">
        <f>IF(AND(B1177&gt;='IN-NX'!$P$3,B1177&lt;='IN-NX'!$Q$3,'IN-NX'!$D$7=D1177,OR(LEFT(L1177,2)="15",AND(LEFT(M1177,2)&lt;&gt;"15",LEFT(M1177,2)&lt;&gt;"33"))),"x","")</f>
        <v/>
      </c>
      <c r="Y1177" s="51" t="str">
        <f>IF(AND(OR(LEFT(TH!L1177,2)="15",LEFT(TH!M1177,2)="15"),'152-CT'!$J$8=TH!F1177),"x","")</f>
        <v/>
      </c>
      <c r="Z1177" s="51" t="str">
        <f>IF(AND(OR(LEFT(TH!L1177,2)="15",LEFT(TH!M1177,2)="15"),TK!$E$7=TH!F1177),"x","")</f>
        <v/>
      </c>
      <c r="AA1177" s="51" t="str">
        <f>IF(AND(B1177&lt;=NKC!$N$8,B1177&gt;=NKC!$M$8),"x","")</f>
        <v/>
      </c>
      <c r="AB1177" s="909"/>
      <c r="AC1177" s="588"/>
      <c r="AD1177" s="588"/>
    </row>
    <row r="1178" spans="1:33" s="210" customFormat="1" ht="15.75" customHeight="1">
      <c r="A1178" s="203" t="str">
        <f>IF(B1178&lt;&gt;"",IF(AND(B1178&gt;=_TM1,B1178&lt;=_TM2,OR(TH!L1178="1111",TH!M1178="1111")),TH!D1178,""),"")</f>
        <v/>
      </c>
      <c r="B1178" s="36" t="str">
        <f t="shared" si="55"/>
        <v/>
      </c>
      <c r="C1178" s="183"/>
      <c r="D1178" s="190"/>
      <c r="E1178" s="183"/>
      <c r="F1178" s="191"/>
      <c r="G1178" s="481"/>
      <c r="H1178" s="7"/>
      <c r="I1178" s="255"/>
      <c r="J1178" s="255"/>
      <c r="K1178" s="37"/>
      <c r="L1178" s="193"/>
      <c r="M1178" s="193"/>
      <c r="N1178" s="51" t="str">
        <f>IF(AND('331-CT'!$E$7=TH!H1178,OR(L1178="331",M1178="331")),"331",IF(AND(OR(L1178="131",M1178="131"),H1178='131-CT'!$E$7),"131",""))</f>
        <v/>
      </c>
      <c r="O1178" s="887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38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W1178" s="51" t="str">
        <f>IF(OR(TH!L1178=TH!$W$7,M1178=TH!$W$7),"x","")</f>
        <v/>
      </c>
      <c r="X1178" s="51" t="str">
        <f>IF(AND(B1178&gt;='IN-NX'!$P$3,B1178&lt;='IN-NX'!$Q$3,'IN-NX'!$D$7=D1178,OR(LEFT(L1178,2)="15",AND(LEFT(M1178,2)&lt;&gt;"15",LEFT(M1178,2)&lt;&gt;"33"))),"x","")</f>
        <v/>
      </c>
      <c r="Y1178" s="51" t="str">
        <f>IF(AND(OR(LEFT(TH!L1178,2)="15",LEFT(TH!M1178,2)="15"),'152-CT'!$J$8=TH!F1178),"x","")</f>
        <v/>
      </c>
      <c r="Z1178" s="51" t="str">
        <f>IF(AND(OR(LEFT(TH!L1178,2)="15",LEFT(TH!M1178,2)="15"),TK!$E$7=TH!F1178),"x","")</f>
        <v/>
      </c>
      <c r="AA1178" s="51" t="str">
        <f>IF(AND(B1178&lt;=NKC!$N$8,B1178&gt;=NKC!$M$8),"x","")</f>
        <v/>
      </c>
      <c r="AB1178" s="909"/>
      <c r="AC1178" s="588"/>
      <c r="AD1178" s="588"/>
      <c r="AF1178" s="588"/>
      <c r="AG1178" s="588"/>
    </row>
    <row r="1179" spans="1:33" s="210" customFormat="1" ht="15.75" customHeight="1">
      <c r="A1179" s="203" t="str">
        <f>IF(B1179&lt;&gt;"",IF(AND(B1179&gt;=_TM1,B1179&lt;=_TM2,OR(TH!L1179="1111",TH!M1179="1111")),TH!D1179,""),"")</f>
        <v/>
      </c>
      <c r="B1179" s="36" t="str">
        <f t="shared" si="55"/>
        <v/>
      </c>
      <c r="C1179" s="183"/>
      <c r="D1179" s="190"/>
      <c r="E1179" s="183"/>
      <c r="F1179" s="191"/>
      <c r="G1179" s="481"/>
      <c r="H1179" s="7"/>
      <c r="I1179" s="255"/>
      <c r="J1179" s="255"/>
      <c r="K1179" s="596"/>
      <c r="L1179" s="193"/>
      <c r="M1179" s="193"/>
      <c r="N1179" s="51" t="str">
        <f>IF(AND('331-CT'!$E$7=TH!H1179,OR(L1179="331",M1179="331")),"331",IF(AND(OR(L1179="131",M1179="131"),H1179='131-CT'!$E$7),"131",""))</f>
        <v/>
      </c>
      <c r="O1179" s="887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38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W1179" s="51" t="str">
        <f>IF(OR(TH!L1179=TH!$W$7,M1179=TH!$W$7),"x","")</f>
        <v/>
      </c>
      <c r="X1179" s="51" t="str">
        <f>IF(AND(B1179&gt;='IN-NX'!$P$3,B1179&lt;='IN-NX'!$Q$3,'IN-NX'!$D$7=D1179,OR(LEFT(L1179,2)="15",AND(LEFT(M1179,2)&lt;&gt;"15",LEFT(M1179,2)&lt;&gt;"33"))),"x","")</f>
        <v/>
      </c>
      <c r="Y1179" s="51" t="str">
        <f>IF(AND(OR(LEFT(TH!L1179,2)="15",LEFT(TH!M1179,2)="15"),'152-CT'!$J$8=TH!F1179),"x","")</f>
        <v/>
      </c>
      <c r="Z1179" s="51" t="str">
        <f>IF(AND(OR(LEFT(TH!L1179,2)="15",LEFT(TH!M1179,2)="15"),TK!$E$7=TH!F1179),"x","")</f>
        <v/>
      </c>
      <c r="AA1179" s="51" t="str">
        <f>IF(AND(B1179&lt;=NKC!$N$8,B1179&gt;=NKC!$M$8),"x","")</f>
        <v/>
      </c>
      <c r="AB1179" s="909"/>
      <c r="AC1179" s="588"/>
      <c r="AF1179" s="588"/>
      <c r="AG1179" s="588"/>
    </row>
    <row r="1180" spans="1:33" s="210" customFormat="1" ht="15.75" customHeight="1">
      <c r="A1180" s="203" t="str">
        <f>IF(B1180&lt;&gt;"",IF(AND(B1180&gt;=_TM1,B1180&lt;=_TM2,OR(TH!L1180="1111",TH!M1180="1111")),TH!D1180,""),"")</f>
        <v/>
      </c>
      <c r="B1180" s="36" t="str">
        <f t="shared" si="55"/>
        <v/>
      </c>
      <c r="C1180" s="183"/>
      <c r="D1180" s="190"/>
      <c r="E1180" s="190"/>
      <c r="F1180" s="191"/>
      <c r="G1180" s="481"/>
      <c r="H1180" s="192"/>
      <c r="I1180" s="255"/>
      <c r="J1180" s="255"/>
      <c r="K1180" s="37"/>
      <c r="L1180" s="193"/>
      <c r="M1180" s="193"/>
      <c r="N1180" s="51" t="str">
        <f>IF(AND('331-CT'!$E$7=TH!H1180,OR(L1180="331",M1180="331")),"331",IF(AND(OR(L1180="131",M1180="131"),H1180='131-CT'!$E$7),"131",""))</f>
        <v/>
      </c>
      <c r="O1180" s="887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38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W1180" s="51" t="str">
        <f>IF(OR(TH!L1180=TH!$W$7,M1180=TH!$W$7),"x","")</f>
        <v/>
      </c>
      <c r="X1180" s="51" t="str">
        <f>IF(AND(B1180&gt;='IN-NX'!$P$3,B1180&lt;='IN-NX'!$Q$3,'IN-NX'!$D$7=D1180,OR(LEFT(L1180,2)="15",AND(LEFT(M1180,2)&lt;&gt;"15",LEFT(M1180,2)&lt;&gt;"33"))),"x","")</f>
        <v/>
      </c>
      <c r="Y1180" s="51" t="str">
        <f>IF(AND(OR(LEFT(TH!L1180,2)="15",LEFT(TH!M1180,2)="15"),'152-CT'!$J$8=TH!F1180),"x","")</f>
        <v/>
      </c>
      <c r="Z1180" s="51" t="str">
        <f>IF(AND(OR(LEFT(TH!L1180,2)="15",LEFT(TH!M1180,2)="15"),TK!$E$7=TH!F1180),"x","")</f>
        <v/>
      </c>
      <c r="AA1180" s="51" t="str">
        <f>IF(AND(B1180&lt;=NKC!$N$8,B1180&gt;=NKC!$M$8),"x","")</f>
        <v/>
      </c>
      <c r="AB1180" s="909"/>
      <c r="AC1180" s="588"/>
      <c r="AD1180" s="588"/>
    </row>
    <row r="1181" spans="1:33" s="210" customFormat="1" ht="15.75" customHeight="1">
      <c r="A1181" s="203" t="str">
        <f>IF(B1181&lt;&gt;"",IF(AND(B1181&gt;=_TM1,B1181&lt;=_TM2,OR(TH!L1181="1111",TH!M1181="1111")),TH!D1181,""),"")</f>
        <v/>
      </c>
      <c r="B1181" s="36" t="str">
        <f t="shared" si="55"/>
        <v/>
      </c>
      <c r="C1181" s="183"/>
      <c r="D1181" s="190"/>
      <c r="E1181" s="190"/>
      <c r="F1181" s="191"/>
      <c r="G1181" s="481"/>
      <c r="H1181" s="192"/>
      <c r="I1181" s="255"/>
      <c r="J1181" s="255"/>
      <c r="K1181" s="596"/>
      <c r="L1181" s="193"/>
      <c r="M1181" s="193"/>
      <c r="N1181" s="51" t="str">
        <f>IF(AND('331-CT'!$E$7=TH!H1181,OR(L1181="331",M1181="331")),"331",IF(AND(OR(L1181="131",M1181="131"),H1181='131-CT'!$E$7),"131",""))</f>
        <v/>
      </c>
      <c r="O1181" s="887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38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W1181" s="51" t="str">
        <f>IF(OR(TH!L1181=TH!$W$7,M1181=TH!$W$7),"x","")</f>
        <v/>
      </c>
      <c r="X1181" s="51" t="str">
        <f>IF(AND(B1181&gt;='IN-NX'!$P$3,B1181&lt;='IN-NX'!$Q$3,'IN-NX'!$D$7=D1181,OR(LEFT(L1181,2)="15",AND(LEFT(M1181,2)&lt;&gt;"15",LEFT(M1181,2)&lt;&gt;"33"))),"x","")</f>
        <v/>
      </c>
      <c r="Y1181" s="51" t="str">
        <f>IF(AND(OR(LEFT(TH!L1181,2)="15",LEFT(TH!M1181,2)="15"),'152-CT'!$J$8=TH!F1181),"x","")</f>
        <v/>
      </c>
      <c r="Z1181" s="51" t="str">
        <f>IF(AND(OR(LEFT(TH!L1181,2)="15",LEFT(TH!M1181,2)="15"),TK!$E$7=TH!F1181),"x","")</f>
        <v/>
      </c>
      <c r="AA1181" s="51" t="str">
        <f>IF(AND(B1181&lt;=NKC!$N$8,B1181&gt;=NKC!$M$8),"x","")</f>
        <v/>
      </c>
      <c r="AB1181" s="909"/>
      <c r="AC1181" s="588"/>
      <c r="AD1181" s="588"/>
    </row>
    <row r="1182" spans="1:33" s="210" customFormat="1" ht="15.75" customHeight="1">
      <c r="A1182" s="203" t="str">
        <f>IF(B1182&lt;&gt;"",IF(AND(B1182&gt;=_TM1,B1182&lt;=_TM2,OR(TH!L1182="1111",TH!M1182="1111")),TH!D1182,""),"")</f>
        <v/>
      </c>
      <c r="B1182" s="36" t="str">
        <f t="shared" si="55"/>
        <v/>
      </c>
      <c r="C1182" s="183"/>
      <c r="D1182" s="190"/>
      <c r="E1182" s="190"/>
      <c r="F1182" s="191"/>
      <c r="G1182" s="481"/>
      <c r="H1182" s="192"/>
      <c r="I1182" s="255"/>
      <c r="J1182" s="255"/>
      <c r="K1182" s="37"/>
      <c r="L1182" s="193"/>
      <c r="M1182" s="193"/>
      <c r="N1182" s="51" t="str">
        <f>IF(AND('331-CT'!$E$7=TH!H1182,OR(L1182="331",M1182="331")),"331",IF(AND(OR(L1182="131",M1182="131"),H1182='131-CT'!$E$7),"131",""))</f>
        <v/>
      </c>
      <c r="O1182" s="887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38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W1182" s="51" t="str">
        <f>IF(OR(TH!L1182=TH!$W$7,M1182=TH!$W$7),"x","")</f>
        <v/>
      </c>
      <c r="X1182" s="51" t="str">
        <f>IF(AND(B1182&gt;='IN-NX'!$P$3,B1182&lt;='IN-NX'!$Q$3,'IN-NX'!$D$7=D1182,OR(LEFT(L1182,2)="15",AND(LEFT(M1182,2)&lt;&gt;"15",LEFT(M1182,2)&lt;&gt;"33"))),"x","")</f>
        <v/>
      </c>
      <c r="Y1182" s="51" t="str">
        <f>IF(AND(OR(LEFT(TH!L1182,2)="15",LEFT(TH!M1182,2)="15"),'152-CT'!$J$8=TH!F1182),"x","")</f>
        <v/>
      </c>
      <c r="Z1182" s="51" t="str">
        <f>IF(AND(OR(LEFT(TH!L1182,2)="15",LEFT(TH!M1182,2)="15"),TK!$E$7=TH!F1182),"x","")</f>
        <v/>
      </c>
      <c r="AA1182" s="51" t="str">
        <f>IF(AND(B1182&lt;=NKC!$N$8,B1182&gt;=NKC!$M$8),"x","")</f>
        <v/>
      </c>
      <c r="AB1182" s="909"/>
      <c r="AC1182" s="588"/>
    </row>
    <row r="1183" spans="1:33" s="210" customFormat="1" ht="15.75" customHeight="1">
      <c r="A1183" s="203" t="str">
        <f>IF(B1183&lt;&gt;"",IF(AND(B1183&gt;=_TM1,B1183&lt;=_TM2,OR(TH!L1183="1111",TH!M1183="1111")),TH!D1183,""),"")</f>
        <v/>
      </c>
      <c r="B1183" s="36" t="str">
        <f t="shared" si="55"/>
        <v/>
      </c>
      <c r="C1183" s="183"/>
      <c r="D1183" s="190"/>
      <c r="E1183" s="190"/>
      <c r="F1183" s="191"/>
      <c r="G1183" s="481"/>
      <c r="H1183" s="192"/>
      <c r="I1183" s="255"/>
      <c r="J1183" s="255"/>
      <c r="K1183" s="37"/>
      <c r="L1183" s="193"/>
      <c r="M1183" s="193"/>
      <c r="N1183" s="51" t="str">
        <f>IF(AND('331-CT'!$E$7=TH!H1183,OR(L1183="331",M1183="331")),"331",IF(AND(OR(L1183="131",M1183="131"),H1183='131-CT'!$E$7),"131",""))</f>
        <v/>
      </c>
      <c r="O1183" s="887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38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W1183" s="51" t="str">
        <f>IF(OR(TH!L1183=TH!$W$7,M1183=TH!$W$7),"x","")</f>
        <v/>
      </c>
      <c r="X1183" s="51" t="str">
        <f>IF(AND(B1183&gt;='IN-NX'!$P$3,B1183&lt;='IN-NX'!$Q$3,'IN-NX'!$D$7=D1183,OR(LEFT(L1183,2)="15",AND(LEFT(M1183,2)&lt;&gt;"15",LEFT(M1183,2)&lt;&gt;"33"))),"x","")</f>
        <v/>
      </c>
      <c r="Y1183" s="51" t="str">
        <f>IF(AND(OR(LEFT(TH!L1183,2)="15",LEFT(TH!M1183,2)="15"),'152-CT'!$J$8=TH!F1183),"x","")</f>
        <v/>
      </c>
      <c r="Z1183" s="51" t="str">
        <f>IF(AND(OR(LEFT(TH!L1183,2)="15",LEFT(TH!M1183,2)="15"),TK!$E$7=TH!F1183),"x","")</f>
        <v/>
      </c>
      <c r="AA1183" s="51" t="str">
        <f>IF(AND(B1183&lt;=NKC!$N$8,B1183&gt;=NKC!$M$8),"x","")</f>
        <v/>
      </c>
      <c r="AB1183" s="909"/>
      <c r="AC1183" s="588"/>
      <c r="AD1183" s="588"/>
    </row>
    <row r="1184" spans="1:33" s="210" customFormat="1" ht="15.75" customHeight="1">
      <c r="A1184" s="203" t="str">
        <f>IF(B1184&lt;&gt;"",IF(AND(B1184&gt;=_TM1,B1184&lt;=_TM2,OR(TH!L1184="1111",TH!M1184="1111")),TH!D1184,""),"")</f>
        <v/>
      </c>
      <c r="B1184" s="36" t="str">
        <f t="shared" si="55"/>
        <v/>
      </c>
      <c r="C1184" s="183"/>
      <c r="D1184" s="190"/>
      <c r="E1184" s="190"/>
      <c r="F1184" s="191"/>
      <c r="G1184" s="481"/>
      <c r="H1184" s="192"/>
      <c r="I1184" s="255"/>
      <c r="J1184" s="255"/>
      <c r="K1184" s="596"/>
      <c r="L1184" s="193"/>
      <c r="M1184" s="193"/>
      <c r="N1184" s="51" t="str">
        <f>IF(AND('331-CT'!$E$7=TH!H1184,OR(L1184="331",M1184="331")),"331",IF(AND(OR(L1184="131",M1184="131"),H1184='131-CT'!$E$7),"131",""))</f>
        <v/>
      </c>
      <c r="O1184" s="887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38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W1184" s="51" t="str">
        <f>IF(OR(TH!L1184=TH!$W$7,M1184=TH!$W$7),"x","")</f>
        <v/>
      </c>
      <c r="X1184" s="51" t="str">
        <f>IF(AND(B1184&gt;='IN-NX'!$P$3,B1184&lt;='IN-NX'!$Q$3,'IN-NX'!$D$7=D1184,OR(LEFT(L1184,2)="15",AND(LEFT(M1184,2)&lt;&gt;"15",LEFT(M1184,2)&lt;&gt;"33"))),"x","")</f>
        <v/>
      </c>
      <c r="Y1184" s="51" t="str">
        <f>IF(AND(OR(LEFT(TH!L1184,2)="15",LEFT(TH!M1184,2)="15"),'152-CT'!$J$8=TH!F1184),"x","")</f>
        <v/>
      </c>
      <c r="Z1184" s="51" t="str">
        <f>IF(AND(OR(LEFT(TH!L1184,2)="15",LEFT(TH!M1184,2)="15"),TK!$E$7=TH!F1184),"x","")</f>
        <v/>
      </c>
      <c r="AA1184" s="51" t="str">
        <f>IF(AND(B1184&lt;=NKC!$N$8,B1184&gt;=NKC!$M$8),"x","")</f>
        <v/>
      </c>
      <c r="AB1184" s="909"/>
      <c r="AC1184" s="588"/>
      <c r="AD1184" s="588"/>
    </row>
    <row r="1185" spans="1:33" s="210" customFormat="1" ht="15.75" customHeight="1">
      <c r="A1185" s="203" t="str">
        <f>IF(B1185&lt;&gt;"",IF(AND(B1185&gt;=_TM1,B1185&lt;=_TM2,OR(TH!L1185="1111",TH!M1185="1111")),TH!D1185,""),"")</f>
        <v/>
      </c>
      <c r="B1185" s="36" t="str">
        <f t="shared" si="55"/>
        <v/>
      </c>
      <c r="C1185" s="183"/>
      <c r="D1185" s="190"/>
      <c r="E1185" s="183"/>
      <c r="F1185" s="191"/>
      <c r="G1185" s="481"/>
      <c r="H1185" s="7"/>
      <c r="I1185" s="255"/>
      <c r="J1185" s="255"/>
      <c r="K1185" s="37"/>
      <c r="L1185" s="193"/>
      <c r="M1185" s="193"/>
      <c r="N1185" s="51" t="str">
        <f>IF(AND('331-CT'!$E$7=TH!H1185,OR(L1185="331",M1185="331")),"331",IF(AND(OR(L1185="131",M1185="131"),H1185='131-CT'!$E$7),"131",""))</f>
        <v/>
      </c>
      <c r="O1185" s="887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38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W1185" s="51" t="str">
        <f>IF(OR(TH!L1185=TH!$W$7,M1185=TH!$W$7),"x","")</f>
        <v/>
      </c>
      <c r="X1185" s="51" t="str">
        <f>IF(AND(B1185&gt;='IN-NX'!$P$3,B1185&lt;='IN-NX'!$Q$3,'IN-NX'!$D$7=D1185,OR(LEFT(L1185,2)="15",AND(LEFT(M1185,2)&lt;&gt;"15",LEFT(M1185,2)&lt;&gt;"33"))),"x","")</f>
        <v/>
      </c>
      <c r="Y1185" s="51" t="str">
        <f>IF(AND(OR(LEFT(TH!L1185,2)="15",LEFT(TH!M1185,2)="15"),'152-CT'!$J$8=TH!F1185),"x","")</f>
        <v/>
      </c>
      <c r="Z1185" s="51" t="str">
        <f>IF(AND(OR(LEFT(TH!L1185,2)="15",LEFT(TH!M1185,2)="15"),TK!$E$7=TH!F1185),"x","")</f>
        <v/>
      </c>
      <c r="AA1185" s="51" t="str">
        <f>IF(AND(B1185&lt;=NKC!$N$8,B1185&gt;=NKC!$M$8),"x","")</f>
        <v/>
      </c>
      <c r="AB1185" s="909"/>
      <c r="AC1185" s="588"/>
      <c r="AD1185" s="588"/>
      <c r="AF1185" s="588"/>
      <c r="AG1185" s="588"/>
    </row>
    <row r="1186" spans="1:33" s="210" customFormat="1" ht="15.75" customHeight="1">
      <c r="A1186" s="203" t="str">
        <f>IF(B1186&lt;&gt;"",IF(AND(B1186&gt;=_TM1,B1186&lt;=_TM2,OR(TH!L1186="1111",TH!M1186="1111")),TH!D1186,""),"")</f>
        <v/>
      </c>
      <c r="B1186" s="36" t="str">
        <f t="shared" si="55"/>
        <v/>
      </c>
      <c r="C1186" s="183"/>
      <c r="D1186" s="190"/>
      <c r="E1186" s="183"/>
      <c r="F1186" s="191"/>
      <c r="G1186" s="481"/>
      <c r="H1186" s="7"/>
      <c r="I1186" s="255"/>
      <c r="J1186" s="255"/>
      <c r="K1186" s="596"/>
      <c r="L1186" s="193"/>
      <c r="M1186" s="193"/>
      <c r="N1186" s="51" t="str">
        <f>IF(AND('331-CT'!$E$7=TH!H1186,OR(L1186="331",M1186="331")),"331",IF(AND(OR(L1186="131",M1186="131"),H1186='131-CT'!$E$7),"131",""))</f>
        <v/>
      </c>
      <c r="O1186" s="887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38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W1186" s="51" t="str">
        <f>IF(OR(TH!L1186=TH!$W$7,M1186=TH!$W$7),"x","")</f>
        <v/>
      </c>
      <c r="X1186" s="51" t="str">
        <f>IF(AND(B1186&gt;='IN-NX'!$P$3,B1186&lt;='IN-NX'!$Q$3,'IN-NX'!$D$7=D1186,OR(LEFT(L1186,2)="15",AND(LEFT(M1186,2)&lt;&gt;"15",LEFT(M1186,2)&lt;&gt;"33"))),"x","")</f>
        <v/>
      </c>
      <c r="Y1186" s="51" t="str">
        <f>IF(AND(OR(LEFT(TH!L1186,2)="15",LEFT(TH!M1186,2)="15"),'152-CT'!$J$8=TH!F1186),"x","")</f>
        <v/>
      </c>
      <c r="Z1186" s="51" t="str">
        <f>IF(AND(OR(LEFT(TH!L1186,2)="15",LEFT(TH!M1186,2)="15"),TK!$E$7=TH!F1186),"x","")</f>
        <v/>
      </c>
      <c r="AA1186" s="51" t="str">
        <f>IF(AND(B1186&lt;=NKC!$N$8,B1186&gt;=NKC!$M$8),"x","")</f>
        <v/>
      </c>
      <c r="AB1186" s="909"/>
      <c r="AC1186" s="588"/>
      <c r="AD1186" s="588"/>
      <c r="AF1186" s="588"/>
      <c r="AG1186" s="588"/>
    </row>
    <row r="1187" spans="1:33" s="210" customFormat="1" ht="15.75" customHeight="1">
      <c r="A1187" s="203" t="str">
        <f>IF(B1187&lt;&gt;"",IF(AND(B1187&gt;=_TM1,B1187&lt;=_TM2,OR(TH!L1187="1111",TH!M1187="1111")),TH!D1187,""),"")</f>
        <v/>
      </c>
      <c r="B1187" s="36" t="str">
        <f t="shared" si="55"/>
        <v/>
      </c>
      <c r="C1187" s="183"/>
      <c r="D1187" s="190"/>
      <c r="E1187" s="183"/>
      <c r="F1187" s="188"/>
      <c r="G1187" s="481"/>
      <c r="H1187" s="7"/>
      <c r="I1187" s="255"/>
      <c r="J1187" s="255"/>
      <c r="K1187" s="37"/>
      <c r="L1187" s="193"/>
      <c r="M1187" s="193"/>
      <c r="N1187" s="51" t="str">
        <f>IF(AND('331-CT'!$E$7=TH!H1187,OR(L1187="331",M1187="331")),"331",IF(AND(OR(L1187="131",M1187="131"),H1187='131-CT'!$E$7),"131",""))</f>
        <v/>
      </c>
      <c r="O1187" s="887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38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W1187" s="51" t="str">
        <f>IF(OR(TH!L1187=TH!$W$7,M1187=TH!$W$7),"x","")</f>
        <v/>
      </c>
      <c r="X1187" s="51" t="str">
        <f>IF(AND(B1187&gt;='IN-NX'!$P$3,B1187&lt;='IN-NX'!$Q$3,'IN-NX'!$D$7=D1187,OR(LEFT(L1187,2)="15",AND(LEFT(M1187,2)&lt;&gt;"15",LEFT(M1187,2)&lt;&gt;"33"))),"x","")</f>
        <v/>
      </c>
      <c r="Y1187" s="51" t="str">
        <f>IF(AND(OR(LEFT(TH!L1187,2)="15",LEFT(TH!M1187,2)="15"),'152-CT'!$J$8=TH!F1187),"x","")</f>
        <v/>
      </c>
      <c r="Z1187" s="51" t="str">
        <f>IF(AND(OR(LEFT(TH!L1187,2)="15",LEFT(TH!M1187,2)="15"),TK!$E$7=TH!F1187),"x","")</f>
        <v/>
      </c>
      <c r="AA1187" s="51" t="str">
        <f>IF(AND(B1187&lt;=NKC!$N$8,B1187&gt;=NKC!$M$8),"x","")</f>
        <v/>
      </c>
      <c r="AB1187" s="909"/>
      <c r="AC1187" s="588"/>
      <c r="AD1187" s="588"/>
      <c r="AF1187" s="588"/>
      <c r="AG1187" s="588"/>
    </row>
    <row r="1188" spans="1:33" s="210" customFormat="1" ht="15.75" customHeight="1">
      <c r="A1188" s="203" t="str">
        <f>IF(B1188&lt;&gt;"",IF(AND(B1188&gt;=_TM1,B1188&lt;=_TM2,OR(TH!L1188="1111",TH!M1188="1111")),TH!D1188,""),"")</f>
        <v/>
      </c>
      <c r="B1188" s="36" t="str">
        <f t="shared" si="55"/>
        <v/>
      </c>
      <c r="C1188" s="183"/>
      <c r="D1188" s="190"/>
      <c r="E1188" s="183"/>
      <c r="F1188" s="188"/>
      <c r="G1188" s="481"/>
      <c r="H1188" s="7"/>
      <c r="I1188" s="255"/>
      <c r="J1188" s="255"/>
      <c r="K1188" s="596"/>
      <c r="L1188" s="193"/>
      <c r="M1188" s="193"/>
      <c r="N1188" s="51" t="str">
        <f>IF(AND('331-CT'!$E$7=TH!H1188,OR(L1188="331",M1188="331")),"331",IF(AND(OR(L1188="131",M1188="131"),H1188='131-CT'!$E$7),"131",""))</f>
        <v/>
      </c>
      <c r="O1188" s="887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38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W1188" s="51" t="str">
        <f>IF(OR(TH!L1188=TH!$W$7,M1188=TH!$W$7),"x","")</f>
        <v/>
      </c>
      <c r="X1188" s="51" t="str">
        <f>IF(AND(B1188&gt;='IN-NX'!$P$3,B1188&lt;='IN-NX'!$Q$3,'IN-NX'!$D$7=D1188,OR(LEFT(L1188,2)="15",AND(LEFT(M1188,2)&lt;&gt;"15",LEFT(M1188,2)&lt;&gt;"33"))),"x","")</f>
        <v/>
      </c>
      <c r="Y1188" s="51" t="str">
        <f>IF(AND(OR(LEFT(TH!L1188,2)="15",LEFT(TH!M1188,2)="15"),'152-CT'!$J$8=TH!F1188),"x","")</f>
        <v/>
      </c>
      <c r="Z1188" s="51" t="str">
        <f>IF(AND(OR(LEFT(TH!L1188,2)="15",LEFT(TH!M1188,2)="15"),TK!$E$7=TH!F1188),"x","")</f>
        <v/>
      </c>
      <c r="AA1188" s="51" t="str">
        <f>IF(AND(B1188&lt;=NKC!$N$8,B1188&gt;=NKC!$M$8),"x","")</f>
        <v/>
      </c>
      <c r="AB1188" s="909"/>
      <c r="AC1188" s="588"/>
      <c r="AF1188" s="588"/>
      <c r="AG1188" s="588"/>
    </row>
    <row r="1189" spans="1:33" s="210" customFormat="1" ht="15.75" customHeight="1">
      <c r="A1189" s="203" t="str">
        <f>IF(B1189&lt;&gt;"",IF(AND(B1189&gt;=_TM1,B1189&lt;=_TM2,OR(TH!L1189="1111",TH!M1189="1111")),TH!D1189,""),"")</f>
        <v/>
      </c>
      <c r="B1189" s="36" t="str">
        <f t="shared" si="55"/>
        <v/>
      </c>
      <c r="C1189" s="183"/>
      <c r="D1189" s="190"/>
      <c r="E1189" s="190"/>
      <c r="F1189" s="191"/>
      <c r="G1189" s="481"/>
      <c r="H1189" s="192"/>
      <c r="I1189" s="255"/>
      <c r="J1189" s="255"/>
      <c r="K1189" s="37"/>
      <c r="L1189" s="193"/>
      <c r="M1189" s="193"/>
      <c r="N1189" s="51" t="str">
        <f>IF(AND('331-CT'!$E$7=TH!H1189,OR(L1189="331",M1189="331")),"331",IF(AND(OR(L1189="131",M1189="131"),H1189='131-CT'!$E$7),"131",""))</f>
        <v/>
      </c>
      <c r="O1189" s="887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38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W1189" s="51" t="str">
        <f>IF(OR(TH!L1189=TH!$W$7,M1189=TH!$W$7),"x","")</f>
        <v/>
      </c>
      <c r="X1189" s="51" t="str">
        <f>IF(AND(B1189&gt;='IN-NX'!$P$3,B1189&lt;='IN-NX'!$Q$3,'IN-NX'!$D$7=D1189,OR(LEFT(L1189,2)="15",AND(LEFT(M1189,2)&lt;&gt;"15",LEFT(M1189,2)&lt;&gt;"33"))),"x","")</f>
        <v/>
      </c>
      <c r="Y1189" s="51" t="str">
        <f>IF(AND(OR(LEFT(TH!L1189,2)="15",LEFT(TH!M1189,2)="15"),'152-CT'!$J$8=TH!F1189),"x","")</f>
        <v/>
      </c>
      <c r="Z1189" s="51" t="str">
        <f>IF(AND(OR(LEFT(TH!L1189,2)="15",LEFT(TH!M1189,2)="15"),TK!$E$7=TH!F1189),"x","")</f>
        <v/>
      </c>
      <c r="AA1189" s="51" t="str">
        <f>IF(AND(B1189&lt;=NKC!$N$8,B1189&gt;=NKC!$M$8),"x","")</f>
        <v/>
      </c>
      <c r="AB1189" s="909"/>
      <c r="AC1189" s="588"/>
      <c r="AD1189" s="588"/>
    </row>
    <row r="1190" spans="1:33" s="210" customFormat="1" ht="15.75" customHeight="1">
      <c r="A1190" s="203" t="str">
        <f>IF(B1190&lt;&gt;"",IF(AND(B1190&gt;=_TM1,B1190&lt;=_TM2,OR(TH!L1190="1111",TH!M1190="1111")),TH!D1190,""),"")</f>
        <v/>
      </c>
      <c r="B1190" s="36" t="str">
        <f t="shared" ref="B1190:B1253" si="56">IF(C1190&lt;&gt;"",MONTH(C1190),"")</f>
        <v/>
      </c>
      <c r="C1190" s="183"/>
      <c r="D1190" s="190"/>
      <c r="E1190" s="190"/>
      <c r="F1190" s="191"/>
      <c r="G1190" s="481"/>
      <c r="H1190" s="192"/>
      <c r="I1190" s="255"/>
      <c r="J1190" s="255"/>
      <c r="K1190" s="596"/>
      <c r="L1190" s="193"/>
      <c r="M1190" s="193"/>
      <c r="N1190" s="51" t="str">
        <f>IF(AND('331-CT'!$E$7=TH!H1190,OR(L1190="331",M1190="331")),"331",IF(AND(OR(L1190="131",M1190="131"),H1190='131-CT'!$E$7),"131",""))</f>
        <v/>
      </c>
      <c r="O1190" s="887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38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W1190" s="51" t="str">
        <f>IF(OR(TH!L1190=TH!$W$7,M1190=TH!$W$7),"x","")</f>
        <v/>
      </c>
      <c r="X1190" s="51" t="str">
        <f>IF(AND(B1190&gt;='IN-NX'!$P$3,B1190&lt;='IN-NX'!$Q$3,'IN-NX'!$D$7=D1190,OR(LEFT(L1190,2)="15",AND(LEFT(M1190,2)&lt;&gt;"15",LEFT(M1190,2)&lt;&gt;"33"))),"x","")</f>
        <v/>
      </c>
      <c r="Y1190" s="51" t="str">
        <f>IF(AND(OR(LEFT(TH!L1190,2)="15",LEFT(TH!M1190,2)="15"),'152-CT'!$J$8=TH!F1190),"x","")</f>
        <v/>
      </c>
      <c r="Z1190" s="51" t="str">
        <f>IF(AND(OR(LEFT(TH!L1190,2)="15",LEFT(TH!M1190,2)="15"),TK!$E$7=TH!F1190),"x","")</f>
        <v/>
      </c>
      <c r="AA1190" s="51" t="str">
        <f>IF(AND(B1190&lt;=NKC!$N$8,B1190&gt;=NKC!$M$8),"x","")</f>
        <v/>
      </c>
      <c r="AB1190" s="909"/>
      <c r="AC1190" s="588"/>
    </row>
    <row r="1191" spans="1:33" s="210" customFormat="1" ht="15.75" customHeight="1">
      <c r="A1191" s="203" t="str">
        <f>IF(B1191&lt;&gt;"",IF(AND(B1191&gt;=_TM1,B1191&lt;=_TM2,OR(TH!L1191="1111",TH!M1191="1111")),TH!D1191,""),"")</f>
        <v/>
      </c>
      <c r="B1191" s="36" t="str">
        <f t="shared" si="56"/>
        <v/>
      </c>
      <c r="C1191" s="183"/>
      <c r="D1191" s="190"/>
      <c r="E1191" s="898"/>
      <c r="F1191" s="905"/>
      <c r="G1191" s="900"/>
      <c r="H1191" s="779"/>
      <c r="I1191" s="901"/>
      <c r="J1191" s="901"/>
      <c r="K1191" s="902"/>
      <c r="L1191" s="903"/>
      <c r="M1191" s="903"/>
      <c r="N1191" s="51" t="str">
        <f>IF(AND('331-CT'!$E$7=TH!H1191,OR(L1191="331",M1191="331")),"331",IF(AND(OR(L1191="131",M1191="131"),H1191='131-CT'!$E$7),"131",""))</f>
        <v/>
      </c>
      <c r="O1191" s="887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38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W1191" s="51" t="str">
        <f>IF(OR(TH!L1191=TH!$W$7,M1191=TH!$W$7),"x","")</f>
        <v/>
      </c>
      <c r="X1191" s="51" t="str">
        <f>IF(AND(B1191&gt;='IN-NX'!$P$3,B1191&lt;='IN-NX'!$Q$3,'IN-NX'!$D$7=D1191,OR(LEFT(L1191,2)="15",AND(LEFT(M1191,2)&lt;&gt;"15",LEFT(M1191,2)&lt;&gt;"33"))),"x","")</f>
        <v/>
      </c>
      <c r="Y1191" s="51" t="str">
        <f>IF(AND(OR(LEFT(TH!L1191,2)="15",LEFT(TH!M1191,2)="15"),'152-CT'!$J$8=TH!F1191),"x","")</f>
        <v/>
      </c>
      <c r="Z1191" s="51" t="str">
        <f>IF(AND(OR(LEFT(TH!L1191,2)="15",LEFT(TH!M1191,2)="15"),TK!$E$7=TH!F1191),"x","")</f>
        <v/>
      </c>
      <c r="AA1191" s="51" t="str">
        <f>IF(AND(B1191&lt;=NKC!$N$8,B1191&gt;=NKC!$M$8),"x","")</f>
        <v/>
      </c>
      <c r="AB1191" s="912"/>
      <c r="AC1191" s="588"/>
      <c r="AD1191" s="588"/>
    </row>
    <row r="1192" spans="1:33" s="210" customFormat="1" ht="15.75" customHeight="1">
      <c r="A1192" s="203" t="str">
        <f>IF(B1192&lt;&gt;"",IF(AND(B1192&gt;=_TM1,B1192&lt;=_TM2,OR(TH!L1192="1111",TH!M1192="1111")),TH!D1192,""),"")</f>
        <v/>
      </c>
      <c r="B1192" s="36" t="str">
        <f t="shared" si="56"/>
        <v/>
      </c>
      <c r="C1192" s="183"/>
      <c r="D1192" s="190"/>
      <c r="E1192" s="898"/>
      <c r="F1192" s="905"/>
      <c r="G1192" s="900"/>
      <c r="H1192" s="779"/>
      <c r="I1192" s="901"/>
      <c r="J1192" s="901"/>
      <c r="K1192" s="902"/>
      <c r="L1192" s="903"/>
      <c r="M1192" s="903"/>
      <c r="N1192" s="51" t="str">
        <f>IF(AND('331-CT'!$E$7=TH!H1192,OR(L1192="331",M1192="331")),"331",IF(AND(OR(L1192="131",M1192="131"),H1192='131-CT'!$E$7),"131",""))</f>
        <v/>
      </c>
      <c r="O1192" s="887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38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W1192" s="51" t="str">
        <f>IF(OR(TH!L1192=TH!$W$7,M1192=TH!$W$7),"x","")</f>
        <v/>
      </c>
      <c r="X1192" s="51" t="str">
        <f>IF(AND(B1192&gt;='IN-NX'!$P$3,B1192&lt;='IN-NX'!$Q$3,'IN-NX'!$D$7=D1192,OR(LEFT(L1192,2)="15",AND(LEFT(M1192,2)&lt;&gt;"15",LEFT(M1192,2)&lt;&gt;"33"))),"x","")</f>
        <v/>
      </c>
      <c r="Y1192" s="51" t="str">
        <f>IF(AND(OR(LEFT(TH!L1192,2)="15",LEFT(TH!M1192,2)="15"),'152-CT'!$J$8=TH!F1192),"x","")</f>
        <v/>
      </c>
      <c r="Z1192" s="51" t="str">
        <f>IF(AND(OR(LEFT(TH!L1192,2)="15",LEFT(TH!M1192,2)="15"),TK!$E$7=TH!F1192),"x","")</f>
        <v/>
      </c>
      <c r="AA1192" s="51" t="str">
        <f>IF(AND(B1192&lt;=NKC!$N$8,B1192&gt;=NKC!$M$8),"x","")</f>
        <v/>
      </c>
      <c r="AB1192" s="912"/>
      <c r="AC1192" s="588"/>
      <c r="AD1192" s="588"/>
    </row>
    <row r="1193" spans="1:33" s="210" customFormat="1" ht="15.75" customHeight="1">
      <c r="A1193" s="203" t="str">
        <f>IF(B1193&lt;&gt;"",IF(AND(B1193&gt;=_TM1,B1193&lt;=_TM2,OR(TH!L1193="1111",TH!M1193="1111")),TH!D1193,""),"")</f>
        <v/>
      </c>
      <c r="B1193" s="36" t="str">
        <f t="shared" si="56"/>
        <v/>
      </c>
      <c r="C1193" s="183"/>
      <c r="D1193" s="190"/>
      <c r="E1193" s="898"/>
      <c r="F1193" s="905"/>
      <c r="G1193" s="900"/>
      <c r="H1193" s="779"/>
      <c r="I1193" s="901"/>
      <c r="J1193" s="901"/>
      <c r="K1193" s="902"/>
      <c r="L1193" s="903"/>
      <c r="M1193" s="903"/>
      <c r="N1193" s="51" t="str">
        <f>IF(AND('331-CT'!$E$7=TH!H1193,OR(L1193="331",M1193="331")),"331",IF(AND(OR(L1193="131",M1193="131"),H1193='131-CT'!$E$7),"131",""))</f>
        <v/>
      </c>
      <c r="O1193" s="887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38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W1193" s="51" t="str">
        <f>IF(OR(TH!L1193=TH!$W$7,M1193=TH!$W$7),"x","")</f>
        <v/>
      </c>
      <c r="X1193" s="51" t="str">
        <f>IF(AND(B1193&gt;='IN-NX'!$P$3,B1193&lt;='IN-NX'!$Q$3,'IN-NX'!$D$7=D1193,OR(LEFT(L1193,2)="15",AND(LEFT(M1193,2)&lt;&gt;"15",LEFT(M1193,2)&lt;&gt;"33"))),"x","")</f>
        <v/>
      </c>
      <c r="Y1193" s="51" t="str">
        <f>IF(AND(OR(LEFT(TH!L1193,2)="15",LEFT(TH!M1193,2)="15"),'152-CT'!$J$8=TH!F1193),"x","")</f>
        <v/>
      </c>
      <c r="Z1193" s="51" t="str">
        <f>IF(AND(OR(LEFT(TH!L1193,2)="15",LEFT(TH!M1193,2)="15"),TK!$E$7=TH!F1193),"x","")</f>
        <v/>
      </c>
      <c r="AA1193" s="51" t="str">
        <f>IF(AND(B1193&lt;=NKC!$N$8,B1193&gt;=NKC!$M$8),"x","")</f>
        <v/>
      </c>
      <c r="AB1193" s="912"/>
      <c r="AC1193" s="588"/>
    </row>
    <row r="1194" spans="1:33" s="210" customFormat="1" ht="15.75" customHeight="1">
      <c r="A1194" s="203" t="str">
        <f>IF(B1194&lt;&gt;"",IF(AND(B1194&gt;=_TM1,B1194&lt;=_TM2,OR(TH!L1194="1111",TH!M1194="1111")),TH!D1194,""),"")</f>
        <v/>
      </c>
      <c r="B1194" s="36" t="str">
        <f t="shared" si="56"/>
        <v/>
      </c>
      <c r="C1194" s="183"/>
      <c r="D1194" s="190"/>
      <c r="E1194" s="898"/>
      <c r="F1194" s="905"/>
      <c r="G1194" s="900"/>
      <c r="H1194" s="779"/>
      <c r="I1194" s="901"/>
      <c r="J1194" s="901"/>
      <c r="K1194" s="902"/>
      <c r="L1194" s="903"/>
      <c r="M1194" s="903"/>
      <c r="N1194" s="51" t="str">
        <f>IF(AND('331-CT'!$E$7=TH!H1194,OR(L1194="331",M1194="331")),"331",IF(AND(OR(L1194="131",M1194="131"),H1194='131-CT'!$E$7),"131",""))</f>
        <v/>
      </c>
      <c r="O1194" s="887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38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W1194" s="51" t="str">
        <f>IF(OR(TH!L1194=TH!$W$7,M1194=TH!$W$7),"x","")</f>
        <v/>
      </c>
      <c r="X1194" s="51" t="str">
        <f>IF(AND(B1194&gt;='IN-NX'!$P$3,B1194&lt;='IN-NX'!$Q$3,'IN-NX'!$D$7=D1194,OR(LEFT(L1194,2)="15",AND(LEFT(M1194,2)&lt;&gt;"15",LEFT(M1194,2)&lt;&gt;"33"))),"x","")</f>
        <v/>
      </c>
      <c r="Y1194" s="51" t="str">
        <f>IF(AND(OR(LEFT(TH!L1194,2)="15",LEFT(TH!M1194,2)="15"),'152-CT'!$J$8=TH!F1194),"x","")</f>
        <v/>
      </c>
      <c r="Z1194" s="51" t="str">
        <f>IF(AND(OR(LEFT(TH!L1194,2)="15",LEFT(TH!M1194,2)="15"),TK!$E$7=TH!F1194),"x","")</f>
        <v/>
      </c>
      <c r="AA1194" s="51" t="str">
        <f>IF(AND(B1194&lt;=NKC!$N$8,B1194&gt;=NKC!$M$8),"x","")</f>
        <v/>
      </c>
      <c r="AB1194" s="912"/>
      <c r="AC1194" s="588"/>
      <c r="AD1194" s="588"/>
    </row>
    <row r="1195" spans="1:33" s="210" customFormat="1" ht="15.75" customHeight="1">
      <c r="A1195" s="203" t="str">
        <f>IF(B1195&lt;&gt;"",IF(AND(B1195&gt;=_TM1,B1195&lt;=_TM2,OR(TH!L1195="1111",TH!M1195="1111")),TH!D1195,""),"")</f>
        <v/>
      </c>
      <c r="B1195" s="36" t="str">
        <f t="shared" si="56"/>
        <v/>
      </c>
      <c r="C1195" s="183"/>
      <c r="D1195" s="190"/>
      <c r="E1195" s="898"/>
      <c r="F1195" s="905"/>
      <c r="G1195" s="900"/>
      <c r="H1195" s="779"/>
      <c r="I1195" s="901"/>
      <c r="J1195" s="901"/>
      <c r="K1195" s="902"/>
      <c r="L1195" s="903"/>
      <c r="M1195" s="903"/>
      <c r="N1195" s="51" t="str">
        <f>IF(AND('331-CT'!$E$7=TH!H1195,OR(L1195="331",M1195="331")),"331",IF(AND(OR(L1195="131",M1195="131"),H1195='131-CT'!$E$7),"131",""))</f>
        <v/>
      </c>
      <c r="O1195" s="887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38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W1195" s="51" t="str">
        <f>IF(OR(TH!L1195=TH!$W$7,M1195=TH!$W$7),"x","")</f>
        <v/>
      </c>
      <c r="X1195" s="51" t="str">
        <f>IF(AND(B1195&gt;='IN-NX'!$P$3,B1195&lt;='IN-NX'!$Q$3,'IN-NX'!$D$7=D1195,OR(LEFT(L1195,2)="15",AND(LEFT(M1195,2)&lt;&gt;"15",LEFT(M1195,2)&lt;&gt;"33"))),"x","")</f>
        <v/>
      </c>
      <c r="Y1195" s="51" t="str">
        <f>IF(AND(OR(LEFT(TH!L1195,2)="15",LEFT(TH!M1195,2)="15"),'152-CT'!$J$8=TH!F1195),"x","")</f>
        <v/>
      </c>
      <c r="Z1195" s="51" t="str">
        <f>IF(AND(OR(LEFT(TH!L1195,2)="15",LEFT(TH!M1195,2)="15"),TK!$E$7=TH!F1195),"x","")</f>
        <v/>
      </c>
      <c r="AA1195" s="51" t="str">
        <f>IF(AND(B1195&lt;=NKC!$N$8,B1195&gt;=NKC!$M$8),"x","")</f>
        <v/>
      </c>
      <c r="AB1195" s="912"/>
      <c r="AC1195" s="588"/>
    </row>
    <row r="1196" spans="1:33" s="210" customFormat="1" ht="15.75" customHeight="1">
      <c r="A1196" s="203" t="str">
        <f>IF(B1196&lt;&gt;"",IF(AND(B1196&gt;=_TM1,B1196&lt;=_TM2,OR(TH!L1196="1111",TH!M1196="1111")),TH!D1196,""),"")</f>
        <v/>
      </c>
      <c r="B1196" s="36" t="str">
        <f t="shared" si="56"/>
        <v/>
      </c>
      <c r="C1196" s="183"/>
      <c r="D1196" s="190"/>
      <c r="E1196" s="898"/>
      <c r="F1196" s="905"/>
      <c r="G1196" s="900"/>
      <c r="H1196" s="779"/>
      <c r="I1196" s="907"/>
      <c r="J1196" s="907"/>
      <c r="K1196" s="902"/>
      <c r="L1196" s="903"/>
      <c r="M1196" s="903"/>
      <c r="N1196" s="51" t="str">
        <f>IF(AND('331-CT'!$E$7=TH!H1196,OR(L1196="331",M1196="331")),"331",IF(AND(OR(L1196="131",M1196="131"),H1196='131-CT'!$E$7),"131",""))</f>
        <v/>
      </c>
      <c r="O1196" s="887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38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W1196" s="51" t="str">
        <f>IF(OR(TH!L1196=TH!$W$7,M1196=TH!$W$7),"x","")</f>
        <v/>
      </c>
      <c r="X1196" s="51" t="str">
        <f>IF(AND(B1196&gt;='IN-NX'!$P$3,B1196&lt;='IN-NX'!$Q$3,'IN-NX'!$D$7=D1196,OR(LEFT(L1196,2)="15",AND(LEFT(M1196,2)&lt;&gt;"15",LEFT(M1196,2)&lt;&gt;"33"))),"x","")</f>
        <v/>
      </c>
      <c r="Y1196" s="51" t="str">
        <f>IF(AND(OR(LEFT(TH!L1196,2)="15",LEFT(TH!M1196,2)="15"),'152-CT'!$J$8=TH!F1196),"x","")</f>
        <v/>
      </c>
      <c r="Z1196" s="51" t="str">
        <f>IF(AND(OR(LEFT(TH!L1196,2)="15",LEFT(TH!M1196,2)="15"),TK!$E$7=TH!F1196),"x","")</f>
        <v/>
      </c>
      <c r="AA1196" s="51" t="str">
        <f>IF(AND(B1196&lt;=NKC!$N$8,B1196&gt;=NKC!$M$8),"x","")</f>
        <v/>
      </c>
      <c r="AB1196" s="912"/>
      <c r="AC1196" s="588"/>
      <c r="AD1196" s="588"/>
    </row>
    <row r="1197" spans="1:33" s="210" customFormat="1" ht="15.75" customHeight="1">
      <c r="A1197" s="203" t="str">
        <f>IF(B1197&lt;&gt;"",IF(AND(B1197&gt;=_TM1,B1197&lt;=_TM2,OR(TH!L1197="1111",TH!M1197="1111")),TH!D1197,""),"")</f>
        <v/>
      </c>
      <c r="B1197" s="36" t="str">
        <f t="shared" si="56"/>
        <v/>
      </c>
      <c r="C1197" s="183"/>
      <c r="D1197" s="190"/>
      <c r="E1197" s="898"/>
      <c r="F1197" s="905"/>
      <c r="G1197" s="900"/>
      <c r="H1197" s="779"/>
      <c r="I1197" s="901"/>
      <c r="J1197" s="901"/>
      <c r="K1197" s="902"/>
      <c r="L1197" s="903"/>
      <c r="M1197" s="903"/>
      <c r="N1197" s="51" t="str">
        <f>IF(AND('331-CT'!$E$7=TH!H1197,OR(L1197="331",M1197="331")),"331",IF(AND(OR(L1197="131",M1197="131"),H1197='131-CT'!$E$7),"131",""))</f>
        <v/>
      </c>
      <c r="O1197" s="887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38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W1197" s="51" t="str">
        <f>IF(OR(TH!L1197=TH!$W$7,M1197=TH!$W$7),"x","")</f>
        <v/>
      </c>
      <c r="X1197" s="51" t="str">
        <f>IF(AND(B1197&gt;='IN-NX'!$P$3,B1197&lt;='IN-NX'!$Q$3,'IN-NX'!$D$7=D1197,OR(LEFT(L1197,2)="15",AND(LEFT(M1197,2)&lt;&gt;"15",LEFT(M1197,2)&lt;&gt;"33"))),"x","")</f>
        <v/>
      </c>
      <c r="Y1197" s="51" t="str">
        <f>IF(AND(OR(LEFT(TH!L1197,2)="15",LEFT(TH!M1197,2)="15"),'152-CT'!$J$8=TH!F1197),"x","")</f>
        <v/>
      </c>
      <c r="Z1197" s="51" t="str">
        <f>IF(AND(OR(LEFT(TH!L1197,2)="15",LEFT(TH!M1197,2)="15"),TK!$E$7=TH!F1197),"x","")</f>
        <v/>
      </c>
      <c r="AA1197" s="51" t="str">
        <f>IF(AND(B1197&lt;=NKC!$N$8,B1197&gt;=NKC!$M$8),"x","")</f>
        <v/>
      </c>
      <c r="AB1197" s="912"/>
      <c r="AC1197" s="588"/>
    </row>
    <row r="1198" spans="1:33" s="210" customFormat="1" ht="15.75" customHeight="1">
      <c r="A1198" s="203" t="str">
        <f>IF(B1198&lt;&gt;"",IF(AND(B1198&gt;=_TM1,B1198&lt;=_TM2,OR(TH!L1198="1111",TH!M1198="1111")),TH!D1198,""),"")</f>
        <v/>
      </c>
      <c r="B1198" s="36" t="str">
        <f t="shared" si="56"/>
        <v/>
      </c>
      <c r="C1198" s="183"/>
      <c r="D1198" s="190"/>
      <c r="E1198" s="898"/>
      <c r="F1198" s="905"/>
      <c r="G1198" s="900"/>
      <c r="H1198" s="779"/>
      <c r="I1198" s="907"/>
      <c r="J1198" s="907"/>
      <c r="K1198" s="902"/>
      <c r="L1198" s="903"/>
      <c r="M1198" s="903"/>
      <c r="N1198" s="51" t="str">
        <f>IF(AND('331-CT'!$E$7=TH!H1198,OR(L1198="331",M1198="331")),"331",IF(AND(OR(L1198="131",M1198="131"),H1198='131-CT'!$E$7),"131",""))</f>
        <v/>
      </c>
      <c r="O1198" s="887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38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W1198" s="51" t="str">
        <f>IF(OR(TH!L1198=TH!$W$7,M1198=TH!$W$7),"x","")</f>
        <v/>
      </c>
      <c r="X1198" s="51" t="str">
        <f>IF(AND(B1198&gt;='IN-NX'!$P$3,B1198&lt;='IN-NX'!$Q$3,'IN-NX'!$D$7=D1198,OR(LEFT(L1198,2)="15",AND(LEFT(M1198,2)&lt;&gt;"15",LEFT(M1198,2)&lt;&gt;"33"))),"x","")</f>
        <v/>
      </c>
      <c r="Y1198" s="51" t="str">
        <f>IF(AND(OR(LEFT(TH!L1198,2)="15",LEFT(TH!M1198,2)="15"),'152-CT'!$J$8=TH!F1198),"x","")</f>
        <v/>
      </c>
      <c r="Z1198" s="51" t="str">
        <f>IF(AND(OR(LEFT(TH!L1198,2)="15",LEFT(TH!M1198,2)="15"),TK!$E$7=TH!F1198),"x","")</f>
        <v/>
      </c>
      <c r="AA1198" s="51" t="str">
        <f>IF(AND(B1198&lt;=NKC!$N$8,B1198&gt;=NKC!$M$8),"x","")</f>
        <v/>
      </c>
      <c r="AB1198" s="912"/>
      <c r="AC1198" s="588"/>
      <c r="AD1198" s="588"/>
    </row>
    <row r="1199" spans="1:33" s="210" customFormat="1" ht="15.75" customHeight="1">
      <c r="A1199" s="203" t="str">
        <f>IF(B1199&lt;&gt;"",IF(AND(B1199&gt;=_TM1,B1199&lt;=_TM2,OR(TH!L1199="1111",TH!M1199="1111")),TH!D1199,""),"")</f>
        <v/>
      </c>
      <c r="B1199" s="36" t="str">
        <f t="shared" si="56"/>
        <v/>
      </c>
      <c r="C1199" s="183"/>
      <c r="D1199" s="190"/>
      <c r="E1199" s="898"/>
      <c r="F1199" s="905"/>
      <c r="G1199" s="900"/>
      <c r="H1199" s="779"/>
      <c r="I1199" s="901"/>
      <c r="J1199" s="901"/>
      <c r="K1199" s="902"/>
      <c r="L1199" s="903"/>
      <c r="M1199" s="903"/>
      <c r="N1199" s="51" t="str">
        <f>IF(AND('331-CT'!$E$7=TH!H1199,OR(L1199="331",M1199="331")),"331",IF(AND(OR(L1199="131",M1199="131"),H1199='131-CT'!$E$7),"131",""))</f>
        <v/>
      </c>
      <c r="O1199" s="887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38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W1199" s="51" t="str">
        <f>IF(OR(TH!L1199=TH!$W$7,M1199=TH!$W$7),"x","")</f>
        <v/>
      </c>
      <c r="X1199" s="51" t="str">
        <f>IF(AND(B1199&gt;='IN-NX'!$P$3,B1199&lt;='IN-NX'!$Q$3,'IN-NX'!$D$7=D1199,OR(LEFT(L1199,2)="15",AND(LEFT(M1199,2)&lt;&gt;"15",LEFT(M1199,2)&lt;&gt;"33"))),"x","")</f>
        <v/>
      </c>
      <c r="Y1199" s="51" t="str">
        <f>IF(AND(OR(LEFT(TH!L1199,2)="15",LEFT(TH!M1199,2)="15"),'152-CT'!$J$8=TH!F1199),"x","")</f>
        <v/>
      </c>
      <c r="Z1199" s="51" t="str">
        <f>IF(AND(OR(LEFT(TH!L1199,2)="15",LEFT(TH!M1199,2)="15"),TK!$E$7=TH!F1199),"x","")</f>
        <v/>
      </c>
      <c r="AA1199" s="51" t="str">
        <f>IF(AND(B1199&lt;=NKC!$N$8,B1199&gt;=NKC!$M$8),"x","")</f>
        <v/>
      </c>
      <c r="AB1199" s="912"/>
      <c r="AC1199" s="588"/>
    </row>
    <row r="1200" spans="1:33" s="210" customFormat="1" ht="15.75" customHeight="1">
      <c r="A1200" s="203" t="str">
        <f>IF(B1200&lt;&gt;"",IF(AND(B1200&gt;=_TM1,B1200&lt;=_TM2,OR(TH!L1200="1111",TH!M1200="1111")),TH!D1200,""),"")</f>
        <v/>
      </c>
      <c r="B1200" s="36" t="str">
        <f t="shared" si="56"/>
        <v/>
      </c>
      <c r="C1200" s="183"/>
      <c r="D1200" s="190"/>
      <c r="E1200" s="898"/>
      <c r="F1200" s="905"/>
      <c r="G1200" s="900"/>
      <c r="H1200" s="779"/>
      <c r="I1200" s="901"/>
      <c r="J1200" s="901"/>
      <c r="K1200" s="908"/>
      <c r="L1200" s="903"/>
      <c r="M1200" s="903"/>
      <c r="N1200" s="51" t="str">
        <f>IF(AND('331-CT'!$E$7=TH!H1200,OR(L1200="331",M1200="331")),"331",IF(AND(OR(L1200="131",M1200="131"),H1200='131-CT'!$E$7),"131",""))</f>
        <v/>
      </c>
      <c r="O1200" s="887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38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W1200" s="51" t="str">
        <f>IF(OR(TH!L1200=TH!$W$7,M1200=TH!$W$7),"x","")</f>
        <v/>
      </c>
      <c r="X1200" s="51" t="str">
        <f>IF(AND(B1200&gt;='IN-NX'!$P$3,B1200&lt;='IN-NX'!$Q$3,'IN-NX'!$D$7=D1200,OR(LEFT(L1200,2)="15",AND(LEFT(M1200,2)&lt;&gt;"15",LEFT(M1200,2)&lt;&gt;"33"))),"x","")</f>
        <v/>
      </c>
      <c r="Y1200" s="51" t="str">
        <f>IF(AND(OR(LEFT(TH!L1200,2)="15",LEFT(TH!M1200,2)="15"),'152-CT'!$J$8=TH!F1200),"x","")</f>
        <v/>
      </c>
      <c r="Z1200" s="51" t="str">
        <f>IF(AND(OR(LEFT(TH!L1200,2)="15",LEFT(TH!M1200,2)="15"),TK!$E$7=TH!F1200),"x","")</f>
        <v/>
      </c>
      <c r="AA1200" s="51" t="str">
        <f>IF(AND(B1200&lt;=NKC!$N$8,B1200&gt;=NKC!$M$8),"x","")</f>
        <v/>
      </c>
      <c r="AB1200" s="912"/>
      <c r="AC1200" s="588"/>
      <c r="AD1200" s="588"/>
    </row>
    <row r="1201" spans="1:30" s="210" customFormat="1" ht="15.75" customHeight="1">
      <c r="A1201" s="203" t="str">
        <f>IF(B1201&lt;&gt;"",IF(AND(B1201&gt;=_TM1,B1201&lt;=_TM2,OR(TH!L1201="1111",TH!M1201="1111")),TH!D1201,""),"")</f>
        <v/>
      </c>
      <c r="B1201" s="36" t="str">
        <f t="shared" si="56"/>
        <v/>
      </c>
      <c r="C1201" s="183"/>
      <c r="D1201" s="190"/>
      <c r="E1201" s="190"/>
      <c r="F1201" s="191"/>
      <c r="G1201" s="481"/>
      <c r="H1201" s="779"/>
      <c r="I1201" s="255"/>
      <c r="J1201" s="255"/>
      <c r="K1201" s="37"/>
      <c r="L1201" s="193"/>
      <c r="M1201" s="193"/>
      <c r="N1201" s="51" t="str">
        <f>IF(AND('331-CT'!$E$7=TH!H1201,OR(L1201="331",M1201="331")),"331",IF(AND(OR(L1201="131",M1201="131"),H1201='131-CT'!$E$7),"131",""))</f>
        <v/>
      </c>
      <c r="O1201" s="887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38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W1201" s="51" t="str">
        <f>IF(OR(TH!L1201=TH!$W$7,M1201=TH!$W$7),"x","")</f>
        <v/>
      </c>
      <c r="X1201" s="51" t="str">
        <f>IF(AND(B1201&gt;='IN-NX'!$P$3,B1201&lt;='IN-NX'!$Q$3,'IN-NX'!$D$7=D1201,OR(LEFT(L1201,2)="15",AND(LEFT(M1201,2)&lt;&gt;"15",LEFT(M1201,2)&lt;&gt;"33"))),"x","")</f>
        <v/>
      </c>
      <c r="Y1201" s="51" t="str">
        <f>IF(AND(OR(LEFT(TH!L1201,2)="15",LEFT(TH!M1201,2)="15"),'152-CT'!$J$8=TH!F1201),"x","")</f>
        <v/>
      </c>
      <c r="Z1201" s="51" t="str">
        <f>IF(AND(OR(LEFT(TH!L1201,2)="15",LEFT(TH!M1201,2)="15"),TK!$E$7=TH!F1201),"x","")</f>
        <v/>
      </c>
      <c r="AA1201" s="51" t="str">
        <f>IF(AND(B1201&lt;=NKC!$N$8,B1201&gt;=NKC!$M$8),"x","")</f>
        <v/>
      </c>
      <c r="AB1201" s="909"/>
      <c r="AC1201" s="588"/>
      <c r="AD1201" s="588"/>
    </row>
    <row r="1202" spans="1:30" s="210" customFormat="1" ht="15.75" customHeight="1">
      <c r="A1202" s="203" t="str">
        <f>IF(B1202&lt;&gt;"",IF(AND(B1202&gt;=_TM1,B1202&lt;=_TM2,OR(TH!L1202="1111",TH!M1202="1111")),TH!D1202,""),"")</f>
        <v/>
      </c>
      <c r="B1202" s="36" t="str">
        <f t="shared" si="56"/>
        <v/>
      </c>
      <c r="C1202" s="183"/>
      <c r="D1202" s="190"/>
      <c r="E1202" s="190"/>
      <c r="F1202" s="191"/>
      <c r="G1202" s="481"/>
      <c r="H1202" s="779"/>
      <c r="I1202" s="255"/>
      <c r="J1202" s="255"/>
      <c r="K1202" s="37"/>
      <c r="L1202" s="193"/>
      <c r="M1202" s="193"/>
      <c r="N1202" s="51" t="str">
        <f>IF(AND('331-CT'!$E$7=TH!H1202,OR(L1202="331",M1202="331")),"331",IF(AND(OR(L1202="131",M1202="131"),H1202='131-CT'!$E$7),"131",""))</f>
        <v/>
      </c>
      <c r="O1202" s="887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38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W1202" s="51" t="str">
        <f>IF(OR(TH!L1202=TH!$W$7,M1202=TH!$W$7),"x","")</f>
        <v/>
      </c>
      <c r="X1202" s="51" t="str">
        <f>IF(AND(B1202&gt;='IN-NX'!$P$3,B1202&lt;='IN-NX'!$Q$3,'IN-NX'!$D$7=D1202,OR(LEFT(L1202,2)="15",AND(LEFT(M1202,2)&lt;&gt;"15",LEFT(M1202,2)&lt;&gt;"33"))),"x","")</f>
        <v/>
      </c>
      <c r="Y1202" s="51" t="str">
        <f>IF(AND(OR(LEFT(TH!L1202,2)="15",LEFT(TH!M1202,2)="15"),'152-CT'!$J$8=TH!F1202),"x","")</f>
        <v/>
      </c>
      <c r="Z1202" s="51" t="str">
        <f>IF(AND(OR(LEFT(TH!L1202,2)="15",LEFT(TH!M1202,2)="15"),TK!$E$7=TH!F1202),"x","")</f>
        <v/>
      </c>
      <c r="AA1202" s="51" t="str">
        <f>IF(AND(B1202&lt;=NKC!$N$8,B1202&gt;=NKC!$M$8),"x","")</f>
        <v/>
      </c>
      <c r="AB1202" s="909"/>
      <c r="AC1202" s="588"/>
    </row>
    <row r="1203" spans="1:30" s="210" customFormat="1" ht="15.75" customHeight="1">
      <c r="A1203" s="203" t="str">
        <f>IF(B1203&lt;&gt;"",IF(AND(B1203&gt;=_TM1,B1203&lt;=_TM2,OR(TH!L1203="1111",TH!M1203="1111")),TH!D1203,""),"")</f>
        <v/>
      </c>
      <c r="B1203" s="36" t="str">
        <f t="shared" si="56"/>
        <v/>
      </c>
      <c r="C1203" s="183"/>
      <c r="D1203" s="190"/>
      <c r="E1203" s="769"/>
      <c r="F1203" s="188"/>
      <c r="G1203" s="481"/>
      <c r="H1203" s="779"/>
      <c r="I1203" s="258"/>
      <c r="J1203" s="258"/>
      <c r="K1203" s="37"/>
      <c r="L1203" s="193"/>
      <c r="M1203" s="193"/>
      <c r="N1203" s="51" t="str">
        <f>IF(AND('331-CT'!$E$7=TH!H1203,OR(L1203="331",M1203="331")),"331",IF(AND(OR(L1203="131",M1203="131"),H1203='131-CT'!$E$7),"131",""))</f>
        <v/>
      </c>
      <c r="O1203" s="887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38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W1203" s="51" t="str">
        <f>IF(OR(TH!L1203=TH!$W$7,M1203=TH!$W$7),"x","")</f>
        <v/>
      </c>
      <c r="X1203" s="51" t="str">
        <f>IF(AND(B1203&gt;='IN-NX'!$P$3,B1203&lt;='IN-NX'!$Q$3,'IN-NX'!$D$7=D1203,OR(LEFT(L1203,2)="15",AND(LEFT(M1203,2)&lt;&gt;"15",LEFT(M1203,2)&lt;&gt;"33"))),"x","")</f>
        <v/>
      </c>
      <c r="Y1203" s="51" t="str">
        <f>IF(AND(OR(LEFT(TH!L1203,2)="15",LEFT(TH!M1203,2)="15"),'152-CT'!$J$8=TH!F1203),"x","")</f>
        <v/>
      </c>
      <c r="Z1203" s="51" t="str">
        <f>IF(AND(OR(LEFT(TH!L1203,2)="15",LEFT(TH!M1203,2)="15"),TK!$E$7=TH!F1203),"x","")</f>
        <v/>
      </c>
      <c r="AA1203" s="51" t="str">
        <f>IF(AND(B1203&lt;=NKC!$N$8,B1203&gt;=NKC!$M$8),"x","")</f>
        <v/>
      </c>
      <c r="AB1203" s="909"/>
      <c r="AC1203" s="588"/>
      <c r="AD1203" s="588"/>
    </row>
    <row r="1204" spans="1:30" s="210" customFormat="1" ht="15.75" customHeight="1">
      <c r="A1204" s="203" t="str">
        <f>IF(B1204&lt;&gt;"",IF(AND(B1204&gt;=_TM1,B1204&lt;=_TM2,OR(TH!L1204="1111",TH!M1204="1111")),TH!D1204,""),"")</f>
        <v/>
      </c>
      <c r="B1204" s="36" t="str">
        <f t="shared" si="56"/>
        <v/>
      </c>
      <c r="C1204" s="183"/>
      <c r="D1204" s="190"/>
      <c r="E1204" s="769"/>
      <c r="F1204" s="188"/>
      <c r="G1204" s="481"/>
      <c r="H1204" s="779"/>
      <c r="I1204" s="255"/>
      <c r="J1204" s="255"/>
      <c r="K1204" s="37"/>
      <c r="L1204" s="193"/>
      <c r="M1204" s="193"/>
      <c r="N1204" s="51" t="str">
        <f>IF(AND('331-CT'!$E$7=TH!H1204,OR(L1204="331",M1204="331")),"331",IF(AND(OR(L1204="131",M1204="131"),H1204='131-CT'!$E$7),"131",""))</f>
        <v/>
      </c>
      <c r="O1204" s="887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38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W1204" s="51" t="str">
        <f>IF(OR(TH!L1204=TH!$W$7,M1204=TH!$W$7),"x","")</f>
        <v/>
      </c>
      <c r="X1204" s="51" t="str">
        <f>IF(AND(B1204&gt;='IN-NX'!$P$3,B1204&lt;='IN-NX'!$Q$3,'IN-NX'!$D$7=D1204,OR(LEFT(L1204,2)="15",AND(LEFT(M1204,2)&lt;&gt;"15",LEFT(M1204,2)&lt;&gt;"33"))),"x","")</f>
        <v/>
      </c>
      <c r="Y1204" s="51" t="str">
        <f>IF(AND(OR(LEFT(TH!L1204,2)="15",LEFT(TH!M1204,2)="15"),'152-CT'!$J$8=TH!F1204),"x","")</f>
        <v/>
      </c>
      <c r="Z1204" s="51" t="str">
        <f>IF(AND(OR(LEFT(TH!L1204,2)="15",LEFT(TH!M1204,2)="15"),TK!$E$7=TH!F1204),"x","")</f>
        <v/>
      </c>
      <c r="AA1204" s="51" t="str">
        <f>IF(AND(B1204&lt;=NKC!$N$8,B1204&gt;=NKC!$M$8),"x","")</f>
        <v/>
      </c>
      <c r="AB1204" s="909"/>
      <c r="AC1204" s="588"/>
      <c r="AD1204" s="588"/>
    </row>
    <row r="1205" spans="1:30" s="210" customFormat="1" ht="15.75" customHeight="1">
      <c r="A1205" s="203" t="str">
        <f>IF(B1205&lt;&gt;"",IF(AND(B1205&gt;=_TM1,B1205&lt;=_TM2,OR(TH!L1205="1111",TH!M1205="1111")),TH!D1205,""),"")</f>
        <v/>
      </c>
      <c r="B1205" s="36" t="str">
        <f t="shared" si="56"/>
        <v/>
      </c>
      <c r="C1205" s="183"/>
      <c r="D1205" s="190"/>
      <c r="E1205" s="769"/>
      <c r="F1205" s="188"/>
      <c r="G1205" s="481"/>
      <c r="H1205" s="779"/>
      <c r="I1205" s="255"/>
      <c r="J1205" s="255"/>
      <c r="K1205" s="37"/>
      <c r="L1205" s="193"/>
      <c r="M1205" s="193"/>
      <c r="N1205" s="51" t="str">
        <f>IF(AND('331-CT'!$E$7=TH!H1205,OR(L1205="331",M1205="331")),"331",IF(AND(OR(L1205="131",M1205="131"),H1205='131-CT'!$E$7),"131",""))</f>
        <v/>
      </c>
      <c r="O1205" s="887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38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W1205" s="51" t="str">
        <f>IF(OR(TH!L1205=TH!$W$7,M1205=TH!$W$7),"x","")</f>
        <v/>
      </c>
      <c r="X1205" s="51" t="str">
        <f>IF(AND(B1205&gt;='IN-NX'!$P$3,B1205&lt;='IN-NX'!$Q$3,'IN-NX'!$D$7=D1205,OR(LEFT(L1205,2)="15",AND(LEFT(M1205,2)&lt;&gt;"15",LEFT(M1205,2)&lt;&gt;"33"))),"x","")</f>
        <v/>
      </c>
      <c r="Y1205" s="51" t="str">
        <f>IF(AND(OR(LEFT(TH!L1205,2)="15",LEFT(TH!M1205,2)="15"),'152-CT'!$J$8=TH!F1205),"x","")</f>
        <v/>
      </c>
      <c r="Z1205" s="51" t="str">
        <f>IF(AND(OR(LEFT(TH!L1205,2)="15",LEFT(TH!M1205,2)="15"),TK!$E$7=TH!F1205),"x","")</f>
        <v/>
      </c>
      <c r="AA1205" s="51" t="str">
        <f>IF(AND(B1205&lt;=NKC!$N$8,B1205&gt;=NKC!$M$8),"x","")</f>
        <v/>
      </c>
      <c r="AB1205" s="909"/>
      <c r="AC1205" s="588"/>
      <c r="AD1205" s="588"/>
    </row>
    <row r="1206" spans="1:30" s="210" customFormat="1" ht="15.75" customHeight="1">
      <c r="A1206" s="203" t="str">
        <f>IF(B1206&lt;&gt;"",IF(AND(B1206&gt;=_TM1,B1206&lt;=_TM2,OR(TH!L1206="1111",TH!M1206="1111")),TH!D1206,""),"")</f>
        <v/>
      </c>
      <c r="B1206" s="36" t="str">
        <f t="shared" si="56"/>
        <v/>
      </c>
      <c r="C1206" s="183"/>
      <c r="D1206" s="190"/>
      <c r="E1206" s="183"/>
      <c r="F1206" s="191"/>
      <c r="G1206" s="481"/>
      <c r="H1206" s="779"/>
      <c r="I1206" s="255"/>
      <c r="J1206" s="255"/>
      <c r="K1206" s="37"/>
      <c r="L1206" s="193"/>
      <c r="M1206" s="193"/>
      <c r="N1206" s="51" t="str">
        <f>IF(AND('331-CT'!$E$7=TH!H1206,OR(L1206="331",M1206="331")),"331",IF(AND(OR(L1206="131",M1206="131"),H1206='131-CT'!$E$7),"131",""))</f>
        <v/>
      </c>
      <c r="O1206" s="887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38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W1206" s="51" t="str">
        <f>IF(OR(TH!L1206=TH!$W$7,M1206=TH!$W$7),"x","")</f>
        <v/>
      </c>
      <c r="X1206" s="51" t="str">
        <f>IF(AND(B1206&gt;='IN-NX'!$P$3,B1206&lt;='IN-NX'!$Q$3,'IN-NX'!$D$7=D1206,OR(LEFT(L1206,2)="15",AND(LEFT(M1206,2)&lt;&gt;"15",LEFT(M1206,2)&lt;&gt;"33"))),"x","")</f>
        <v/>
      </c>
      <c r="Y1206" s="51" t="str">
        <f>IF(AND(OR(LEFT(TH!L1206,2)="15",LEFT(TH!M1206,2)="15"),'152-CT'!$J$8=TH!F1206),"x","")</f>
        <v/>
      </c>
      <c r="Z1206" s="51" t="str">
        <f>IF(AND(OR(LEFT(TH!L1206,2)="15",LEFT(TH!M1206,2)="15"),TK!$E$7=TH!F1206),"x","")</f>
        <v/>
      </c>
      <c r="AA1206" s="51" t="str">
        <f>IF(AND(B1206&lt;=NKC!$N$8,B1206&gt;=NKC!$M$8),"x","")</f>
        <v/>
      </c>
      <c r="AB1206" s="909"/>
      <c r="AC1206" s="588"/>
    </row>
    <row r="1207" spans="1:30" s="210" customFormat="1" ht="15.75" customHeight="1">
      <c r="A1207" s="203" t="str">
        <f>IF(B1207&lt;&gt;"",IF(AND(B1207&gt;=_TM1,B1207&lt;=_TM2,OR(TH!L1207="1111",TH!M1207="1111")),TH!D1207,""),"")</f>
        <v/>
      </c>
      <c r="B1207" s="36" t="str">
        <f t="shared" si="56"/>
        <v/>
      </c>
      <c r="C1207" s="183"/>
      <c r="D1207" s="190"/>
      <c r="E1207" s="183"/>
      <c r="F1207" s="188"/>
      <c r="G1207" s="481"/>
      <c r="H1207" s="779"/>
      <c r="I1207" s="255"/>
      <c r="J1207" s="255"/>
      <c r="K1207" s="37"/>
      <c r="L1207" s="193"/>
      <c r="M1207" s="193"/>
      <c r="N1207" s="51" t="str">
        <f>IF(AND('331-CT'!$E$7=TH!H1207,OR(L1207="331",M1207="331")),"331",IF(AND(OR(L1207="131",M1207="131"),H1207='131-CT'!$E$7),"131",""))</f>
        <v/>
      </c>
      <c r="O1207" s="887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38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W1207" s="51" t="str">
        <f>IF(OR(TH!L1207=TH!$W$7,M1207=TH!$W$7),"x","")</f>
        <v/>
      </c>
      <c r="X1207" s="51" t="str">
        <f>IF(AND(B1207&gt;='IN-NX'!$P$3,B1207&lt;='IN-NX'!$Q$3,'IN-NX'!$D$7=D1207,OR(LEFT(L1207,2)="15",AND(LEFT(M1207,2)&lt;&gt;"15",LEFT(M1207,2)&lt;&gt;"33"))),"x","")</f>
        <v/>
      </c>
      <c r="Y1207" s="51" t="str">
        <f>IF(AND(OR(LEFT(TH!L1207,2)="15",LEFT(TH!M1207,2)="15"),'152-CT'!$J$8=TH!F1207),"x","")</f>
        <v/>
      </c>
      <c r="Z1207" s="51" t="str">
        <f>IF(AND(OR(LEFT(TH!L1207,2)="15",LEFT(TH!M1207,2)="15"),TK!$E$7=TH!F1207),"x","")</f>
        <v/>
      </c>
      <c r="AA1207" s="51" t="str">
        <f>IF(AND(B1207&lt;=NKC!$N$8,B1207&gt;=NKC!$M$8),"x","")</f>
        <v/>
      </c>
      <c r="AB1207" s="909"/>
      <c r="AC1207" s="588"/>
      <c r="AD1207" s="588"/>
    </row>
    <row r="1208" spans="1:30" s="210" customFormat="1" ht="15.75" customHeight="1">
      <c r="A1208" s="203" t="str">
        <f>IF(B1208&lt;&gt;"",IF(AND(B1208&gt;=_TM1,B1208&lt;=_TM2,OR(TH!L1208="1111",TH!M1208="1111")),TH!D1208,""),"")</f>
        <v/>
      </c>
      <c r="B1208" s="36" t="str">
        <f t="shared" si="56"/>
        <v/>
      </c>
      <c r="C1208" s="183"/>
      <c r="D1208" s="190"/>
      <c r="E1208" s="183"/>
      <c r="F1208" s="188"/>
      <c r="G1208" s="481"/>
      <c r="H1208" s="779"/>
      <c r="I1208" s="255"/>
      <c r="J1208" s="255"/>
      <c r="K1208" s="37"/>
      <c r="L1208" s="193"/>
      <c r="M1208" s="193"/>
      <c r="N1208" s="51" t="str">
        <f>IF(AND('331-CT'!$E$7=TH!H1208,OR(L1208="331",M1208="331")),"331",IF(AND(OR(L1208="131",M1208="131"),H1208='131-CT'!$E$7),"131",""))</f>
        <v/>
      </c>
      <c r="O1208" s="887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38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W1208" s="51" t="str">
        <f>IF(OR(TH!L1208=TH!$W$7,M1208=TH!$W$7),"x","")</f>
        <v/>
      </c>
      <c r="X1208" s="51" t="str">
        <f>IF(AND(B1208&gt;='IN-NX'!$P$3,B1208&lt;='IN-NX'!$Q$3,'IN-NX'!$D$7=D1208,OR(LEFT(L1208,2)="15",AND(LEFT(M1208,2)&lt;&gt;"15",LEFT(M1208,2)&lt;&gt;"33"))),"x","")</f>
        <v/>
      </c>
      <c r="Y1208" s="51" t="str">
        <f>IF(AND(OR(LEFT(TH!L1208,2)="15",LEFT(TH!M1208,2)="15"),'152-CT'!$J$8=TH!F1208),"x","")</f>
        <v/>
      </c>
      <c r="Z1208" s="51" t="str">
        <f>IF(AND(OR(LEFT(TH!L1208,2)="15",LEFT(TH!M1208,2)="15"),TK!$E$7=TH!F1208),"x","")</f>
        <v/>
      </c>
      <c r="AA1208" s="51" t="str">
        <f>IF(AND(B1208&lt;=NKC!$N$8,B1208&gt;=NKC!$M$8),"x","")</f>
        <v/>
      </c>
      <c r="AB1208" s="909"/>
      <c r="AC1208" s="588"/>
    </row>
    <row r="1209" spans="1:30" s="210" customFormat="1" ht="15.75" customHeight="1">
      <c r="A1209" s="203" t="str">
        <f>IF(B1209&lt;&gt;"",IF(AND(B1209&gt;=_TM1,B1209&lt;=_TM2,OR(TH!L1209="1111",TH!M1209="1111")),TH!D1209,""),"")</f>
        <v/>
      </c>
      <c r="B1209" s="36" t="str">
        <f t="shared" si="56"/>
        <v/>
      </c>
      <c r="C1209" s="183"/>
      <c r="D1209" s="190"/>
      <c r="E1209" s="183"/>
      <c r="F1209" s="188"/>
      <c r="G1209" s="481"/>
      <c r="H1209" s="779"/>
      <c r="I1209" s="255"/>
      <c r="J1209" s="255"/>
      <c r="K1209" s="37"/>
      <c r="L1209" s="193"/>
      <c r="M1209" s="193"/>
      <c r="N1209" s="51" t="str">
        <f>IF(AND('331-CT'!$E$7=TH!H1209,OR(L1209="331",M1209="331")),"331",IF(AND(OR(L1209="131",M1209="131"),H1209='131-CT'!$E$7),"131",""))</f>
        <v/>
      </c>
      <c r="O1209" s="887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38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W1209" s="51" t="str">
        <f>IF(OR(TH!L1209=TH!$W$7,M1209=TH!$W$7),"x","")</f>
        <v/>
      </c>
      <c r="X1209" s="51" t="str">
        <f>IF(AND(B1209&gt;='IN-NX'!$P$3,B1209&lt;='IN-NX'!$Q$3,'IN-NX'!$D$7=D1209,OR(LEFT(L1209,2)="15",AND(LEFT(M1209,2)&lt;&gt;"15",LEFT(M1209,2)&lt;&gt;"33"))),"x","")</f>
        <v/>
      </c>
      <c r="Y1209" s="51" t="str">
        <f>IF(AND(OR(LEFT(TH!L1209,2)="15",LEFT(TH!M1209,2)="15"),'152-CT'!$J$8=TH!F1209),"x","")</f>
        <v/>
      </c>
      <c r="Z1209" s="51" t="str">
        <f>IF(AND(OR(LEFT(TH!L1209,2)="15",LEFT(TH!M1209,2)="15"),TK!$E$7=TH!F1209),"x","")</f>
        <v/>
      </c>
      <c r="AA1209" s="51" t="str">
        <f>IF(AND(B1209&lt;=NKC!$N$8,B1209&gt;=NKC!$M$8),"x","")</f>
        <v/>
      </c>
      <c r="AB1209" s="909"/>
      <c r="AC1209" s="588"/>
      <c r="AD1209" s="588"/>
    </row>
    <row r="1210" spans="1:30" s="210" customFormat="1" ht="15.75" customHeight="1">
      <c r="A1210" s="203" t="str">
        <f>IF(B1210&lt;&gt;"",IF(AND(B1210&gt;=_TM1,B1210&lt;=_TM2,OR(TH!L1210="1111",TH!M1210="1111")),TH!D1210,""),"")</f>
        <v/>
      </c>
      <c r="B1210" s="36" t="str">
        <f t="shared" si="56"/>
        <v/>
      </c>
      <c r="C1210" s="183"/>
      <c r="D1210" s="190"/>
      <c r="E1210" s="183"/>
      <c r="F1210" s="188"/>
      <c r="G1210" s="481"/>
      <c r="H1210" s="779"/>
      <c r="I1210" s="255"/>
      <c r="J1210" s="255"/>
      <c r="K1210" s="596"/>
      <c r="L1210" s="193"/>
      <c r="M1210" s="193"/>
      <c r="N1210" s="51" t="str">
        <f>IF(AND('331-CT'!$E$7=TH!H1210,OR(L1210="331",M1210="331")),"331",IF(AND(OR(L1210="131",M1210="131"),H1210='131-CT'!$E$7),"131",""))</f>
        <v/>
      </c>
      <c r="O1210" s="887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38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W1210" s="51" t="str">
        <f>IF(OR(TH!L1210=TH!$W$7,M1210=TH!$W$7),"x","")</f>
        <v/>
      </c>
      <c r="X1210" s="51" t="str">
        <f>IF(AND(B1210&gt;='IN-NX'!$P$3,B1210&lt;='IN-NX'!$Q$3,'IN-NX'!$D$7=D1210,OR(LEFT(L1210,2)="15",AND(LEFT(M1210,2)&lt;&gt;"15",LEFT(M1210,2)&lt;&gt;"33"))),"x","")</f>
        <v/>
      </c>
      <c r="Y1210" s="51" t="str">
        <f>IF(AND(OR(LEFT(TH!L1210,2)="15",LEFT(TH!M1210,2)="15"),'152-CT'!$J$8=TH!F1210),"x","")</f>
        <v/>
      </c>
      <c r="Z1210" s="51" t="str">
        <f>IF(AND(OR(LEFT(TH!L1210,2)="15",LEFT(TH!M1210,2)="15"),TK!$E$7=TH!F1210),"x","")</f>
        <v/>
      </c>
      <c r="AA1210" s="51" t="str">
        <f>IF(AND(B1210&lt;=NKC!$N$8,B1210&gt;=NKC!$M$8),"x","")</f>
        <v/>
      </c>
      <c r="AB1210" s="909"/>
      <c r="AC1210" s="588"/>
    </row>
    <row r="1211" spans="1:30" s="210" customFormat="1" ht="15.75" customHeight="1">
      <c r="A1211" s="203" t="str">
        <f>IF(B1211&lt;&gt;"",IF(AND(B1211&gt;=_TM1,B1211&lt;=_TM2,OR(TH!L1211="1111",TH!M1211="1111")),TH!D1211,""),"")</f>
        <v/>
      </c>
      <c r="B1211" s="36" t="str">
        <f t="shared" si="56"/>
        <v/>
      </c>
      <c r="C1211" s="183"/>
      <c r="D1211" s="190"/>
      <c r="E1211" s="897"/>
      <c r="F1211" s="904"/>
      <c r="G1211" s="900"/>
      <c r="H1211" s="779"/>
      <c r="I1211" s="901"/>
      <c r="J1211" s="901"/>
      <c r="K1211" s="902"/>
      <c r="L1211" s="903"/>
      <c r="M1211" s="903"/>
      <c r="N1211" s="51" t="str">
        <f>IF(AND('331-CT'!$E$7=TH!H1211,OR(L1211="331",M1211="331")),"331",IF(AND(OR(L1211="131",M1211="131"),H1211='131-CT'!$E$7),"131",""))</f>
        <v/>
      </c>
      <c r="O1211" s="887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38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W1211" s="51" t="str">
        <f>IF(OR(TH!L1211=TH!$W$7,M1211=TH!$W$7),"x","")</f>
        <v/>
      </c>
      <c r="X1211" s="51" t="str">
        <f>IF(AND(B1211&gt;='IN-NX'!$P$3,B1211&lt;='IN-NX'!$Q$3,'IN-NX'!$D$7=D1211,OR(LEFT(L1211,2)="15",AND(LEFT(M1211,2)&lt;&gt;"15",LEFT(M1211,2)&lt;&gt;"33"))),"x","")</f>
        <v/>
      </c>
      <c r="Y1211" s="51" t="str">
        <f>IF(AND(OR(LEFT(TH!L1211,2)="15",LEFT(TH!M1211,2)="15"),'152-CT'!$J$8=TH!F1211),"x","")</f>
        <v/>
      </c>
      <c r="Z1211" s="51" t="str">
        <f>IF(AND(OR(LEFT(TH!L1211,2)="15",LEFT(TH!M1211,2)="15"),TK!$E$7=TH!F1211),"x","")</f>
        <v/>
      </c>
      <c r="AA1211" s="51" t="str">
        <f>IF(AND(B1211&lt;=NKC!$N$8,B1211&gt;=NKC!$M$8),"x","")</f>
        <v/>
      </c>
      <c r="AB1211" s="912"/>
      <c r="AC1211" s="588"/>
      <c r="AD1211" s="588"/>
    </row>
    <row r="1212" spans="1:30" s="210" customFormat="1" ht="15.75" customHeight="1">
      <c r="A1212" s="203" t="str">
        <f>IF(B1212&lt;&gt;"",IF(AND(B1212&gt;=_TM1,B1212&lt;=_TM2,OR(TH!L1212="1111",TH!M1212="1111")),TH!D1212,""),"")</f>
        <v/>
      </c>
      <c r="B1212" s="36" t="str">
        <f t="shared" si="56"/>
        <v/>
      </c>
      <c r="C1212" s="183"/>
      <c r="D1212" s="190"/>
      <c r="E1212" s="897"/>
      <c r="F1212" s="904"/>
      <c r="G1212" s="900"/>
      <c r="H1212" s="779"/>
      <c r="I1212" s="901"/>
      <c r="J1212" s="901"/>
      <c r="K1212" s="902"/>
      <c r="L1212" s="903"/>
      <c r="M1212" s="903"/>
      <c r="N1212" s="51" t="str">
        <f>IF(AND('331-CT'!$E$7=TH!H1212,OR(L1212="331",M1212="331")),"331",IF(AND(OR(L1212="131",M1212="131"),H1212='131-CT'!$E$7),"131",""))</f>
        <v/>
      </c>
      <c r="O1212" s="887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38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W1212" s="51" t="str">
        <f>IF(OR(TH!L1212=TH!$W$7,M1212=TH!$W$7),"x","")</f>
        <v/>
      </c>
      <c r="X1212" s="51" t="str">
        <f>IF(AND(B1212&gt;='IN-NX'!$P$3,B1212&lt;='IN-NX'!$Q$3,'IN-NX'!$D$7=D1212,OR(LEFT(L1212,2)="15",AND(LEFT(M1212,2)&lt;&gt;"15",LEFT(M1212,2)&lt;&gt;"33"))),"x","")</f>
        <v/>
      </c>
      <c r="Y1212" s="51" t="str">
        <f>IF(AND(OR(LEFT(TH!L1212,2)="15",LEFT(TH!M1212,2)="15"),'152-CT'!$J$8=TH!F1212),"x","")</f>
        <v/>
      </c>
      <c r="Z1212" s="51" t="str">
        <f>IF(AND(OR(LEFT(TH!L1212,2)="15",LEFT(TH!M1212,2)="15"),TK!$E$7=TH!F1212),"x","")</f>
        <v/>
      </c>
      <c r="AA1212" s="51" t="str">
        <f>IF(AND(B1212&lt;=NKC!$N$8,B1212&gt;=NKC!$M$8),"x","")</f>
        <v/>
      </c>
      <c r="AB1212" s="912"/>
      <c r="AC1212" s="588"/>
      <c r="AD1212" s="588"/>
    </row>
    <row r="1213" spans="1:30" s="210" customFormat="1" ht="15.75" customHeight="1">
      <c r="A1213" s="203" t="str">
        <f>IF(B1213&lt;&gt;"",IF(AND(B1213&gt;=_TM1,B1213&lt;=_TM2,OR(TH!L1213="1111",TH!M1213="1111")),TH!D1213,""),"")</f>
        <v/>
      </c>
      <c r="B1213" s="36" t="str">
        <f t="shared" si="56"/>
        <v/>
      </c>
      <c r="C1213" s="183"/>
      <c r="D1213" s="190"/>
      <c r="E1213" s="897"/>
      <c r="F1213" s="904"/>
      <c r="G1213" s="900"/>
      <c r="H1213" s="779"/>
      <c r="I1213" s="901"/>
      <c r="J1213" s="901"/>
      <c r="K1213" s="902"/>
      <c r="L1213" s="903"/>
      <c r="M1213" s="903"/>
      <c r="N1213" s="51" t="str">
        <f>IF(AND('331-CT'!$E$7=TH!H1213,OR(L1213="331",M1213="331")),"331",IF(AND(OR(L1213="131",M1213="131"),H1213='131-CT'!$E$7),"131",""))</f>
        <v/>
      </c>
      <c r="O1213" s="887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38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W1213" s="51" t="str">
        <f>IF(OR(TH!L1213=TH!$W$7,M1213=TH!$W$7),"x","")</f>
        <v/>
      </c>
      <c r="X1213" s="51" t="str">
        <f>IF(AND(B1213&gt;='IN-NX'!$P$3,B1213&lt;='IN-NX'!$Q$3,'IN-NX'!$D$7=D1213,OR(LEFT(L1213,2)="15",AND(LEFT(M1213,2)&lt;&gt;"15",LEFT(M1213,2)&lt;&gt;"33"))),"x","")</f>
        <v/>
      </c>
      <c r="Y1213" s="51" t="str">
        <f>IF(AND(OR(LEFT(TH!L1213,2)="15",LEFT(TH!M1213,2)="15"),'152-CT'!$J$8=TH!F1213),"x","")</f>
        <v/>
      </c>
      <c r="Z1213" s="51" t="str">
        <f>IF(AND(OR(LEFT(TH!L1213,2)="15",LEFT(TH!M1213,2)="15"),TK!$E$7=TH!F1213),"x","")</f>
        <v/>
      </c>
      <c r="AA1213" s="51" t="str">
        <f>IF(AND(B1213&lt;=NKC!$N$8,B1213&gt;=NKC!$M$8),"x","")</f>
        <v/>
      </c>
      <c r="AB1213" s="912"/>
      <c r="AC1213" s="588"/>
    </row>
    <row r="1214" spans="1:30" s="210" customFormat="1" ht="15.75" customHeight="1">
      <c r="A1214" s="203" t="str">
        <f>IF(B1214&lt;&gt;"",IF(AND(B1214&gt;=_TM1,B1214&lt;=_TM2,OR(TH!L1214="1111",TH!M1214="1111")),TH!D1214,""),"")</f>
        <v/>
      </c>
      <c r="B1214" s="36" t="str">
        <f t="shared" si="56"/>
        <v/>
      </c>
      <c r="C1214" s="183"/>
      <c r="D1214" s="190"/>
      <c r="E1214" s="897"/>
      <c r="F1214" s="904"/>
      <c r="G1214" s="900"/>
      <c r="H1214" s="779"/>
      <c r="I1214" s="901"/>
      <c r="J1214" s="901"/>
      <c r="K1214" s="902"/>
      <c r="L1214" s="903"/>
      <c r="M1214" s="903"/>
      <c r="N1214" s="51" t="str">
        <f>IF(AND('331-CT'!$E$7=TH!H1214,OR(L1214="331",M1214="331")),"331",IF(AND(OR(L1214="131",M1214="131"),H1214='131-CT'!$E$7),"131",""))</f>
        <v/>
      </c>
      <c r="O1214" s="887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38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W1214" s="51" t="str">
        <f>IF(OR(TH!L1214=TH!$W$7,M1214=TH!$W$7),"x","")</f>
        <v/>
      </c>
      <c r="X1214" s="51" t="str">
        <f>IF(AND(B1214&gt;='IN-NX'!$P$3,B1214&lt;='IN-NX'!$Q$3,'IN-NX'!$D$7=D1214,OR(LEFT(L1214,2)="15",AND(LEFT(M1214,2)&lt;&gt;"15",LEFT(M1214,2)&lt;&gt;"33"))),"x","")</f>
        <v/>
      </c>
      <c r="Y1214" s="51" t="str">
        <f>IF(AND(OR(LEFT(TH!L1214,2)="15",LEFT(TH!M1214,2)="15"),'152-CT'!$J$8=TH!F1214),"x","")</f>
        <v/>
      </c>
      <c r="Z1214" s="51" t="str">
        <f>IF(AND(OR(LEFT(TH!L1214,2)="15",LEFT(TH!M1214,2)="15"),TK!$E$7=TH!F1214),"x","")</f>
        <v/>
      </c>
      <c r="AA1214" s="51" t="str">
        <f>IF(AND(B1214&lt;=NKC!$N$8,B1214&gt;=NKC!$M$8),"x","")</f>
        <v/>
      </c>
      <c r="AB1214" s="912"/>
      <c r="AC1214" s="588"/>
      <c r="AD1214" s="588"/>
    </row>
    <row r="1215" spans="1:30" s="210" customFormat="1" ht="15.75" customHeight="1">
      <c r="A1215" s="203" t="str">
        <f>IF(B1215&lt;&gt;"",IF(AND(B1215&gt;=_TM1,B1215&lt;=_TM2,OR(TH!L1215="1111",TH!M1215="1111")),TH!D1215,""),"")</f>
        <v/>
      </c>
      <c r="B1215" s="36" t="str">
        <f t="shared" si="56"/>
        <v/>
      </c>
      <c r="C1215" s="183"/>
      <c r="D1215" s="190"/>
      <c r="E1215" s="897"/>
      <c r="F1215" s="905"/>
      <c r="G1215" s="900"/>
      <c r="H1215" s="779"/>
      <c r="I1215" s="901"/>
      <c r="J1215" s="901"/>
      <c r="K1215" s="902"/>
      <c r="L1215" s="903"/>
      <c r="M1215" s="903"/>
      <c r="N1215" s="51" t="str">
        <f>IF(AND('331-CT'!$E$7=TH!H1215,OR(L1215="331",M1215="331")),"331",IF(AND(OR(L1215="131",M1215="131"),H1215='131-CT'!$E$7),"131",""))</f>
        <v/>
      </c>
      <c r="O1215" s="887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38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W1215" s="51" t="str">
        <f>IF(OR(TH!L1215=TH!$W$7,M1215=TH!$W$7),"x","")</f>
        <v/>
      </c>
      <c r="X1215" s="51" t="str">
        <f>IF(AND(B1215&gt;='IN-NX'!$P$3,B1215&lt;='IN-NX'!$Q$3,'IN-NX'!$D$7=D1215,OR(LEFT(L1215,2)="15",AND(LEFT(M1215,2)&lt;&gt;"15",LEFT(M1215,2)&lt;&gt;"33"))),"x","")</f>
        <v/>
      </c>
      <c r="Y1215" s="51" t="str">
        <f>IF(AND(OR(LEFT(TH!L1215,2)="15",LEFT(TH!M1215,2)="15"),'152-CT'!$J$8=TH!F1215),"x","")</f>
        <v/>
      </c>
      <c r="Z1215" s="51" t="str">
        <f>IF(AND(OR(LEFT(TH!L1215,2)="15",LEFT(TH!M1215,2)="15"),TK!$E$7=TH!F1215),"x","")</f>
        <v/>
      </c>
      <c r="AA1215" s="51" t="str">
        <f>IF(AND(B1215&lt;=NKC!$N$8,B1215&gt;=NKC!$M$8),"x","")</f>
        <v/>
      </c>
      <c r="AB1215" s="912"/>
      <c r="AC1215" s="588"/>
      <c r="AD1215" s="588"/>
    </row>
    <row r="1216" spans="1:30" s="210" customFormat="1" ht="15.75" customHeight="1">
      <c r="A1216" s="203" t="str">
        <f>IF(B1216&lt;&gt;"",IF(AND(B1216&gt;=_TM1,B1216&lt;=_TM2,OR(TH!L1216="1111",TH!M1216="1111")),TH!D1216,""),"")</f>
        <v/>
      </c>
      <c r="B1216" s="36" t="str">
        <f t="shared" si="56"/>
        <v/>
      </c>
      <c r="C1216" s="183"/>
      <c r="D1216" s="190"/>
      <c r="E1216" s="897"/>
      <c r="F1216" s="904"/>
      <c r="G1216" s="900"/>
      <c r="H1216" s="779"/>
      <c r="I1216" s="901"/>
      <c r="J1216" s="901"/>
      <c r="K1216" s="902"/>
      <c r="L1216" s="903"/>
      <c r="M1216" s="903"/>
      <c r="N1216" s="51" t="str">
        <f>IF(AND('331-CT'!$E$7=TH!H1216,OR(L1216="331",M1216="331")),"331",IF(AND(OR(L1216="131",M1216="131"),H1216='131-CT'!$E$7),"131",""))</f>
        <v/>
      </c>
      <c r="O1216" s="887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38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W1216" s="51" t="str">
        <f>IF(OR(TH!L1216=TH!$W$7,M1216=TH!$W$7),"x","")</f>
        <v/>
      </c>
      <c r="X1216" s="51" t="str">
        <f>IF(AND(B1216&gt;='IN-NX'!$P$3,B1216&lt;='IN-NX'!$Q$3,'IN-NX'!$D$7=D1216,OR(LEFT(L1216,2)="15",AND(LEFT(M1216,2)&lt;&gt;"15",LEFT(M1216,2)&lt;&gt;"33"))),"x","")</f>
        <v/>
      </c>
      <c r="Y1216" s="51" t="str">
        <f>IF(AND(OR(LEFT(TH!L1216,2)="15",LEFT(TH!M1216,2)="15"),'152-CT'!$J$8=TH!F1216),"x","")</f>
        <v/>
      </c>
      <c r="Z1216" s="51" t="str">
        <f>IF(AND(OR(LEFT(TH!L1216,2)="15",LEFT(TH!M1216,2)="15"),TK!$E$7=TH!F1216),"x","")</f>
        <v/>
      </c>
      <c r="AA1216" s="51" t="str">
        <f>IF(AND(B1216&lt;=NKC!$N$8,B1216&gt;=NKC!$M$8),"x","")</f>
        <v/>
      </c>
      <c r="AB1216" s="912"/>
      <c r="AC1216" s="588"/>
    </row>
    <row r="1217" spans="1:33" s="210" customFormat="1" ht="15.75" customHeight="1">
      <c r="A1217" s="203" t="str">
        <f>IF(B1217&lt;&gt;"",IF(AND(B1217&gt;=_TM1,B1217&lt;=_TM2,OR(TH!L1217="1111",TH!M1217="1111")),TH!D1217,""),"")</f>
        <v/>
      </c>
      <c r="B1217" s="36" t="str">
        <f t="shared" si="56"/>
        <v/>
      </c>
      <c r="C1217" s="183"/>
      <c r="D1217" s="190"/>
      <c r="E1217" s="897"/>
      <c r="F1217" s="904"/>
      <c r="G1217" s="900"/>
      <c r="H1217" s="779"/>
      <c r="I1217" s="901"/>
      <c r="J1217" s="901"/>
      <c r="K1217" s="902"/>
      <c r="L1217" s="903"/>
      <c r="M1217" s="903"/>
      <c r="N1217" s="51" t="str">
        <f>IF(AND('331-CT'!$E$7=TH!H1217,OR(L1217="331",M1217="331")),"331",IF(AND(OR(L1217="131",M1217="131"),H1217='131-CT'!$E$7),"131",""))</f>
        <v/>
      </c>
      <c r="O1217" s="887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38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W1217" s="51" t="str">
        <f>IF(OR(TH!L1217=TH!$W$7,M1217=TH!$W$7),"x","")</f>
        <v/>
      </c>
      <c r="X1217" s="51" t="str">
        <f>IF(AND(B1217&gt;='IN-NX'!$P$3,B1217&lt;='IN-NX'!$Q$3,'IN-NX'!$D$7=D1217,OR(LEFT(L1217,2)="15",AND(LEFT(M1217,2)&lt;&gt;"15",LEFT(M1217,2)&lt;&gt;"33"))),"x","")</f>
        <v/>
      </c>
      <c r="Y1217" s="51" t="str">
        <f>IF(AND(OR(LEFT(TH!L1217,2)="15",LEFT(TH!M1217,2)="15"),'152-CT'!$J$8=TH!F1217),"x","")</f>
        <v/>
      </c>
      <c r="Z1217" s="51" t="str">
        <f>IF(AND(OR(LEFT(TH!L1217,2)="15",LEFT(TH!M1217,2)="15"),TK!$E$7=TH!F1217),"x","")</f>
        <v/>
      </c>
      <c r="AA1217" s="51" t="str">
        <f>IF(AND(B1217&lt;=NKC!$N$8,B1217&gt;=NKC!$M$8),"x","")</f>
        <v/>
      </c>
      <c r="AB1217" s="912"/>
      <c r="AC1217" s="588"/>
      <c r="AD1217" s="588"/>
    </row>
    <row r="1218" spans="1:33" s="210" customFormat="1" ht="15.75" customHeight="1">
      <c r="A1218" s="203" t="str">
        <f>IF(B1218&lt;&gt;"",IF(AND(B1218&gt;=_TM1,B1218&lt;=_TM2,OR(TH!L1218="1111",TH!M1218="1111")),TH!D1218,""),"")</f>
        <v/>
      </c>
      <c r="B1218" s="36" t="str">
        <f t="shared" si="56"/>
        <v/>
      </c>
      <c r="C1218" s="183"/>
      <c r="D1218" s="190"/>
      <c r="E1218" s="897"/>
      <c r="F1218" s="904"/>
      <c r="G1218" s="900"/>
      <c r="H1218" s="779"/>
      <c r="I1218" s="901"/>
      <c r="J1218" s="901"/>
      <c r="K1218" s="902"/>
      <c r="L1218" s="903"/>
      <c r="M1218" s="903"/>
      <c r="N1218" s="51" t="str">
        <f>IF(AND('331-CT'!$E$7=TH!H1218,OR(L1218="331",M1218="331")),"331",IF(AND(OR(L1218="131",M1218="131"),H1218='131-CT'!$E$7),"131",""))</f>
        <v/>
      </c>
      <c r="O1218" s="887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38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W1218" s="51" t="str">
        <f>IF(OR(TH!L1218=TH!$W$7,M1218=TH!$W$7),"x","")</f>
        <v/>
      </c>
      <c r="X1218" s="51" t="str">
        <f>IF(AND(B1218&gt;='IN-NX'!$P$3,B1218&lt;='IN-NX'!$Q$3,'IN-NX'!$D$7=D1218,OR(LEFT(L1218,2)="15",AND(LEFT(M1218,2)&lt;&gt;"15",LEFT(M1218,2)&lt;&gt;"33"))),"x","")</f>
        <v/>
      </c>
      <c r="Y1218" s="51" t="str">
        <f>IF(AND(OR(LEFT(TH!L1218,2)="15",LEFT(TH!M1218,2)="15"),'152-CT'!$J$8=TH!F1218),"x","")</f>
        <v/>
      </c>
      <c r="Z1218" s="51" t="str">
        <f>IF(AND(OR(LEFT(TH!L1218,2)="15",LEFT(TH!M1218,2)="15"),TK!$E$7=TH!F1218),"x","")</f>
        <v/>
      </c>
      <c r="AA1218" s="51" t="str">
        <f>IF(AND(B1218&lt;=NKC!$N$8,B1218&gt;=NKC!$M$8),"x","")</f>
        <v/>
      </c>
      <c r="AB1218" s="912"/>
      <c r="AC1218" s="588"/>
      <c r="AD1218" s="588"/>
    </row>
    <row r="1219" spans="1:33" s="210" customFormat="1" ht="15.75" customHeight="1">
      <c r="A1219" s="203" t="str">
        <f>IF(B1219&lt;&gt;"",IF(AND(B1219&gt;=_TM1,B1219&lt;=_TM2,OR(TH!L1219="1111",TH!M1219="1111")),TH!D1219,""),"")</f>
        <v/>
      </c>
      <c r="B1219" s="36" t="str">
        <f t="shared" si="56"/>
        <v/>
      </c>
      <c r="C1219" s="183"/>
      <c r="D1219" s="190"/>
      <c r="E1219" s="897"/>
      <c r="F1219" s="904"/>
      <c r="G1219" s="900"/>
      <c r="H1219" s="779"/>
      <c r="I1219" s="901"/>
      <c r="J1219" s="901"/>
      <c r="K1219" s="902"/>
      <c r="L1219" s="903"/>
      <c r="M1219" s="903"/>
      <c r="N1219" s="51" t="str">
        <f>IF(AND('331-CT'!$E$7=TH!H1219,OR(L1219="331",M1219="331")),"331",IF(AND(OR(L1219="131",M1219="131"),H1219='131-CT'!$E$7),"131",""))</f>
        <v/>
      </c>
      <c r="O1219" s="887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38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W1219" s="51" t="str">
        <f>IF(OR(TH!L1219=TH!$W$7,M1219=TH!$W$7),"x","")</f>
        <v/>
      </c>
      <c r="X1219" s="51" t="str">
        <f>IF(AND(B1219&gt;='IN-NX'!$P$3,B1219&lt;='IN-NX'!$Q$3,'IN-NX'!$D$7=D1219,OR(LEFT(L1219,2)="15",AND(LEFT(M1219,2)&lt;&gt;"15",LEFT(M1219,2)&lt;&gt;"33"))),"x","")</f>
        <v/>
      </c>
      <c r="Y1219" s="51" t="str">
        <f>IF(AND(OR(LEFT(TH!L1219,2)="15",LEFT(TH!M1219,2)="15"),'152-CT'!$J$8=TH!F1219),"x","")</f>
        <v/>
      </c>
      <c r="Z1219" s="51" t="str">
        <f>IF(AND(OR(LEFT(TH!L1219,2)="15",LEFT(TH!M1219,2)="15"),TK!$E$7=TH!F1219),"x","")</f>
        <v/>
      </c>
      <c r="AA1219" s="51" t="str">
        <f>IF(AND(B1219&lt;=NKC!$N$8,B1219&gt;=NKC!$M$8),"x","")</f>
        <v/>
      </c>
      <c r="AB1219" s="912"/>
      <c r="AC1219" s="588"/>
      <c r="AD1219" s="588"/>
    </row>
    <row r="1220" spans="1:33" s="210" customFormat="1" ht="15.75" customHeight="1">
      <c r="A1220" s="203" t="str">
        <f>IF(B1220&lt;&gt;"",IF(AND(B1220&gt;=_TM1,B1220&lt;=_TM2,OR(TH!L1220="1111",TH!M1220="1111")),TH!D1220,""),"")</f>
        <v/>
      </c>
      <c r="B1220" s="36" t="str">
        <f t="shared" si="56"/>
        <v/>
      </c>
      <c r="C1220" s="183"/>
      <c r="D1220" s="190"/>
      <c r="E1220" s="897"/>
      <c r="F1220" s="904"/>
      <c r="G1220" s="900"/>
      <c r="H1220" s="779"/>
      <c r="I1220" s="901"/>
      <c r="J1220" s="901"/>
      <c r="K1220" s="908"/>
      <c r="L1220" s="903"/>
      <c r="M1220" s="903"/>
      <c r="N1220" s="51" t="str">
        <f>IF(AND('331-CT'!$E$7=TH!H1220,OR(L1220="331",M1220="331")),"331",IF(AND(OR(L1220="131",M1220="131"),H1220='131-CT'!$E$7),"131",""))</f>
        <v/>
      </c>
      <c r="O1220" s="887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38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W1220" s="51" t="str">
        <f>IF(OR(TH!L1220=TH!$W$7,M1220=TH!$W$7),"x","")</f>
        <v/>
      </c>
      <c r="X1220" s="51" t="str">
        <f>IF(AND(B1220&gt;='IN-NX'!$P$3,B1220&lt;='IN-NX'!$Q$3,'IN-NX'!$D$7=D1220,OR(LEFT(L1220,2)="15",AND(LEFT(M1220,2)&lt;&gt;"15",LEFT(M1220,2)&lt;&gt;"33"))),"x","")</f>
        <v/>
      </c>
      <c r="Y1220" s="51" t="str">
        <f>IF(AND(OR(LEFT(TH!L1220,2)="15",LEFT(TH!M1220,2)="15"),'152-CT'!$J$8=TH!F1220),"x","")</f>
        <v/>
      </c>
      <c r="Z1220" s="51" t="str">
        <f>IF(AND(OR(LEFT(TH!L1220,2)="15",LEFT(TH!M1220,2)="15"),TK!$E$7=TH!F1220),"x","")</f>
        <v/>
      </c>
      <c r="AA1220" s="51" t="str">
        <f>IF(AND(B1220&lt;=NKC!$N$8,B1220&gt;=NKC!$M$8),"x","")</f>
        <v/>
      </c>
      <c r="AB1220" s="912"/>
      <c r="AC1220" s="588"/>
    </row>
    <row r="1221" spans="1:33" s="210" customFormat="1" ht="15.75" customHeight="1">
      <c r="A1221" s="203" t="str">
        <f>IF(B1221&lt;&gt;"",IF(AND(B1221&gt;=_TM1,B1221&lt;=_TM2,OR(TH!L1221="1111",TH!M1221="1111")),TH!D1221,""),"")</f>
        <v/>
      </c>
      <c r="B1221" s="36" t="str">
        <f t="shared" si="56"/>
        <v/>
      </c>
      <c r="C1221" s="183"/>
      <c r="D1221" s="190"/>
      <c r="E1221" s="183"/>
      <c r="F1221" s="191"/>
      <c r="G1221" s="481"/>
      <c r="H1221" s="888"/>
      <c r="I1221" s="255"/>
      <c r="J1221" s="255"/>
      <c r="K1221" s="37"/>
      <c r="L1221" s="193"/>
      <c r="M1221" s="193"/>
      <c r="N1221" s="51" t="str">
        <f>IF(AND('331-CT'!$E$7=TH!H1221,OR(L1221="331",M1221="331")),"331",IF(AND(OR(L1221="131",M1221="131"),H1221='131-CT'!$E$7),"131",""))</f>
        <v/>
      </c>
      <c r="O1221" s="887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38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W1221" s="51" t="str">
        <f>IF(OR(TH!L1221=TH!$W$7,M1221=TH!$W$7),"x","")</f>
        <v/>
      </c>
      <c r="X1221" s="51" t="str">
        <f>IF(AND(B1221&gt;='IN-NX'!$P$3,B1221&lt;='IN-NX'!$Q$3,'IN-NX'!$D$7=D1221,OR(LEFT(L1221,2)="15",AND(LEFT(M1221,2)&lt;&gt;"15",LEFT(M1221,2)&lt;&gt;"33"))),"x","")</f>
        <v/>
      </c>
      <c r="Y1221" s="51" t="str">
        <f>IF(AND(OR(LEFT(TH!L1221,2)="15",LEFT(TH!M1221,2)="15"),'152-CT'!$J$8=TH!F1221),"x","")</f>
        <v/>
      </c>
      <c r="Z1221" s="51" t="str">
        <f>IF(AND(OR(LEFT(TH!L1221,2)="15",LEFT(TH!M1221,2)="15"),TK!$E$7=TH!F1221),"x","")</f>
        <v/>
      </c>
      <c r="AA1221" s="51" t="str">
        <f>IF(AND(B1221&lt;=NKC!$N$8,B1221&gt;=NKC!$M$8),"x","")</f>
        <v/>
      </c>
      <c r="AB1221" s="909"/>
      <c r="AC1221" s="588"/>
      <c r="AD1221" s="588"/>
    </row>
    <row r="1222" spans="1:33" s="210" customFormat="1" ht="15.75" customHeight="1">
      <c r="A1222" s="203" t="str">
        <f>IF(B1222&lt;&gt;"",IF(AND(B1222&gt;=_TM1,B1222&lt;=_TM2,OR(TH!L1222="1111",TH!M1222="1111")),TH!D1222,""),"")</f>
        <v/>
      </c>
      <c r="B1222" s="36" t="str">
        <f t="shared" si="56"/>
        <v/>
      </c>
      <c r="C1222" s="183"/>
      <c r="D1222" s="190"/>
      <c r="E1222" s="183"/>
      <c r="F1222" s="191"/>
      <c r="G1222" s="481"/>
      <c r="H1222" s="888"/>
      <c r="I1222" s="255"/>
      <c r="J1222" s="255"/>
      <c r="K1222" s="37"/>
      <c r="L1222" s="193"/>
      <c r="M1222" s="193"/>
      <c r="N1222" s="51" t="str">
        <f>IF(AND('331-CT'!$E$7=TH!H1222,OR(L1222="331",M1222="331")),"331",IF(AND(OR(L1222="131",M1222="131"),H1222='131-CT'!$E$7),"131",""))</f>
        <v/>
      </c>
      <c r="O1222" s="887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38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W1222" s="51" t="str">
        <f>IF(OR(TH!L1222=TH!$W$7,M1222=TH!$W$7),"x","")</f>
        <v/>
      </c>
      <c r="X1222" s="51" t="str">
        <f>IF(AND(B1222&gt;='IN-NX'!$P$3,B1222&lt;='IN-NX'!$Q$3,'IN-NX'!$D$7=D1222,OR(LEFT(L1222,2)="15",AND(LEFT(M1222,2)&lt;&gt;"15",LEFT(M1222,2)&lt;&gt;"33"))),"x","")</f>
        <v/>
      </c>
      <c r="Y1222" s="51" t="str">
        <f>IF(AND(OR(LEFT(TH!L1222,2)="15",LEFT(TH!M1222,2)="15"),'152-CT'!$J$8=TH!F1222),"x","")</f>
        <v/>
      </c>
      <c r="Z1222" s="51" t="str">
        <f>IF(AND(OR(LEFT(TH!L1222,2)="15",LEFT(TH!M1222,2)="15"),TK!$E$7=TH!F1222),"x","")</f>
        <v/>
      </c>
      <c r="AA1222" s="51" t="str">
        <f>IF(AND(B1222&lt;=NKC!$N$8,B1222&gt;=NKC!$M$8),"x","")</f>
        <v/>
      </c>
      <c r="AB1222" s="909"/>
      <c r="AC1222" s="588"/>
      <c r="AD1222" s="588"/>
    </row>
    <row r="1223" spans="1:33" s="210" customFormat="1" ht="15.75" customHeight="1">
      <c r="A1223" s="203" t="str">
        <f>IF(B1223&lt;&gt;"",IF(AND(B1223&gt;=_TM1,B1223&lt;=_TM2,OR(TH!L1223="1111",TH!M1223="1111")),TH!D1223,""),"")</f>
        <v/>
      </c>
      <c r="B1223" s="36" t="str">
        <f t="shared" si="56"/>
        <v/>
      </c>
      <c r="C1223" s="183"/>
      <c r="D1223" s="190"/>
      <c r="E1223" s="183"/>
      <c r="F1223" s="188"/>
      <c r="G1223" s="481"/>
      <c r="H1223" s="888"/>
      <c r="I1223" s="255"/>
      <c r="J1223" s="255"/>
      <c r="K1223" s="596"/>
      <c r="L1223" s="193"/>
      <c r="M1223" s="193"/>
      <c r="N1223" s="51" t="str">
        <f>IF(AND('331-CT'!$E$7=TH!H1223,OR(L1223="331",M1223="331")),"331",IF(AND(OR(L1223="131",M1223="131"),H1223='131-CT'!$E$7),"131",""))</f>
        <v/>
      </c>
      <c r="O1223" s="887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38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W1223" s="51" t="str">
        <f>IF(OR(TH!L1223=TH!$W$7,M1223=TH!$W$7),"x","")</f>
        <v/>
      </c>
      <c r="X1223" s="51" t="str">
        <f>IF(AND(B1223&gt;='IN-NX'!$P$3,B1223&lt;='IN-NX'!$Q$3,'IN-NX'!$D$7=D1223,OR(LEFT(L1223,2)="15",AND(LEFT(M1223,2)&lt;&gt;"15",LEFT(M1223,2)&lt;&gt;"33"))),"x","")</f>
        <v/>
      </c>
      <c r="Y1223" s="51" t="str">
        <f>IF(AND(OR(LEFT(TH!L1223,2)="15",LEFT(TH!M1223,2)="15"),'152-CT'!$J$8=TH!F1223),"x","")</f>
        <v/>
      </c>
      <c r="Z1223" s="51" t="str">
        <f>IF(AND(OR(LEFT(TH!L1223,2)="15",LEFT(TH!M1223,2)="15"),TK!$E$7=TH!F1223),"x","")</f>
        <v/>
      </c>
      <c r="AA1223" s="51" t="str">
        <f>IF(AND(B1223&lt;=NKC!$N$8,B1223&gt;=NKC!$M$8),"x","")</f>
        <v/>
      </c>
      <c r="AB1223" s="909"/>
      <c r="AC1223" s="588"/>
    </row>
    <row r="1224" spans="1:33" s="210" customFormat="1" ht="15.75" customHeight="1">
      <c r="A1224" s="203" t="str">
        <f>IF(B1224&lt;&gt;"",IF(AND(B1224&gt;=_TM1,B1224&lt;=_TM2,OR(TH!L1224="1111",TH!M1224="1111")),TH!D1224,""),"")</f>
        <v/>
      </c>
      <c r="B1224" s="36" t="str">
        <f t="shared" si="56"/>
        <v/>
      </c>
      <c r="C1224" s="183"/>
      <c r="D1224" s="190"/>
      <c r="E1224" s="183"/>
      <c r="F1224" s="191"/>
      <c r="G1224" s="481"/>
      <c r="H1224" s="192"/>
      <c r="I1224" s="255"/>
      <c r="J1224" s="255"/>
      <c r="K1224" s="37"/>
      <c r="L1224" s="193"/>
      <c r="M1224" s="193"/>
      <c r="N1224" s="51" t="str">
        <f>IF(AND('331-CT'!$E$7=TH!H1224,OR(L1224="331",M1224="331")),"331",IF(AND(OR(L1224="131",M1224="131"),H1224='131-CT'!$E$7),"131",""))</f>
        <v/>
      </c>
      <c r="O1224" s="887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38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W1224" s="51" t="str">
        <f>IF(OR(TH!L1224=TH!$W$7,M1224=TH!$W$7),"x","")</f>
        <v/>
      </c>
      <c r="X1224" s="51" t="str">
        <f>IF(AND(B1224&gt;='IN-NX'!$P$3,B1224&lt;='IN-NX'!$Q$3,'IN-NX'!$D$7=D1224,OR(LEFT(L1224,2)="15",AND(LEFT(M1224,2)&lt;&gt;"15",LEFT(M1224,2)&lt;&gt;"33"))),"x","")</f>
        <v/>
      </c>
      <c r="Y1224" s="51" t="str">
        <f>IF(AND(OR(LEFT(TH!L1224,2)="15",LEFT(TH!M1224,2)="15"),'152-CT'!$J$8=TH!F1224),"x","")</f>
        <v/>
      </c>
      <c r="Z1224" s="51" t="str">
        <f>IF(AND(OR(LEFT(TH!L1224,2)="15",LEFT(TH!M1224,2)="15"),TK!$E$7=TH!F1224),"x","")</f>
        <v/>
      </c>
      <c r="AA1224" s="51" t="str">
        <f>IF(AND(B1224&lt;=NKC!$N$8,B1224&gt;=NKC!$M$8),"x","")</f>
        <v/>
      </c>
      <c r="AB1224" s="909"/>
      <c r="AC1224" s="588"/>
      <c r="AD1224" s="588"/>
    </row>
    <row r="1225" spans="1:33" s="210" customFormat="1" ht="15.75" customHeight="1">
      <c r="A1225" s="203" t="str">
        <f>IF(B1225&lt;&gt;"",IF(AND(B1225&gt;=_TM1,B1225&lt;=_TM2,OR(TH!L1225="1111",TH!M1225="1111")),TH!D1225,""),"")</f>
        <v/>
      </c>
      <c r="B1225" s="36" t="str">
        <f t="shared" si="56"/>
        <v/>
      </c>
      <c r="C1225" s="183"/>
      <c r="D1225" s="190"/>
      <c r="E1225" s="183"/>
      <c r="F1225" s="188"/>
      <c r="G1225" s="481"/>
      <c r="H1225" s="192"/>
      <c r="I1225" s="255"/>
      <c r="J1225" s="255"/>
      <c r="K1225" s="37"/>
      <c r="L1225" s="193"/>
      <c r="M1225" s="193"/>
      <c r="N1225" s="51" t="str">
        <f>IF(AND('331-CT'!$E$7=TH!H1225,OR(L1225="331",M1225="331")),"331",IF(AND(OR(L1225="131",M1225="131"),H1225='131-CT'!$E$7),"131",""))</f>
        <v/>
      </c>
      <c r="O1225" s="887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38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W1225" s="51" t="str">
        <f>IF(OR(TH!L1225=TH!$W$7,M1225=TH!$W$7),"x","")</f>
        <v/>
      </c>
      <c r="X1225" s="51" t="str">
        <f>IF(AND(B1225&gt;='IN-NX'!$P$3,B1225&lt;='IN-NX'!$Q$3,'IN-NX'!$D$7=D1225,OR(LEFT(L1225,2)="15",AND(LEFT(M1225,2)&lt;&gt;"15",LEFT(M1225,2)&lt;&gt;"33"))),"x","")</f>
        <v/>
      </c>
      <c r="Y1225" s="51" t="str">
        <f>IF(AND(OR(LEFT(TH!L1225,2)="15",LEFT(TH!M1225,2)="15"),'152-CT'!$J$8=TH!F1225),"x","")</f>
        <v/>
      </c>
      <c r="Z1225" s="51" t="str">
        <f>IF(AND(OR(LEFT(TH!L1225,2)="15",LEFT(TH!M1225,2)="15"),TK!$E$7=TH!F1225),"x","")</f>
        <v/>
      </c>
      <c r="AA1225" s="51" t="str">
        <f>IF(AND(B1225&lt;=NKC!$N$8,B1225&gt;=NKC!$M$8),"x","")</f>
        <v/>
      </c>
      <c r="AB1225" s="909"/>
      <c r="AC1225" s="588"/>
      <c r="AD1225" s="588"/>
    </row>
    <row r="1226" spans="1:33" s="210" customFormat="1" ht="15.75" customHeight="1">
      <c r="A1226" s="203" t="str">
        <f>IF(B1226&lt;&gt;"",IF(AND(B1226&gt;=_TM1,B1226&lt;=_TM2,OR(TH!L1226="1111",TH!M1226="1111")),TH!D1226,""),"")</f>
        <v/>
      </c>
      <c r="B1226" s="36" t="str">
        <f t="shared" si="56"/>
        <v/>
      </c>
      <c r="C1226" s="183"/>
      <c r="D1226" s="190"/>
      <c r="E1226" s="183"/>
      <c r="F1226" s="188"/>
      <c r="G1226" s="481"/>
      <c r="H1226" s="192"/>
      <c r="I1226" s="255"/>
      <c r="J1226" s="255"/>
      <c r="K1226" s="37"/>
      <c r="L1226" s="193"/>
      <c r="M1226" s="193"/>
      <c r="N1226" s="51" t="str">
        <f>IF(AND('331-CT'!$E$7=TH!H1226,OR(L1226="331",M1226="331")),"331",IF(AND(OR(L1226="131",M1226="131"),H1226='131-CT'!$E$7),"131",""))</f>
        <v/>
      </c>
      <c r="O1226" s="887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38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W1226" s="51" t="str">
        <f>IF(OR(TH!L1226=TH!$W$7,M1226=TH!$W$7),"x","")</f>
        <v/>
      </c>
      <c r="X1226" s="51" t="str">
        <f>IF(AND(B1226&gt;='IN-NX'!$P$3,B1226&lt;='IN-NX'!$Q$3,'IN-NX'!$D$7=D1226,OR(LEFT(L1226,2)="15",AND(LEFT(M1226,2)&lt;&gt;"15",LEFT(M1226,2)&lt;&gt;"33"))),"x","")</f>
        <v/>
      </c>
      <c r="Y1226" s="51" t="str">
        <f>IF(AND(OR(LEFT(TH!L1226,2)="15",LEFT(TH!M1226,2)="15"),'152-CT'!$J$8=TH!F1226),"x","")</f>
        <v/>
      </c>
      <c r="Z1226" s="51" t="str">
        <f>IF(AND(OR(LEFT(TH!L1226,2)="15",LEFT(TH!M1226,2)="15"),TK!$E$7=TH!F1226),"x","")</f>
        <v/>
      </c>
      <c r="AA1226" s="51" t="str">
        <f>IF(AND(B1226&lt;=NKC!$N$8,B1226&gt;=NKC!$M$8),"x","")</f>
        <v/>
      </c>
      <c r="AB1226" s="909"/>
      <c r="AC1226" s="588"/>
    </row>
    <row r="1227" spans="1:33" s="210" customFormat="1" ht="15.75" customHeight="1">
      <c r="A1227" s="203" t="str">
        <f>IF(B1227&lt;&gt;"",IF(AND(B1227&gt;=_TM1,B1227&lt;=_TM2,OR(TH!L1227="1111",TH!M1227="1111")),TH!D1227,""),"")</f>
        <v/>
      </c>
      <c r="B1227" s="36" t="str">
        <f t="shared" si="56"/>
        <v/>
      </c>
      <c r="C1227" s="183"/>
      <c r="D1227" s="190"/>
      <c r="E1227" s="183"/>
      <c r="F1227" s="188"/>
      <c r="G1227" s="481"/>
      <c r="H1227" s="192"/>
      <c r="I1227" s="255"/>
      <c r="J1227" s="255"/>
      <c r="K1227" s="37"/>
      <c r="L1227" s="193"/>
      <c r="M1227" s="193"/>
      <c r="N1227" s="51" t="str">
        <f>IF(AND('331-CT'!$E$7=TH!H1227,OR(L1227="331",M1227="331")),"331",IF(AND(OR(L1227="131",M1227="131"),H1227='131-CT'!$E$7),"131",""))</f>
        <v/>
      </c>
      <c r="O1227" s="887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38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W1227" s="51" t="str">
        <f>IF(OR(TH!L1227=TH!$W$7,M1227=TH!$W$7),"x","")</f>
        <v/>
      </c>
      <c r="X1227" s="51" t="str">
        <f>IF(AND(B1227&gt;='IN-NX'!$P$3,B1227&lt;='IN-NX'!$Q$3,'IN-NX'!$D$7=D1227,OR(LEFT(L1227,2)="15",AND(LEFT(M1227,2)&lt;&gt;"15",LEFT(M1227,2)&lt;&gt;"33"))),"x","")</f>
        <v/>
      </c>
      <c r="Y1227" s="51" t="str">
        <f>IF(AND(OR(LEFT(TH!L1227,2)="15",LEFT(TH!M1227,2)="15"),'152-CT'!$J$8=TH!F1227),"x","")</f>
        <v/>
      </c>
      <c r="Z1227" s="51" t="str">
        <f>IF(AND(OR(LEFT(TH!L1227,2)="15",LEFT(TH!M1227,2)="15"),TK!$E$7=TH!F1227),"x","")</f>
        <v/>
      </c>
      <c r="AA1227" s="51" t="str">
        <f>IF(AND(B1227&lt;=NKC!$N$8,B1227&gt;=NKC!$M$8),"x","")</f>
        <v/>
      </c>
      <c r="AB1227" s="909"/>
      <c r="AC1227" s="588"/>
      <c r="AD1227" s="588"/>
    </row>
    <row r="1228" spans="1:33" s="210" customFormat="1" ht="15.75" customHeight="1">
      <c r="A1228" s="203" t="str">
        <f>IF(B1228&lt;&gt;"",IF(AND(B1228&gt;=_TM1,B1228&lt;=_TM2,OR(TH!L1228="1111",TH!M1228="1111")),TH!D1228,""),"")</f>
        <v/>
      </c>
      <c r="B1228" s="36" t="str">
        <f t="shared" si="56"/>
        <v/>
      </c>
      <c r="C1228" s="183"/>
      <c r="D1228" s="190"/>
      <c r="E1228" s="183"/>
      <c r="F1228" s="191"/>
      <c r="G1228" s="481"/>
      <c r="H1228" s="192"/>
      <c r="I1228" s="255"/>
      <c r="J1228" s="255"/>
      <c r="K1228" s="596"/>
      <c r="L1228" s="193"/>
      <c r="M1228" s="193"/>
      <c r="N1228" s="51" t="str">
        <f>IF(AND('331-CT'!$E$7=TH!H1228,OR(L1228="331",M1228="331")),"331",IF(AND(OR(L1228="131",M1228="131"),H1228='131-CT'!$E$7),"131",""))</f>
        <v/>
      </c>
      <c r="O1228" s="887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38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W1228" s="51" t="str">
        <f>IF(OR(TH!L1228=TH!$W$7,M1228=TH!$W$7),"x","")</f>
        <v/>
      </c>
      <c r="X1228" s="51" t="str">
        <f>IF(AND(B1228&gt;='IN-NX'!$P$3,B1228&lt;='IN-NX'!$Q$3,'IN-NX'!$D$7=D1228,OR(LEFT(L1228,2)="15",AND(LEFT(M1228,2)&lt;&gt;"15",LEFT(M1228,2)&lt;&gt;"33"))),"x","")</f>
        <v/>
      </c>
      <c r="Y1228" s="51" t="str">
        <f>IF(AND(OR(LEFT(TH!L1228,2)="15",LEFT(TH!M1228,2)="15"),'152-CT'!$J$8=TH!F1228),"x","")</f>
        <v/>
      </c>
      <c r="Z1228" s="51" t="str">
        <f>IF(AND(OR(LEFT(TH!L1228,2)="15",LEFT(TH!M1228,2)="15"),TK!$E$7=TH!F1228),"x","")</f>
        <v/>
      </c>
      <c r="AA1228" s="51" t="str">
        <f>IF(AND(B1228&lt;=NKC!$N$8,B1228&gt;=NKC!$M$8),"x","")</f>
        <v/>
      </c>
      <c r="AB1228" s="909"/>
      <c r="AC1228" s="588"/>
      <c r="AD1228" s="588"/>
    </row>
    <row r="1229" spans="1:33" s="210" customFormat="1" ht="15.75" customHeight="1">
      <c r="A1229" s="203" t="str">
        <f>IF(B1229&lt;&gt;"",IF(AND(B1229&gt;=_TM1,B1229&lt;=_TM2,OR(TH!L1229="1111",TH!M1229="1111")),TH!D1229,""),"")</f>
        <v/>
      </c>
      <c r="B1229" s="36" t="str">
        <f t="shared" si="56"/>
        <v/>
      </c>
      <c r="C1229" s="183"/>
      <c r="D1229" s="190"/>
      <c r="E1229" s="183"/>
      <c r="F1229" s="191"/>
      <c r="G1229" s="481"/>
      <c r="H1229" s="7"/>
      <c r="I1229" s="255"/>
      <c r="J1229" s="255"/>
      <c r="K1229" s="37"/>
      <c r="L1229" s="193"/>
      <c r="M1229" s="193"/>
      <c r="N1229" s="51" t="str">
        <f>IF(AND('331-CT'!$E$7=TH!H1229,OR(L1229="331",M1229="331")),"331",IF(AND(OR(L1229="131",M1229="131"),H1229='131-CT'!$E$7),"131",""))</f>
        <v/>
      </c>
      <c r="O1229" s="887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38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W1229" s="51" t="str">
        <f>IF(OR(TH!L1229=TH!$W$7,M1229=TH!$W$7),"x","")</f>
        <v/>
      </c>
      <c r="X1229" s="51" t="str">
        <f>IF(AND(B1229&gt;='IN-NX'!$P$3,B1229&lt;='IN-NX'!$Q$3,'IN-NX'!$D$7=D1229,OR(LEFT(L1229,2)="15",AND(LEFT(M1229,2)&lt;&gt;"15",LEFT(M1229,2)&lt;&gt;"33"))),"x","")</f>
        <v/>
      </c>
      <c r="Y1229" s="51" t="str">
        <f>IF(AND(OR(LEFT(TH!L1229,2)="15",LEFT(TH!M1229,2)="15"),'152-CT'!$J$8=TH!F1229),"x","")</f>
        <v/>
      </c>
      <c r="Z1229" s="51" t="str">
        <f>IF(AND(OR(LEFT(TH!L1229,2)="15",LEFT(TH!M1229,2)="15"),TK!$E$7=TH!F1229),"x","")</f>
        <v/>
      </c>
      <c r="AA1229" s="51" t="str">
        <f>IF(AND(B1229&lt;=NKC!$N$8,B1229&gt;=NKC!$M$8),"x","")</f>
        <v/>
      </c>
      <c r="AB1229" s="909"/>
      <c r="AC1229" s="588"/>
      <c r="AD1229" s="588"/>
      <c r="AF1229" s="588"/>
      <c r="AG1229" s="588"/>
    </row>
    <row r="1230" spans="1:33" s="210" customFormat="1" ht="15.75" customHeight="1">
      <c r="A1230" s="203" t="str">
        <f>IF(B1230&lt;&gt;"",IF(AND(B1230&gt;=_TM1,B1230&lt;=_TM2,OR(TH!L1230="1111",TH!M1230="1111")),TH!D1230,""),"")</f>
        <v/>
      </c>
      <c r="B1230" s="36" t="str">
        <f t="shared" si="56"/>
        <v/>
      </c>
      <c r="C1230" s="183"/>
      <c r="D1230" s="190"/>
      <c r="E1230" s="183"/>
      <c r="F1230" s="188"/>
      <c r="G1230" s="481"/>
      <c r="H1230" s="7"/>
      <c r="I1230" s="255"/>
      <c r="J1230" s="255"/>
      <c r="K1230" s="596"/>
      <c r="L1230" s="193"/>
      <c r="M1230" s="193"/>
      <c r="N1230" s="51" t="str">
        <f>IF(AND('331-CT'!$E$7=TH!H1230,OR(L1230="331",M1230="331")),"331",IF(AND(OR(L1230="131",M1230="131"),H1230='131-CT'!$E$7),"131",""))</f>
        <v/>
      </c>
      <c r="O1230" s="887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38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W1230" s="51" t="str">
        <f>IF(OR(TH!L1230=TH!$W$7,M1230=TH!$W$7),"x","")</f>
        <v/>
      </c>
      <c r="X1230" s="51" t="str">
        <f>IF(AND(B1230&gt;='IN-NX'!$P$3,B1230&lt;='IN-NX'!$Q$3,'IN-NX'!$D$7=D1230,OR(LEFT(L1230,2)="15",AND(LEFT(M1230,2)&lt;&gt;"15",LEFT(M1230,2)&lt;&gt;"33"))),"x","")</f>
        <v/>
      </c>
      <c r="Y1230" s="51" t="str">
        <f>IF(AND(OR(LEFT(TH!L1230,2)="15",LEFT(TH!M1230,2)="15"),'152-CT'!$J$8=TH!F1230),"x","")</f>
        <v/>
      </c>
      <c r="Z1230" s="51" t="str">
        <f>IF(AND(OR(LEFT(TH!L1230,2)="15",LEFT(TH!M1230,2)="15"),TK!$E$7=TH!F1230),"x","")</f>
        <v/>
      </c>
      <c r="AA1230" s="51" t="str">
        <f>IF(AND(B1230&lt;=NKC!$N$8,B1230&gt;=NKC!$M$8),"x","")</f>
        <v/>
      </c>
      <c r="AB1230" s="909"/>
      <c r="AC1230" s="588"/>
      <c r="AD1230" s="588"/>
      <c r="AF1230" s="588"/>
      <c r="AG1230" s="588"/>
    </row>
    <row r="1231" spans="1:33" s="210" customFormat="1" ht="15.75" customHeight="1">
      <c r="A1231" s="203" t="str">
        <f>IF(B1231&lt;&gt;"",IF(AND(B1231&gt;=_TM1,B1231&lt;=_TM2,OR(TH!L1231="1111",TH!M1231="1111")),TH!D1231,""),"")</f>
        <v/>
      </c>
      <c r="B1231" s="36" t="str">
        <f t="shared" si="56"/>
        <v/>
      </c>
      <c r="C1231" s="183"/>
      <c r="D1231" s="190"/>
      <c r="E1231" s="183"/>
      <c r="F1231" s="188"/>
      <c r="G1231" s="481"/>
      <c r="H1231" s="192"/>
      <c r="I1231" s="255"/>
      <c r="J1231" s="255"/>
      <c r="K1231" s="37"/>
      <c r="L1231" s="193"/>
      <c r="M1231" s="193"/>
      <c r="N1231" s="51" t="str">
        <f>IF(AND('331-CT'!$E$7=TH!H1231,OR(L1231="331",M1231="331")),"331",IF(AND(OR(L1231="131",M1231="131"),H1231='131-CT'!$E$7),"131",""))</f>
        <v/>
      </c>
      <c r="O1231" s="887" t="str">
        <f>IF(AND('341-CT'!$E$9=H1231,OR(LEFT(L1231,3)=$O$7,LEFT(M1231,3)=$O$7)),"x","")</f>
        <v/>
      </c>
      <c r="P1231" s="51" t="str">
        <f>IF(AND($B1231&gt;='111'!$N$11,$B1231&lt;='111'!$O$11,OR($L1231=$P$7,$M1231=$P$7)),"x","")</f>
        <v/>
      </c>
      <c r="Q1231" s="51" t="str">
        <f>IF(AND($L1231=$P$7,$B1231&lt;'111'!$N$11),"x","")</f>
        <v/>
      </c>
      <c r="R1231" s="51" t="str">
        <f>IF(AND($M1231=$P$7,$B1231&lt;'111'!$N$11),"x","")</f>
        <v/>
      </c>
      <c r="S1231" s="51" t="str">
        <f>IF(ISERROR(FIND('112'!$M$9,G1231,1)),"",IF((AND(FIND('112'!$M$9,G1231,1)&gt;=1,$B1231&gt;='112'!$N$8,$B1231&lt;='112'!$O$8,OR($L1231='112'!$I$6,$M1231='112'!$I$6))),"x",""))</f>
        <v/>
      </c>
      <c r="T1231" s="51" t="str">
        <f>IF(ISERROR(FIND('112'!$M$9,G1231,1)),"",IF((AND(LEFT(G1231,2)=LEFT('112'!$M$9,2),B1231&lt;'112'!$N$8,$L1231='112'!$I$6)),"x",""))</f>
        <v/>
      </c>
      <c r="U1231" s="51" t="str">
        <f>IF(ISERROR(FIND('112'!$M$9,G1231,1)),"",IF((AND(RIGHT(G1231,2)=RIGHT('112'!$M$9,2),B1231&lt;'112'!$N$8,$M1231='112'!$I$6)),"x",""))</f>
        <v/>
      </c>
      <c r="V1231" s="38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/>
      </c>
      <c r="W1231" s="51" t="str">
        <f>IF(OR(TH!L1231=TH!$W$7,M1231=TH!$W$7),"x","")</f>
        <v/>
      </c>
      <c r="X1231" s="51" t="str">
        <f>IF(AND(B1231&gt;='IN-NX'!$P$3,B1231&lt;='IN-NX'!$Q$3,'IN-NX'!$D$7=D1231,OR(LEFT(L1231,2)="15",AND(LEFT(M1231,2)&lt;&gt;"15",LEFT(M1231,2)&lt;&gt;"33"))),"x","")</f>
        <v/>
      </c>
      <c r="Y1231" s="51" t="str">
        <f>IF(AND(OR(LEFT(TH!L1231,2)="15",LEFT(TH!M1231,2)="15"),'152-CT'!$J$8=TH!F1231),"x","")</f>
        <v/>
      </c>
      <c r="Z1231" s="51" t="str">
        <f>IF(AND(OR(LEFT(TH!L1231,2)="15",LEFT(TH!M1231,2)="15"),TK!$E$7=TH!F1231),"x","")</f>
        <v/>
      </c>
      <c r="AA1231" s="51" t="str">
        <f>IF(AND(B1231&lt;=NKC!$N$8,B1231&gt;=NKC!$M$8),"x","")</f>
        <v/>
      </c>
      <c r="AB1231" s="909"/>
      <c r="AC1231" s="588"/>
      <c r="AD1231" s="588"/>
    </row>
    <row r="1232" spans="1:33" s="210" customFormat="1" ht="15.75" customHeight="1">
      <c r="A1232" s="203" t="str">
        <f>IF(B1232&lt;&gt;"",IF(AND(B1232&gt;=_TM1,B1232&lt;=_TM2,OR(TH!L1232="1111",TH!M1232="1111")),TH!D1232,""),"")</f>
        <v/>
      </c>
      <c r="B1232" s="36" t="str">
        <f t="shared" si="56"/>
        <v/>
      </c>
      <c r="C1232" s="183"/>
      <c r="D1232" s="190"/>
      <c r="E1232" s="183"/>
      <c r="F1232" s="188"/>
      <c r="G1232" s="481"/>
      <c r="H1232" s="192"/>
      <c r="I1232" s="255"/>
      <c r="J1232" s="255"/>
      <c r="K1232" s="37"/>
      <c r="L1232" s="193"/>
      <c r="M1232" s="193"/>
      <c r="N1232" s="51" t="str">
        <f>IF(AND('331-CT'!$E$7=TH!H1232,OR(L1232="331",M1232="331")),"331",IF(AND(OR(L1232="131",M1232="131"),H1232='131-CT'!$E$7),"131",""))</f>
        <v/>
      </c>
      <c r="O1232" s="887" t="str">
        <f>IF(AND('341-CT'!$E$9=H1232,OR(LEFT(L1232,3)=$O$7,LEFT(M1232,3)=$O$7)),"x","")</f>
        <v/>
      </c>
      <c r="P1232" s="51" t="str">
        <f>IF(AND($B1232&gt;='111'!$N$11,$B1232&lt;='111'!$O$11,OR($L1232=$P$7,$M1232=$P$7)),"x","")</f>
        <v/>
      </c>
      <c r="Q1232" s="51" t="str">
        <f>IF(AND($L1232=$P$7,$B1232&lt;'111'!$N$11),"x","")</f>
        <v/>
      </c>
      <c r="R1232" s="51" t="str">
        <f>IF(AND($M1232=$P$7,$B1232&lt;'111'!$N$11),"x","")</f>
        <v/>
      </c>
      <c r="S1232" s="51" t="str">
        <f>IF(ISERROR(FIND('112'!$M$9,G1232,1)),"",IF((AND(FIND('112'!$M$9,G1232,1)&gt;=1,$B1232&gt;='112'!$N$8,$B1232&lt;='112'!$O$8,OR($L1232='112'!$I$6,$M1232='112'!$I$6))),"x",""))</f>
        <v/>
      </c>
      <c r="T1232" s="51" t="str">
        <f>IF(ISERROR(FIND('112'!$M$9,G1232,1)),"",IF((AND(LEFT(G1232,2)=LEFT('112'!$M$9,2),B1232&lt;'112'!$N$8,$L1232='112'!$I$6)),"x",""))</f>
        <v/>
      </c>
      <c r="U1232" s="51" t="str">
        <f>IF(ISERROR(FIND('112'!$M$9,G1232,1)),"",IF((AND(RIGHT(G1232,2)=RIGHT('112'!$M$9,2),B1232&lt;'112'!$N$8,$M1232='112'!$I$6)),"x",""))</f>
        <v/>
      </c>
      <c r="V1232" s="38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/>
      </c>
      <c r="W1232" s="51" t="str">
        <f>IF(OR(TH!L1232=TH!$W$7,M1232=TH!$W$7),"x","")</f>
        <v/>
      </c>
      <c r="X1232" s="51" t="str">
        <f>IF(AND(B1232&gt;='IN-NX'!$P$3,B1232&lt;='IN-NX'!$Q$3,'IN-NX'!$D$7=D1232,OR(LEFT(L1232,2)="15",AND(LEFT(M1232,2)&lt;&gt;"15",LEFT(M1232,2)&lt;&gt;"33"))),"x","")</f>
        <v/>
      </c>
      <c r="Y1232" s="51" t="str">
        <f>IF(AND(OR(LEFT(TH!L1232,2)="15",LEFT(TH!M1232,2)="15"),'152-CT'!$J$8=TH!F1232),"x","")</f>
        <v/>
      </c>
      <c r="Z1232" s="51" t="str">
        <f>IF(AND(OR(LEFT(TH!L1232,2)="15",LEFT(TH!M1232,2)="15"),TK!$E$7=TH!F1232),"x","")</f>
        <v/>
      </c>
      <c r="AA1232" s="51" t="str">
        <f>IF(AND(B1232&lt;=NKC!$N$8,B1232&gt;=NKC!$M$8),"x","")</f>
        <v/>
      </c>
      <c r="AB1232" s="909"/>
      <c r="AC1232" s="588"/>
      <c r="AD1232" s="588"/>
    </row>
    <row r="1233" spans="1:31" s="210" customFormat="1" ht="15.75" customHeight="1">
      <c r="A1233" s="203" t="str">
        <f>IF(B1233&lt;&gt;"",IF(AND(B1233&gt;=_TM1,B1233&lt;=_TM2,OR(TH!L1233="1111",TH!M1233="1111")),TH!D1233,""),"")</f>
        <v/>
      </c>
      <c r="B1233" s="36" t="str">
        <f t="shared" si="56"/>
        <v/>
      </c>
      <c r="C1233" s="183"/>
      <c r="D1233" s="190"/>
      <c r="E1233" s="183"/>
      <c r="F1233" s="188"/>
      <c r="G1233" s="481"/>
      <c r="H1233" s="192"/>
      <c r="I1233" s="255"/>
      <c r="J1233" s="255"/>
      <c r="K1233" s="37"/>
      <c r="L1233" s="193"/>
      <c r="M1233" s="193"/>
      <c r="N1233" s="51" t="str">
        <f>IF(AND('331-CT'!$E$7=TH!H1233,OR(L1233="331",M1233="331")),"331",IF(AND(OR(L1233="131",M1233="131"),H1233='131-CT'!$E$7),"131",""))</f>
        <v/>
      </c>
      <c r="O1233" s="887" t="str">
        <f>IF(AND('341-CT'!$E$9=H1233,OR(LEFT(L1233,3)=$O$7,LEFT(M1233,3)=$O$7)),"x","")</f>
        <v/>
      </c>
      <c r="P1233" s="51" t="str">
        <f>IF(AND($B1233&gt;='111'!$N$11,$B1233&lt;='111'!$O$11,OR($L1233=$P$7,$M1233=$P$7)),"x","")</f>
        <v/>
      </c>
      <c r="Q1233" s="51" t="str">
        <f>IF(AND($L1233=$P$7,$B1233&lt;'111'!$N$11),"x","")</f>
        <v/>
      </c>
      <c r="R1233" s="51" t="str">
        <f>IF(AND($M1233=$P$7,$B1233&lt;'111'!$N$11),"x","")</f>
        <v/>
      </c>
      <c r="S1233" s="51" t="str">
        <f>IF(ISERROR(FIND('112'!$M$9,G1233,1)),"",IF((AND(FIND('112'!$M$9,G1233,1)&gt;=1,$B1233&gt;='112'!$N$8,$B1233&lt;='112'!$O$8,OR($L1233='112'!$I$6,$M1233='112'!$I$6))),"x",""))</f>
        <v/>
      </c>
      <c r="T1233" s="51" t="str">
        <f>IF(ISERROR(FIND('112'!$M$9,G1233,1)),"",IF((AND(LEFT(G1233,2)=LEFT('112'!$M$9,2),B1233&lt;'112'!$N$8,$L1233='112'!$I$6)),"x",""))</f>
        <v/>
      </c>
      <c r="U1233" s="51" t="str">
        <f>IF(ISERROR(FIND('112'!$M$9,G1233,1)),"",IF((AND(RIGHT(G1233,2)=RIGHT('112'!$M$9,2),B1233&lt;'112'!$N$8,$M1233='112'!$I$6)),"x",""))</f>
        <v/>
      </c>
      <c r="V1233" s="38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/>
      </c>
      <c r="W1233" s="51" t="str">
        <f>IF(OR(TH!L1233=TH!$W$7,M1233=TH!$W$7),"x","")</f>
        <v/>
      </c>
      <c r="X1233" s="51" t="str">
        <f>IF(AND(B1233&gt;='IN-NX'!$P$3,B1233&lt;='IN-NX'!$Q$3,'IN-NX'!$D$7=D1233,OR(LEFT(L1233,2)="15",AND(LEFT(M1233,2)&lt;&gt;"15",LEFT(M1233,2)&lt;&gt;"33"))),"x","")</f>
        <v/>
      </c>
      <c r="Y1233" s="51" t="str">
        <f>IF(AND(OR(LEFT(TH!L1233,2)="15",LEFT(TH!M1233,2)="15"),'152-CT'!$J$8=TH!F1233),"x","")</f>
        <v/>
      </c>
      <c r="Z1233" s="51" t="str">
        <f>IF(AND(OR(LEFT(TH!L1233,2)="15",LEFT(TH!M1233,2)="15"),TK!$E$7=TH!F1233),"x","")</f>
        <v/>
      </c>
      <c r="AA1233" s="51" t="str">
        <f>IF(AND(B1233&lt;=NKC!$N$8,B1233&gt;=NKC!$M$8),"x","")</f>
        <v/>
      </c>
      <c r="AB1233" s="909"/>
      <c r="AC1233" s="588"/>
    </row>
    <row r="1234" spans="1:31" s="210" customFormat="1" ht="15.75" customHeight="1">
      <c r="A1234" s="203" t="str">
        <f>IF(B1234&lt;&gt;"",IF(AND(B1234&gt;=_TM1,B1234&lt;=_TM2,OR(TH!L1234="1111",TH!M1234="1111")),TH!D1234,""),"")</f>
        <v/>
      </c>
      <c r="B1234" s="36" t="str">
        <f t="shared" si="56"/>
        <v/>
      </c>
      <c r="C1234" s="183"/>
      <c r="D1234" s="190"/>
      <c r="E1234" s="183"/>
      <c r="F1234" s="188"/>
      <c r="G1234" s="481"/>
      <c r="H1234" s="192"/>
      <c r="I1234" s="255"/>
      <c r="J1234" s="255"/>
      <c r="K1234" s="37"/>
      <c r="L1234" s="193"/>
      <c r="M1234" s="193"/>
      <c r="N1234" s="51" t="str">
        <f>IF(AND('331-CT'!$E$7=TH!H1234,OR(L1234="331",M1234="331")),"331",IF(AND(OR(L1234="131",M1234="131"),H1234='131-CT'!$E$7),"131",""))</f>
        <v/>
      </c>
      <c r="O1234" s="887" t="str">
        <f>IF(AND('341-CT'!$E$9=H1234,OR(LEFT(L1234,3)=$O$7,LEFT(M1234,3)=$O$7)),"x","")</f>
        <v/>
      </c>
      <c r="P1234" s="51" t="str">
        <f>IF(AND($B1234&gt;='111'!$N$11,$B1234&lt;='111'!$O$11,OR($L1234=$P$7,$M1234=$P$7)),"x","")</f>
        <v/>
      </c>
      <c r="Q1234" s="51" t="str">
        <f>IF(AND($L1234=$P$7,$B1234&lt;'111'!$N$11),"x","")</f>
        <v/>
      </c>
      <c r="R1234" s="51" t="str">
        <f>IF(AND($M1234=$P$7,$B1234&lt;'111'!$N$11),"x","")</f>
        <v/>
      </c>
      <c r="S1234" s="51" t="str">
        <f>IF(ISERROR(FIND('112'!$M$9,G1234,1)),"",IF((AND(FIND('112'!$M$9,G1234,1)&gt;=1,$B1234&gt;='112'!$N$8,$B1234&lt;='112'!$O$8,OR($L1234='112'!$I$6,$M1234='112'!$I$6))),"x",""))</f>
        <v/>
      </c>
      <c r="T1234" s="51" t="str">
        <f>IF(ISERROR(FIND('112'!$M$9,G1234,1)),"",IF((AND(LEFT(G1234,2)=LEFT('112'!$M$9,2),B1234&lt;'112'!$N$8,$L1234='112'!$I$6)),"x",""))</f>
        <v/>
      </c>
      <c r="U1234" s="51" t="str">
        <f>IF(ISERROR(FIND('112'!$M$9,G1234,1)),"",IF((AND(RIGHT(G1234,2)=RIGHT('112'!$M$9,2),B1234&lt;'112'!$N$8,$M1234='112'!$I$6)),"x",""))</f>
        <v/>
      </c>
      <c r="V1234" s="38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/>
      </c>
      <c r="W1234" s="51" t="str">
        <f>IF(OR(TH!L1234=TH!$W$7,M1234=TH!$W$7),"x","")</f>
        <v/>
      </c>
      <c r="X1234" s="51" t="str">
        <f>IF(AND(B1234&gt;='IN-NX'!$P$3,B1234&lt;='IN-NX'!$Q$3,'IN-NX'!$D$7=D1234,OR(LEFT(L1234,2)="15",AND(LEFT(M1234,2)&lt;&gt;"15",LEFT(M1234,2)&lt;&gt;"33"))),"x","")</f>
        <v/>
      </c>
      <c r="Y1234" s="51" t="str">
        <f>IF(AND(OR(LEFT(TH!L1234,2)="15",LEFT(TH!M1234,2)="15"),'152-CT'!$J$8=TH!F1234),"x","")</f>
        <v/>
      </c>
      <c r="Z1234" s="51" t="str">
        <f>IF(AND(OR(LEFT(TH!L1234,2)="15",LEFT(TH!M1234,2)="15"),TK!$E$7=TH!F1234),"x","")</f>
        <v/>
      </c>
      <c r="AA1234" s="51" t="str">
        <f>IF(AND(B1234&lt;=NKC!$N$8,B1234&gt;=NKC!$M$8),"x","")</f>
        <v/>
      </c>
      <c r="AB1234" s="909"/>
      <c r="AC1234" s="588"/>
      <c r="AD1234" s="588"/>
    </row>
    <row r="1235" spans="1:31" s="210" customFormat="1" ht="15.75" customHeight="1">
      <c r="A1235" s="203" t="str">
        <f>IF(B1235&lt;&gt;"",IF(AND(B1235&gt;=_TM1,B1235&lt;=_TM2,OR(TH!L1235="1111",TH!M1235="1111")),TH!D1235,""),"")</f>
        <v/>
      </c>
      <c r="B1235" s="36" t="str">
        <f t="shared" si="56"/>
        <v/>
      </c>
      <c r="C1235" s="183"/>
      <c r="D1235" s="190"/>
      <c r="E1235" s="183"/>
      <c r="F1235" s="191"/>
      <c r="G1235" s="481"/>
      <c r="H1235" s="192"/>
      <c r="I1235" s="255"/>
      <c r="J1235" s="255"/>
      <c r="K1235" s="37"/>
      <c r="L1235" s="193"/>
      <c r="M1235" s="193"/>
      <c r="N1235" s="51" t="str">
        <f>IF(AND('331-CT'!$E$7=TH!H1235,OR(L1235="331",M1235="331")),"331",IF(AND(OR(L1235="131",M1235="131"),H1235='131-CT'!$E$7),"131",""))</f>
        <v/>
      </c>
      <c r="O1235" s="887" t="str">
        <f>IF(AND('341-CT'!$E$9=H1235,OR(LEFT(L1235,3)=$O$7,LEFT(M1235,3)=$O$7)),"x","")</f>
        <v/>
      </c>
      <c r="P1235" s="51" t="str">
        <f>IF(AND($B1235&gt;='111'!$N$11,$B1235&lt;='111'!$O$11,OR($L1235=$P$7,$M1235=$P$7)),"x","")</f>
        <v/>
      </c>
      <c r="Q1235" s="51" t="str">
        <f>IF(AND($L1235=$P$7,$B1235&lt;'111'!$N$11),"x","")</f>
        <v/>
      </c>
      <c r="R1235" s="51" t="str">
        <f>IF(AND($M1235=$P$7,$B1235&lt;'111'!$N$11),"x","")</f>
        <v/>
      </c>
      <c r="S1235" s="51" t="str">
        <f>IF(ISERROR(FIND('112'!$M$9,G1235,1)),"",IF((AND(FIND('112'!$M$9,G1235,1)&gt;=1,$B1235&gt;='112'!$N$8,$B1235&lt;='112'!$O$8,OR($L1235='112'!$I$6,$M1235='112'!$I$6))),"x",""))</f>
        <v/>
      </c>
      <c r="T1235" s="51" t="str">
        <f>IF(ISERROR(FIND('112'!$M$9,G1235,1)),"",IF((AND(LEFT(G1235,2)=LEFT('112'!$M$9,2),B1235&lt;'112'!$N$8,$L1235='112'!$I$6)),"x",""))</f>
        <v/>
      </c>
      <c r="U1235" s="51" t="str">
        <f>IF(ISERROR(FIND('112'!$M$9,G1235,1)),"",IF((AND(RIGHT(G1235,2)=RIGHT('112'!$M$9,2),B1235&lt;'112'!$N$8,$M1235='112'!$I$6)),"x",""))</f>
        <v/>
      </c>
      <c r="V1235" s="38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/>
      </c>
      <c r="W1235" s="51" t="str">
        <f>IF(OR(TH!L1235=TH!$W$7,M1235=TH!$W$7),"x","")</f>
        <v/>
      </c>
      <c r="X1235" s="51" t="str">
        <f>IF(AND(B1235&gt;='IN-NX'!$P$3,B1235&lt;='IN-NX'!$Q$3,'IN-NX'!$D$7=D1235,OR(LEFT(L1235,2)="15",AND(LEFT(M1235,2)&lt;&gt;"15",LEFT(M1235,2)&lt;&gt;"33"))),"x","")</f>
        <v/>
      </c>
      <c r="Y1235" s="51" t="str">
        <f>IF(AND(OR(LEFT(TH!L1235,2)="15",LEFT(TH!M1235,2)="15"),'152-CT'!$J$8=TH!F1235),"x","")</f>
        <v/>
      </c>
      <c r="Z1235" s="51" t="str">
        <f>IF(AND(OR(LEFT(TH!L1235,2)="15",LEFT(TH!M1235,2)="15"),TK!$E$7=TH!F1235),"x","")</f>
        <v/>
      </c>
      <c r="AA1235" s="51" t="str">
        <f>IF(AND(B1235&lt;=NKC!$N$8,B1235&gt;=NKC!$M$8),"x","")</f>
        <v/>
      </c>
      <c r="AB1235" s="909"/>
      <c r="AC1235" s="588"/>
      <c r="AD1235" s="588"/>
    </row>
    <row r="1236" spans="1:31" s="210" customFormat="1" ht="15.75" customHeight="1">
      <c r="A1236" s="203" t="str">
        <f>IF(B1236&lt;&gt;"",IF(AND(B1236&gt;=_TM1,B1236&lt;=_TM2,OR(TH!L1236="1111",TH!M1236="1111")),TH!D1236,""),"")</f>
        <v/>
      </c>
      <c r="B1236" s="36" t="str">
        <f t="shared" si="56"/>
        <v/>
      </c>
      <c r="C1236" s="183"/>
      <c r="D1236" s="190"/>
      <c r="E1236" s="183"/>
      <c r="F1236" s="188"/>
      <c r="G1236" s="481"/>
      <c r="H1236" s="192"/>
      <c r="I1236" s="255"/>
      <c r="J1236" s="255"/>
      <c r="K1236" s="596"/>
      <c r="L1236" s="193"/>
      <c r="M1236" s="193"/>
      <c r="N1236" s="51" t="str">
        <f>IF(AND('331-CT'!$E$7=TH!H1236,OR(L1236="331",M1236="331")),"331",IF(AND(OR(L1236="131",M1236="131"),H1236='131-CT'!$E$7),"131",""))</f>
        <v/>
      </c>
      <c r="O1236" s="887" t="str">
        <f>IF(AND('341-CT'!$E$9=H1236,OR(LEFT(L1236,3)=$O$7,LEFT(M1236,3)=$O$7)),"x","")</f>
        <v/>
      </c>
      <c r="P1236" s="51" t="str">
        <f>IF(AND($B1236&gt;='111'!$N$11,$B1236&lt;='111'!$O$11,OR($L1236=$P$7,$M1236=$P$7)),"x","")</f>
        <v/>
      </c>
      <c r="Q1236" s="51" t="str">
        <f>IF(AND($L1236=$P$7,$B1236&lt;'111'!$N$11),"x","")</f>
        <v/>
      </c>
      <c r="R1236" s="51" t="str">
        <f>IF(AND($M1236=$P$7,$B1236&lt;'111'!$N$11),"x","")</f>
        <v/>
      </c>
      <c r="S1236" s="51" t="str">
        <f>IF(ISERROR(FIND('112'!$M$9,G1236,1)),"",IF((AND(FIND('112'!$M$9,G1236,1)&gt;=1,$B1236&gt;='112'!$N$8,$B1236&lt;='112'!$O$8,OR($L1236='112'!$I$6,$M1236='112'!$I$6))),"x",""))</f>
        <v/>
      </c>
      <c r="T1236" s="51" t="str">
        <f>IF(ISERROR(FIND('112'!$M$9,G1236,1)),"",IF((AND(LEFT(G1236,2)=LEFT('112'!$M$9,2),B1236&lt;'112'!$N$8,$L1236='112'!$I$6)),"x",""))</f>
        <v/>
      </c>
      <c r="U1236" s="51" t="str">
        <f>IF(ISERROR(FIND('112'!$M$9,G1236,1)),"",IF((AND(RIGHT(G1236,2)=RIGHT('112'!$M$9,2),B1236&lt;'112'!$N$8,$M1236='112'!$I$6)),"x",""))</f>
        <v/>
      </c>
      <c r="V1236" s="38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W1236" s="51" t="str">
        <f>IF(OR(TH!L1236=TH!$W$7,M1236=TH!$W$7),"x","")</f>
        <v/>
      </c>
      <c r="X1236" s="51" t="str">
        <f>IF(AND(B1236&gt;='IN-NX'!$P$3,B1236&lt;='IN-NX'!$Q$3,'IN-NX'!$D$7=D1236,OR(LEFT(L1236,2)="15",AND(LEFT(M1236,2)&lt;&gt;"15",LEFT(M1236,2)&lt;&gt;"33"))),"x","")</f>
        <v/>
      </c>
      <c r="Y1236" s="51" t="str">
        <f>IF(AND(OR(LEFT(TH!L1236,2)="15",LEFT(TH!M1236,2)="15"),'152-CT'!$J$8=TH!F1236),"x","")</f>
        <v/>
      </c>
      <c r="Z1236" s="51" t="str">
        <f>IF(AND(OR(LEFT(TH!L1236,2)="15",LEFT(TH!M1236,2)="15"),TK!$E$7=TH!F1236),"x","")</f>
        <v/>
      </c>
      <c r="AA1236" s="51" t="str">
        <f>IF(AND(B1236&lt;=NKC!$N$8,B1236&gt;=NKC!$M$8),"x","")</f>
        <v/>
      </c>
      <c r="AB1236" s="909"/>
      <c r="AC1236" s="588"/>
    </row>
    <row r="1237" spans="1:31" s="210" customFormat="1" ht="15.75" customHeight="1">
      <c r="A1237" s="203" t="str">
        <f>IF(B1237&lt;&gt;"",IF(AND(B1237&gt;=_TM1,B1237&lt;=_TM2,OR(TH!L1237="1111",TH!M1237="1111")),TH!D1237,""),"")</f>
        <v/>
      </c>
      <c r="B1237" s="36" t="str">
        <f t="shared" si="56"/>
        <v/>
      </c>
      <c r="C1237" s="183"/>
      <c r="D1237" s="190"/>
      <c r="E1237" s="183"/>
      <c r="F1237" s="188"/>
      <c r="G1237" s="481"/>
      <c r="H1237" s="779"/>
      <c r="I1237" s="255"/>
      <c r="J1237" s="255"/>
      <c r="K1237" s="37"/>
      <c r="L1237" s="193"/>
      <c r="M1237" s="193"/>
      <c r="N1237" s="51" t="str">
        <f>IF(AND('331-CT'!$E$7=TH!H1237,OR(L1237="331",M1237="331")),"331",IF(AND(OR(L1237="131",M1237="131"),H1237='131-CT'!$E$7),"131",""))</f>
        <v/>
      </c>
      <c r="O1237" s="887" t="str">
        <f>IF(AND('341-CT'!$E$9=H1237,OR(LEFT(L1237,3)=$O$7,LEFT(M1237,3)=$O$7)),"x","")</f>
        <v/>
      </c>
      <c r="P1237" s="51" t="str">
        <f>IF(AND($B1237&gt;='111'!$N$11,$B1237&lt;='111'!$O$11,OR($L1237=$P$7,$M1237=$P$7)),"x","")</f>
        <v/>
      </c>
      <c r="Q1237" s="51" t="str">
        <f>IF(AND($L1237=$P$7,$B1237&lt;'111'!$N$11),"x","")</f>
        <v/>
      </c>
      <c r="R1237" s="51" t="str">
        <f>IF(AND($M1237=$P$7,$B1237&lt;'111'!$N$11),"x","")</f>
        <v/>
      </c>
      <c r="S1237" s="51" t="str">
        <f>IF(ISERROR(FIND('112'!$M$9,G1237,1)),"",IF((AND(FIND('112'!$M$9,G1237,1)&gt;=1,$B1237&gt;='112'!$N$8,$B1237&lt;='112'!$O$8,OR($L1237='112'!$I$6,$M1237='112'!$I$6))),"x",""))</f>
        <v/>
      </c>
      <c r="T1237" s="51" t="str">
        <f>IF(ISERROR(FIND('112'!$M$9,G1237,1)),"",IF((AND(LEFT(G1237,2)=LEFT('112'!$M$9,2),B1237&lt;'112'!$N$8,$L1237='112'!$I$6)),"x",""))</f>
        <v/>
      </c>
      <c r="U1237" s="51" t="str">
        <f>IF(ISERROR(FIND('112'!$M$9,G1237,1)),"",IF((AND(RIGHT(G1237,2)=RIGHT('112'!$M$9,2),B1237&lt;'112'!$N$8,$M1237='112'!$I$6)),"x",""))</f>
        <v/>
      </c>
      <c r="V1237" s="38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W1237" s="51" t="str">
        <f>IF(OR(TH!L1237=TH!$W$7,M1237=TH!$W$7),"x","")</f>
        <v/>
      </c>
      <c r="X1237" s="51" t="str">
        <f>IF(AND(B1237&gt;='IN-NX'!$P$3,B1237&lt;='IN-NX'!$Q$3,'IN-NX'!$D$7=D1237,OR(LEFT(L1237,2)="15",AND(LEFT(M1237,2)&lt;&gt;"15",LEFT(M1237,2)&lt;&gt;"33"))),"x","")</f>
        <v/>
      </c>
      <c r="Y1237" s="51" t="str">
        <f>IF(AND(OR(LEFT(TH!L1237,2)="15",LEFT(TH!M1237,2)="15"),'152-CT'!$J$8=TH!F1237),"x","")</f>
        <v/>
      </c>
      <c r="Z1237" s="51" t="str">
        <f>IF(AND(OR(LEFT(TH!L1237,2)="15",LEFT(TH!M1237,2)="15"),TK!$E$7=TH!F1237),"x","")</f>
        <v/>
      </c>
      <c r="AA1237" s="51" t="str">
        <f>IF(AND(B1237&lt;=NKC!$N$8,B1237&gt;=NKC!$M$8),"x","")</f>
        <v/>
      </c>
      <c r="AB1237" s="909"/>
      <c r="AC1237" s="588"/>
      <c r="AD1237" s="588"/>
    </row>
    <row r="1238" spans="1:31" s="210" customFormat="1" ht="15.75" customHeight="1">
      <c r="A1238" s="203" t="str">
        <f>IF(B1238&lt;&gt;"",IF(AND(B1238&gt;=_TM1,B1238&lt;=_TM2,OR(TH!L1238="1111",TH!M1238="1111")),TH!D1238,""),"")</f>
        <v/>
      </c>
      <c r="B1238" s="36" t="str">
        <f t="shared" si="56"/>
        <v/>
      </c>
      <c r="C1238" s="183"/>
      <c r="D1238" s="190"/>
      <c r="E1238" s="183"/>
      <c r="F1238" s="188"/>
      <c r="G1238" s="481"/>
      <c r="H1238" s="779"/>
      <c r="I1238" s="255"/>
      <c r="J1238" s="255"/>
      <c r="K1238" s="37"/>
      <c r="L1238" s="193"/>
      <c r="M1238" s="193"/>
      <c r="N1238" s="51" t="str">
        <f>IF(AND('331-CT'!$E$7=TH!H1238,OR(L1238="331",M1238="331")),"331",IF(AND(OR(L1238="131",M1238="131"),H1238='131-CT'!$E$7),"131",""))</f>
        <v/>
      </c>
      <c r="O1238" s="887" t="str">
        <f>IF(AND('341-CT'!$E$9=H1238,OR(LEFT(L1238,3)=$O$7,LEFT(M1238,3)=$O$7)),"x","")</f>
        <v/>
      </c>
      <c r="P1238" s="51" t="str">
        <f>IF(AND($B1238&gt;='111'!$N$11,$B1238&lt;='111'!$O$11,OR($L1238=$P$7,$M1238=$P$7)),"x","")</f>
        <v/>
      </c>
      <c r="Q1238" s="51" t="str">
        <f>IF(AND($L1238=$P$7,$B1238&lt;'111'!$N$11),"x","")</f>
        <v/>
      </c>
      <c r="R1238" s="51" t="str">
        <f>IF(AND($M1238=$P$7,$B1238&lt;'111'!$N$11),"x","")</f>
        <v/>
      </c>
      <c r="S1238" s="51" t="str">
        <f>IF(ISERROR(FIND('112'!$M$9,G1238,1)),"",IF((AND(FIND('112'!$M$9,G1238,1)&gt;=1,$B1238&gt;='112'!$N$8,$B1238&lt;='112'!$O$8,OR($L1238='112'!$I$6,$M1238='112'!$I$6))),"x",""))</f>
        <v/>
      </c>
      <c r="T1238" s="51" t="str">
        <f>IF(ISERROR(FIND('112'!$M$9,G1238,1)),"",IF((AND(LEFT(G1238,2)=LEFT('112'!$M$9,2),B1238&lt;'112'!$N$8,$L1238='112'!$I$6)),"x",""))</f>
        <v/>
      </c>
      <c r="U1238" s="51" t="str">
        <f>IF(ISERROR(FIND('112'!$M$9,G1238,1)),"",IF((AND(RIGHT(G1238,2)=RIGHT('112'!$M$9,2),B1238&lt;'112'!$N$8,$M1238='112'!$I$6)),"x",""))</f>
        <v/>
      </c>
      <c r="V1238" s="38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W1238" s="51" t="str">
        <f>IF(OR(TH!L1238=TH!$W$7,M1238=TH!$W$7),"x","")</f>
        <v/>
      </c>
      <c r="X1238" s="51" t="str">
        <f>IF(AND(B1238&gt;='IN-NX'!$P$3,B1238&lt;='IN-NX'!$Q$3,'IN-NX'!$D$7=D1238,OR(LEFT(L1238,2)="15",AND(LEFT(M1238,2)&lt;&gt;"15",LEFT(M1238,2)&lt;&gt;"33"))),"x","")</f>
        <v/>
      </c>
      <c r="Y1238" s="51" t="str">
        <f>IF(AND(OR(LEFT(TH!L1238,2)="15",LEFT(TH!M1238,2)="15"),'152-CT'!$J$8=TH!F1238),"x","")</f>
        <v/>
      </c>
      <c r="Z1238" s="51" t="str">
        <f>IF(AND(OR(LEFT(TH!L1238,2)="15",LEFT(TH!M1238,2)="15"),TK!$E$7=TH!F1238),"x","")</f>
        <v/>
      </c>
      <c r="AA1238" s="51" t="str">
        <f>IF(AND(B1238&lt;=NKC!$N$8,B1238&gt;=NKC!$M$8),"x","")</f>
        <v/>
      </c>
      <c r="AB1238" s="909"/>
      <c r="AC1238" s="588"/>
    </row>
    <row r="1239" spans="1:31" s="210" customFormat="1" ht="15.75" customHeight="1">
      <c r="A1239" s="203" t="str">
        <f>IF(B1239&lt;&gt;"",IF(AND(B1239&gt;=_TM1,B1239&lt;=_TM2,OR(TH!L1239="1111",TH!M1239="1111")),TH!D1239,""),"")</f>
        <v/>
      </c>
      <c r="B1239" s="36" t="str">
        <f t="shared" si="56"/>
        <v/>
      </c>
      <c r="C1239" s="183"/>
      <c r="D1239" s="190"/>
      <c r="E1239" s="183"/>
      <c r="F1239" s="191"/>
      <c r="G1239" s="481"/>
      <c r="H1239" s="779"/>
      <c r="I1239" s="255"/>
      <c r="J1239" s="255"/>
      <c r="K1239" s="37"/>
      <c r="L1239" s="193"/>
      <c r="M1239" s="193"/>
      <c r="N1239" s="51" t="str">
        <f>IF(AND('331-CT'!$E$7=TH!H1239,OR(L1239="331",M1239="331")),"331",IF(AND(OR(L1239="131",M1239="131"),H1239='131-CT'!$E$7),"131",""))</f>
        <v/>
      </c>
      <c r="O1239" s="887" t="str">
        <f>IF(AND('341-CT'!$E$9=H1239,OR(LEFT(L1239,3)=$O$7,LEFT(M1239,3)=$O$7)),"x","")</f>
        <v/>
      </c>
      <c r="P1239" s="51" t="str">
        <f>IF(AND($B1239&gt;='111'!$N$11,$B1239&lt;='111'!$O$11,OR($L1239=$P$7,$M1239=$P$7)),"x","")</f>
        <v/>
      </c>
      <c r="Q1239" s="51" t="str">
        <f>IF(AND($L1239=$P$7,$B1239&lt;'111'!$N$11),"x","")</f>
        <v/>
      </c>
      <c r="R1239" s="51" t="str">
        <f>IF(AND($M1239=$P$7,$B1239&lt;'111'!$N$11),"x","")</f>
        <v/>
      </c>
      <c r="S1239" s="51" t="str">
        <f>IF(ISERROR(FIND('112'!$M$9,G1239,1)),"",IF((AND(FIND('112'!$M$9,G1239,1)&gt;=1,$B1239&gt;='112'!$N$8,$B1239&lt;='112'!$O$8,OR($L1239='112'!$I$6,$M1239='112'!$I$6))),"x",""))</f>
        <v/>
      </c>
      <c r="T1239" s="51" t="str">
        <f>IF(ISERROR(FIND('112'!$M$9,G1239,1)),"",IF((AND(LEFT(G1239,2)=LEFT('112'!$M$9,2),B1239&lt;'112'!$N$8,$L1239='112'!$I$6)),"x",""))</f>
        <v/>
      </c>
      <c r="U1239" s="51" t="str">
        <f>IF(ISERROR(FIND('112'!$M$9,G1239,1)),"",IF((AND(RIGHT(G1239,2)=RIGHT('112'!$M$9,2),B1239&lt;'112'!$N$8,$M1239='112'!$I$6)),"x",""))</f>
        <v/>
      </c>
      <c r="V1239" s="38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W1239" s="51" t="str">
        <f>IF(OR(TH!L1239=TH!$W$7,M1239=TH!$W$7),"x","")</f>
        <v/>
      </c>
      <c r="X1239" s="51" t="str">
        <f>IF(AND(B1239&gt;='IN-NX'!$P$3,B1239&lt;='IN-NX'!$Q$3,'IN-NX'!$D$7=D1239,OR(LEFT(L1239,2)="15",AND(LEFT(M1239,2)&lt;&gt;"15",LEFT(M1239,2)&lt;&gt;"33"))),"x","")</f>
        <v/>
      </c>
      <c r="Y1239" s="51" t="str">
        <f>IF(AND(OR(LEFT(TH!L1239,2)="15",LEFT(TH!M1239,2)="15"),'152-CT'!$J$8=TH!F1239),"x","")</f>
        <v/>
      </c>
      <c r="Z1239" s="51" t="str">
        <f>IF(AND(OR(LEFT(TH!L1239,2)="15",LEFT(TH!M1239,2)="15"),TK!$E$7=TH!F1239),"x","")</f>
        <v/>
      </c>
      <c r="AA1239" s="51" t="str">
        <f>IF(AND(B1239&lt;=NKC!$N$8,B1239&gt;=NKC!$M$8),"x","")</f>
        <v/>
      </c>
      <c r="AB1239" s="909"/>
      <c r="AC1239" s="588"/>
      <c r="AD1239" s="588"/>
    </row>
    <row r="1240" spans="1:31" s="210" customFormat="1" ht="15.75" customHeight="1">
      <c r="A1240" s="203" t="str">
        <f>IF(B1240&lt;&gt;"",IF(AND(B1240&gt;=_TM1,B1240&lt;=_TM2,OR(TH!L1240="1111",TH!M1240="1111")),TH!D1240,""),"")</f>
        <v/>
      </c>
      <c r="B1240" s="36" t="str">
        <f t="shared" si="56"/>
        <v/>
      </c>
      <c r="C1240" s="183"/>
      <c r="D1240" s="190"/>
      <c r="E1240" s="183"/>
      <c r="F1240" s="188"/>
      <c r="G1240" s="481"/>
      <c r="H1240" s="779"/>
      <c r="I1240" s="255"/>
      <c r="J1240" s="255"/>
      <c r="K1240" s="37"/>
      <c r="L1240" s="193"/>
      <c r="M1240" s="193"/>
      <c r="N1240" s="51" t="str">
        <f>IF(AND('331-CT'!$E$7=TH!H1240,OR(L1240="331",M1240="331")),"331",IF(AND(OR(L1240="131",M1240="131"),H1240='131-CT'!$E$7),"131",""))</f>
        <v/>
      </c>
      <c r="O1240" s="887" t="str">
        <f>IF(AND('341-CT'!$E$9=H1240,OR(LEFT(L1240,3)=$O$7,LEFT(M1240,3)=$O$7)),"x","")</f>
        <v/>
      </c>
      <c r="P1240" s="51" t="str">
        <f>IF(AND($B1240&gt;='111'!$N$11,$B1240&lt;='111'!$O$11,OR($L1240=$P$7,$M1240=$P$7)),"x","")</f>
        <v/>
      </c>
      <c r="Q1240" s="51" t="str">
        <f>IF(AND($L1240=$P$7,$B1240&lt;'111'!$N$11),"x","")</f>
        <v/>
      </c>
      <c r="R1240" s="51" t="str">
        <f>IF(AND($M1240=$P$7,$B1240&lt;'111'!$N$11),"x","")</f>
        <v/>
      </c>
      <c r="S1240" s="51" t="str">
        <f>IF(ISERROR(FIND('112'!$M$9,G1240,1)),"",IF((AND(FIND('112'!$M$9,G1240,1)&gt;=1,$B1240&gt;='112'!$N$8,$B1240&lt;='112'!$O$8,OR($L1240='112'!$I$6,$M1240='112'!$I$6))),"x",""))</f>
        <v/>
      </c>
      <c r="T1240" s="51" t="str">
        <f>IF(ISERROR(FIND('112'!$M$9,G1240,1)),"",IF((AND(LEFT(G1240,2)=LEFT('112'!$M$9,2),B1240&lt;'112'!$N$8,$L1240='112'!$I$6)),"x",""))</f>
        <v/>
      </c>
      <c r="U1240" s="51" t="str">
        <f>IF(ISERROR(FIND('112'!$M$9,G1240,1)),"",IF((AND(RIGHT(G1240,2)=RIGHT('112'!$M$9,2),B1240&lt;'112'!$N$8,$M1240='112'!$I$6)),"x",""))</f>
        <v/>
      </c>
      <c r="V1240" s="38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W1240" s="51" t="str">
        <f>IF(OR(TH!L1240=TH!$W$7,M1240=TH!$W$7),"x","")</f>
        <v/>
      </c>
      <c r="X1240" s="51" t="str">
        <f>IF(AND(B1240&gt;='IN-NX'!$P$3,B1240&lt;='IN-NX'!$Q$3,'IN-NX'!$D$7=D1240,OR(LEFT(L1240,2)="15",AND(LEFT(M1240,2)&lt;&gt;"15",LEFT(M1240,2)&lt;&gt;"33"))),"x","")</f>
        <v/>
      </c>
      <c r="Y1240" s="51" t="str">
        <f>IF(AND(OR(LEFT(TH!L1240,2)="15",LEFT(TH!M1240,2)="15"),'152-CT'!$J$8=TH!F1240),"x","")</f>
        <v/>
      </c>
      <c r="Z1240" s="51" t="str">
        <f>IF(AND(OR(LEFT(TH!L1240,2)="15",LEFT(TH!M1240,2)="15"),TK!$E$7=TH!F1240),"x","")</f>
        <v/>
      </c>
      <c r="AA1240" s="51" t="str">
        <f>IF(AND(B1240&lt;=NKC!$N$8,B1240&gt;=NKC!$M$8),"x","")</f>
        <v/>
      </c>
      <c r="AB1240" s="909"/>
      <c r="AC1240" s="588"/>
      <c r="AD1240" s="588"/>
      <c r="AE1240" s="588"/>
    </row>
    <row r="1241" spans="1:31" s="210" customFormat="1" ht="15.75" customHeight="1">
      <c r="A1241" s="203" t="str">
        <f>IF(B1241&lt;&gt;"",IF(AND(B1241&gt;=_TM1,B1241&lt;=_TM2,OR(TH!L1241="1111",TH!M1241="1111")),TH!D1241,""),"")</f>
        <v/>
      </c>
      <c r="B1241" s="36" t="str">
        <f t="shared" si="56"/>
        <v/>
      </c>
      <c r="C1241" s="183"/>
      <c r="D1241" s="190"/>
      <c r="E1241" s="183"/>
      <c r="F1241" s="188"/>
      <c r="G1241" s="481"/>
      <c r="H1241" s="779"/>
      <c r="I1241" s="255"/>
      <c r="J1241" s="255"/>
      <c r="K1241" s="37"/>
      <c r="L1241" s="193"/>
      <c r="M1241" s="193"/>
      <c r="N1241" s="51" t="str">
        <f>IF(AND('331-CT'!$E$7=TH!H1241,OR(L1241="331",M1241="331")),"331",IF(AND(OR(L1241="131",M1241="131"),H1241='131-CT'!$E$7),"131",""))</f>
        <v/>
      </c>
      <c r="O1241" s="887" t="str">
        <f>IF(AND('341-CT'!$E$9=H1241,OR(LEFT(L1241,3)=$O$7,LEFT(M1241,3)=$O$7)),"x","")</f>
        <v/>
      </c>
      <c r="P1241" s="51" t="str">
        <f>IF(AND($B1241&gt;='111'!$N$11,$B1241&lt;='111'!$O$11,OR($L1241=$P$7,$M1241=$P$7)),"x","")</f>
        <v/>
      </c>
      <c r="Q1241" s="51" t="str">
        <f>IF(AND($L1241=$P$7,$B1241&lt;'111'!$N$11),"x","")</f>
        <v/>
      </c>
      <c r="R1241" s="51" t="str">
        <f>IF(AND($M1241=$P$7,$B1241&lt;'111'!$N$11),"x","")</f>
        <v/>
      </c>
      <c r="S1241" s="51" t="str">
        <f>IF(ISERROR(FIND('112'!$M$9,G1241,1)),"",IF((AND(FIND('112'!$M$9,G1241,1)&gt;=1,$B1241&gt;='112'!$N$8,$B1241&lt;='112'!$O$8,OR($L1241='112'!$I$6,$M1241='112'!$I$6))),"x",""))</f>
        <v/>
      </c>
      <c r="T1241" s="51" t="str">
        <f>IF(ISERROR(FIND('112'!$M$9,G1241,1)),"",IF((AND(LEFT(G1241,2)=LEFT('112'!$M$9,2),B1241&lt;'112'!$N$8,$L1241='112'!$I$6)),"x",""))</f>
        <v/>
      </c>
      <c r="U1241" s="51" t="str">
        <f>IF(ISERROR(FIND('112'!$M$9,G1241,1)),"",IF((AND(RIGHT(G1241,2)=RIGHT('112'!$M$9,2),B1241&lt;'112'!$N$8,$M1241='112'!$I$6)),"x",""))</f>
        <v/>
      </c>
      <c r="V1241" s="38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W1241" s="51" t="str">
        <f>IF(OR(TH!L1241=TH!$W$7,M1241=TH!$W$7),"x","")</f>
        <v/>
      </c>
      <c r="X1241" s="51" t="str">
        <f>IF(AND(B1241&gt;='IN-NX'!$P$3,B1241&lt;='IN-NX'!$Q$3,'IN-NX'!$D$7=D1241,OR(LEFT(L1241,2)="15",AND(LEFT(M1241,2)&lt;&gt;"15",LEFT(M1241,2)&lt;&gt;"33"))),"x","")</f>
        <v/>
      </c>
      <c r="Y1241" s="51" t="str">
        <f>IF(AND(OR(LEFT(TH!L1241,2)="15",LEFT(TH!M1241,2)="15"),'152-CT'!$J$8=TH!F1241),"x","")</f>
        <v/>
      </c>
      <c r="Z1241" s="51" t="str">
        <f>IF(AND(OR(LEFT(TH!L1241,2)="15",LEFT(TH!M1241,2)="15"),TK!$E$7=TH!F1241),"x","")</f>
        <v/>
      </c>
      <c r="AA1241" s="51" t="str">
        <f>IF(AND(B1241&lt;=NKC!$N$8,B1241&gt;=NKC!$M$8),"x","")</f>
        <v/>
      </c>
      <c r="AB1241" s="909"/>
      <c r="AC1241" s="588"/>
      <c r="AD1241" s="588"/>
      <c r="AE1241" s="588"/>
    </row>
    <row r="1242" spans="1:31" s="210" customFormat="1" ht="15.75" customHeight="1">
      <c r="A1242" s="203" t="str">
        <f>IF(B1242&lt;&gt;"",IF(AND(B1242&gt;=_TM1,B1242&lt;=_TM2,OR(TH!L1242="1111",TH!M1242="1111")),TH!D1242,""),"")</f>
        <v/>
      </c>
      <c r="B1242" s="36" t="str">
        <f t="shared" si="56"/>
        <v/>
      </c>
      <c r="C1242" s="183"/>
      <c r="D1242" s="190"/>
      <c r="E1242" s="183"/>
      <c r="F1242" s="188"/>
      <c r="G1242" s="481"/>
      <c r="H1242" s="779"/>
      <c r="I1242" s="255"/>
      <c r="J1242" s="255"/>
      <c r="K1242" s="37"/>
      <c r="L1242" s="193"/>
      <c r="M1242" s="193"/>
      <c r="N1242" s="51" t="str">
        <f>IF(AND('331-CT'!$E$7=TH!H1242,OR(L1242="331",M1242="331")),"331",IF(AND(OR(L1242="131",M1242="131"),H1242='131-CT'!$E$7),"131",""))</f>
        <v/>
      </c>
      <c r="O1242" s="887" t="str">
        <f>IF(AND('341-CT'!$E$9=H1242,OR(LEFT(L1242,3)=$O$7,LEFT(M1242,3)=$O$7)),"x","")</f>
        <v/>
      </c>
      <c r="P1242" s="51" t="str">
        <f>IF(AND($B1242&gt;='111'!$N$11,$B1242&lt;='111'!$O$11,OR($L1242=$P$7,$M1242=$P$7)),"x","")</f>
        <v/>
      </c>
      <c r="Q1242" s="51" t="str">
        <f>IF(AND($L1242=$P$7,$B1242&lt;'111'!$N$11),"x","")</f>
        <v/>
      </c>
      <c r="R1242" s="51" t="str">
        <f>IF(AND($M1242=$P$7,$B1242&lt;'111'!$N$11),"x","")</f>
        <v/>
      </c>
      <c r="S1242" s="51" t="str">
        <f>IF(ISERROR(FIND('112'!$M$9,G1242,1)),"",IF((AND(FIND('112'!$M$9,G1242,1)&gt;=1,$B1242&gt;='112'!$N$8,$B1242&lt;='112'!$O$8,OR($L1242='112'!$I$6,$M1242='112'!$I$6))),"x",""))</f>
        <v/>
      </c>
      <c r="T1242" s="51" t="str">
        <f>IF(ISERROR(FIND('112'!$M$9,G1242,1)),"",IF((AND(LEFT(G1242,2)=LEFT('112'!$M$9,2),B1242&lt;'112'!$N$8,$L1242='112'!$I$6)),"x",""))</f>
        <v/>
      </c>
      <c r="U1242" s="51" t="str">
        <f>IF(ISERROR(FIND('112'!$M$9,G1242,1)),"",IF((AND(RIGHT(G1242,2)=RIGHT('112'!$M$9,2),B1242&lt;'112'!$N$8,$M1242='112'!$I$6)),"x",""))</f>
        <v/>
      </c>
      <c r="V1242" s="38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W1242" s="51" t="str">
        <f>IF(OR(TH!L1242=TH!$W$7,M1242=TH!$W$7),"x","")</f>
        <v/>
      </c>
      <c r="X1242" s="51" t="str">
        <f>IF(AND(B1242&gt;='IN-NX'!$P$3,B1242&lt;='IN-NX'!$Q$3,'IN-NX'!$D$7=D1242,OR(LEFT(L1242,2)="15",AND(LEFT(M1242,2)&lt;&gt;"15",LEFT(M1242,2)&lt;&gt;"33"))),"x","")</f>
        <v/>
      </c>
      <c r="Y1242" s="51" t="str">
        <f>IF(AND(OR(LEFT(TH!L1242,2)="15",LEFT(TH!M1242,2)="15"),'152-CT'!$J$8=TH!F1242),"x","")</f>
        <v/>
      </c>
      <c r="Z1242" s="51" t="str">
        <f>IF(AND(OR(LEFT(TH!L1242,2)="15",LEFT(TH!M1242,2)="15"),TK!$E$7=TH!F1242),"x","")</f>
        <v/>
      </c>
      <c r="AA1242" s="51" t="str">
        <f>IF(AND(B1242&lt;=NKC!$N$8,B1242&gt;=NKC!$M$8),"x","")</f>
        <v/>
      </c>
      <c r="AB1242" s="909"/>
      <c r="AC1242" s="588"/>
      <c r="AD1242" s="588"/>
      <c r="AE1242" s="588"/>
    </row>
    <row r="1243" spans="1:31" s="210" customFormat="1" ht="15.75" customHeight="1">
      <c r="A1243" s="203" t="str">
        <f>IF(B1243&lt;&gt;"",IF(AND(B1243&gt;=_TM1,B1243&lt;=_TM2,OR(TH!L1243="1111",TH!M1243="1111")),TH!D1243,""),"")</f>
        <v/>
      </c>
      <c r="B1243" s="36" t="str">
        <f t="shared" si="56"/>
        <v/>
      </c>
      <c r="C1243" s="183"/>
      <c r="D1243" s="190"/>
      <c r="E1243" s="183"/>
      <c r="F1243" s="188"/>
      <c r="G1243" s="481"/>
      <c r="H1243" s="779"/>
      <c r="I1243" s="255"/>
      <c r="J1243" s="255"/>
      <c r="K1243" s="37"/>
      <c r="L1243" s="193"/>
      <c r="M1243" s="193"/>
      <c r="N1243" s="51" t="str">
        <f>IF(AND('331-CT'!$E$7=TH!H1243,OR(L1243="331",M1243="331")),"331",IF(AND(OR(L1243="131",M1243="131"),H1243='131-CT'!$E$7),"131",""))</f>
        <v/>
      </c>
      <c r="O1243" s="887" t="str">
        <f>IF(AND('341-CT'!$E$9=H1243,OR(LEFT(L1243,3)=$O$7,LEFT(M1243,3)=$O$7)),"x","")</f>
        <v/>
      </c>
      <c r="P1243" s="51" t="str">
        <f>IF(AND($B1243&gt;='111'!$N$11,$B1243&lt;='111'!$O$11,OR($L1243=$P$7,$M1243=$P$7)),"x","")</f>
        <v/>
      </c>
      <c r="Q1243" s="51" t="str">
        <f>IF(AND($L1243=$P$7,$B1243&lt;'111'!$N$11),"x","")</f>
        <v/>
      </c>
      <c r="R1243" s="51" t="str">
        <f>IF(AND($M1243=$P$7,$B1243&lt;'111'!$N$11),"x","")</f>
        <v/>
      </c>
      <c r="S1243" s="51" t="str">
        <f>IF(ISERROR(FIND('112'!$M$9,G1243,1)),"",IF((AND(FIND('112'!$M$9,G1243,1)&gt;=1,$B1243&gt;='112'!$N$8,$B1243&lt;='112'!$O$8,OR($L1243='112'!$I$6,$M1243='112'!$I$6))),"x",""))</f>
        <v/>
      </c>
      <c r="T1243" s="51" t="str">
        <f>IF(ISERROR(FIND('112'!$M$9,G1243,1)),"",IF((AND(LEFT(G1243,2)=LEFT('112'!$M$9,2),B1243&lt;'112'!$N$8,$L1243='112'!$I$6)),"x",""))</f>
        <v/>
      </c>
      <c r="U1243" s="51" t="str">
        <f>IF(ISERROR(FIND('112'!$M$9,G1243,1)),"",IF((AND(RIGHT(G1243,2)=RIGHT('112'!$M$9,2),B1243&lt;'112'!$N$8,$M1243='112'!$I$6)),"x",""))</f>
        <v/>
      </c>
      <c r="V1243" s="38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W1243" s="51" t="str">
        <f>IF(OR(TH!L1243=TH!$W$7,M1243=TH!$W$7),"x","")</f>
        <v/>
      </c>
      <c r="X1243" s="51" t="str">
        <f>IF(AND(B1243&gt;='IN-NX'!$P$3,B1243&lt;='IN-NX'!$Q$3,'IN-NX'!$D$7=D1243,OR(LEFT(L1243,2)="15",AND(LEFT(M1243,2)&lt;&gt;"15",LEFT(M1243,2)&lt;&gt;"33"))),"x","")</f>
        <v/>
      </c>
      <c r="Y1243" s="51" t="str">
        <f>IF(AND(OR(LEFT(TH!L1243,2)="15",LEFT(TH!M1243,2)="15"),'152-CT'!$J$8=TH!F1243),"x","")</f>
        <v/>
      </c>
      <c r="Z1243" s="51" t="str">
        <f>IF(AND(OR(LEFT(TH!L1243,2)="15",LEFT(TH!M1243,2)="15"),TK!$E$7=TH!F1243),"x","")</f>
        <v/>
      </c>
      <c r="AA1243" s="51" t="str">
        <f>IF(AND(B1243&lt;=NKC!$N$8,B1243&gt;=NKC!$M$8),"x","")</f>
        <v/>
      </c>
      <c r="AB1243" s="909"/>
      <c r="AC1243" s="588"/>
      <c r="AD1243" s="588"/>
      <c r="AE1243" s="588"/>
    </row>
    <row r="1244" spans="1:31" s="210" customFormat="1" ht="15.75" customHeight="1">
      <c r="A1244" s="203" t="str">
        <f>IF(B1244&lt;&gt;"",IF(AND(B1244&gt;=_TM1,B1244&lt;=_TM2,OR(TH!L1244="1111",TH!M1244="1111")),TH!D1244,""),"")</f>
        <v/>
      </c>
      <c r="B1244" s="36" t="str">
        <f t="shared" si="56"/>
        <v/>
      </c>
      <c r="C1244" s="183"/>
      <c r="D1244" s="190"/>
      <c r="E1244" s="183"/>
      <c r="F1244" s="191"/>
      <c r="G1244" s="481"/>
      <c r="H1244" s="779"/>
      <c r="I1244" s="255"/>
      <c r="J1244" s="255"/>
      <c r="K1244" s="37"/>
      <c r="L1244" s="193"/>
      <c r="M1244" s="193"/>
      <c r="N1244" s="51" t="str">
        <f>IF(AND('331-CT'!$E$7=TH!H1244,OR(L1244="331",M1244="331")),"331",IF(AND(OR(L1244="131",M1244="131"),H1244='131-CT'!$E$7),"131",""))</f>
        <v/>
      </c>
      <c r="O1244" s="887" t="str">
        <f>IF(AND('341-CT'!$E$9=H1244,OR(LEFT(L1244,3)=$O$7,LEFT(M1244,3)=$O$7)),"x","")</f>
        <v/>
      </c>
      <c r="P1244" s="51" t="str">
        <f>IF(AND($B1244&gt;='111'!$N$11,$B1244&lt;='111'!$O$11,OR($L1244=$P$7,$M1244=$P$7)),"x","")</f>
        <v/>
      </c>
      <c r="Q1244" s="51" t="str">
        <f>IF(AND($L1244=$P$7,$B1244&lt;'111'!$N$11),"x","")</f>
        <v/>
      </c>
      <c r="R1244" s="51" t="str">
        <f>IF(AND($M1244=$P$7,$B1244&lt;'111'!$N$11),"x","")</f>
        <v/>
      </c>
      <c r="S1244" s="51" t="str">
        <f>IF(ISERROR(FIND('112'!$M$9,G1244,1)),"",IF((AND(FIND('112'!$M$9,G1244,1)&gt;=1,$B1244&gt;='112'!$N$8,$B1244&lt;='112'!$O$8,OR($L1244='112'!$I$6,$M1244='112'!$I$6))),"x",""))</f>
        <v/>
      </c>
      <c r="T1244" s="51" t="str">
        <f>IF(ISERROR(FIND('112'!$M$9,G1244,1)),"",IF((AND(LEFT(G1244,2)=LEFT('112'!$M$9,2),B1244&lt;'112'!$N$8,$L1244='112'!$I$6)),"x",""))</f>
        <v/>
      </c>
      <c r="U1244" s="51" t="str">
        <f>IF(ISERROR(FIND('112'!$M$9,G1244,1)),"",IF((AND(RIGHT(G1244,2)=RIGHT('112'!$M$9,2),B1244&lt;'112'!$N$8,$M1244='112'!$I$6)),"x",""))</f>
        <v/>
      </c>
      <c r="V1244" s="38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W1244" s="51" t="str">
        <f>IF(OR(TH!L1244=TH!$W$7,M1244=TH!$W$7),"x","")</f>
        <v/>
      </c>
      <c r="X1244" s="51" t="str">
        <f>IF(AND(B1244&gt;='IN-NX'!$P$3,B1244&lt;='IN-NX'!$Q$3,'IN-NX'!$D$7=D1244,OR(LEFT(L1244,2)="15",AND(LEFT(M1244,2)&lt;&gt;"15",LEFT(M1244,2)&lt;&gt;"33"))),"x","")</f>
        <v/>
      </c>
      <c r="Y1244" s="51" t="str">
        <f>IF(AND(OR(LEFT(TH!L1244,2)="15",LEFT(TH!M1244,2)="15"),'152-CT'!$J$8=TH!F1244),"x","")</f>
        <v/>
      </c>
      <c r="Z1244" s="51" t="str">
        <f>IF(AND(OR(LEFT(TH!L1244,2)="15",LEFT(TH!M1244,2)="15"),TK!$E$7=TH!F1244),"x","")</f>
        <v/>
      </c>
      <c r="AA1244" s="51" t="str">
        <f>IF(AND(B1244&lt;=NKC!$N$8,B1244&gt;=NKC!$M$8),"x","")</f>
        <v/>
      </c>
      <c r="AB1244" s="909"/>
      <c r="AC1244" s="588"/>
      <c r="AD1244" s="588"/>
      <c r="AE1244" s="588"/>
    </row>
    <row r="1245" spans="1:31" s="210" customFormat="1" ht="15.75" customHeight="1">
      <c r="A1245" s="203" t="str">
        <f>IF(B1245&lt;&gt;"",IF(AND(B1245&gt;=_TM1,B1245&lt;=_TM2,OR(TH!L1245="1111",TH!M1245="1111")),TH!D1245,""),"")</f>
        <v/>
      </c>
      <c r="B1245" s="36" t="str">
        <f t="shared" si="56"/>
        <v/>
      </c>
      <c r="C1245" s="183"/>
      <c r="D1245" s="190"/>
      <c r="E1245" s="183"/>
      <c r="F1245" s="188"/>
      <c r="G1245" s="481"/>
      <c r="H1245" s="779"/>
      <c r="I1245" s="255"/>
      <c r="J1245" s="255"/>
      <c r="K1245" s="596"/>
      <c r="L1245" s="193"/>
      <c r="M1245" s="193"/>
      <c r="N1245" s="51" t="str">
        <f>IF(AND('331-CT'!$E$7=TH!H1245,OR(L1245="331",M1245="331")),"331",IF(AND(OR(L1245="131",M1245="131"),H1245='131-CT'!$E$7),"131",""))</f>
        <v/>
      </c>
      <c r="O1245" s="887" t="str">
        <f>IF(AND('341-CT'!$E$9=H1245,OR(LEFT(L1245,3)=$O$7,LEFT(M1245,3)=$O$7)),"x","")</f>
        <v/>
      </c>
      <c r="P1245" s="51" t="str">
        <f>IF(AND($B1245&gt;='111'!$N$11,$B1245&lt;='111'!$O$11,OR($L1245=$P$7,$M1245=$P$7)),"x","")</f>
        <v/>
      </c>
      <c r="Q1245" s="51" t="str">
        <f>IF(AND($L1245=$P$7,$B1245&lt;'111'!$N$11),"x","")</f>
        <v/>
      </c>
      <c r="R1245" s="51" t="str">
        <f>IF(AND($M1245=$P$7,$B1245&lt;'111'!$N$11),"x","")</f>
        <v/>
      </c>
      <c r="S1245" s="51" t="str">
        <f>IF(ISERROR(FIND('112'!$M$9,G1245,1)),"",IF((AND(FIND('112'!$M$9,G1245,1)&gt;=1,$B1245&gt;='112'!$N$8,$B1245&lt;='112'!$O$8,OR($L1245='112'!$I$6,$M1245='112'!$I$6))),"x",""))</f>
        <v/>
      </c>
      <c r="T1245" s="51" t="str">
        <f>IF(ISERROR(FIND('112'!$M$9,G1245,1)),"",IF((AND(LEFT(G1245,2)=LEFT('112'!$M$9,2),B1245&lt;'112'!$N$8,$L1245='112'!$I$6)),"x",""))</f>
        <v/>
      </c>
      <c r="U1245" s="51" t="str">
        <f>IF(ISERROR(FIND('112'!$M$9,G1245,1)),"",IF((AND(RIGHT(G1245,2)=RIGHT('112'!$M$9,2),B1245&lt;'112'!$N$8,$M1245='112'!$I$6)),"x",""))</f>
        <v/>
      </c>
      <c r="V1245" s="38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W1245" s="51" t="str">
        <f>IF(OR(TH!L1245=TH!$W$7,M1245=TH!$W$7),"x","")</f>
        <v/>
      </c>
      <c r="X1245" s="51" t="str">
        <f>IF(AND(B1245&gt;='IN-NX'!$P$3,B1245&lt;='IN-NX'!$Q$3,'IN-NX'!$D$7=D1245,OR(LEFT(L1245,2)="15",AND(LEFT(M1245,2)&lt;&gt;"15",LEFT(M1245,2)&lt;&gt;"33"))),"x","")</f>
        <v/>
      </c>
      <c r="Y1245" s="51" t="str">
        <f>IF(AND(OR(LEFT(TH!L1245,2)="15",LEFT(TH!M1245,2)="15"),'152-CT'!$J$8=TH!F1245),"x","")</f>
        <v/>
      </c>
      <c r="Z1245" s="51" t="str">
        <f>IF(AND(OR(LEFT(TH!L1245,2)="15",LEFT(TH!M1245,2)="15"),TK!$E$7=TH!F1245),"x","")</f>
        <v/>
      </c>
      <c r="AA1245" s="51" t="str">
        <f>IF(AND(B1245&lt;=NKC!$N$8,B1245&gt;=NKC!$M$8),"x","")</f>
        <v/>
      </c>
      <c r="AB1245" s="909"/>
      <c r="AC1245" s="588"/>
      <c r="AD1245" s="588"/>
      <c r="AE1245" s="588"/>
    </row>
    <row r="1246" spans="1:31" s="210" customFormat="1" ht="15.75" customHeight="1">
      <c r="A1246" s="203" t="str">
        <f>IF(B1246&lt;&gt;"",IF(AND(B1246&gt;=_TM1,B1246&lt;=_TM2,OR(TH!L1246="1111",TH!M1246="1111")),TH!D1246,""),"")</f>
        <v/>
      </c>
      <c r="B1246" s="36" t="str">
        <f t="shared" si="56"/>
        <v/>
      </c>
      <c r="C1246" s="183"/>
      <c r="D1246" s="190"/>
      <c r="E1246" s="183"/>
      <c r="F1246" s="188"/>
      <c r="G1246" s="481"/>
      <c r="H1246" s="7"/>
      <c r="I1246" s="255"/>
      <c r="J1246" s="255"/>
      <c r="K1246" s="37"/>
      <c r="L1246" s="193"/>
      <c r="M1246" s="193"/>
      <c r="N1246" s="51" t="str">
        <f>IF(AND('331-CT'!$E$7=TH!H1246,OR(L1246="331",M1246="331")),"331",IF(AND(OR(L1246="131",M1246="131"),H1246='131-CT'!$E$7),"131",""))</f>
        <v/>
      </c>
      <c r="O1246" s="887" t="str">
        <f>IF(AND('341-CT'!$E$9=H1246,OR(LEFT(L1246,3)=$O$7,LEFT(M1246,3)=$O$7)),"x","")</f>
        <v/>
      </c>
      <c r="P1246" s="51" t="str">
        <f>IF(AND($B1246&gt;='111'!$N$11,$B1246&lt;='111'!$O$11,OR($L1246=$P$7,$M1246=$P$7)),"x","")</f>
        <v/>
      </c>
      <c r="Q1246" s="51" t="str">
        <f>IF(AND($L1246=$P$7,$B1246&lt;'111'!$N$11),"x","")</f>
        <v/>
      </c>
      <c r="R1246" s="51" t="str">
        <f>IF(AND($M1246=$P$7,$B1246&lt;'111'!$N$11),"x","")</f>
        <v/>
      </c>
      <c r="S1246" s="51" t="str">
        <f>IF(ISERROR(FIND('112'!$M$9,G1246,1)),"",IF((AND(FIND('112'!$M$9,G1246,1)&gt;=1,$B1246&gt;='112'!$N$8,$B1246&lt;='112'!$O$8,OR($L1246='112'!$I$6,$M1246='112'!$I$6))),"x",""))</f>
        <v/>
      </c>
      <c r="T1246" s="51" t="str">
        <f>IF(ISERROR(FIND('112'!$M$9,G1246,1)),"",IF((AND(LEFT(G1246,2)=LEFT('112'!$M$9,2),B1246&lt;'112'!$N$8,$L1246='112'!$I$6)),"x",""))</f>
        <v/>
      </c>
      <c r="U1246" s="51" t="str">
        <f>IF(ISERROR(FIND('112'!$M$9,G1246,1)),"",IF((AND(RIGHT(G1246,2)=RIGHT('112'!$M$9,2),B1246&lt;'112'!$N$8,$M1246='112'!$I$6)),"x",""))</f>
        <v/>
      </c>
      <c r="V1246" s="38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W1246" s="51" t="str">
        <f>IF(OR(TH!L1246=TH!$W$7,M1246=TH!$W$7),"x","")</f>
        <v/>
      </c>
      <c r="X1246" s="51" t="str">
        <f>IF(AND(B1246&gt;='IN-NX'!$P$3,B1246&lt;='IN-NX'!$Q$3,'IN-NX'!$D$7=D1246,OR(LEFT(L1246,2)="15",AND(LEFT(M1246,2)&lt;&gt;"15",LEFT(M1246,2)&lt;&gt;"33"))),"x","")</f>
        <v/>
      </c>
      <c r="Y1246" s="51" t="str">
        <f>IF(AND(OR(LEFT(TH!L1246,2)="15",LEFT(TH!M1246,2)="15"),'152-CT'!$J$8=TH!F1246),"x","")</f>
        <v/>
      </c>
      <c r="Z1246" s="51" t="str">
        <f>IF(AND(OR(LEFT(TH!L1246,2)="15",LEFT(TH!M1246,2)="15"),TK!$E$7=TH!F1246),"x","")</f>
        <v/>
      </c>
      <c r="AA1246" s="51" t="str">
        <f>IF(AND(B1246&lt;=NKC!$N$8,B1246&gt;=NKC!$M$8),"x","")</f>
        <v/>
      </c>
      <c r="AB1246" s="909"/>
      <c r="AC1246" s="588"/>
      <c r="AD1246" s="588"/>
      <c r="AE1246" s="588"/>
    </row>
    <row r="1247" spans="1:31" s="210" customFormat="1" ht="15.75" customHeight="1">
      <c r="A1247" s="203" t="str">
        <f>IF(B1247&lt;&gt;"",IF(AND(B1247&gt;=_TM1,B1247&lt;=_TM2,OR(TH!L1247="1111",TH!M1247="1111")),TH!D1247,""),"")</f>
        <v/>
      </c>
      <c r="B1247" s="36" t="str">
        <f t="shared" si="56"/>
        <v/>
      </c>
      <c r="C1247" s="183"/>
      <c r="D1247" s="190"/>
      <c r="E1247" s="183"/>
      <c r="F1247" s="188"/>
      <c r="G1247" s="481"/>
      <c r="H1247" s="7"/>
      <c r="I1247" s="255"/>
      <c r="J1247" s="255"/>
      <c r="K1247" s="37"/>
      <c r="L1247" s="193"/>
      <c r="M1247" s="193"/>
      <c r="N1247" s="51" t="str">
        <f>IF(AND('331-CT'!$E$7=TH!H1247,OR(L1247="331",M1247="331")),"331",IF(AND(OR(L1247="131",M1247="131"),H1247='131-CT'!$E$7),"131",""))</f>
        <v/>
      </c>
      <c r="O1247" s="887" t="str">
        <f>IF(AND('341-CT'!$E$9=H1247,OR(LEFT(L1247,3)=$O$7,LEFT(M1247,3)=$O$7)),"x","")</f>
        <v/>
      </c>
      <c r="P1247" s="51" t="str">
        <f>IF(AND($B1247&gt;='111'!$N$11,$B1247&lt;='111'!$O$11,OR($L1247=$P$7,$M1247=$P$7)),"x","")</f>
        <v/>
      </c>
      <c r="Q1247" s="51" t="str">
        <f>IF(AND($L1247=$P$7,$B1247&lt;'111'!$N$11),"x","")</f>
        <v/>
      </c>
      <c r="R1247" s="51" t="str">
        <f>IF(AND($M1247=$P$7,$B1247&lt;'111'!$N$11),"x","")</f>
        <v/>
      </c>
      <c r="S1247" s="51" t="str">
        <f>IF(ISERROR(FIND('112'!$M$9,G1247,1)),"",IF((AND(FIND('112'!$M$9,G1247,1)&gt;=1,$B1247&gt;='112'!$N$8,$B1247&lt;='112'!$O$8,OR($L1247='112'!$I$6,$M1247='112'!$I$6))),"x",""))</f>
        <v/>
      </c>
      <c r="T1247" s="51" t="str">
        <f>IF(ISERROR(FIND('112'!$M$9,G1247,1)),"",IF((AND(LEFT(G1247,2)=LEFT('112'!$M$9,2),B1247&lt;'112'!$N$8,$L1247='112'!$I$6)),"x",""))</f>
        <v/>
      </c>
      <c r="U1247" s="51" t="str">
        <f>IF(ISERROR(FIND('112'!$M$9,G1247,1)),"",IF((AND(RIGHT(G1247,2)=RIGHT('112'!$M$9,2),B1247&lt;'112'!$N$8,$M1247='112'!$I$6)),"x",""))</f>
        <v/>
      </c>
      <c r="V1247" s="38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W1247" s="51" t="str">
        <f>IF(OR(TH!L1247=TH!$W$7,M1247=TH!$W$7),"x","")</f>
        <v/>
      </c>
      <c r="X1247" s="51" t="str">
        <f>IF(AND(B1247&gt;='IN-NX'!$P$3,B1247&lt;='IN-NX'!$Q$3,'IN-NX'!$D$7=D1247,OR(LEFT(L1247,2)="15",AND(LEFT(M1247,2)&lt;&gt;"15",LEFT(M1247,2)&lt;&gt;"33"))),"x","")</f>
        <v/>
      </c>
      <c r="Y1247" s="51" t="str">
        <f>IF(AND(OR(LEFT(TH!L1247,2)="15",LEFT(TH!M1247,2)="15"),'152-CT'!$J$8=TH!F1247),"x","")</f>
        <v/>
      </c>
      <c r="Z1247" s="51" t="str">
        <f>IF(AND(OR(LEFT(TH!L1247,2)="15",LEFT(TH!M1247,2)="15"),TK!$E$7=TH!F1247),"x","")</f>
        <v/>
      </c>
      <c r="AA1247" s="51" t="str">
        <f>IF(AND(B1247&lt;=NKC!$N$8,B1247&gt;=NKC!$M$8),"x","")</f>
        <v/>
      </c>
      <c r="AB1247" s="909"/>
      <c r="AC1247" s="588"/>
      <c r="AD1247" s="588"/>
    </row>
    <row r="1248" spans="1:31" s="210" customFormat="1" ht="15.75" customHeight="1">
      <c r="A1248" s="203" t="str">
        <f>IF(B1248&lt;&gt;"",IF(AND(B1248&gt;=_TM1,B1248&lt;=_TM2,OR(TH!L1248="1111",TH!M1248="1111")),TH!D1248,""),"")</f>
        <v/>
      </c>
      <c r="B1248" s="36" t="str">
        <f t="shared" si="56"/>
        <v/>
      </c>
      <c r="C1248" s="183"/>
      <c r="D1248" s="190"/>
      <c r="E1248" s="183"/>
      <c r="F1248" s="188"/>
      <c r="G1248" s="481"/>
      <c r="H1248" s="7"/>
      <c r="I1248" s="255"/>
      <c r="J1248" s="255"/>
      <c r="K1248" s="37"/>
      <c r="L1248" s="193"/>
      <c r="M1248" s="193"/>
      <c r="N1248" s="51" t="str">
        <f>IF(AND('331-CT'!$E$7=TH!H1248,OR(L1248="331",M1248="331")),"331",IF(AND(OR(L1248="131",M1248="131"),H1248='131-CT'!$E$7),"131",""))</f>
        <v/>
      </c>
      <c r="O1248" s="887" t="str">
        <f>IF(AND('341-CT'!$E$9=H1248,OR(LEFT(L1248,3)=$O$7,LEFT(M1248,3)=$O$7)),"x","")</f>
        <v/>
      </c>
      <c r="P1248" s="51" t="str">
        <f>IF(AND($B1248&gt;='111'!$N$11,$B1248&lt;='111'!$O$11,OR($L1248=$P$7,$M1248=$P$7)),"x","")</f>
        <v/>
      </c>
      <c r="Q1248" s="51" t="str">
        <f>IF(AND($L1248=$P$7,$B1248&lt;'111'!$N$11),"x","")</f>
        <v/>
      </c>
      <c r="R1248" s="51" t="str">
        <f>IF(AND($M1248=$P$7,$B1248&lt;'111'!$N$11),"x","")</f>
        <v/>
      </c>
      <c r="S1248" s="51" t="str">
        <f>IF(ISERROR(FIND('112'!$M$9,G1248,1)),"",IF((AND(FIND('112'!$M$9,G1248,1)&gt;=1,$B1248&gt;='112'!$N$8,$B1248&lt;='112'!$O$8,OR($L1248='112'!$I$6,$M1248='112'!$I$6))),"x",""))</f>
        <v/>
      </c>
      <c r="T1248" s="51" t="str">
        <f>IF(ISERROR(FIND('112'!$M$9,G1248,1)),"",IF((AND(LEFT(G1248,2)=LEFT('112'!$M$9,2),B1248&lt;'112'!$N$8,$L1248='112'!$I$6)),"x",""))</f>
        <v/>
      </c>
      <c r="U1248" s="51" t="str">
        <f>IF(ISERROR(FIND('112'!$M$9,G1248,1)),"",IF((AND(RIGHT(G1248,2)=RIGHT('112'!$M$9,2),B1248&lt;'112'!$N$8,$M1248='112'!$I$6)),"x",""))</f>
        <v/>
      </c>
      <c r="V1248" s="38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W1248" s="51" t="str">
        <f>IF(OR(TH!L1248=TH!$W$7,M1248=TH!$W$7),"x","")</f>
        <v/>
      </c>
      <c r="X1248" s="51" t="str">
        <f>IF(AND(B1248&gt;='IN-NX'!$P$3,B1248&lt;='IN-NX'!$Q$3,'IN-NX'!$D$7=D1248,OR(LEFT(L1248,2)="15",AND(LEFT(M1248,2)&lt;&gt;"15",LEFT(M1248,2)&lt;&gt;"33"))),"x","")</f>
        <v/>
      </c>
      <c r="Y1248" s="51" t="str">
        <f>IF(AND(OR(LEFT(TH!L1248,2)="15",LEFT(TH!M1248,2)="15"),'152-CT'!$J$8=TH!F1248),"x","")</f>
        <v/>
      </c>
      <c r="Z1248" s="51" t="str">
        <f>IF(AND(OR(LEFT(TH!L1248,2)="15",LEFT(TH!M1248,2)="15"),TK!$E$7=TH!F1248),"x","")</f>
        <v/>
      </c>
      <c r="AA1248" s="51" t="str">
        <f>IF(AND(B1248&lt;=NKC!$N$8,B1248&gt;=NKC!$M$8),"x","")</f>
        <v/>
      </c>
      <c r="AB1248" s="909"/>
      <c r="AC1248" s="588"/>
      <c r="AD1248" s="588"/>
    </row>
    <row r="1249" spans="1:33" s="210" customFormat="1" ht="15.75" customHeight="1">
      <c r="A1249" s="203" t="str">
        <f>IF(B1249&lt;&gt;"",IF(AND(B1249&gt;=_TM1,B1249&lt;=_TM2,OR(TH!L1249="1111",TH!M1249="1111")),TH!D1249,""),"")</f>
        <v/>
      </c>
      <c r="B1249" s="36" t="str">
        <f t="shared" si="56"/>
        <v/>
      </c>
      <c r="C1249" s="183"/>
      <c r="D1249" s="190"/>
      <c r="E1249" s="183"/>
      <c r="F1249" s="188"/>
      <c r="G1249" s="481"/>
      <c r="H1249" s="7"/>
      <c r="I1249" s="255"/>
      <c r="J1249" s="255"/>
      <c r="K1249" s="596"/>
      <c r="L1249" s="193"/>
      <c r="M1249" s="193"/>
      <c r="N1249" s="51" t="str">
        <f>IF(AND('331-CT'!$E$7=TH!H1249,OR(L1249="331",M1249="331")),"331",IF(AND(OR(L1249="131",M1249="131"),H1249='131-CT'!$E$7),"131",""))</f>
        <v/>
      </c>
      <c r="O1249" s="887" t="str">
        <f>IF(AND('341-CT'!$E$9=H1249,OR(LEFT(L1249,3)=$O$7,LEFT(M1249,3)=$O$7)),"x","")</f>
        <v/>
      </c>
      <c r="P1249" s="51" t="str">
        <f>IF(AND($B1249&gt;='111'!$N$11,$B1249&lt;='111'!$O$11,OR($L1249=$P$7,$M1249=$P$7)),"x","")</f>
        <v/>
      </c>
      <c r="Q1249" s="51" t="str">
        <f>IF(AND($L1249=$P$7,$B1249&lt;'111'!$N$11),"x","")</f>
        <v/>
      </c>
      <c r="R1249" s="51" t="str">
        <f>IF(AND($M1249=$P$7,$B1249&lt;'111'!$N$11),"x","")</f>
        <v/>
      </c>
      <c r="S1249" s="51" t="str">
        <f>IF(ISERROR(FIND('112'!$M$9,G1249,1)),"",IF((AND(FIND('112'!$M$9,G1249,1)&gt;=1,$B1249&gt;='112'!$N$8,$B1249&lt;='112'!$O$8,OR($L1249='112'!$I$6,$M1249='112'!$I$6))),"x",""))</f>
        <v/>
      </c>
      <c r="T1249" s="51" t="str">
        <f>IF(ISERROR(FIND('112'!$M$9,G1249,1)),"",IF((AND(LEFT(G1249,2)=LEFT('112'!$M$9,2),B1249&lt;'112'!$N$8,$L1249='112'!$I$6)),"x",""))</f>
        <v/>
      </c>
      <c r="U1249" s="51" t="str">
        <f>IF(ISERROR(FIND('112'!$M$9,G1249,1)),"",IF((AND(RIGHT(G1249,2)=RIGHT('112'!$M$9,2),B1249&lt;'112'!$N$8,$M1249='112'!$I$6)),"x",""))</f>
        <v/>
      </c>
      <c r="V1249" s="38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W1249" s="51" t="str">
        <f>IF(OR(TH!L1249=TH!$W$7,M1249=TH!$W$7),"x","")</f>
        <v/>
      </c>
      <c r="X1249" s="51" t="str">
        <f>IF(AND(B1249&gt;='IN-NX'!$P$3,B1249&lt;='IN-NX'!$Q$3,'IN-NX'!$D$7=D1249,OR(LEFT(L1249,2)="15",AND(LEFT(M1249,2)&lt;&gt;"15",LEFT(M1249,2)&lt;&gt;"33"))),"x","")</f>
        <v/>
      </c>
      <c r="Y1249" s="51" t="str">
        <f>IF(AND(OR(LEFT(TH!L1249,2)="15",LEFT(TH!M1249,2)="15"),'152-CT'!$J$8=TH!F1249),"x","")</f>
        <v/>
      </c>
      <c r="Z1249" s="51" t="str">
        <f>IF(AND(OR(LEFT(TH!L1249,2)="15",LEFT(TH!M1249,2)="15"),TK!$E$7=TH!F1249),"x","")</f>
        <v/>
      </c>
      <c r="AA1249" s="51" t="str">
        <f>IF(AND(B1249&lt;=NKC!$N$8,B1249&gt;=NKC!$M$8),"x","")</f>
        <v/>
      </c>
      <c r="AB1249" s="909"/>
      <c r="AC1249" s="588"/>
      <c r="AD1249" s="588"/>
    </row>
    <row r="1250" spans="1:33" s="210" customFormat="1" ht="15.75" customHeight="1">
      <c r="A1250" s="203" t="str">
        <f>IF(B1250&lt;&gt;"",IF(AND(B1250&gt;=_TM1,B1250&lt;=_TM2,OR(TH!L1250="1111",TH!M1250="1111")),TH!D1250,""),"")</f>
        <v/>
      </c>
      <c r="B1250" s="36" t="str">
        <f t="shared" si="56"/>
        <v/>
      </c>
      <c r="C1250" s="183"/>
      <c r="D1250" s="190"/>
      <c r="E1250" s="183"/>
      <c r="F1250" s="188"/>
      <c r="G1250" s="481"/>
      <c r="H1250" s="7"/>
      <c r="I1250" s="255"/>
      <c r="J1250" s="255"/>
      <c r="K1250" s="37"/>
      <c r="L1250" s="193"/>
      <c r="M1250" s="193"/>
      <c r="N1250" s="51" t="str">
        <f>IF(AND('331-CT'!$E$7=TH!H1250,OR(L1250="331",M1250="331")),"331",IF(AND(OR(L1250="131",M1250="131"),H1250='131-CT'!$E$7),"131",""))</f>
        <v/>
      </c>
      <c r="O1250" s="887" t="str">
        <f>IF(AND('341-CT'!$E$9=H1250,OR(LEFT(L1250,3)=$O$7,LEFT(M1250,3)=$O$7)),"x","")</f>
        <v/>
      </c>
      <c r="P1250" s="51" t="str">
        <f>IF(AND($B1250&gt;='111'!$N$11,$B1250&lt;='111'!$O$11,OR($L1250=$P$7,$M1250=$P$7)),"x","")</f>
        <v/>
      </c>
      <c r="Q1250" s="51" t="str">
        <f>IF(AND($L1250=$P$7,$B1250&lt;'111'!$N$11),"x","")</f>
        <v/>
      </c>
      <c r="R1250" s="51" t="str">
        <f>IF(AND($M1250=$P$7,$B1250&lt;'111'!$N$11),"x","")</f>
        <v/>
      </c>
      <c r="S1250" s="51" t="str">
        <f>IF(ISERROR(FIND('112'!$M$9,G1250,1)),"",IF((AND(FIND('112'!$M$9,G1250,1)&gt;=1,$B1250&gt;='112'!$N$8,$B1250&lt;='112'!$O$8,OR($L1250='112'!$I$6,$M1250='112'!$I$6))),"x",""))</f>
        <v/>
      </c>
      <c r="T1250" s="51" t="str">
        <f>IF(ISERROR(FIND('112'!$M$9,G1250,1)),"",IF((AND(LEFT(G1250,2)=LEFT('112'!$M$9,2),B1250&lt;'112'!$N$8,$L1250='112'!$I$6)),"x",""))</f>
        <v/>
      </c>
      <c r="U1250" s="51" t="str">
        <f>IF(ISERROR(FIND('112'!$M$9,G1250,1)),"",IF((AND(RIGHT(G1250,2)=RIGHT('112'!$M$9,2),B1250&lt;'112'!$N$8,$M1250='112'!$I$6)),"x",""))</f>
        <v/>
      </c>
      <c r="V1250" s="38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W1250" s="51" t="str">
        <f>IF(OR(TH!L1250=TH!$W$7,M1250=TH!$W$7),"x","")</f>
        <v/>
      </c>
      <c r="X1250" s="51" t="str">
        <f>IF(AND(B1250&gt;='IN-NX'!$P$3,B1250&lt;='IN-NX'!$Q$3,'IN-NX'!$D$7=D1250,OR(LEFT(L1250,2)="15",AND(LEFT(M1250,2)&lt;&gt;"15",LEFT(M1250,2)&lt;&gt;"33"))),"x","")</f>
        <v/>
      </c>
      <c r="Y1250" s="51" t="str">
        <f>IF(AND(OR(LEFT(TH!L1250,2)="15",LEFT(TH!M1250,2)="15"),'152-CT'!$J$8=TH!F1250),"x","")</f>
        <v/>
      </c>
      <c r="Z1250" s="51" t="str">
        <f>IF(AND(OR(LEFT(TH!L1250,2)="15",LEFT(TH!M1250,2)="15"),TK!$E$7=TH!F1250),"x","")</f>
        <v/>
      </c>
      <c r="AA1250" s="51" t="str">
        <f>IF(AND(B1250&lt;=NKC!$N$8,B1250&gt;=NKC!$M$8),"x","")</f>
        <v/>
      </c>
      <c r="AB1250" s="910"/>
      <c r="AC1250" s="588"/>
      <c r="AD1250" s="588"/>
    </row>
    <row r="1251" spans="1:33" s="210" customFormat="1" ht="15.75" customHeight="1">
      <c r="A1251" s="203" t="str">
        <f>IF(B1251&lt;&gt;"",IF(AND(B1251&gt;=_TM1,B1251&lt;=_TM2,OR(TH!L1251="1111",TH!M1251="1111")),TH!D1251,""),"")</f>
        <v/>
      </c>
      <c r="B1251" s="36" t="str">
        <f t="shared" si="56"/>
        <v/>
      </c>
      <c r="C1251" s="183"/>
      <c r="D1251" s="190"/>
      <c r="E1251" s="183"/>
      <c r="F1251" s="188"/>
      <c r="G1251" s="481"/>
      <c r="H1251" s="7"/>
      <c r="I1251" s="255"/>
      <c r="J1251" s="255"/>
      <c r="K1251" s="37"/>
      <c r="L1251" s="193"/>
      <c r="M1251" s="193"/>
      <c r="N1251" s="51" t="str">
        <f>IF(AND('331-CT'!$E$7=TH!H1251,OR(L1251="331",M1251="331")),"331",IF(AND(OR(L1251="131",M1251="131"),H1251='131-CT'!$E$7),"131",""))</f>
        <v/>
      </c>
      <c r="O1251" s="887" t="str">
        <f>IF(AND('341-CT'!$E$9=H1251,OR(LEFT(L1251,3)=$O$7,LEFT(M1251,3)=$O$7)),"x","")</f>
        <v/>
      </c>
      <c r="P1251" s="51" t="str">
        <f>IF(AND($B1251&gt;='111'!$N$11,$B1251&lt;='111'!$O$11,OR($L1251=$P$7,$M1251=$P$7)),"x","")</f>
        <v/>
      </c>
      <c r="Q1251" s="51" t="str">
        <f>IF(AND($L1251=$P$7,$B1251&lt;'111'!$N$11),"x","")</f>
        <v/>
      </c>
      <c r="R1251" s="51" t="str">
        <f>IF(AND($M1251=$P$7,$B1251&lt;'111'!$N$11),"x","")</f>
        <v/>
      </c>
      <c r="S1251" s="51" t="str">
        <f>IF(ISERROR(FIND('112'!$M$9,G1251,1)),"",IF((AND(FIND('112'!$M$9,G1251,1)&gt;=1,$B1251&gt;='112'!$N$8,$B1251&lt;='112'!$O$8,OR($L1251='112'!$I$6,$M1251='112'!$I$6))),"x",""))</f>
        <v/>
      </c>
      <c r="T1251" s="51" t="str">
        <f>IF(ISERROR(FIND('112'!$M$9,G1251,1)),"",IF((AND(LEFT(G1251,2)=LEFT('112'!$M$9,2),B1251&lt;'112'!$N$8,$L1251='112'!$I$6)),"x",""))</f>
        <v/>
      </c>
      <c r="U1251" s="51" t="str">
        <f>IF(ISERROR(FIND('112'!$M$9,G1251,1)),"",IF((AND(RIGHT(G1251,2)=RIGHT('112'!$M$9,2),B1251&lt;'112'!$N$8,$M1251='112'!$I$6)),"x",""))</f>
        <v/>
      </c>
      <c r="V1251" s="38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W1251" s="51" t="str">
        <f>IF(OR(TH!L1251=TH!$W$7,M1251=TH!$W$7),"x","")</f>
        <v/>
      </c>
      <c r="X1251" s="51" t="str">
        <f>IF(AND(B1251&gt;='IN-NX'!$P$3,B1251&lt;='IN-NX'!$Q$3,'IN-NX'!$D$7=D1251,OR(LEFT(L1251,2)="15",AND(LEFT(M1251,2)&lt;&gt;"15",LEFT(M1251,2)&lt;&gt;"33"))),"x","")</f>
        <v/>
      </c>
      <c r="Y1251" s="51" t="str">
        <f>IF(AND(OR(LEFT(TH!L1251,2)="15",LEFT(TH!M1251,2)="15"),'152-CT'!$J$8=TH!F1251),"x","")</f>
        <v/>
      </c>
      <c r="Z1251" s="51" t="str">
        <f>IF(AND(OR(LEFT(TH!L1251,2)="15",LEFT(TH!M1251,2)="15"),TK!$E$7=TH!F1251),"x","")</f>
        <v/>
      </c>
      <c r="AA1251" s="51" t="str">
        <f>IF(AND(B1251&lt;=NKC!$N$8,B1251&gt;=NKC!$M$8),"x","")</f>
        <v/>
      </c>
      <c r="AB1251" s="910"/>
      <c r="AC1251" s="588"/>
      <c r="AD1251" s="588"/>
    </row>
    <row r="1252" spans="1:33" s="210" customFormat="1" ht="15.75" customHeight="1">
      <c r="A1252" s="203" t="str">
        <f>IF(B1252&lt;&gt;"",IF(AND(B1252&gt;=_TM1,B1252&lt;=_TM2,OR(TH!L1252="1111",TH!M1252="1111")),TH!D1252,""),"")</f>
        <v/>
      </c>
      <c r="B1252" s="36" t="str">
        <f t="shared" si="56"/>
        <v/>
      </c>
      <c r="C1252" s="183"/>
      <c r="D1252" s="190"/>
      <c r="E1252" s="183"/>
      <c r="F1252" s="188"/>
      <c r="G1252" s="481"/>
      <c r="H1252" s="7"/>
      <c r="I1252" s="255"/>
      <c r="J1252" s="255"/>
      <c r="K1252" s="37"/>
      <c r="L1252" s="193"/>
      <c r="M1252" s="193"/>
      <c r="N1252" s="51" t="str">
        <f>IF(AND('331-CT'!$E$7=TH!H1252,OR(L1252="331",M1252="331")),"331",IF(AND(OR(L1252="131",M1252="131"),H1252='131-CT'!$E$7),"131",""))</f>
        <v/>
      </c>
      <c r="O1252" s="887" t="str">
        <f>IF(AND('341-CT'!$E$9=H1252,OR(LEFT(L1252,3)=$O$7,LEFT(M1252,3)=$O$7)),"x","")</f>
        <v/>
      </c>
      <c r="P1252" s="51" t="str">
        <f>IF(AND($B1252&gt;='111'!$N$11,$B1252&lt;='111'!$O$11,OR($L1252=$P$7,$M1252=$P$7)),"x","")</f>
        <v/>
      </c>
      <c r="Q1252" s="51" t="str">
        <f>IF(AND($L1252=$P$7,$B1252&lt;'111'!$N$11),"x","")</f>
        <v/>
      </c>
      <c r="R1252" s="51" t="str">
        <f>IF(AND($M1252=$P$7,$B1252&lt;'111'!$N$11),"x","")</f>
        <v/>
      </c>
      <c r="S1252" s="51" t="str">
        <f>IF(ISERROR(FIND('112'!$M$9,G1252,1)),"",IF((AND(FIND('112'!$M$9,G1252,1)&gt;=1,$B1252&gt;='112'!$N$8,$B1252&lt;='112'!$O$8,OR($L1252='112'!$I$6,$M1252='112'!$I$6))),"x",""))</f>
        <v/>
      </c>
      <c r="T1252" s="51" t="str">
        <f>IF(ISERROR(FIND('112'!$M$9,G1252,1)),"",IF((AND(LEFT(G1252,2)=LEFT('112'!$M$9,2),B1252&lt;'112'!$N$8,$L1252='112'!$I$6)),"x",""))</f>
        <v/>
      </c>
      <c r="U1252" s="51" t="str">
        <f>IF(ISERROR(FIND('112'!$M$9,G1252,1)),"",IF((AND(RIGHT(G1252,2)=RIGHT('112'!$M$9,2),B1252&lt;'112'!$N$8,$M1252='112'!$I$6)),"x",""))</f>
        <v/>
      </c>
      <c r="V1252" s="38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W1252" s="51" t="str">
        <f>IF(OR(TH!L1252=TH!$W$7,M1252=TH!$W$7),"x","")</f>
        <v/>
      </c>
      <c r="X1252" s="51" t="str">
        <f>IF(AND(B1252&gt;='IN-NX'!$P$3,B1252&lt;='IN-NX'!$Q$3,'IN-NX'!$D$7=D1252,OR(LEFT(L1252,2)="15",AND(LEFT(M1252,2)&lt;&gt;"15",LEFT(M1252,2)&lt;&gt;"33"))),"x","")</f>
        <v/>
      </c>
      <c r="Y1252" s="51" t="str">
        <f>IF(AND(OR(LEFT(TH!L1252,2)="15",LEFT(TH!M1252,2)="15"),'152-CT'!$J$8=TH!F1252),"x","")</f>
        <v/>
      </c>
      <c r="Z1252" s="51" t="str">
        <f>IF(AND(OR(LEFT(TH!L1252,2)="15",LEFT(TH!M1252,2)="15"),TK!$E$7=TH!F1252),"x","")</f>
        <v/>
      </c>
      <c r="AA1252" s="51" t="str">
        <f>IF(AND(B1252&lt;=NKC!$N$8,B1252&gt;=NKC!$M$8),"x","")</f>
        <v/>
      </c>
      <c r="AB1252" s="910"/>
      <c r="AC1252" s="588"/>
      <c r="AD1252" s="588"/>
    </row>
    <row r="1253" spans="1:33" s="210" customFormat="1" ht="15.75" customHeight="1">
      <c r="A1253" s="203" t="str">
        <f>IF(B1253&lt;&gt;"",IF(AND(B1253&gt;=_TM1,B1253&lt;=_TM2,OR(TH!L1253="1111",TH!M1253="1111")),TH!D1253,""),"")</f>
        <v/>
      </c>
      <c r="B1253" s="36" t="str">
        <f t="shared" si="56"/>
        <v/>
      </c>
      <c r="C1253" s="183"/>
      <c r="D1253" s="190"/>
      <c r="E1253" s="183"/>
      <c r="F1253" s="188"/>
      <c r="G1253" s="481"/>
      <c r="H1253" s="7"/>
      <c r="I1253" s="255"/>
      <c r="J1253" s="255"/>
      <c r="K1253" s="37"/>
      <c r="L1253" s="193"/>
      <c r="M1253" s="193"/>
      <c r="N1253" s="51" t="str">
        <f>IF(AND('331-CT'!$E$7=TH!H1253,OR(L1253="331",M1253="331")),"331",IF(AND(OR(L1253="131",M1253="131"),H1253='131-CT'!$E$7),"131",""))</f>
        <v/>
      </c>
      <c r="O1253" s="887" t="str">
        <f>IF(AND('341-CT'!$E$9=H1253,OR(LEFT(L1253,3)=$O$7,LEFT(M1253,3)=$O$7)),"x","")</f>
        <v/>
      </c>
      <c r="P1253" s="51" t="str">
        <f>IF(AND($B1253&gt;='111'!$N$11,$B1253&lt;='111'!$O$11,OR($L1253=$P$7,$M1253=$P$7)),"x","")</f>
        <v/>
      </c>
      <c r="Q1253" s="51" t="str">
        <f>IF(AND($L1253=$P$7,$B1253&lt;'111'!$N$11),"x","")</f>
        <v/>
      </c>
      <c r="R1253" s="51" t="str">
        <f>IF(AND($M1253=$P$7,$B1253&lt;'111'!$N$11),"x","")</f>
        <v/>
      </c>
      <c r="S1253" s="51" t="str">
        <f>IF(ISERROR(FIND('112'!$M$9,G1253,1)),"",IF((AND(FIND('112'!$M$9,G1253,1)&gt;=1,$B1253&gt;='112'!$N$8,$B1253&lt;='112'!$O$8,OR($L1253='112'!$I$6,$M1253='112'!$I$6))),"x",""))</f>
        <v/>
      </c>
      <c r="T1253" s="51" t="str">
        <f>IF(ISERROR(FIND('112'!$M$9,G1253,1)),"",IF((AND(LEFT(G1253,2)=LEFT('112'!$M$9,2),B1253&lt;'112'!$N$8,$L1253='112'!$I$6)),"x",""))</f>
        <v/>
      </c>
      <c r="U1253" s="51" t="str">
        <f>IF(ISERROR(FIND('112'!$M$9,G1253,1)),"",IF((AND(RIGHT(G1253,2)=RIGHT('112'!$M$9,2),B1253&lt;'112'!$N$8,$M1253='112'!$I$6)),"x",""))</f>
        <v/>
      </c>
      <c r="V1253" s="38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W1253" s="51" t="str">
        <f>IF(OR(TH!L1253=TH!$W$7,M1253=TH!$W$7),"x","")</f>
        <v/>
      </c>
      <c r="X1253" s="51" t="str">
        <f>IF(AND(B1253&gt;='IN-NX'!$P$3,B1253&lt;='IN-NX'!$Q$3,'IN-NX'!$D$7=D1253,OR(LEFT(L1253,2)="15",AND(LEFT(M1253,2)&lt;&gt;"15",LEFT(M1253,2)&lt;&gt;"33"))),"x","")</f>
        <v/>
      </c>
      <c r="Y1253" s="51" t="str">
        <f>IF(AND(OR(LEFT(TH!L1253,2)="15",LEFT(TH!M1253,2)="15"),'152-CT'!$J$8=TH!F1253),"x","")</f>
        <v/>
      </c>
      <c r="Z1253" s="51" t="str">
        <f>IF(AND(OR(LEFT(TH!L1253,2)="15",LEFT(TH!M1253,2)="15"),TK!$E$7=TH!F1253),"x","")</f>
        <v/>
      </c>
      <c r="AA1253" s="51" t="str">
        <f>IF(AND(B1253&lt;=NKC!$N$8,B1253&gt;=NKC!$M$8),"x","")</f>
        <v/>
      </c>
      <c r="AB1253" s="910"/>
      <c r="AC1253" s="588"/>
      <c r="AD1253" s="588"/>
    </row>
    <row r="1254" spans="1:33" s="210" customFormat="1" ht="15.75" customHeight="1">
      <c r="A1254" s="203" t="str">
        <f>IF(B1254&lt;&gt;"",IF(AND(B1254&gt;=_TM1,B1254&lt;=_TM2,OR(TH!L1254="1111",TH!M1254="1111")),TH!D1254,""),"")</f>
        <v/>
      </c>
      <c r="B1254" s="36" t="str">
        <f t="shared" ref="B1254:B1266" si="57">IF(C1254&lt;&gt;"",MONTH(C1254),"")</f>
        <v/>
      </c>
      <c r="C1254" s="183"/>
      <c r="D1254" s="190"/>
      <c r="E1254" s="183"/>
      <c r="F1254" s="188"/>
      <c r="G1254" s="481"/>
      <c r="H1254" s="209"/>
      <c r="I1254" s="255"/>
      <c r="J1254" s="255"/>
      <c r="K1254" s="37"/>
      <c r="L1254" s="193"/>
      <c r="M1254" s="193"/>
      <c r="N1254" s="51" t="str">
        <f>IF(AND('331-CT'!$E$7=TH!H1254,OR(L1254="331",M1254="331")),"331",IF(AND(OR(L1254="131",M1254="131"),H1254='131-CT'!$E$7),"131",""))</f>
        <v/>
      </c>
      <c r="O1254" s="887" t="str">
        <f>IF(AND('341-CT'!$E$9=H1254,OR(LEFT(L1254,3)=$O$7,LEFT(M1254,3)=$O$7)),"x","")</f>
        <v/>
      </c>
      <c r="P1254" s="51" t="str">
        <f>IF(AND($B1254&gt;='111'!$N$11,$B1254&lt;='111'!$O$11,OR($L1254=$P$7,$M1254=$P$7)),"x","")</f>
        <v/>
      </c>
      <c r="Q1254" s="51" t="str">
        <f>IF(AND($L1254=$P$7,$B1254&lt;'111'!$N$11),"x","")</f>
        <v/>
      </c>
      <c r="R1254" s="51" t="str">
        <f>IF(AND($M1254=$P$7,$B1254&lt;'111'!$N$11),"x","")</f>
        <v/>
      </c>
      <c r="S1254" s="51" t="str">
        <f>IF(ISERROR(FIND('112'!$M$9,G1254,1)),"",IF((AND(FIND('112'!$M$9,G1254,1)&gt;=1,$B1254&gt;='112'!$N$8,$B1254&lt;='112'!$O$8,OR($L1254='112'!$I$6,$M1254='112'!$I$6))),"x",""))</f>
        <v/>
      </c>
      <c r="T1254" s="51" t="str">
        <f>IF(ISERROR(FIND('112'!$M$9,G1254,1)),"",IF((AND(LEFT(G1254,2)=LEFT('112'!$M$9,2),B1254&lt;'112'!$N$8,$L1254='112'!$I$6)),"x",""))</f>
        <v/>
      </c>
      <c r="U1254" s="51" t="str">
        <f>IF(ISERROR(FIND('112'!$M$9,G1254,1)),"",IF((AND(RIGHT(G1254,2)=RIGHT('112'!$M$9,2),B1254&lt;'112'!$N$8,$M1254='112'!$I$6)),"x",""))</f>
        <v/>
      </c>
      <c r="V1254" s="38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W1254" s="51" t="str">
        <f>IF(OR(TH!L1254=TH!$W$7,M1254=TH!$W$7),"x","")</f>
        <v/>
      </c>
      <c r="X1254" s="51" t="str">
        <f>IF(AND(B1254&gt;='IN-NX'!$P$3,B1254&lt;='IN-NX'!$Q$3,'IN-NX'!$D$7=D1254,OR(LEFT(L1254,2)="15",AND(LEFT(M1254,2)&lt;&gt;"15",LEFT(M1254,2)&lt;&gt;"33"))),"x","")</f>
        <v/>
      </c>
      <c r="Y1254" s="51" t="str">
        <f>IF(AND(OR(LEFT(TH!L1254,2)="15",LEFT(TH!M1254,2)="15"),'152-CT'!$J$8=TH!F1254),"x","")</f>
        <v/>
      </c>
      <c r="Z1254" s="51" t="str">
        <f>IF(AND(OR(LEFT(TH!L1254,2)="15",LEFT(TH!M1254,2)="15"),TK!$E$7=TH!F1254),"x","")</f>
        <v/>
      </c>
      <c r="AA1254" s="51" t="str">
        <f>IF(AND(B1254&lt;=NKC!$N$8,B1254&gt;=NKC!$M$8),"x","")</f>
        <v/>
      </c>
      <c r="AB1254" s="910"/>
      <c r="AC1254" s="588"/>
    </row>
    <row r="1255" spans="1:33" s="210" customFormat="1" ht="15.75" customHeight="1">
      <c r="A1255" s="203" t="str">
        <f>IF(B1255&lt;&gt;"",IF(AND(B1255&gt;=_TM1,B1255&lt;=_TM2,OR(TH!L1255="1111",TH!M1255="1111")),TH!D1255,""),"")</f>
        <v/>
      </c>
      <c r="B1255" s="36" t="str">
        <f t="shared" si="57"/>
        <v/>
      </c>
      <c r="C1255" s="183"/>
      <c r="D1255" s="190"/>
      <c r="E1255" s="183"/>
      <c r="F1255" s="188"/>
      <c r="G1255" s="481"/>
      <c r="H1255" s="209"/>
      <c r="I1255" s="255"/>
      <c r="J1255" s="255"/>
      <c r="K1255" s="37"/>
      <c r="L1255" s="193"/>
      <c r="M1255" s="193"/>
      <c r="N1255" s="51" t="str">
        <f>IF(AND('331-CT'!$E$7=TH!H1255,OR(L1255="331",M1255="331")),"331",IF(AND(OR(L1255="131",M1255="131"),H1255='131-CT'!$E$7),"131",""))</f>
        <v/>
      </c>
      <c r="O1255" s="887" t="str">
        <f>IF(AND('341-CT'!$E$9=H1255,OR(LEFT(L1255,3)=$O$7,LEFT(M1255,3)=$O$7)),"x","")</f>
        <v/>
      </c>
      <c r="P1255" s="51" t="str">
        <f>IF(AND($B1255&gt;='111'!$N$11,$B1255&lt;='111'!$O$11,OR($L1255=$P$7,$M1255=$P$7)),"x","")</f>
        <v/>
      </c>
      <c r="Q1255" s="51" t="str">
        <f>IF(AND($L1255=$P$7,$B1255&lt;'111'!$N$11),"x","")</f>
        <v/>
      </c>
      <c r="R1255" s="51" t="str">
        <f>IF(AND($M1255=$P$7,$B1255&lt;'111'!$N$11),"x","")</f>
        <v/>
      </c>
      <c r="S1255" s="51" t="str">
        <f>IF(ISERROR(FIND('112'!$M$9,G1255,1)),"",IF((AND(FIND('112'!$M$9,G1255,1)&gt;=1,$B1255&gt;='112'!$N$8,$B1255&lt;='112'!$O$8,OR($L1255='112'!$I$6,$M1255='112'!$I$6))),"x",""))</f>
        <v/>
      </c>
      <c r="T1255" s="51" t="str">
        <f>IF(ISERROR(FIND('112'!$M$9,G1255,1)),"",IF((AND(LEFT(G1255,2)=LEFT('112'!$M$9,2),B1255&lt;'112'!$N$8,$L1255='112'!$I$6)),"x",""))</f>
        <v/>
      </c>
      <c r="U1255" s="51" t="str">
        <f>IF(ISERROR(FIND('112'!$M$9,G1255,1)),"",IF((AND(RIGHT(G1255,2)=RIGHT('112'!$M$9,2),B1255&lt;'112'!$N$8,$M1255='112'!$I$6)),"x",""))</f>
        <v/>
      </c>
      <c r="V1255" s="38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W1255" s="51" t="str">
        <f>IF(OR(TH!L1255=TH!$W$7,M1255=TH!$W$7),"x","")</f>
        <v/>
      </c>
      <c r="X1255" s="51" t="str">
        <f>IF(AND(B1255&gt;='IN-NX'!$P$3,B1255&lt;='IN-NX'!$Q$3,'IN-NX'!$D$7=D1255,OR(LEFT(L1255,2)="15",AND(LEFT(M1255,2)&lt;&gt;"15",LEFT(M1255,2)&lt;&gt;"33"))),"x","")</f>
        <v/>
      </c>
      <c r="Y1255" s="51" t="str">
        <f>IF(AND(OR(LEFT(TH!L1255,2)="15",LEFT(TH!M1255,2)="15"),'152-CT'!$J$8=TH!F1255),"x","")</f>
        <v/>
      </c>
      <c r="Z1255" s="51" t="str">
        <f>IF(AND(OR(LEFT(TH!L1255,2)="15",LEFT(TH!M1255,2)="15"),TK!$E$7=TH!F1255),"x","")</f>
        <v/>
      </c>
      <c r="AA1255" s="51" t="str">
        <f>IF(AND(B1255&lt;=NKC!$N$8,B1255&gt;=NKC!$M$8),"x","")</f>
        <v/>
      </c>
      <c r="AB1255" s="910"/>
      <c r="AC1255" s="588"/>
      <c r="AD1255" s="588"/>
    </row>
    <row r="1256" spans="1:33" s="210" customFormat="1" ht="15.75" customHeight="1">
      <c r="A1256" s="203" t="str">
        <f>IF(B1256&lt;&gt;"",IF(AND(B1256&gt;=_TM1,B1256&lt;=_TM2,OR(TH!L1256="1111",TH!M1256="1111")),TH!D1256,""),"")</f>
        <v/>
      </c>
      <c r="B1256" s="36" t="str">
        <f t="shared" si="57"/>
        <v/>
      </c>
      <c r="C1256" s="183"/>
      <c r="D1256" s="190"/>
      <c r="E1256" s="183"/>
      <c r="F1256" s="188"/>
      <c r="G1256" s="481"/>
      <c r="H1256" s="209"/>
      <c r="I1256" s="255"/>
      <c r="J1256" s="255"/>
      <c r="K1256" s="37"/>
      <c r="L1256" s="193"/>
      <c r="M1256" s="193"/>
      <c r="N1256" s="51" t="str">
        <f>IF(AND('331-CT'!$E$7=TH!H1256,OR(L1256="331",M1256="331")),"331",IF(AND(OR(L1256="131",M1256="131"),H1256='131-CT'!$E$7),"131",""))</f>
        <v/>
      </c>
      <c r="O1256" s="887" t="str">
        <f>IF(AND('341-CT'!$E$9=H1256,OR(LEFT(L1256,3)=$O$7,LEFT(M1256,3)=$O$7)),"x","")</f>
        <v/>
      </c>
      <c r="P1256" s="51" t="str">
        <f>IF(AND($B1256&gt;='111'!$N$11,$B1256&lt;='111'!$O$11,OR($L1256=$P$7,$M1256=$P$7)),"x","")</f>
        <v/>
      </c>
      <c r="Q1256" s="51" t="str">
        <f>IF(AND($L1256=$P$7,$B1256&lt;'111'!$N$11),"x","")</f>
        <v/>
      </c>
      <c r="R1256" s="51" t="str">
        <f>IF(AND($M1256=$P$7,$B1256&lt;'111'!$N$11),"x","")</f>
        <v/>
      </c>
      <c r="S1256" s="51" t="str">
        <f>IF(ISERROR(FIND('112'!$M$9,G1256,1)),"",IF((AND(FIND('112'!$M$9,G1256,1)&gt;=1,$B1256&gt;='112'!$N$8,$B1256&lt;='112'!$O$8,OR($L1256='112'!$I$6,$M1256='112'!$I$6))),"x",""))</f>
        <v/>
      </c>
      <c r="T1256" s="51" t="str">
        <f>IF(ISERROR(FIND('112'!$M$9,G1256,1)),"",IF((AND(LEFT(G1256,2)=LEFT('112'!$M$9,2),B1256&lt;'112'!$N$8,$L1256='112'!$I$6)),"x",""))</f>
        <v/>
      </c>
      <c r="U1256" s="51" t="str">
        <f>IF(ISERROR(FIND('112'!$M$9,G1256,1)),"",IF((AND(RIGHT(G1256,2)=RIGHT('112'!$M$9,2),B1256&lt;'112'!$N$8,$M1256='112'!$I$6)),"x",""))</f>
        <v/>
      </c>
      <c r="V1256" s="38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W1256" s="51" t="str">
        <f>IF(OR(TH!L1256=TH!$W$7,M1256=TH!$W$7),"x","")</f>
        <v/>
      </c>
      <c r="X1256" s="51" t="str">
        <f>IF(AND(B1256&gt;='IN-NX'!$P$3,B1256&lt;='IN-NX'!$Q$3,'IN-NX'!$D$7=D1256,OR(LEFT(L1256,2)="15",AND(LEFT(M1256,2)&lt;&gt;"15",LEFT(M1256,2)&lt;&gt;"33"))),"x","")</f>
        <v/>
      </c>
      <c r="Y1256" s="51" t="str">
        <f>IF(AND(OR(LEFT(TH!L1256,2)="15",LEFT(TH!M1256,2)="15"),'152-CT'!$J$8=TH!F1256),"x","")</f>
        <v/>
      </c>
      <c r="Z1256" s="51" t="str">
        <f>IF(AND(OR(LEFT(TH!L1256,2)="15",LEFT(TH!M1256,2)="15"),TK!$E$7=TH!F1256),"x","")</f>
        <v/>
      </c>
      <c r="AA1256" s="51" t="str">
        <f>IF(AND(B1256&lt;=NKC!$N$8,B1256&gt;=NKC!$M$8),"x","")</f>
        <v/>
      </c>
      <c r="AB1256" s="910"/>
      <c r="AC1256" s="588"/>
      <c r="AD1256" s="588"/>
    </row>
    <row r="1257" spans="1:33" s="210" customFormat="1" ht="15.75" customHeight="1">
      <c r="A1257" s="203" t="str">
        <f>IF(B1257&lt;&gt;"",IF(AND(B1257&gt;=_TM1,B1257&lt;=_TM2,OR(TH!L1257="1111",TH!M1257="1111")),TH!D1257,""),"")</f>
        <v/>
      </c>
      <c r="B1257" s="36" t="str">
        <f t="shared" si="57"/>
        <v/>
      </c>
      <c r="C1257" s="183"/>
      <c r="D1257" s="190"/>
      <c r="E1257" s="183"/>
      <c r="F1257" s="188"/>
      <c r="G1257" s="481"/>
      <c r="H1257" s="209"/>
      <c r="I1257" s="255"/>
      <c r="J1257" s="255"/>
      <c r="K1257" s="37"/>
      <c r="L1257" s="193"/>
      <c r="M1257" s="193"/>
      <c r="N1257" s="51" t="str">
        <f>IF(AND('331-CT'!$E$7=TH!H1257,OR(L1257="331",M1257="331")),"331",IF(AND(OR(L1257="131",M1257="131"),H1257='131-CT'!$E$7),"131",""))</f>
        <v/>
      </c>
      <c r="O1257" s="887" t="str">
        <f>IF(AND('341-CT'!$E$9=H1257,OR(LEFT(L1257,3)=$O$7,LEFT(M1257,3)=$O$7)),"x","")</f>
        <v/>
      </c>
      <c r="P1257" s="51" t="str">
        <f>IF(AND($B1257&gt;='111'!$N$11,$B1257&lt;='111'!$O$11,OR($L1257=$P$7,$M1257=$P$7)),"x","")</f>
        <v/>
      </c>
      <c r="Q1257" s="51" t="str">
        <f>IF(AND($L1257=$P$7,$B1257&lt;'111'!$N$11),"x","")</f>
        <v/>
      </c>
      <c r="R1257" s="51" t="str">
        <f>IF(AND($M1257=$P$7,$B1257&lt;'111'!$N$11),"x","")</f>
        <v/>
      </c>
      <c r="S1257" s="51" t="str">
        <f>IF(ISERROR(FIND('112'!$M$9,G1257,1)),"",IF((AND(FIND('112'!$M$9,G1257,1)&gt;=1,$B1257&gt;='112'!$N$8,$B1257&lt;='112'!$O$8,OR($L1257='112'!$I$6,$M1257='112'!$I$6))),"x",""))</f>
        <v/>
      </c>
      <c r="T1257" s="51" t="str">
        <f>IF(ISERROR(FIND('112'!$M$9,G1257,1)),"",IF((AND(LEFT(G1257,2)=LEFT('112'!$M$9,2),B1257&lt;'112'!$N$8,$L1257='112'!$I$6)),"x",""))</f>
        <v/>
      </c>
      <c r="U1257" s="51" t="str">
        <f>IF(ISERROR(FIND('112'!$M$9,G1257,1)),"",IF((AND(RIGHT(G1257,2)=RIGHT('112'!$M$9,2),B1257&lt;'112'!$N$8,$M1257='112'!$I$6)),"x",""))</f>
        <v/>
      </c>
      <c r="V1257" s="38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W1257" s="51" t="str">
        <f>IF(OR(TH!L1257=TH!$W$7,M1257=TH!$W$7),"x","")</f>
        <v/>
      </c>
      <c r="X1257" s="51" t="str">
        <f>IF(AND(B1257&gt;='IN-NX'!$P$3,B1257&lt;='IN-NX'!$Q$3,'IN-NX'!$D$7=D1257,OR(LEFT(L1257,2)="15",AND(LEFT(M1257,2)&lt;&gt;"15",LEFT(M1257,2)&lt;&gt;"33"))),"x","")</f>
        <v/>
      </c>
      <c r="Y1257" s="51" t="str">
        <f>IF(AND(OR(LEFT(TH!L1257,2)="15",LEFT(TH!M1257,2)="15"),'152-CT'!$J$8=TH!F1257),"x","")</f>
        <v/>
      </c>
      <c r="Z1257" s="51" t="str">
        <f>IF(AND(OR(LEFT(TH!L1257,2)="15",LEFT(TH!M1257,2)="15"),TK!$E$7=TH!F1257),"x","")</f>
        <v/>
      </c>
      <c r="AA1257" s="51" t="str">
        <f>IF(AND(B1257&lt;=NKC!$N$8,B1257&gt;=NKC!$M$8),"x","")</f>
        <v/>
      </c>
      <c r="AB1257" s="910"/>
      <c r="AC1257" s="588"/>
      <c r="AD1257" s="588"/>
    </row>
    <row r="1258" spans="1:33" s="210" customFormat="1" ht="15.75" customHeight="1">
      <c r="A1258" s="203" t="str">
        <f>IF(B1258&lt;&gt;"",IF(AND(B1258&gt;=_TM1,B1258&lt;=_TM2,OR(TH!L1258="1111",TH!M1258="1111")),TH!D1258,""),"")</f>
        <v/>
      </c>
      <c r="B1258" s="36" t="str">
        <f t="shared" si="57"/>
        <v/>
      </c>
      <c r="C1258" s="183"/>
      <c r="D1258" s="190"/>
      <c r="E1258" s="183"/>
      <c r="F1258" s="188"/>
      <c r="G1258" s="481"/>
      <c r="H1258" s="7"/>
      <c r="I1258" s="255"/>
      <c r="J1258" s="255"/>
      <c r="K1258" s="37"/>
      <c r="L1258" s="193"/>
      <c r="M1258" s="193"/>
      <c r="N1258" s="51" t="str">
        <f>IF(AND('331-CT'!$E$7=TH!H1258,OR(L1258="331",M1258="331")),"331",IF(AND(OR(L1258="131",M1258="131"),H1258='131-CT'!$E$7),"131",""))</f>
        <v/>
      </c>
      <c r="O1258" s="887" t="str">
        <f>IF(AND('341-CT'!$E$9=H1258,OR(LEFT(L1258,3)=$O$7,LEFT(M1258,3)=$O$7)),"x","")</f>
        <v/>
      </c>
      <c r="P1258" s="51" t="str">
        <f>IF(AND($B1258&gt;='111'!$N$11,$B1258&lt;='111'!$O$11,OR($L1258=$P$7,$M1258=$P$7)),"x","")</f>
        <v/>
      </c>
      <c r="Q1258" s="51" t="str">
        <f>IF(AND($L1258=$P$7,$B1258&lt;'111'!$N$11),"x","")</f>
        <v/>
      </c>
      <c r="R1258" s="51" t="str">
        <f>IF(AND($M1258=$P$7,$B1258&lt;'111'!$N$11),"x","")</f>
        <v/>
      </c>
      <c r="S1258" s="51" t="str">
        <f>IF(ISERROR(FIND('112'!$M$9,G1258,1)),"",IF((AND(FIND('112'!$M$9,G1258,1)&gt;=1,$B1258&gt;='112'!$N$8,$B1258&lt;='112'!$O$8,OR($L1258='112'!$I$6,$M1258='112'!$I$6))),"x",""))</f>
        <v/>
      </c>
      <c r="T1258" s="51" t="str">
        <f>IF(ISERROR(FIND('112'!$M$9,G1258,1)),"",IF((AND(LEFT(G1258,2)=LEFT('112'!$M$9,2),B1258&lt;'112'!$N$8,$L1258='112'!$I$6)),"x",""))</f>
        <v/>
      </c>
      <c r="U1258" s="51" t="str">
        <f>IF(ISERROR(FIND('112'!$M$9,G1258,1)),"",IF((AND(RIGHT(G1258,2)=RIGHT('112'!$M$9,2),B1258&lt;'112'!$N$8,$M1258='112'!$I$6)),"x",""))</f>
        <v/>
      </c>
      <c r="V1258" s="38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W1258" s="51" t="str">
        <f>IF(OR(TH!L1258=TH!$W$7,M1258=TH!$W$7),"x","")</f>
        <v/>
      </c>
      <c r="X1258" s="51" t="str">
        <f>IF(AND(B1258&gt;='IN-NX'!$P$3,B1258&lt;='IN-NX'!$Q$3,'IN-NX'!$D$7=D1258,OR(LEFT(L1258,2)="15",AND(LEFT(M1258,2)&lt;&gt;"15",LEFT(M1258,2)&lt;&gt;"33"))),"x","")</f>
        <v/>
      </c>
      <c r="Y1258" s="51" t="str">
        <f>IF(AND(OR(LEFT(TH!L1258,2)="15",LEFT(TH!M1258,2)="15"),'152-CT'!$J$8=TH!F1258),"x","")</f>
        <v/>
      </c>
      <c r="Z1258" s="51" t="str">
        <f>IF(AND(OR(LEFT(TH!L1258,2)="15",LEFT(TH!M1258,2)="15"),TK!$E$7=TH!F1258),"x","")</f>
        <v/>
      </c>
      <c r="AA1258" s="51" t="str">
        <f>IF(AND(B1258&lt;=NKC!$N$8,B1258&gt;=NKC!$M$8),"x","")</f>
        <v/>
      </c>
      <c r="AB1258" s="910"/>
      <c r="AC1258" s="588"/>
      <c r="AD1258" s="588"/>
    </row>
    <row r="1259" spans="1:33" s="210" customFormat="1" ht="15.75" customHeight="1">
      <c r="A1259" s="203" t="str">
        <f>IF(B1259&lt;&gt;"",IF(AND(B1259&gt;=_TM1,B1259&lt;=_TM2,OR(TH!L1259="1111",TH!M1259="1111")),TH!D1259,""),"")</f>
        <v/>
      </c>
      <c r="B1259" s="36" t="str">
        <f t="shared" si="57"/>
        <v/>
      </c>
      <c r="C1259" s="183"/>
      <c r="D1259" s="190"/>
      <c r="E1259" s="183"/>
      <c r="F1259" s="188"/>
      <c r="G1259" s="481"/>
      <c r="H1259" s="7"/>
      <c r="I1259" s="255"/>
      <c r="J1259" s="255"/>
      <c r="K1259" s="37"/>
      <c r="L1259" s="193"/>
      <c r="M1259" s="193"/>
      <c r="N1259" s="51" t="str">
        <f>IF(AND('331-CT'!$E$7=TH!H1259,OR(L1259="331",M1259="331")),"331",IF(AND(OR(L1259="131",M1259="131"),H1259='131-CT'!$E$7),"131",""))</f>
        <v/>
      </c>
      <c r="O1259" s="887" t="str">
        <f>IF(AND('341-CT'!$E$9=H1259,OR(LEFT(L1259,3)=$O$7,LEFT(M1259,3)=$O$7)),"x","")</f>
        <v/>
      </c>
      <c r="P1259" s="51" t="str">
        <f>IF(AND($B1259&gt;='111'!$N$11,$B1259&lt;='111'!$O$11,OR($L1259=$P$7,$M1259=$P$7)),"x","")</f>
        <v/>
      </c>
      <c r="Q1259" s="51" t="str">
        <f>IF(AND($L1259=$P$7,$B1259&lt;'111'!$N$11),"x","")</f>
        <v/>
      </c>
      <c r="R1259" s="51" t="str">
        <f>IF(AND($M1259=$P$7,$B1259&lt;'111'!$N$11),"x","")</f>
        <v/>
      </c>
      <c r="S1259" s="51" t="str">
        <f>IF(ISERROR(FIND('112'!$M$9,G1259,1)),"",IF((AND(FIND('112'!$M$9,G1259,1)&gt;=1,$B1259&gt;='112'!$N$8,$B1259&lt;='112'!$O$8,OR($L1259='112'!$I$6,$M1259='112'!$I$6))),"x",""))</f>
        <v/>
      </c>
      <c r="T1259" s="51" t="str">
        <f>IF(ISERROR(FIND('112'!$M$9,G1259,1)),"",IF((AND(LEFT(G1259,2)=LEFT('112'!$M$9,2),B1259&lt;'112'!$N$8,$L1259='112'!$I$6)),"x",""))</f>
        <v/>
      </c>
      <c r="U1259" s="51" t="str">
        <f>IF(ISERROR(FIND('112'!$M$9,G1259,1)),"",IF((AND(RIGHT(G1259,2)=RIGHT('112'!$M$9,2),B1259&lt;'112'!$N$8,$M1259='112'!$I$6)),"x",""))</f>
        <v/>
      </c>
      <c r="V1259" s="38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W1259" s="51" t="str">
        <f>IF(OR(TH!L1259=TH!$W$7,M1259=TH!$W$7),"x","")</f>
        <v/>
      </c>
      <c r="X1259" s="51" t="str">
        <f>IF(AND(B1259&gt;='IN-NX'!$P$3,B1259&lt;='IN-NX'!$Q$3,'IN-NX'!$D$7=D1259,OR(LEFT(L1259,2)="15",AND(LEFT(M1259,2)&lt;&gt;"15",LEFT(M1259,2)&lt;&gt;"33"))),"x","")</f>
        <v/>
      </c>
      <c r="Y1259" s="51" t="str">
        <f>IF(AND(OR(LEFT(TH!L1259,2)="15",LEFT(TH!M1259,2)="15"),'152-CT'!$J$8=TH!F1259),"x","")</f>
        <v/>
      </c>
      <c r="Z1259" s="51" t="str">
        <f>IF(AND(OR(LEFT(TH!L1259,2)="15",LEFT(TH!M1259,2)="15"),TK!$E$7=TH!F1259),"x","")</f>
        <v/>
      </c>
      <c r="AA1259" s="51" t="str">
        <f>IF(AND(B1259&lt;=NKC!$N$8,B1259&gt;=NKC!$M$8),"x","")</f>
        <v/>
      </c>
      <c r="AB1259" s="910"/>
      <c r="AC1259" s="588"/>
      <c r="AD1259" s="588"/>
    </row>
    <row r="1260" spans="1:33" s="210" customFormat="1" ht="15.75" customHeight="1">
      <c r="A1260" s="203" t="str">
        <f>IF(B1260&lt;&gt;"",IF(AND(B1260&gt;=_TM1,B1260&lt;=_TM2,OR(TH!L1260="1111",TH!M1260="1111")),TH!D1260,""),"")</f>
        <v/>
      </c>
      <c r="B1260" s="36" t="str">
        <f t="shared" si="57"/>
        <v/>
      </c>
      <c r="C1260" s="183"/>
      <c r="D1260" s="190"/>
      <c r="E1260" s="183"/>
      <c r="F1260" s="188"/>
      <c r="G1260" s="481"/>
      <c r="H1260" s="7"/>
      <c r="I1260" s="255"/>
      <c r="J1260" s="255"/>
      <c r="K1260" s="37"/>
      <c r="L1260" s="193"/>
      <c r="M1260" s="193"/>
      <c r="N1260" s="51" t="str">
        <f>IF(AND('331-CT'!$E$7=TH!H1260,OR(L1260="331",M1260="331")),"331",IF(AND(OR(L1260="131",M1260="131"),H1260='131-CT'!$E$7),"131",""))</f>
        <v/>
      </c>
      <c r="O1260" s="887" t="str">
        <f>IF(AND('341-CT'!$E$9=H1260,OR(LEFT(L1260,3)=$O$7,LEFT(M1260,3)=$O$7)),"x","")</f>
        <v/>
      </c>
      <c r="P1260" s="51" t="str">
        <f>IF(AND($B1260&gt;='111'!$N$11,$B1260&lt;='111'!$O$11,OR($L1260=$P$7,$M1260=$P$7)),"x","")</f>
        <v/>
      </c>
      <c r="Q1260" s="51" t="str">
        <f>IF(AND($L1260=$P$7,$B1260&lt;'111'!$N$11),"x","")</f>
        <v/>
      </c>
      <c r="R1260" s="51" t="str">
        <f>IF(AND($M1260=$P$7,$B1260&lt;'111'!$N$11),"x","")</f>
        <v/>
      </c>
      <c r="S1260" s="51" t="str">
        <f>IF(ISERROR(FIND('112'!$M$9,G1260,1)),"",IF((AND(FIND('112'!$M$9,G1260,1)&gt;=1,$B1260&gt;='112'!$N$8,$B1260&lt;='112'!$O$8,OR($L1260='112'!$I$6,$M1260='112'!$I$6))),"x",""))</f>
        <v/>
      </c>
      <c r="T1260" s="51" t="str">
        <f>IF(ISERROR(FIND('112'!$M$9,G1260,1)),"",IF((AND(LEFT(G1260,2)=LEFT('112'!$M$9,2),B1260&lt;'112'!$N$8,$L1260='112'!$I$6)),"x",""))</f>
        <v/>
      </c>
      <c r="U1260" s="51" t="str">
        <f>IF(ISERROR(FIND('112'!$M$9,G1260,1)),"",IF((AND(RIGHT(G1260,2)=RIGHT('112'!$M$9,2),B1260&lt;'112'!$N$8,$M1260='112'!$I$6)),"x",""))</f>
        <v/>
      </c>
      <c r="V1260" s="38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W1260" s="51" t="str">
        <f>IF(OR(TH!L1260=TH!$W$7,M1260=TH!$W$7),"x","")</f>
        <v/>
      </c>
      <c r="X1260" s="51" t="str">
        <f>IF(AND(B1260&gt;='IN-NX'!$P$3,B1260&lt;='IN-NX'!$Q$3,'IN-NX'!$D$7=D1260,OR(LEFT(L1260,2)="15",AND(LEFT(M1260,2)&lt;&gt;"15",LEFT(M1260,2)&lt;&gt;"33"))),"x","")</f>
        <v/>
      </c>
      <c r="Y1260" s="51" t="str">
        <f>IF(AND(OR(LEFT(TH!L1260,2)="15",LEFT(TH!M1260,2)="15"),'152-CT'!$J$8=TH!F1260),"x","")</f>
        <v/>
      </c>
      <c r="Z1260" s="51" t="str">
        <f>IF(AND(OR(LEFT(TH!L1260,2)="15",LEFT(TH!M1260,2)="15"),TK!$E$7=TH!F1260),"x","")</f>
        <v/>
      </c>
      <c r="AA1260" s="51" t="str">
        <f>IF(AND(B1260&lt;=NKC!$N$8,B1260&gt;=NKC!$M$8),"x","")</f>
        <v/>
      </c>
      <c r="AB1260" s="910"/>
      <c r="AC1260" s="588"/>
      <c r="AD1260" s="588"/>
    </row>
    <row r="1261" spans="1:33" s="210" customFormat="1" ht="15.75" customHeight="1">
      <c r="A1261" s="203" t="str">
        <f>IF(B1261&lt;&gt;"",IF(AND(B1261&gt;=_TM1,B1261&lt;=_TM2,OR(TH!L1261="1111",TH!M1261="1111")),TH!D1261,""),"")</f>
        <v/>
      </c>
      <c r="B1261" s="36" t="str">
        <f t="shared" si="57"/>
        <v/>
      </c>
      <c r="C1261" s="183"/>
      <c r="D1261" s="190"/>
      <c r="E1261" s="183"/>
      <c r="F1261" s="188"/>
      <c r="G1261" s="481"/>
      <c r="H1261" s="7"/>
      <c r="I1261" s="255"/>
      <c r="J1261" s="255"/>
      <c r="K1261" s="37"/>
      <c r="L1261" s="193"/>
      <c r="M1261" s="193"/>
      <c r="N1261" s="51" t="str">
        <f>IF(AND('331-CT'!$E$7=TH!H1261,OR(L1261="331",M1261="331")),"331",IF(AND(OR(L1261="131",M1261="131"),H1261='131-CT'!$E$7),"131",""))</f>
        <v/>
      </c>
      <c r="O1261" s="887" t="str">
        <f>IF(AND('341-CT'!$E$9=H1261,OR(LEFT(L1261,3)=$O$7,LEFT(M1261,3)=$O$7)),"x","")</f>
        <v/>
      </c>
      <c r="P1261" s="51" t="str">
        <f>IF(AND($B1261&gt;='111'!$N$11,$B1261&lt;='111'!$O$11,OR($L1261=$P$7,$M1261=$P$7)),"x","")</f>
        <v/>
      </c>
      <c r="Q1261" s="51" t="str">
        <f>IF(AND($L1261=$P$7,$B1261&lt;'111'!$N$11),"x","")</f>
        <v/>
      </c>
      <c r="R1261" s="51" t="str">
        <f>IF(AND($M1261=$P$7,$B1261&lt;'111'!$N$11),"x","")</f>
        <v/>
      </c>
      <c r="S1261" s="51" t="str">
        <f>IF(ISERROR(FIND('112'!$M$9,G1261,1)),"",IF((AND(FIND('112'!$M$9,G1261,1)&gt;=1,$B1261&gt;='112'!$N$8,$B1261&lt;='112'!$O$8,OR($L1261='112'!$I$6,$M1261='112'!$I$6))),"x",""))</f>
        <v/>
      </c>
      <c r="T1261" s="51" t="str">
        <f>IF(ISERROR(FIND('112'!$M$9,G1261,1)),"",IF((AND(LEFT(G1261,2)=LEFT('112'!$M$9,2),B1261&lt;'112'!$N$8,$L1261='112'!$I$6)),"x",""))</f>
        <v/>
      </c>
      <c r="U1261" s="51" t="str">
        <f>IF(ISERROR(FIND('112'!$M$9,G1261,1)),"",IF((AND(RIGHT(G1261,2)=RIGHT('112'!$M$9,2),B1261&lt;'112'!$N$8,$M1261='112'!$I$6)),"x",""))</f>
        <v/>
      </c>
      <c r="V1261" s="38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W1261" s="51" t="str">
        <f>IF(OR(TH!L1261=TH!$W$7,M1261=TH!$W$7),"x","")</f>
        <v/>
      </c>
      <c r="X1261" s="51" t="str">
        <f>IF(AND(B1261&gt;='IN-NX'!$P$3,B1261&lt;='IN-NX'!$Q$3,'IN-NX'!$D$7=D1261,OR(LEFT(L1261,2)="15",AND(LEFT(M1261,2)&lt;&gt;"15",LEFT(M1261,2)&lt;&gt;"33"))),"x","")</f>
        <v/>
      </c>
      <c r="Y1261" s="51" t="str">
        <f>IF(AND(OR(LEFT(TH!L1261,2)="15",LEFT(TH!M1261,2)="15"),'152-CT'!$J$8=TH!F1261),"x","")</f>
        <v/>
      </c>
      <c r="Z1261" s="51" t="str">
        <f>IF(AND(OR(LEFT(TH!L1261,2)="15",LEFT(TH!M1261,2)="15"),TK!$E$7=TH!F1261),"x","")</f>
        <v/>
      </c>
      <c r="AA1261" s="51" t="str">
        <f>IF(AND(B1261&lt;=NKC!$N$8,B1261&gt;=NKC!$M$8),"x","")</f>
        <v/>
      </c>
      <c r="AB1261" s="910"/>
      <c r="AC1261" s="588"/>
      <c r="AD1261" s="588"/>
    </row>
    <row r="1262" spans="1:33" s="210" customFormat="1" ht="15.75" customHeight="1">
      <c r="A1262" s="203" t="str">
        <f>IF(B1262&lt;&gt;"",IF(AND(B1262&gt;=_TM1,B1262&lt;=_TM2,OR(TH!L1262="1111",TH!M1262="1111")),TH!D1262,""),"")</f>
        <v/>
      </c>
      <c r="B1262" s="36" t="str">
        <f t="shared" si="57"/>
        <v/>
      </c>
      <c r="C1262" s="183"/>
      <c r="D1262" s="190"/>
      <c r="E1262" s="183"/>
      <c r="F1262" s="188"/>
      <c r="G1262" s="481"/>
      <c r="H1262" s="7"/>
      <c r="I1262" s="255"/>
      <c r="J1262" s="255"/>
      <c r="K1262" s="37"/>
      <c r="L1262" s="193"/>
      <c r="M1262" s="193"/>
      <c r="N1262" s="51" t="str">
        <f>IF(AND('331-CT'!$E$7=TH!H1262,OR(L1262="331",M1262="331")),"331",IF(AND(OR(L1262="131",M1262="131"),H1262='131-CT'!$E$7),"131",""))</f>
        <v/>
      </c>
      <c r="O1262" s="887" t="str">
        <f>IF(AND('341-CT'!$E$9=H1262,OR(LEFT(L1262,3)=$O$7,LEFT(M1262,3)=$O$7)),"x","")</f>
        <v/>
      </c>
      <c r="P1262" s="51" t="str">
        <f>IF(AND($B1262&gt;='111'!$N$11,$B1262&lt;='111'!$O$11,OR($L1262=$P$7,$M1262=$P$7)),"x","")</f>
        <v/>
      </c>
      <c r="Q1262" s="51" t="str">
        <f>IF(AND($L1262=$P$7,$B1262&lt;'111'!$N$11),"x","")</f>
        <v/>
      </c>
      <c r="R1262" s="51" t="str">
        <f>IF(AND($M1262=$P$7,$B1262&lt;'111'!$N$11),"x","")</f>
        <v/>
      </c>
      <c r="S1262" s="51" t="str">
        <f>IF(ISERROR(FIND('112'!$M$9,G1262,1)),"",IF((AND(FIND('112'!$M$9,G1262,1)&gt;=1,$B1262&gt;='112'!$N$8,$B1262&lt;='112'!$O$8,OR($L1262='112'!$I$6,$M1262='112'!$I$6))),"x",""))</f>
        <v/>
      </c>
      <c r="T1262" s="51" t="str">
        <f>IF(ISERROR(FIND('112'!$M$9,G1262,1)),"",IF((AND(LEFT(G1262,2)=LEFT('112'!$M$9,2),B1262&lt;'112'!$N$8,$L1262='112'!$I$6)),"x",""))</f>
        <v/>
      </c>
      <c r="U1262" s="51" t="str">
        <f>IF(ISERROR(FIND('112'!$M$9,G1262,1)),"",IF((AND(RIGHT(G1262,2)=RIGHT('112'!$M$9,2),B1262&lt;'112'!$N$8,$M1262='112'!$I$6)),"x",""))</f>
        <v/>
      </c>
      <c r="V1262" s="38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W1262" s="51" t="str">
        <f>IF(OR(TH!L1262=TH!$W$7,M1262=TH!$W$7),"x","")</f>
        <v/>
      </c>
      <c r="X1262" s="51" t="str">
        <f>IF(AND(B1262&gt;='IN-NX'!$P$3,B1262&lt;='IN-NX'!$Q$3,'IN-NX'!$D$7=D1262,OR(LEFT(L1262,2)="15",AND(LEFT(M1262,2)&lt;&gt;"15",LEFT(M1262,2)&lt;&gt;"33"))),"x","")</f>
        <v/>
      </c>
      <c r="Y1262" s="51" t="str">
        <f>IF(AND(OR(LEFT(TH!L1262,2)="15",LEFT(TH!M1262,2)="15"),'152-CT'!$J$8=TH!F1262),"x","")</f>
        <v/>
      </c>
      <c r="Z1262" s="51" t="str">
        <f>IF(AND(OR(LEFT(TH!L1262,2)="15",LEFT(TH!M1262,2)="15"),TK!$E$7=TH!F1262),"x","")</f>
        <v/>
      </c>
      <c r="AA1262" s="51" t="str">
        <f>IF(AND(B1262&lt;=NKC!$N$8,B1262&gt;=NKC!$M$8),"x","")</f>
        <v/>
      </c>
      <c r="AB1262" s="910"/>
      <c r="AC1262" s="588"/>
    </row>
    <row r="1263" spans="1:33" s="210" customFormat="1" ht="15.75" customHeight="1">
      <c r="A1263" s="203" t="str">
        <f>IF(B1263&lt;&gt;"",IF(AND(B1263&gt;=_TM1,B1263&lt;=_TM2,OR(TH!L1263="1111",TH!M1263="1111")),TH!D1263,""),"")</f>
        <v/>
      </c>
      <c r="B1263" s="36" t="str">
        <f t="shared" si="57"/>
        <v/>
      </c>
      <c r="C1263" s="183"/>
      <c r="D1263" s="190"/>
      <c r="E1263" s="183"/>
      <c r="F1263" s="191"/>
      <c r="G1263" s="481"/>
      <c r="H1263" s="7"/>
      <c r="I1263" s="255"/>
      <c r="J1263" s="255"/>
      <c r="K1263" s="37"/>
      <c r="L1263" s="193"/>
      <c r="M1263" s="193"/>
      <c r="N1263" s="51" t="str">
        <f>IF(AND('331-CT'!$E$7=TH!H1263,OR(L1263="331",M1263="331")),"331",IF(AND(OR(L1263="131",M1263="131"),H1263='131-CT'!$E$7),"131",""))</f>
        <v/>
      </c>
      <c r="O1263" s="887" t="str">
        <f>IF(AND('341-CT'!$E$9=H1263,OR(LEFT(L1263,3)=$O$7,LEFT(M1263,3)=$O$7)),"x","")</f>
        <v/>
      </c>
      <c r="P1263" s="51" t="str">
        <f>IF(AND($B1263&gt;='111'!$N$11,$B1263&lt;='111'!$O$11,OR($L1263=$P$7,$M1263=$P$7)),"x","")</f>
        <v/>
      </c>
      <c r="Q1263" s="51" t="str">
        <f>IF(AND($L1263=$P$7,$B1263&lt;'111'!$N$11),"x","")</f>
        <v/>
      </c>
      <c r="R1263" s="51" t="str">
        <f>IF(AND($M1263=$P$7,$B1263&lt;'111'!$N$11),"x","")</f>
        <v/>
      </c>
      <c r="S1263" s="51" t="str">
        <f>IF(ISERROR(FIND('112'!$M$9,G1263,1)),"",IF((AND(FIND('112'!$M$9,G1263,1)&gt;=1,$B1263&gt;='112'!$N$8,$B1263&lt;='112'!$O$8,OR($L1263='112'!$I$6,$M1263='112'!$I$6))),"x",""))</f>
        <v/>
      </c>
      <c r="T1263" s="51" t="str">
        <f>IF(ISERROR(FIND('112'!$M$9,G1263,1)),"",IF((AND(LEFT(G1263,2)=LEFT('112'!$M$9,2),B1263&lt;'112'!$N$8,$L1263='112'!$I$6)),"x",""))</f>
        <v/>
      </c>
      <c r="U1263" s="51" t="str">
        <f>IF(ISERROR(FIND('112'!$M$9,G1263,1)),"",IF((AND(RIGHT(G1263,2)=RIGHT('112'!$M$9,2),B1263&lt;'112'!$N$8,$M1263='112'!$I$6)),"x",""))</f>
        <v/>
      </c>
      <c r="V1263" s="38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W1263" s="51" t="str">
        <f>IF(OR(TH!L1263=TH!$W$7,M1263=TH!$W$7),"x","")</f>
        <v/>
      </c>
      <c r="X1263" s="51" t="str">
        <f>IF(AND(B1263&gt;='IN-NX'!$P$3,B1263&lt;='IN-NX'!$Q$3,'IN-NX'!$D$7=D1263,OR(LEFT(L1263,2)="15",AND(LEFT(M1263,2)&lt;&gt;"15",LEFT(M1263,2)&lt;&gt;"33"))),"x","")</f>
        <v/>
      </c>
      <c r="Y1263" s="51" t="str">
        <f>IF(AND(OR(LEFT(TH!L1263,2)="15",LEFT(TH!M1263,2)="15"),'152-CT'!$J$8=TH!F1263),"x","")</f>
        <v/>
      </c>
      <c r="Z1263" s="51" t="str">
        <f>IF(AND(OR(LEFT(TH!L1263,2)="15",LEFT(TH!M1263,2)="15"),TK!$E$7=TH!F1263),"x","")</f>
        <v/>
      </c>
      <c r="AA1263" s="51" t="str">
        <f>IF(AND(B1263&lt;=NKC!$N$8,B1263&gt;=NKC!$M$8),"x","")</f>
        <v/>
      </c>
      <c r="AB1263" s="909"/>
      <c r="AC1263" s="588"/>
      <c r="AD1263" s="588"/>
      <c r="AF1263" s="588"/>
      <c r="AG1263" s="588"/>
    </row>
    <row r="1264" spans="1:33" s="210" customFormat="1" ht="15.75" customHeight="1">
      <c r="A1264" s="203" t="str">
        <f>IF(B1264&lt;&gt;"",IF(AND(B1264&gt;=_TM1,B1264&lt;=_TM2,OR(TH!L1264="1111",TH!M1264="1111")),TH!D1264,""),"")</f>
        <v/>
      </c>
      <c r="B1264" s="36" t="str">
        <f t="shared" si="57"/>
        <v/>
      </c>
      <c r="C1264" s="183"/>
      <c r="D1264" s="190"/>
      <c r="E1264" s="183"/>
      <c r="F1264" s="188"/>
      <c r="G1264" s="481"/>
      <c r="H1264" s="7"/>
      <c r="I1264" s="255"/>
      <c r="J1264" s="255"/>
      <c r="K1264" s="596"/>
      <c r="L1264" s="193"/>
      <c r="M1264" s="193"/>
      <c r="N1264" s="51" t="str">
        <f>IF(AND('331-CT'!$E$7=TH!H1264,OR(L1264="331",M1264="331")),"331",IF(AND(OR(L1264="131",M1264="131"),H1264='131-CT'!$E$7),"131",""))</f>
        <v/>
      </c>
      <c r="O1264" s="887" t="str">
        <f>IF(AND('341-CT'!$E$9=H1264,OR(LEFT(L1264,3)=$O$7,LEFT(M1264,3)=$O$7)),"x","")</f>
        <v/>
      </c>
      <c r="P1264" s="51" t="str">
        <f>IF(AND($B1264&gt;='111'!$N$11,$B1264&lt;='111'!$O$11,OR($L1264=$P$7,$M1264=$P$7)),"x","")</f>
        <v/>
      </c>
      <c r="Q1264" s="51" t="str">
        <f>IF(AND($L1264=$P$7,$B1264&lt;'111'!$N$11),"x","")</f>
        <v/>
      </c>
      <c r="R1264" s="51" t="str">
        <f>IF(AND($M1264=$P$7,$B1264&lt;'111'!$N$11),"x","")</f>
        <v/>
      </c>
      <c r="S1264" s="51" t="str">
        <f>IF(ISERROR(FIND('112'!$M$9,G1264,1)),"",IF((AND(FIND('112'!$M$9,G1264,1)&gt;=1,$B1264&gt;='112'!$N$8,$B1264&lt;='112'!$O$8,OR($L1264='112'!$I$6,$M1264='112'!$I$6))),"x",""))</f>
        <v/>
      </c>
      <c r="T1264" s="51" t="str">
        <f>IF(ISERROR(FIND('112'!$M$9,G1264,1)),"",IF((AND(LEFT(G1264,2)=LEFT('112'!$M$9,2),B1264&lt;'112'!$N$8,$L1264='112'!$I$6)),"x",""))</f>
        <v/>
      </c>
      <c r="U1264" s="51" t="str">
        <f>IF(ISERROR(FIND('112'!$M$9,G1264,1)),"",IF((AND(RIGHT(G1264,2)=RIGHT('112'!$M$9,2),B1264&lt;'112'!$N$8,$M1264='112'!$I$6)),"x",""))</f>
        <v/>
      </c>
      <c r="V1264" s="38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W1264" s="51" t="str">
        <f>IF(OR(TH!L1264=TH!$W$7,M1264=TH!$W$7),"x","")</f>
        <v/>
      </c>
      <c r="X1264" s="51" t="str">
        <f>IF(AND(B1264&gt;='IN-NX'!$P$3,B1264&lt;='IN-NX'!$Q$3,'IN-NX'!$D$7=D1264,OR(LEFT(L1264,2)="15",AND(LEFT(M1264,2)&lt;&gt;"15",LEFT(M1264,2)&lt;&gt;"33"))),"x","")</f>
        <v/>
      </c>
      <c r="Y1264" s="51" t="str">
        <f>IF(AND(OR(LEFT(TH!L1264,2)="15",LEFT(TH!M1264,2)="15"),'152-CT'!$J$8=TH!F1264),"x","")</f>
        <v/>
      </c>
      <c r="Z1264" s="51" t="str">
        <f>IF(AND(OR(LEFT(TH!L1264,2)="15",LEFT(TH!M1264,2)="15"),TK!$E$7=TH!F1264),"x","")</f>
        <v/>
      </c>
      <c r="AA1264" s="51" t="str">
        <f>IF(AND(B1264&lt;=NKC!$N$8,B1264&gt;=NKC!$M$8),"x","")</f>
        <v/>
      </c>
      <c r="AB1264" s="909"/>
      <c r="AC1264" s="588"/>
      <c r="AF1264" s="588"/>
      <c r="AG1264" s="588"/>
    </row>
    <row r="1265" spans="1:30" s="210" customFormat="1" ht="15.75" customHeight="1">
      <c r="A1265" s="203" t="str">
        <f>IF(B1265&lt;&gt;"",IF(AND(B1265&gt;=_TM1,B1265&lt;=_TM2,OR(TH!L1265="1111",TH!M1265="1111")),TH!D1265,""),"")</f>
        <v/>
      </c>
      <c r="B1265" s="36" t="str">
        <f t="shared" si="57"/>
        <v/>
      </c>
      <c r="C1265" s="183"/>
      <c r="D1265" s="190"/>
      <c r="E1265" s="183"/>
      <c r="F1265" s="188"/>
      <c r="G1265" s="481"/>
      <c r="H1265" s="7"/>
      <c r="I1265" s="255"/>
      <c r="J1265" s="255"/>
      <c r="K1265" s="37"/>
      <c r="L1265" s="193"/>
      <c r="M1265" s="193"/>
      <c r="N1265" s="51" t="str">
        <f>IF(AND('331-CT'!$E$7=TH!H1265,OR(L1265="331",M1265="331")),"331",IF(AND(OR(L1265="131",M1265="131"),H1265='131-CT'!$E$7),"131",""))</f>
        <v/>
      </c>
      <c r="O1265" s="887" t="str">
        <f>IF(AND('341-CT'!$E$9=H1265,OR(LEFT(L1265,3)=$O$7,LEFT(M1265,3)=$O$7)),"x","")</f>
        <v/>
      </c>
      <c r="P1265" s="51" t="str">
        <f>IF(AND($B1265&gt;='111'!$N$11,$B1265&lt;='111'!$O$11,OR($L1265=$P$7,$M1265=$P$7)),"x","")</f>
        <v/>
      </c>
      <c r="Q1265" s="51" t="str">
        <f>IF(AND($L1265=$P$7,$B1265&lt;'111'!$N$11),"x","")</f>
        <v/>
      </c>
      <c r="R1265" s="51" t="str">
        <f>IF(AND($M1265=$P$7,$B1265&lt;'111'!$N$11),"x","")</f>
        <v/>
      </c>
      <c r="S1265" s="51" t="str">
        <f>IF(ISERROR(FIND('112'!$M$9,G1265,1)),"",IF((AND(FIND('112'!$M$9,G1265,1)&gt;=1,$B1265&gt;='112'!$N$8,$B1265&lt;='112'!$O$8,OR($L1265='112'!$I$6,$M1265='112'!$I$6))),"x",""))</f>
        <v/>
      </c>
      <c r="T1265" s="51" t="str">
        <f>IF(ISERROR(FIND('112'!$M$9,G1265,1)),"",IF((AND(LEFT(G1265,2)=LEFT('112'!$M$9,2),B1265&lt;'112'!$N$8,$L1265='112'!$I$6)),"x",""))</f>
        <v/>
      </c>
      <c r="U1265" s="51" t="str">
        <f>IF(ISERROR(FIND('112'!$M$9,G1265,1)),"",IF((AND(RIGHT(G1265,2)=RIGHT('112'!$M$9,2),B1265&lt;'112'!$N$8,$M1265='112'!$I$6)),"x",""))</f>
        <v/>
      </c>
      <c r="V1265" s="38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W1265" s="51" t="str">
        <f>IF(OR(TH!L1265=TH!$W$7,M1265=TH!$W$7),"x","")</f>
        <v/>
      </c>
      <c r="X1265" s="51" t="str">
        <f>IF(AND(B1265&gt;='IN-NX'!$P$3,B1265&lt;='IN-NX'!$Q$3,'IN-NX'!$D$7=D1265,OR(LEFT(L1265,2)="15",AND(LEFT(M1265,2)&lt;&gt;"15",LEFT(M1265,2)&lt;&gt;"33"))),"x","")</f>
        <v/>
      </c>
      <c r="Y1265" s="51" t="str">
        <f>IF(AND(OR(LEFT(TH!L1265,2)="15",LEFT(TH!M1265,2)="15"),'152-CT'!$J$8=TH!F1265),"x","")</f>
        <v/>
      </c>
      <c r="Z1265" s="51" t="str">
        <f>IF(AND(OR(LEFT(TH!L1265,2)="15",LEFT(TH!M1265,2)="15"),TK!$E$7=TH!F1265),"x","")</f>
        <v/>
      </c>
      <c r="AA1265" s="51" t="str">
        <f>IF(AND(B1265&lt;=NKC!$N$8,B1265&gt;=NKC!$M$8),"x","")</f>
        <v/>
      </c>
      <c r="AB1265" s="909"/>
      <c r="AC1265" s="588"/>
      <c r="AD1265" s="588"/>
    </row>
    <row r="1266" spans="1:30" s="210" customFormat="1" ht="15.75" customHeight="1">
      <c r="A1266" s="203" t="str">
        <f>IF(B1266&lt;&gt;"",IF(AND(B1266&gt;=_TM1,B1266&lt;=_TM2,OR(TH!L1266="1111",TH!M1266="1111")),TH!D1266,""),"")</f>
        <v/>
      </c>
      <c r="B1266" s="36" t="str">
        <f t="shared" si="57"/>
        <v/>
      </c>
      <c r="C1266" s="183"/>
      <c r="D1266" s="190"/>
      <c r="E1266" s="183"/>
      <c r="F1266" s="188"/>
      <c r="G1266" s="481"/>
      <c r="H1266" s="7"/>
      <c r="I1266" s="255"/>
      <c r="J1266" s="255"/>
      <c r="K1266" s="596"/>
      <c r="L1266" s="193"/>
      <c r="M1266" s="193"/>
      <c r="N1266" s="51" t="str">
        <f>IF(AND('331-CT'!$E$7=TH!H1266,OR(L1266="331",M1266="331")),"331",IF(AND(OR(L1266="131",M1266="131"),H1266='131-CT'!$E$7),"131",""))</f>
        <v/>
      </c>
      <c r="O1266" s="887" t="str">
        <f>IF(AND('341-CT'!$E$9=H1266,OR(LEFT(L1266,3)=$O$7,LEFT(M1266,3)=$O$7)),"x","")</f>
        <v/>
      </c>
      <c r="P1266" s="51" t="str">
        <f>IF(AND($B1266&gt;='111'!$N$11,$B1266&lt;='111'!$O$11,OR($L1266=$P$7,$M1266=$P$7)),"x","")</f>
        <v/>
      </c>
      <c r="Q1266" s="51" t="str">
        <f>IF(AND($L1266=$P$7,$B1266&lt;'111'!$N$11),"x","")</f>
        <v/>
      </c>
      <c r="R1266" s="51" t="str">
        <f>IF(AND($M1266=$P$7,$B1266&lt;'111'!$N$11),"x","")</f>
        <v/>
      </c>
      <c r="S1266" s="51" t="str">
        <f>IF(ISERROR(FIND('112'!$M$9,G1266,1)),"",IF((AND(FIND('112'!$M$9,G1266,1)&gt;=1,$B1266&gt;='112'!$N$8,$B1266&lt;='112'!$O$8,OR($L1266='112'!$I$6,$M1266='112'!$I$6))),"x",""))</f>
        <v/>
      </c>
      <c r="T1266" s="51" t="str">
        <f>IF(ISERROR(FIND('112'!$M$9,G1266,1)),"",IF((AND(LEFT(G1266,2)=LEFT('112'!$M$9,2),B1266&lt;'112'!$N$8,$L1266='112'!$I$6)),"x",""))</f>
        <v/>
      </c>
      <c r="U1266" s="51" t="str">
        <f>IF(ISERROR(FIND('112'!$M$9,G1266,1)),"",IF((AND(RIGHT(G1266,2)=RIGHT('112'!$M$9,2),B1266&lt;'112'!$N$8,$M1266='112'!$I$6)),"x",""))</f>
        <v/>
      </c>
      <c r="V1266" s="38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W1266" s="51" t="str">
        <f>IF(OR(TH!L1266=TH!$W$7,M1266=TH!$W$7),"x","")</f>
        <v/>
      </c>
      <c r="X1266" s="51" t="str">
        <f>IF(AND(B1266&gt;='IN-NX'!$P$3,B1266&lt;='IN-NX'!$Q$3,'IN-NX'!$D$7=D1266,OR(LEFT(L1266,2)="15",AND(LEFT(M1266,2)&lt;&gt;"15",LEFT(M1266,2)&lt;&gt;"33"))),"x","")</f>
        <v/>
      </c>
      <c r="Y1266" s="51" t="str">
        <f>IF(AND(OR(LEFT(TH!L1266,2)="15",LEFT(TH!M1266,2)="15"),'152-CT'!$J$8=TH!F1266),"x","")</f>
        <v/>
      </c>
      <c r="Z1266" s="51" t="str">
        <f>IF(AND(OR(LEFT(TH!L1266,2)="15",LEFT(TH!M1266,2)="15"),TK!$E$7=TH!F1266),"x","")</f>
        <v/>
      </c>
      <c r="AA1266" s="51" t="str">
        <f>IF(AND(B1266&lt;=NKC!$N$8,B1266&gt;=NKC!$M$8),"x","")</f>
        <v/>
      </c>
      <c r="AB1266" s="909"/>
      <c r="AC1266" s="588"/>
      <c r="AD1266" s="588"/>
    </row>
    <row r="1270" spans="1:30">
      <c r="H1270" s="791"/>
      <c r="K1270" s="478">
        <f>SUBTOTAL(9,K10:K1266)</f>
        <v>11770706031.909092</v>
      </c>
    </row>
  </sheetData>
  <autoFilter ref="A9:AE1266"/>
  <sortState ref="A42:AG342">
    <sortCondition ref="C42:C342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74" t="s">
        <v>340</v>
      </c>
      <c r="G1" s="974"/>
      <c r="H1" s="974"/>
      <c r="I1" s="974"/>
    </row>
    <row r="2" spans="1:14">
      <c r="A2" s="619" t="str">
        <f>TH!A2</f>
        <v>Địa chỉ: Ấp Rừng Sến, xã Mỹ Hạnh Bắc, Huyện Đức Hòa, Tỉnh Long An, Việt Nam</v>
      </c>
      <c r="F2" s="973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73"/>
      <c r="H2" s="973"/>
      <c r="I2" s="973"/>
    </row>
    <row r="3" spans="1:14">
      <c r="F3" s="973"/>
      <c r="G3" s="973"/>
      <c r="H3" s="973"/>
      <c r="I3" s="973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77" t="s">
        <v>123</v>
      </c>
      <c r="I7" s="977"/>
      <c r="J7" s="625"/>
      <c r="K7" s="625"/>
      <c r="M7" s="976" t="s">
        <v>331</v>
      </c>
      <c r="N7" s="976"/>
    </row>
    <row r="8" spans="1:14" s="798" customFormat="1" ht="23.25" customHeight="1" thickBot="1">
      <c r="A8" s="967" t="s">
        <v>342</v>
      </c>
      <c r="B8" s="969" t="s">
        <v>1</v>
      </c>
      <c r="C8" s="970"/>
      <c r="D8" s="971" t="s">
        <v>0</v>
      </c>
      <c r="E8" s="967" t="s">
        <v>343</v>
      </c>
      <c r="F8" s="975" t="s">
        <v>94</v>
      </c>
      <c r="G8" s="975"/>
      <c r="H8" s="969" t="s">
        <v>21</v>
      </c>
      <c r="I8" s="970"/>
      <c r="J8" s="797"/>
      <c r="K8" s="797"/>
      <c r="M8" s="799">
        <f>IF(K9="Quý I",1,IF(K9="Quý II",4,IF(K9="Quý III",7,IF(K9="Quý IV",10,""))))</f>
        <v>7</v>
      </c>
      <c r="N8" s="799">
        <f>IF(K9="Quý I",3,IF(K9="Quý II",6,IF(K9="Quý III",9,IF(K9="Quý IV",12,""))))</f>
        <v>9</v>
      </c>
    </row>
    <row r="9" spans="1:14" s="798" customFormat="1" ht="28.5" customHeight="1" thickBot="1">
      <c r="A9" s="968"/>
      <c r="B9" s="800" t="s">
        <v>15</v>
      </c>
      <c r="C9" s="800" t="s">
        <v>32</v>
      </c>
      <c r="D9" s="972"/>
      <c r="E9" s="968"/>
      <c r="F9" s="801" t="s">
        <v>22</v>
      </c>
      <c r="G9" s="801" t="s">
        <v>23</v>
      </c>
      <c r="H9" s="800" t="s">
        <v>344</v>
      </c>
      <c r="I9" s="800" t="s">
        <v>23</v>
      </c>
      <c r="K9" s="721" t="s">
        <v>398</v>
      </c>
    </row>
    <row r="10" spans="1:14" s="798" customFormat="1" ht="21" customHeight="1">
      <c r="A10" s="802"/>
      <c r="B10" s="802"/>
      <c r="C10" s="802"/>
      <c r="D10" s="803" t="s">
        <v>347</v>
      </c>
      <c r="E10" s="804"/>
      <c r="F10" s="802"/>
      <c r="G10" s="802"/>
      <c r="H10" s="805">
        <f>SUMIF(_M,"&lt;"&amp;$M$8,TH)</f>
        <v>2205052300</v>
      </c>
      <c r="I10" s="805">
        <f>SUMIF(_M,"&lt;"&amp;$M$8,TH)</f>
        <v>2205052300</v>
      </c>
    </row>
    <row r="11" spans="1:14" s="798" customFormat="1" ht="21" customHeight="1">
      <c r="A11" s="806">
        <f ca="1">IF(ROWS($1:1)&gt;COUNT(Dong6),"",OFFSET(TH!C$1,SMALL(Dong6,ROWS($1:1)),))</f>
        <v>42552</v>
      </c>
      <c r="B11" s="807" t="str">
        <f ca="1">IF(ROWS($1:1)&gt;COUNT(Dong6),"",OFFSET(TH!D$1,SMALL(Dong6,ROWS($1:1)),))</f>
        <v>CTGS</v>
      </c>
      <c r="C11" s="806">
        <f ca="1">IF(ROWS($1:1)&gt;COUNT(Dong6),"",OFFSET(TH!E$1,SMALL(Dong6,ROWS($1:1)),))</f>
        <v>42552</v>
      </c>
      <c r="D11" s="808" t="str">
        <f ca="1">IF(ROWS($1:1)&gt;COUNT(Dong6),"",OFFSET(TH!F$1,SMALL(Dong6,ROWS($1:1)),))</f>
        <v>Trích khấu hao TSCĐ Hữu hình</v>
      </c>
      <c r="E11" s="807">
        <f t="shared" ref="E11:E40" ca="1" si="0">IF(D11&lt;&gt;"",ROW()-10,"")</f>
        <v>1</v>
      </c>
      <c r="F11" s="809" t="str">
        <f ca="1">IF(ROWS($1:1)&gt;COUNT(Dong6),"",OFFSET(TH!L$1,SMALL(Dong6,ROWS($1:1)),))</f>
        <v>154</v>
      </c>
      <c r="G11" s="809" t="str">
        <f ca="1">IF(ROWS($1:1)&gt;COUNT(Dong6),"",OFFSET(TH!M$1,SMALL(Dong6,ROWS($1:1)),))</f>
        <v>2141</v>
      </c>
      <c r="H11" s="706">
        <f ca="1">IF(ROWS($1:1)&gt;COUNT(Dong6),"",OFFSET(TH!K$1,SMALL(Dong6,ROWS($1:1)),))</f>
        <v>13250000</v>
      </c>
      <c r="I11" s="706">
        <f ca="1">IF(ROWS($1:1)&gt;COUNT(Dong6),"",OFFSET(TH!K$1,SMALL(Dong6,ROWS($1:1)),))</f>
        <v>13250000</v>
      </c>
    </row>
    <row r="12" spans="1:14" s="798" customFormat="1" ht="21" customHeight="1">
      <c r="A12" s="806">
        <f ca="1">IF(ROWS($1:2)&gt;COUNT(Dong6),"",OFFSET(TH!C$1,SMALL(Dong6,ROWS($1:2)),))</f>
        <v>42582</v>
      </c>
      <c r="B12" s="807" t="str">
        <f ca="1">IF(ROWS($1:2)&gt;COUNT(Dong6),"",OFFSET(TH!D$1,SMALL(Dong6,ROWS($1:2)),))</f>
        <v>CTGS</v>
      </c>
      <c r="C12" s="806">
        <f ca="1">IF(ROWS($1:2)&gt;COUNT(Dong6),"",OFFSET(TH!E$1,SMALL(Dong6,ROWS($1:2)),))</f>
        <v>42582</v>
      </c>
      <c r="D12" s="808" t="str">
        <f ca="1">IF(ROWS($1:2)&gt;COUNT(Dong6),"",OFFSET(TH!F$1,SMALL(Dong6,ROWS($1:2)),))</f>
        <v>Tiền lương BP Văn phòng</v>
      </c>
      <c r="E12" s="807">
        <f t="shared" ca="1" si="0"/>
        <v>2</v>
      </c>
      <c r="F12" s="809" t="str">
        <f ca="1">IF(ROWS($1:2)&gt;COUNT(Dong6),"",OFFSET(TH!L$1,SMALL(Dong6,ROWS($1:2)),))</f>
        <v>642</v>
      </c>
      <c r="G12" s="809" t="str">
        <f ca="1">IF(ROWS($1:2)&gt;COUNT(Dong6),"",OFFSET(TH!M$1,SMALL(Dong6,ROWS($1:2)),))</f>
        <v>3341</v>
      </c>
      <c r="H12" s="706">
        <f ca="1">IF(ROWS($1:2)&gt;COUNT(Dong6),"",OFFSET(TH!K$1,SMALL(Dong6,ROWS($1:2)),))</f>
        <v>0</v>
      </c>
      <c r="I12" s="706">
        <f ca="1">IF(ROWS($1:2)&gt;COUNT(Dong6),"",OFFSET(TH!K$1,SMALL(Dong6,ROWS($1:2)),))</f>
        <v>0</v>
      </c>
    </row>
    <row r="13" spans="1:14" s="798" customFormat="1" ht="21" customHeight="1">
      <c r="A13" s="806">
        <f ca="1">IF(ROWS($1:3)&gt;COUNT(Dong6),"",OFFSET(TH!C$1,SMALL(Dong6,ROWS($1:3)),))</f>
        <v>42582</v>
      </c>
      <c r="B13" s="807" t="str">
        <f ca="1">IF(ROWS($1:3)&gt;COUNT(Dong6),"",OFFSET(TH!D$1,SMALL(Dong6,ROWS($1:3)),))</f>
        <v>CTGS</v>
      </c>
      <c r="C13" s="806">
        <f ca="1">IF(ROWS($1:3)&gt;COUNT(Dong6),"",OFFSET(TH!E$1,SMALL(Dong6,ROWS($1:3)),))</f>
        <v>42582</v>
      </c>
      <c r="D13" s="808" t="str">
        <f ca="1">IF(ROWS($1:3)&gt;COUNT(Dong6),"",OFFSET(TH!F$1,SMALL(Dong6,ROWS($1:3)),))</f>
        <v>Tiền lương BP Phân Xưởng &amp; CN</v>
      </c>
      <c r="E13" s="807">
        <f t="shared" ca="1" si="0"/>
        <v>3</v>
      </c>
      <c r="F13" s="809" t="str">
        <f ca="1">IF(ROWS($1:3)&gt;COUNT(Dong6),"",OFFSET(TH!L$1,SMALL(Dong6,ROWS($1:3)),))</f>
        <v>154</v>
      </c>
      <c r="G13" s="809" t="str">
        <f ca="1">IF(ROWS($1:3)&gt;COUNT(Dong6),"",OFFSET(TH!M$1,SMALL(Dong6,ROWS($1:3)),))</f>
        <v>3341</v>
      </c>
      <c r="H13" s="706">
        <f ca="1">IF(ROWS($1:3)&gt;COUNT(Dong6),"",OFFSET(TH!K$1,SMALL(Dong6,ROWS($1:3)),))</f>
        <v>0</v>
      </c>
      <c r="I13" s="706">
        <f ca="1">IF(ROWS($1:3)&gt;COUNT(Dong6),"",OFFSET(TH!K$1,SMALL(Dong6,ROWS($1:3)),))</f>
        <v>0</v>
      </c>
    </row>
    <row r="14" spans="1:14" s="798" customFormat="1" ht="21" customHeight="1">
      <c r="A14" s="806">
        <f ca="1">IF(ROWS($1:4)&gt;COUNT(Dong6),"",OFFSET(TH!C$1,SMALL(Dong6,ROWS($1:4)),))</f>
        <v>42582</v>
      </c>
      <c r="B14" s="807" t="str">
        <f ca="1">IF(ROWS($1:4)&gt;COUNT(Dong6),"",OFFSET(TH!D$1,SMALL(Dong6,ROWS($1:4)),))</f>
        <v>CTGS</v>
      </c>
      <c r="C14" s="806">
        <f ca="1">IF(ROWS($1:4)&gt;COUNT(Dong6),"",OFFSET(TH!E$1,SMALL(Dong6,ROWS($1:4)),))</f>
        <v>42582</v>
      </c>
      <c r="D14" s="808" t="str">
        <f ca="1">IF(ROWS($1:4)&gt;COUNT(Dong6),"",OFFSET(TH!F$1,SMALL(Dong6,ROWS($1:4)),))</f>
        <v>Thanh toán tiền lương tháng 7/2016</v>
      </c>
      <c r="E14" s="807">
        <f t="shared" ca="1" si="0"/>
        <v>4</v>
      </c>
      <c r="F14" s="809" t="str">
        <f ca="1">IF(ROWS($1:4)&gt;COUNT(Dong6),"",OFFSET(TH!L$1,SMALL(Dong6,ROWS($1:4)),))</f>
        <v>3341</v>
      </c>
      <c r="G14" s="809" t="str">
        <f ca="1">IF(ROWS($1:4)&gt;COUNT(Dong6),"",OFFSET(TH!M$1,SMALL(Dong6,ROWS($1:4)),))</f>
        <v>1111</v>
      </c>
      <c r="H14" s="706">
        <f ca="1">IF(ROWS($1:4)&gt;COUNT(Dong6),"",OFFSET(TH!K$1,SMALL(Dong6,ROWS($1:4)),))</f>
        <v>0</v>
      </c>
      <c r="I14" s="706">
        <f ca="1">IF(ROWS($1:4)&gt;COUNT(Dong6),"",OFFSET(TH!K$1,SMALL(Dong6,ROWS($1:4)),))</f>
        <v>0</v>
      </c>
    </row>
    <row r="15" spans="1:14" s="798" customFormat="1" ht="21" customHeight="1">
      <c r="A15" s="806">
        <f ca="1">IF(ROWS($1:5)&gt;COUNT(Dong6),"",OFFSET(TH!C$1,SMALL(Dong6,ROWS($1:5)),))</f>
        <v>42613</v>
      </c>
      <c r="B15" s="807" t="str">
        <f ca="1">IF(ROWS($1:5)&gt;COUNT(Dong6),"",OFFSET(TH!D$1,SMALL(Dong6,ROWS($1:5)),))</f>
        <v>CTGS</v>
      </c>
      <c r="C15" s="806">
        <f ca="1">IF(ROWS($1:5)&gt;COUNT(Dong6),"",OFFSET(TH!E$1,SMALL(Dong6,ROWS($1:5)),))</f>
        <v>42613</v>
      </c>
      <c r="D15" s="808" t="str">
        <f ca="1">IF(ROWS($1:5)&gt;COUNT(Dong6),"",OFFSET(TH!F$1,SMALL(Dong6,ROWS($1:5)),))</f>
        <v>Tiền lương BP Văn phòng</v>
      </c>
      <c r="E15" s="807">
        <f t="shared" ca="1" si="0"/>
        <v>5</v>
      </c>
      <c r="F15" s="809" t="str">
        <f ca="1">IF(ROWS($1:5)&gt;COUNT(Dong6),"",OFFSET(TH!L$1,SMALL(Dong6,ROWS($1:5)),))</f>
        <v>642</v>
      </c>
      <c r="G15" s="809" t="str">
        <f ca="1">IF(ROWS($1:5)&gt;COUNT(Dong6),"",OFFSET(TH!M$1,SMALL(Dong6,ROWS($1:5)),))</f>
        <v>3341</v>
      </c>
      <c r="H15" s="706">
        <f ca="1">IF(ROWS($1:5)&gt;COUNT(Dong6),"",OFFSET(TH!K$1,SMALL(Dong6,ROWS($1:5)),))</f>
        <v>0</v>
      </c>
      <c r="I15" s="706">
        <f ca="1">IF(ROWS($1:5)&gt;COUNT(Dong6),"",OFFSET(TH!K$1,SMALL(Dong6,ROWS($1:5)),))</f>
        <v>0</v>
      </c>
    </row>
    <row r="16" spans="1:14" s="798" customFormat="1" ht="21" customHeight="1">
      <c r="A16" s="806">
        <f ca="1">IF(ROWS($1:6)&gt;COUNT(Dong6),"",OFFSET(TH!C$1,SMALL(Dong6,ROWS($1:6)),))</f>
        <v>42613</v>
      </c>
      <c r="B16" s="807" t="str">
        <f ca="1">IF(ROWS($1:6)&gt;COUNT(Dong6),"",OFFSET(TH!D$1,SMALL(Dong6,ROWS($1:6)),))</f>
        <v>CTGS</v>
      </c>
      <c r="C16" s="806">
        <f ca="1">IF(ROWS($1:6)&gt;COUNT(Dong6),"",OFFSET(TH!E$1,SMALL(Dong6,ROWS($1:6)),))</f>
        <v>42613</v>
      </c>
      <c r="D16" s="808" t="str">
        <f ca="1">IF(ROWS($1:6)&gt;COUNT(Dong6),"",OFFSET(TH!F$1,SMALL(Dong6,ROWS($1:6)),))</f>
        <v>Tiền lương BP Phân Xưởng &amp; CN</v>
      </c>
      <c r="E16" s="807">
        <f t="shared" ca="1" si="0"/>
        <v>6</v>
      </c>
      <c r="F16" s="809" t="str">
        <f ca="1">IF(ROWS($1:6)&gt;COUNT(Dong6),"",OFFSET(TH!L$1,SMALL(Dong6,ROWS($1:6)),))</f>
        <v>154</v>
      </c>
      <c r="G16" s="809" t="str">
        <f ca="1">IF(ROWS($1:6)&gt;COUNT(Dong6),"",OFFSET(TH!M$1,SMALL(Dong6,ROWS($1:6)),))</f>
        <v>3341</v>
      </c>
      <c r="H16" s="706">
        <f ca="1">IF(ROWS($1:6)&gt;COUNT(Dong6),"",OFFSET(TH!K$1,SMALL(Dong6,ROWS($1:6)),))</f>
        <v>0</v>
      </c>
      <c r="I16" s="706">
        <f ca="1">IF(ROWS($1:6)&gt;COUNT(Dong6),"",OFFSET(TH!K$1,SMALL(Dong6,ROWS($1:6)),))</f>
        <v>0</v>
      </c>
    </row>
    <row r="17" spans="1:9" s="798" customFormat="1" ht="21" customHeight="1">
      <c r="A17" s="806">
        <f ca="1">IF(ROWS($1:7)&gt;COUNT(Dong6),"",OFFSET(TH!C$1,SMALL(Dong6,ROWS($1:7)),))</f>
        <v>42613</v>
      </c>
      <c r="B17" s="807" t="str">
        <f ca="1">IF(ROWS($1:7)&gt;COUNT(Dong6),"",OFFSET(TH!D$1,SMALL(Dong6,ROWS($1:7)),))</f>
        <v>CTGS</v>
      </c>
      <c r="C17" s="806">
        <f ca="1">IF(ROWS($1:7)&gt;COUNT(Dong6),"",OFFSET(TH!E$1,SMALL(Dong6,ROWS($1:7)),))</f>
        <v>42613</v>
      </c>
      <c r="D17" s="808" t="str">
        <f ca="1">IF(ROWS($1:7)&gt;COUNT(Dong6),"",OFFSET(TH!F$1,SMALL(Dong6,ROWS($1:7)),))</f>
        <v>Thanh toán tiền lương tháng 8/2016</v>
      </c>
      <c r="E17" s="807">
        <f t="shared" ca="1" si="0"/>
        <v>7</v>
      </c>
      <c r="F17" s="809" t="str">
        <f ca="1">IF(ROWS($1:7)&gt;COUNT(Dong6),"",OFFSET(TH!L$1,SMALL(Dong6,ROWS($1:7)),))</f>
        <v>3341</v>
      </c>
      <c r="G17" s="809" t="str">
        <f ca="1">IF(ROWS($1:7)&gt;COUNT(Dong6),"",OFFSET(TH!M$1,SMALL(Dong6,ROWS($1:7)),))</f>
        <v>1111</v>
      </c>
      <c r="H17" s="706">
        <f ca="1">IF(ROWS($1:7)&gt;COUNT(Dong6),"",OFFSET(TH!K$1,SMALL(Dong6,ROWS($1:7)),))</f>
        <v>0</v>
      </c>
      <c r="I17" s="706">
        <f ca="1">IF(ROWS($1:7)&gt;COUNT(Dong6),"",OFFSET(TH!K$1,SMALL(Dong6,ROWS($1:7)),))</f>
        <v>0</v>
      </c>
    </row>
    <row r="18" spans="1:9" s="798" customFormat="1" ht="21" customHeight="1">
      <c r="A18" s="806">
        <f ca="1">IF(ROWS($1:8)&gt;COUNT(Dong6),"",OFFSET(TH!C$1,SMALL(Dong6,ROWS($1:8)),))</f>
        <v>42643</v>
      </c>
      <c r="B18" s="807" t="str">
        <f ca="1">IF(ROWS($1:8)&gt;COUNT(Dong6),"",OFFSET(TH!D$1,SMALL(Dong6,ROWS($1:8)),))</f>
        <v>CTGS</v>
      </c>
      <c r="C18" s="806">
        <f ca="1">IF(ROWS($1:8)&gt;COUNT(Dong6),"",OFFSET(TH!E$1,SMALL(Dong6,ROWS($1:8)),))</f>
        <v>42643</v>
      </c>
      <c r="D18" s="808" t="str">
        <f ca="1">IF(ROWS($1:8)&gt;COUNT(Dong6),"",OFFSET(TH!F$1,SMALL(Dong6,ROWS($1:8)),))</f>
        <v>Tiền lương BP Văn phòng</v>
      </c>
      <c r="E18" s="807">
        <f t="shared" ca="1" si="0"/>
        <v>8</v>
      </c>
      <c r="F18" s="809" t="str">
        <f ca="1">IF(ROWS($1:8)&gt;COUNT(Dong6),"",OFFSET(TH!L$1,SMALL(Dong6,ROWS($1:8)),))</f>
        <v>642</v>
      </c>
      <c r="G18" s="809" t="str">
        <f ca="1">IF(ROWS($1:8)&gt;COUNT(Dong6),"",OFFSET(TH!M$1,SMALL(Dong6,ROWS($1:8)),))</f>
        <v>3341</v>
      </c>
      <c r="H18" s="706">
        <f ca="1">IF(ROWS($1:8)&gt;COUNT(Dong6),"",OFFSET(TH!K$1,SMALL(Dong6,ROWS($1:8)),))</f>
        <v>0</v>
      </c>
      <c r="I18" s="706">
        <f ca="1">IF(ROWS($1:8)&gt;COUNT(Dong6),"",OFFSET(TH!K$1,SMALL(Dong6,ROWS($1:8)),))</f>
        <v>0</v>
      </c>
    </row>
    <row r="19" spans="1:9" s="798" customFormat="1" ht="21" customHeight="1">
      <c r="A19" s="806">
        <f ca="1">IF(ROWS($1:9)&gt;COUNT(Dong6),"",OFFSET(TH!C$1,SMALL(Dong6,ROWS($1:9)),))</f>
        <v>42643</v>
      </c>
      <c r="B19" s="807" t="str">
        <f ca="1">IF(ROWS($1:9)&gt;COUNT(Dong6),"",OFFSET(TH!D$1,SMALL(Dong6,ROWS($1:9)),))</f>
        <v>CTGS</v>
      </c>
      <c r="C19" s="806">
        <f ca="1">IF(ROWS($1:9)&gt;COUNT(Dong6),"",OFFSET(TH!E$1,SMALL(Dong6,ROWS($1:9)),))</f>
        <v>42643</v>
      </c>
      <c r="D19" s="808" t="str">
        <f ca="1">IF(ROWS($1:9)&gt;COUNT(Dong6),"",OFFSET(TH!F$1,SMALL(Dong6,ROWS($1:9)),))</f>
        <v>Tiền lương BP Phân Xưởng &amp; CN</v>
      </c>
      <c r="E19" s="807">
        <f t="shared" ca="1" si="0"/>
        <v>9</v>
      </c>
      <c r="F19" s="809" t="str">
        <f ca="1">IF(ROWS($1:9)&gt;COUNT(Dong6),"",OFFSET(TH!L$1,SMALL(Dong6,ROWS($1:9)),))</f>
        <v>154</v>
      </c>
      <c r="G19" s="809" t="str">
        <f ca="1">IF(ROWS($1:9)&gt;COUNT(Dong6),"",OFFSET(TH!M$1,SMALL(Dong6,ROWS($1:9)),))</f>
        <v>3341</v>
      </c>
      <c r="H19" s="706">
        <f ca="1">IF(ROWS($1:9)&gt;COUNT(Dong6),"",OFFSET(TH!K$1,SMALL(Dong6,ROWS($1:9)),))</f>
        <v>0</v>
      </c>
      <c r="I19" s="706">
        <f ca="1">IF(ROWS($1:9)&gt;COUNT(Dong6),"",OFFSET(TH!K$1,SMALL(Dong6,ROWS($1:9)),))</f>
        <v>0</v>
      </c>
    </row>
    <row r="20" spans="1:9" s="798" customFormat="1" ht="21" customHeight="1">
      <c r="A20" s="806">
        <f ca="1">IF(ROWS($1:10)&gt;COUNT(Dong6),"",OFFSET(TH!C$1,SMALL(Dong6,ROWS($1:10)),))</f>
        <v>42643</v>
      </c>
      <c r="B20" s="807" t="str">
        <f ca="1">IF(ROWS($1:10)&gt;COUNT(Dong6),"",OFFSET(TH!D$1,SMALL(Dong6,ROWS($1:10)),))</f>
        <v>CTGS</v>
      </c>
      <c r="C20" s="806">
        <f ca="1">IF(ROWS($1:10)&gt;COUNT(Dong6),"",OFFSET(TH!E$1,SMALL(Dong6,ROWS($1:10)),))</f>
        <v>42643</v>
      </c>
      <c r="D20" s="808" t="str">
        <f ca="1">IF(ROWS($1:10)&gt;COUNT(Dong6),"",OFFSET(TH!F$1,SMALL(Dong6,ROWS($1:10)),))</f>
        <v>Thanh toán tiền lương tháng 9/2016</v>
      </c>
      <c r="E20" s="807">
        <f t="shared" ca="1" si="0"/>
        <v>10</v>
      </c>
      <c r="F20" s="809" t="str">
        <f ca="1">IF(ROWS($1:10)&gt;COUNT(Dong6),"",OFFSET(TH!L$1,SMALL(Dong6,ROWS($1:10)),))</f>
        <v>3341</v>
      </c>
      <c r="G20" s="809" t="str">
        <f ca="1">IF(ROWS($1:10)&gt;COUNT(Dong6),"",OFFSET(TH!M$1,SMALL(Dong6,ROWS($1:10)),))</f>
        <v>1111</v>
      </c>
      <c r="H20" s="706">
        <f ca="1">IF(ROWS($1:10)&gt;COUNT(Dong6),"",OFFSET(TH!K$1,SMALL(Dong6,ROWS($1:10)),))</f>
        <v>0</v>
      </c>
      <c r="I20" s="706">
        <f ca="1">IF(ROWS($1:10)&gt;COUNT(Dong6),"",OFFSET(TH!K$1,SMALL(Dong6,ROWS($1:10)),))</f>
        <v>0</v>
      </c>
    </row>
    <row r="21" spans="1:9" s="798" customFormat="1" ht="21" customHeight="1">
      <c r="A21" s="806">
        <f ca="1">IF(ROWS($1:11)&gt;COUNT(Dong6),"",OFFSET(TH!C$1,SMALL(Dong6,ROWS($1:11)),))</f>
        <v>42559</v>
      </c>
      <c r="B21" s="807" t="str">
        <f ca="1">IF(ROWS($1:11)&gt;COUNT(Dong6),"",OFFSET(TH!D$1,SMALL(Dong6,ROWS($1:11)),))</f>
        <v>C01</v>
      </c>
      <c r="C21" s="806">
        <f ca="1">IF(ROWS($1:11)&gt;COUNT(Dong6),"",OFFSET(TH!E$1,SMALL(Dong6,ROWS($1:11)),))</f>
        <v>42559</v>
      </c>
      <c r="D21" s="808" t="str">
        <f ca="1">IF(ROWS($1:11)&gt;COUNT(Dong6),"",OFFSET(TH!F$1,SMALL(Dong6,ROWS($1:11)),))</f>
        <v>Nộp tiền mặt</v>
      </c>
      <c r="E21" s="807">
        <f t="shared" ca="1" si="0"/>
        <v>11</v>
      </c>
      <c r="F21" s="809" t="str">
        <f ca="1">IF(ROWS($1:11)&gt;COUNT(Dong6),"",OFFSET(TH!L$1,SMALL(Dong6,ROWS($1:11)),))</f>
        <v>1121</v>
      </c>
      <c r="G21" s="809" t="str">
        <f ca="1">IF(ROWS($1:11)&gt;COUNT(Dong6),"",OFFSET(TH!M$1,SMALL(Dong6,ROWS($1:11)),))</f>
        <v>1111</v>
      </c>
      <c r="H21" s="706">
        <f ca="1">IF(ROWS($1:11)&gt;COUNT(Dong6),"",OFFSET(TH!K$1,SMALL(Dong6,ROWS($1:11)),))</f>
        <v>40700000</v>
      </c>
      <c r="I21" s="706">
        <f ca="1">IF(ROWS($1:11)&gt;COUNT(Dong6),"",OFFSET(TH!K$1,SMALL(Dong6,ROWS($1:11)),))</f>
        <v>40700000</v>
      </c>
    </row>
    <row r="22" spans="1:9" s="798" customFormat="1" ht="21" customHeight="1">
      <c r="A22" s="806">
        <f ca="1">IF(ROWS($1:12)&gt;COUNT(Dong6),"",OFFSET(TH!C$1,SMALL(Dong6,ROWS($1:12)),))</f>
        <v>42559</v>
      </c>
      <c r="B22" s="807" t="str">
        <f ca="1">IF(ROWS($1:12)&gt;COUNT(Dong6),"",OFFSET(TH!D$1,SMALL(Dong6,ROWS($1:12)),))</f>
        <v>GBN</v>
      </c>
      <c r="C22" s="806">
        <f ca="1">IF(ROWS($1:12)&gt;COUNT(Dong6),"",OFFSET(TH!E$1,SMALL(Dong6,ROWS($1:12)),))</f>
        <v>42559</v>
      </c>
      <c r="D22" s="808" t="str">
        <f ca="1">IF(ROWS($1:12)&gt;COUNT(Dong6),"",OFFSET(TH!F$1,SMALL(Dong6,ROWS($1:12)),))</f>
        <v>Thanh toán tiền thuê kho</v>
      </c>
      <c r="E22" s="807">
        <f t="shared" ca="1" si="0"/>
        <v>12</v>
      </c>
      <c r="F22" s="809" t="str">
        <f ca="1">IF(ROWS($1:12)&gt;COUNT(Dong6),"",OFFSET(TH!L$1,SMALL(Dong6,ROWS($1:12)),))</f>
        <v>331</v>
      </c>
      <c r="G22" s="809" t="str">
        <f ca="1">IF(ROWS($1:12)&gt;COUNT(Dong6),"",OFFSET(TH!M$1,SMALL(Dong6,ROWS($1:12)),))</f>
        <v>1121</v>
      </c>
      <c r="H22" s="706">
        <f ca="1">IF(ROWS($1:12)&gt;COUNT(Dong6),"",OFFSET(TH!K$1,SMALL(Dong6,ROWS($1:12)),))</f>
        <v>40700000</v>
      </c>
      <c r="I22" s="706">
        <f ca="1">IF(ROWS($1:12)&gt;COUNT(Dong6),"",OFFSET(TH!K$1,SMALL(Dong6,ROWS($1:12)),))</f>
        <v>40700000</v>
      </c>
    </row>
    <row r="23" spans="1:9" s="798" customFormat="1" ht="21" customHeight="1">
      <c r="A23" s="806">
        <f ca="1">IF(ROWS($1:13)&gt;COUNT(Dong6),"",OFFSET(TH!C$1,SMALL(Dong6,ROWS($1:13)),))</f>
        <v>42559</v>
      </c>
      <c r="B23" s="807" t="str">
        <f ca="1">IF(ROWS($1:13)&gt;COUNT(Dong6),"",OFFSET(TH!D$1,SMALL(Dong6,ROWS($1:13)),))</f>
        <v>GBN</v>
      </c>
      <c r="C23" s="806">
        <f ca="1">IF(ROWS($1:13)&gt;COUNT(Dong6),"",OFFSET(TH!E$1,SMALL(Dong6,ROWS($1:13)),))</f>
        <v>42559</v>
      </c>
      <c r="D23" s="808" t="str">
        <f ca="1">IF(ROWS($1:13)&gt;COUNT(Dong6),"",OFFSET(TH!F$1,SMALL(Dong6,ROWS($1:13)),))</f>
        <v>Phí chuyển tiền</v>
      </c>
      <c r="E23" s="807">
        <f t="shared" ca="1" si="0"/>
        <v>13</v>
      </c>
      <c r="F23" s="809" t="str">
        <f ca="1">IF(ROWS($1:13)&gt;COUNT(Dong6),"",OFFSET(TH!L$1,SMALL(Dong6,ROWS($1:13)),))</f>
        <v>642</v>
      </c>
      <c r="G23" s="809" t="str">
        <f ca="1">IF(ROWS($1:13)&gt;COUNT(Dong6),"",OFFSET(TH!M$1,SMALL(Dong6,ROWS($1:13)),))</f>
        <v>1121</v>
      </c>
      <c r="H23" s="706">
        <f ca="1">IF(ROWS($1:13)&gt;COUNT(Dong6),"",OFFSET(TH!K$1,SMALL(Dong6,ROWS($1:13)),))</f>
        <v>20000</v>
      </c>
      <c r="I23" s="706">
        <f ca="1">IF(ROWS($1:13)&gt;COUNT(Dong6),"",OFFSET(TH!K$1,SMALL(Dong6,ROWS($1:13)),))</f>
        <v>20000</v>
      </c>
    </row>
    <row r="24" spans="1:9" s="798" customFormat="1" ht="21" customHeight="1">
      <c r="A24" s="806">
        <f ca="1">IF(ROWS($1:14)&gt;COUNT(Dong6),"",OFFSET(TH!C$1,SMALL(Dong6,ROWS($1:14)),))</f>
        <v>42559</v>
      </c>
      <c r="B24" s="807" t="str">
        <f ca="1">IF(ROWS($1:14)&gt;COUNT(Dong6),"",OFFSET(TH!D$1,SMALL(Dong6,ROWS($1:14)),))</f>
        <v>GBN</v>
      </c>
      <c r="C24" s="806">
        <f ca="1">IF(ROWS($1:14)&gt;COUNT(Dong6),"",OFFSET(TH!E$1,SMALL(Dong6,ROWS($1:14)),))</f>
        <v>42559</v>
      </c>
      <c r="D24" s="808" t="str">
        <f ca="1">IF(ROWS($1:14)&gt;COUNT(Dong6),"",OFFSET(TH!F$1,SMALL(Dong6,ROWS($1:14)),))</f>
        <v>VAT Phí chuyển tiền</v>
      </c>
      <c r="E24" s="807">
        <f t="shared" ca="1" si="0"/>
        <v>14</v>
      </c>
      <c r="F24" s="809" t="str">
        <f ca="1">IF(ROWS($1:14)&gt;COUNT(Dong6),"",OFFSET(TH!L$1,SMALL(Dong6,ROWS($1:14)),))</f>
        <v>1331</v>
      </c>
      <c r="G24" s="809" t="str">
        <f ca="1">IF(ROWS($1:14)&gt;COUNT(Dong6),"",OFFSET(TH!M$1,SMALL(Dong6,ROWS($1:14)),))</f>
        <v>1121</v>
      </c>
      <c r="H24" s="706">
        <f ca="1">IF(ROWS($1:14)&gt;COUNT(Dong6),"",OFFSET(TH!K$1,SMALL(Dong6,ROWS($1:14)),))</f>
        <v>2000</v>
      </c>
      <c r="I24" s="706">
        <f ca="1">IF(ROWS($1:14)&gt;COUNT(Dong6),"",OFFSET(TH!K$1,SMALL(Dong6,ROWS($1:14)),))</f>
        <v>2000</v>
      </c>
    </row>
    <row r="25" spans="1:9" s="798" customFormat="1" ht="21" customHeight="1">
      <c r="A25" s="806">
        <f ca="1">IF(ROWS($1:15)&gt;COUNT(Dong6),"",OFFSET(TH!C$1,SMALL(Dong6,ROWS($1:15)),))</f>
        <v>42559</v>
      </c>
      <c r="B25" s="807" t="str">
        <f ca="1">IF(ROWS($1:15)&gt;COUNT(Dong6),"",OFFSET(TH!D$1,SMALL(Dong6,ROWS($1:15)),))</f>
        <v>GBN</v>
      </c>
      <c r="C25" s="806">
        <f ca="1">IF(ROWS($1:15)&gt;COUNT(Dong6),"",OFFSET(TH!E$1,SMALL(Dong6,ROWS($1:15)),))</f>
        <v>42559</v>
      </c>
      <c r="D25" s="808" t="str">
        <f ca="1">IF(ROWS($1:15)&gt;COUNT(Dong6),"",OFFSET(TH!F$1,SMALL(Dong6,ROWS($1:15)),))</f>
        <v>Phí chuyển tiền trong ngày</v>
      </c>
      <c r="E25" s="807">
        <f t="shared" ca="1" si="0"/>
        <v>15</v>
      </c>
      <c r="F25" s="809" t="str">
        <f ca="1">IF(ROWS($1:15)&gt;COUNT(Dong6),"",OFFSET(TH!L$1,SMALL(Dong6,ROWS($1:15)),))</f>
        <v>642</v>
      </c>
      <c r="G25" s="809" t="str">
        <f ca="1">IF(ROWS($1:15)&gt;COUNT(Dong6),"",OFFSET(TH!M$1,SMALL(Dong6,ROWS($1:15)),))</f>
        <v>1121</v>
      </c>
      <c r="H25" s="706">
        <f ca="1">IF(ROWS($1:15)&gt;COUNT(Dong6),"",OFFSET(TH!K$1,SMALL(Dong6,ROWS($1:15)),))</f>
        <v>20000</v>
      </c>
      <c r="I25" s="706">
        <f ca="1">IF(ROWS($1:15)&gt;COUNT(Dong6),"",OFFSET(TH!K$1,SMALL(Dong6,ROWS($1:15)),))</f>
        <v>20000</v>
      </c>
    </row>
    <row r="26" spans="1:9" s="798" customFormat="1" ht="21" customHeight="1">
      <c r="A26" s="806">
        <f ca="1">IF(ROWS($1:16)&gt;COUNT(Dong6),"",OFFSET(TH!C$1,SMALL(Dong6,ROWS($1:16)),))</f>
        <v>42559</v>
      </c>
      <c r="B26" s="807" t="str">
        <f ca="1">IF(ROWS($1:16)&gt;COUNT(Dong6),"",OFFSET(TH!D$1,SMALL(Dong6,ROWS($1:16)),))</f>
        <v>GBN</v>
      </c>
      <c r="C26" s="806">
        <f ca="1">IF(ROWS($1:16)&gt;COUNT(Dong6),"",OFFSET(TH!E$1,SMALL(Dong6,ROWS($1:16)),))</f>
        <v>42559</v>
      </c>
      <c r="D26" s="808" t="str">
        <f ca="1">IF(ROWS($1:16)&gt;COUNT(Dong6),"",OFFSET(TH!F$1,SMALL(Dong6,ROWS($1:16)),))</f>
        <v>VAT Phí chuyển tiền trong ngày</v>
      </c>
      <c r="E26" s="807">
        <f t="shared" ca="1" si="0"/>
        <v>16</v>
      </c>
      <c r="F26" s="809" t="str">
        <f ca="1">IF(ROWS($1:16)&gt;COUNT(Dong6),"",OFFSET(TH!L$1,SMALL(Dong6,ROWS($1:16)),))</f>
        <v>1331</v>
      </c>
      <c r="G26" s="809" t="str">
        <f ca="1">IF(ROWS($1:16)&gt;COUNT(Dong6),"",OFFSET(TH!M$1,SMALL(Dong6,ROWS($1:16)),))</f>
        <v>1121</v>
      </c>
      <c r="H26" s="706">
        <f ca="1">IF(ROWS($1:16)&gt;COUNT(Dong6),"",OFFSET(TH!K$1,SMALL(Dong6,ROWS($1:16)),))</f>
        <v>2000</v>
      </c>
      <c r="I26" s="706">
        <f ca="1">IF(ROWS($1:16)&gt;COUNT(Dong6),"",OFFSET(TH!K$1,SMALL(Dong6,ROWS($1:16)),))</f>
        <v>2000</v>
      </c>
    </row>
    <row r="27" spans="1:9" s="798" customFormat="1" ht="21" customHeight="1">
      <c r="A27" s="806">
        <f ca="1">IF(ROWS($1:17)&gt;COUNT(Dong6),"",OFFSET(TH!C$1,SMALL(Dong6,ROWS($1:17)),))</f>
        <v>42563</v>
      </c>
      <c r="B27" s="807" t="str">
        <f ca="1">IF(ROWS($1:17)&gt;COUNT(Dong6),"",OFFSET(TH!D$1,SMALL(Dong6,ROWS($1:17)),))</f>
        <v>NL/N04</v>
      </c>
      <c r="C27" s="806">
        <f ca="1">IF(ROWS($1:17)&gt;COUNT(Dong6),"",OFFSET(TH!E$1,SMALL(Dong6,ROWS($1:17)),))</f>
        <v>42563</v>
      </c>
      <c r="D27" s="808" t="str">
        <f ca="1">IF(ROWS($1:17)&gt;COUNT(Dong6),"",OFFSET(TH!F$1,SMALL(Dong6,ROWS($1:17)),))</f>
        <v>Giấy cuộn xeo</v>
      </c>
      <c r="E27" s="807">
        <f t="shared" ca="1" si="0"/>
        <v>17</v>
      </c>
      <c r="F27" s="809" t="str">
        <f ca="1">IF(ROWS($1:17)&gt;COUNT(Dong6),"",OFFSET(TH!L$1,SMALL(Dong6,ROWS($1:17)),))</f>
        <v>1521</v>
      </c>
      <c r="G27" s="809" t="str">
        <f ca="1">IF(ROWS($1:17)&gt;COUNT(Dong6),"",OFFSET(TH!M$1,SMALL(Dong6,ROWS($1:17)),))</f>
        <v>331</v>
      </c>
      <c r="H27" s="706">
        <f ca="1">IF(ROWS($1:17)&gt;COUNT(Dong6),"",OFFSET(TH!K$1,SMALL(Dong6,ROWS($1:17)),))</f>
        <v>87673600</v>
      </c>
      <c r="I27" s="706">
        <f ca="1">IF(ROWS($1:17)&gt;COUNT(Dong6),"",OFFSET(TH!K$1,SMALL(Dong6,ROWS($1:17)),))</f>
        <v>87673600</v>
      </c>
    </row>
    <row r="28" spans="1:9" s="798" customFormat="1" ht="21" customHeight="1">
      <c r="A28" s="806">
        <f ca="1">IF(ROWS($1:18)&gt;COUNT(Dong6),"",OFFSET(TH!C$1,SMALL(Dong6,ROWS($1:18)),))</f>
        <v>42563</v>
      </c>
      <c r="B28" s="807" t="str">
        <f ca="1">IF(ROWS($1:18)&gt;COUNT(Dong6),"",OFFSET(TH!D$1,SMALL(Dong6,ROWS($1:18)),))</f>
        <v>NL/N04</v>
      </c>
      <c r="C28" s="806">
        <f ca="1">IF(ROWS($1:18)&gt;COUNT(Dong6),"",OFFSET(TH!E$1,SMALL(Dong6,ROWS($1:18)),))</f>
        <v>42563</v>
      </c>
      <c r="D28" s="808" t="str">
        <f ca="1">IF(ROWS($1:18)&gt;COUNT(Dong6),"",OFFSET(TH!F$1,SMALL(Dong6,ROWS($1:18)),))</f>
        <v>Giấy nâu gia keo</v>
      </c>
      <c r="E28" s="807">
        <f t="shared" ca="1" si="0"/>
        <v>18</v>
      </c>
      <c r="F28" s="809" t="str">
        <f ca="1">IF(ROWS($1:18)&gt;COUNT(Dong6),"",OFFSET(TH!L$1,SMALL(Dong6,ROWS($1:18)),))</f>
        <v>1521</v>
      </c>
      <c r="G28" s="809" t="str">
        <f ca="1">IF(ROWS($1:18)&gt;COUNT(Dong6),"",OFFSET(TH!M$1,SMALL(Dong6,ROWS($1:18)),))</f>
        <v>331</v>
      </c>
      <c r="H28" s="706">
        <f ca="1">IF(ROWS($1:18)&gt;COUNT(Dong6),"",OFFSET(TH!K$1,SMALL(Dong6,ROWS($1:18)),))</f>
        <v>53213100</v>
      </c>
      <c r="I28" s="706">
        <f ca="1">IF(ROWS($1:18)&gt;COUNT(Dong6),"",OFFSET(TH!K$1,SMALL(Dong6,ROWS($1:18)),))</f>
        <v>53213100</v>
      </c>
    </row>
    <row r="29" spans="1:9" s="798" customFormat="1" ht="21" customHeight="1">
      <c r="A29" s="806">
        <f ca="1">IF(ROWS($1:19)&gt;COUNT(Dong6),"",OFFSET(TH!C$1,SMALL(Dong6,ROWS($1:19)),))</f>
        <v>42563</v>
      </c>
      <c r="B29" s="807" t="str">
        <f ca="1">IF(ROWS($1:19)&gt;COUNT(Dong6),"",OFFSET(TH!D$1,SMALL(Dong6,ROWS($1:19)),))</f>
        <v>NL/N04</v>
      </c>
      <c r="C29" s="806">
        <f ca="1">IF(ROWS($1:19)&gt;COUNT(Dong6),"",OFFSET(TH!E$1,SMALL(Dong6,ROWS($1:19)),))</f>
        <v>42563</v>
      </c>
      <c r="D29" s="808" t="str">
        <f ca="1">IF(ROWS($1:19)&gt;COUNT(Dong6),"",OFFSET(TH!F$1,SMALL(Dong6,ROWS($1:19)),))</f>
        <v>Giấy xeo gia keo chống thấm</v>
      </c>
      <c r="E29" s="807">
        <f t="shared" ca="1" si="0"/>
        <v>19</v>
      </c>
      <c r="F29" s="809" t="str">
        <f ca="1">IF(ROWS($1:19)&gt;COUNT(Dong6),"",OFFSET(TH!L$1,SMALL(Dong6,ROWS($1:19)),))</f>
        <v>1521</v>
      </c>
      <c r="G29" s="809" t="str">
        <f ca="1">IF(ROWS($1:19)&gt;COUNT(Dong6),"",OFFSET(TH!M$1,SMALL(Dong6,ROWS($1:19)),))</f>
        <v>331</v>
      </c>
      <c r="H29" s="706">
        <f ca="1">IF(ROWS($1:19)&gt;COUNT(Dong6),"",OFFSET(TH!K$1,SMALL(Dong6,ROWS($1:19)),))</f>
        <v>34093500</v>
      </c>
      <c r="I29" s="706">
        <f ca="1">IF(ROWS($1:19)&gt;COUNT(Dong6),"",OFFSET(TH!K$1,SMALL(Dong6,ROWS($1:19)),))</f>
        <v>34093500</v>
      </c>
    </row>
    <row r="30" spans="1:9" s="798" customFormat="1" ht="21" customHeight="1">
      <c r="A30" s="806">
        <f ca="1">IF(ROWS($1:20)&gt;COUNT(Dong6),"",OFFSET(TH!C$1,SMALL(Dong6,ROWS($1:20)),))</f>
        <v>42563</v>
      </c>
      <c r="B30" s="807" t="str">
        <f ca="1">IF(ROWS($1:20)&gt;COUNT(Dong6),"",OFFSET(TH!D$1,SMALL(Dong6,ROWS($1:20)),))</f>
        <v>NL/N04</v>
      </c>
      <c r="C30" s="806">
        <f ca="1">IF(ROWS($1:20)&gt;COUNT(Dong6),"",OFFSET(TH!E$1,SMALL(Dong6,ROWS($1:20)),))</f>
        <v>42563</v>
      </c>
      <c r="D30" s="808" t="str">
        <f ca="1">IF(ROWS($1:20)&gt;COUNT(Dong6),"",OFFSET(TH!F$1,SMALL(Dong6,ROWS($1:20)),))</f>
        <v>VAT Giấy màu vàng, xeo gia keo chống thấm</v>
      </c>
      <c r="E30" s="807">
        <f t="shared" ca="1" si="0"/>
        <v>20</v>
      </c>
      <c r="F30" s="809" t="str">
        <f ca="1">IF(ROWS($1:20)&gt;COUNT(Dong6),"",OFFSET(TH!L$1,SMALL(Dong6,ROWS($1:20)),))</f>
        <v>1331</v>
      </c>
      <c r="G30" s="809" t="str">
        <f ca="1">IF(ROWS($1:20)&gt;COUNT(Dong6),"",OFFSET(TH!M$1,SMALL(Dong6,ROWS($1:20)),))</f>
        <v>331</v>
      </c>
      <c r="H30" s="706">
        <f ca="1">IF(ROWS($1:20)&gt;COUNT(Dong6),"",OFFSET(TH!K$1,SMALL(Dong6,ROWS($1:20)),))</f>
        <v>17498020</v>
      </c>
      <c r="I30" s="706">
        <f ca="1">IF(ROWS($1:20)&gt;COUNT(Dong6),"",OFFSET(TH!K$1,SMALL(Dong6,ROWS($1:20)),))</f>
        <v>17498020</v>
      </c>
    </row>
    <row r="31" spans="1:9" s="798" customFormat="1" ht="21" customHeight="1">
      <c r="A31" s="806">
        <f ca="1">IF(ROWS($1:21)&gt;COUNT(Dong6),"",OFFSET(TH!C$1,SMALL(Dong6,ROWS($1:21)),))</f>
        <v>42563</v>
      </c>
      <c r="B31" s="807" t="str">
        <f ca="1">IF(ROWS($1:21)&gt;COUNT(Dong6),"",OFFSET(TH!D$1,SMALL(Dong6,ROWS($1:21)),))</f>
        <v>CTGS</v>
      </c>
      <c r="C31" s="806">
        <f ca="1">IF(ROWS($1:21)&gt;COUNT(Dong6),"",OFFSET(TH!E$1,SMALL(Dong6,ROWS($1:21)),))</f>
        <v>42563</v>
      </c>
      <c r="D31" s="808" t="str">
        <f ca="1">IF(ROWS($1:21)&gt;COUNT(Dong6),"",OFFSET(TH!F$1,SMALL(Dong6,ROWS($1:21)),))</f>
        <v>Máy chap khe khổ 2m</v>
      </c>
      <c r="E31" s="807">
        <f t="shared" ca="1" si="0"/>
        <v>21</v>
      </c>
      <c r="F31" s="809" t="str">
        <f ca="1">IF(ROWS($1:21)&gt;COUNT(Dong6),"",OFFSET(TH!L$1,SMALL(Dong6,ROWS($1:21)),))</f>
        <v>2112</v>
      </c>
      <c r="G31" s="809" t="str">
        <f ca="1">IF(ROWS($1:21)&gt;COUNT(Dong6),"",OFFSET(TH!M$1,SMALL(Dong6,ROWS($1:21)),))</f>
        <v>331</v>
      </c>
      <c r="H31" s="706">
        <f ca="1">IF(ROWS($1:21)&gt;COUNT(Dong6),"",OFFSET(TH!K$1,SMALL(Dong6,ROWS($1:21)),))</f>
        <v>15000000</v>
      </c>
      <c r="I31" s="706">
        <f ca="1">IF(ROWS($1:21)&gt;COUNT(Dong6),"",OFFSET(TH!K$1,SMALL(Dong6,ROWS($1:21)),))</f>
        <v>15000000</v>
      </c>
    </row>
    <row r="32" spans="1:9" s="798" customFormat="1" ht="21" customHeight="1">
      <c r="A32" s="806">
        <f ca="1">IF(ROWS($1:22)&gt;COUNT(Dong6),"",OFFSET(TH!C$1,SMALL(Dong6,ROWS($1:22)),))</f>
        <v>42563</v>
      </c>
      <c r="B32" s="807" t="str">
        <f ca="1">IF(ROWS($1:22)&gt;COUNT(Dong6),"",OFFSET(TH!D$1,SMALL(Dong6,ROWS($1:22)),))</f>
        <v>CTGS</v>
      </c>
      <c r="C32" s="806">
        <f ca="1">IF(ROWS($1:22)&gt;COUNT(Dong6),"",OFFSET(TH!E$1,SMALL(Dong6,ROWS($1:22)),))</f>
        <v>42563</v>
      </c>
      <c r="D32" s="808" t="str">
        <f ca="1">IF(ROWS($1:22)&gt;COUNT(Dong6),"",OFFSET(TH!F$1,SMALL(Dong6,ROWS($1:22)),))</f>
        <v>Máy đóng kẽm</v>
      </c>
      <c r="E32" s="807">
        <f t="shared" ca="1" si="0"/>
        <v>22</v>
      </c>
      <c r="F32" s="809" t="str">
        <f ca="1">IF(ROWS($1:22)&gt;COUNT(Dong6),"",OFFSET(TH!L$1,SMALL(Dong6,ROWS($1:22)),))</f>
        <v>2112</v>
      </c>
      <c r="G32" s="809" t="str">
        <f ca="1">IF(ROWS($1:22)&gt;COUNT(Dong6),"",OFFSET(TH!M$1,SMALL(Dong6,ROWS($1:22)),))</f>
        <v>331</v>
      </c>
      <c r="H32" s="706">
        <f ca="1">IF(ROWS($1:22)&gt;COUNT(Dong6),"",OFFSET(TH!K$1,SMALL(Dong6,ROWS($1:22)),))</f>
        <v>25000000</v>
      </c>
      <c r="I32" s="706">
        <f ca="1">IF(ROWS($1:22)&gt;COUNT(Dong6),"",OFFSET(TH!K$1,SMALL(Dong6,ROWS($1:22)),))</f>
        <v>25000000</v>
      </c>
    </row>
    <row r="33" spans="1:9" s="798" customFormat="1" ht="21" customHeight="1">
      <c r="A33" s="806">
        <f ca="1">IF(ROWS($1:23)&gt;COUNT(Dong6),"",OFFSET(TH!C$1,SMALL(Dong6,ROWS($1:23)),))</f>
        <v>42563</v>
      </c>
      <c r="B33" s="807" t="str">
        <f ca="1">IF(ROWS($1:23)&gt;COUNT(Dong6),"",OFFSET(TH!D$1,SMALL(Dong6,ROWS($1:23)),))</f>
        <v>CTGS</v>
      </c>
      <c r="C33" s="806">
        <f ca="1">IF(ROWS($1:23)&gt;COUNT(Dong6),"",OFFSET(TH!E$1,SMALL(Dong6,ROWS($1:23)),))</f>
        <v>42563</v>
      </c>
      <c r="D33" s="808" t="str">
        <f ca="1">IF(ROWS($1:23)&gt;COUNT(Dong6),"",OFFSET(TH!F$1,SMALL(Dong6,ROWS($1:23)),))</f>
        <v>Máy In</v>
      </c>
      <c r="E33" s="807">
        <f t="shared" ca="1" si="0"/>
        <v>23</v>
      </c>
      <c r="F33" s="809" t="str">
        <f ca="1">IF(ROWS($1:23)&gt;COUNT(Dong6),"",OFFSET(TH!L$1,SMALL(Dong6,ROWS($1:23)),))</f>
        <v>2112</v>
      </c>
      <c r="G33" s="809" t="str">
        <f ca="1">IF(ROWS($1:23)&gt;COUNT(Dong6),"",OFFSET(TH!M$1,SMALL(Dong6,ROWS($1:23)),))</f>
        <v>331</v>
      </c>
      <c r="H33" s="706">
        <f ca="1">IF(ROWS($1:23)&gt;COUNT(Dong6),"",OFFSET(TH!K$1,SMALL(Dong6,ROWS($1:23)),))</f>
        <v>300000000</v>
      </c>
      <c r="I33" s="706">
        <f ca="1">IF(ROWS($1:23)&gt;COUNT(Dong6),"",OFFSET(TH!K$1,SMALL(Dong6,ROWS($1:23)),))</f>
        <v>300000000</v>
      </c>
    </row>
    <row r="34" spans="1:9" s="798" customFormat="1" ht="21" customHeight="1">
      <c r="A34" s="806">
        <f ca="1">IF(ROWS($1:24)&gt;COUNT(Dong6),"",OFFSET(TH!C$1,SMALL(Dong6,ROWS($1:24)),))</f>
        <v>42563</v>
      </c>
      <c r="B34" s="807" t="str">
        <f ca="1">IF(ROWS($1:24)&gt;COUNT(Dong6),"",OFFSET(TH!D$1,SMALL(Dong6,ROWS($1:24)),))</f>
        <v>CTGS</v>
      </c>
      <c r="C34" s="806">
        <f ca="1">IF(ROWS($1:24)&gt;COUNT(Dong6),"",OFFSET(TH!E$1,SMALL(Dong6,ROWS($1:24)),))</f>
        <v>42563</v>
      </c>
      <c r="D34" s="808" t="str">
        <f ca="1">IF(ROWS($1:24)&gt;COUNT(Dong6),"",OFFSET(TH!F$1,SMALL(Dong6,ROWS($1:24)),))</f>
        <v>Máy sóng giấy carton đầu 5 lớp</v>
      </c>
      <c r="E34" s="807">
        <f t="shared" ca="1" si="0"/>
        <v>24</v>
      </c>
      <c r="F34" s="809" t="str">
        <f ca="1">IF(ROWS($1:24)&gt;COUNT(Dong6),"",OFFSET(TH!L$1,SMALL(Dong6,ROWS($1:24)),))</f>
        <v>2112</v>
      </c>
      <c r="G34" s="809" t="str">
        <f ca="1">IF(ROWS($1:24)&gt;COUNT(Dong6),"",OFFSET(TH!M$1,SMALL(Dong6,ROWS($1:24)),))</f>
        <v>331</v>
      </c>
      <c r="H34" s="706">
        <f ca="1">IF(ROWS($1:24)&gt;COUNT(Dong6),"",OFFSET(TH!K$1,SMALL(Dong6,ROWS($1:24)),))</f>
        <v>500000000</v>
      </c>
      <c r="I34" s="706">
        <f ca="1">IF(ROWS($1:24)&gt;COUNT(Dong6),"",OFFSET(TH!K$1,SMALL(Dong6,ROWS($1:24)),))</f>
        <v>500000000</v>
      </c>
    </row>
    <row r="35" spans="1:9" s="798" customFormat="1" ht="21" customHeight="1">
      <c r="A35" s="806">
        <f ca="1">IF(ROWS($1:25)&gt;COUNT(Dong6),"",OFFSET(TH!C$1,SMALL(Dong6,ROWS($1:25)),))</f>
        <v>42563</v>
      </c>
      <c r="B35" s="807" t="str">
        <f ca="1">IF(ROWS($1:25)&gt;COUNT(Dong6),"",OFFSET(TH!D$1,SMALL(Dong6,ROWS($1:25)),))</f>
        <v>CTGS</v>
      </c>
      <c r="C35" s="806">
        <f ca="1">IF(ROWS($1:25)&gt;COUNT(Dong6),"",OFFSET(TH!E$1,SMALL(Dong6,ROWS($1:25)),))</f>
        <v>42563</v>
      </c>
      <c r="D35" s="808" t="str">
        <f ca="1">IF(ROWS($1:25)&gt;COUNT(Dong6),"",OFFSET(TH!F$1,SMALL(Dong6,ROWS($1:25)),))</f>
        <v>VAT máy móc tiết bị</v>
      </c>
      <c r="E35" s="807">
        <f t="shared" ca="1" si="0"/>
        <v>25</v>
      </c>
      <c r="F35" s="809" t="str">
        <f ca="1">IF(ROWS($1:25)&gt;COUNT(Dong6),"",OFFSET(TH!L$1,SMALL(Dong6,ROWS($1:25)),))</f>
        <v>1331</v>
      </c>
      <c r="G35" s="809" t="str">
        <f ca="1">IF(ROWS($1:25)&gt;COUNT(Dong6),"",OFFSET(TH!M$1,SMALL(Dong6,ROWS($1:25)),))</f>
        <v>331</v>
      </c>
      <c r="H35" s="706">
        <f ca="1">IF(ROWS($1:25)&gt;COUNT(Dong6),"",OFFSET(TH!K$1,SMALL(Dong6,ROWS($1:25)),))</f>
        <v>84000000</v>
      </c>
      <c r="I35" s="706">
        <f ca="1">IF(ROWS($1:25)&gt;COUNT(Dong6),"",OFFSET(TH!K$1,SMALL(Dong6,ROWS($1:25)),))</f>
        <v>84000000</v>
      </c>
    </row>
    <row r="36" spans="1:9" s="798" customFormat="1" ht="21" customHeight="1">
      <c r="A36" s="806">
        <f ca="1">IF(ROWS($1:26)&gt;COUNT(Dong6),"",OFFSET(TH!C$1,SMALL(Dong6,ROWS($1:26)),))</f>
        <v>42566</v>
      </c>
      <c r="B36" s="807" t="str">
        <f ca="1">IF(ROWS($1:26)&gt;COUNT(Dong6),"",OFFSET(TH!D$1,SMALL(Dong6,ROWS($1:26)),))</f>
        <v>C02</v>
      </c>
      <c r="C36" s="806">
        <f ca="1">IF(ROWS($1:26)&gt;COUNT(Dong6),"",OFFSET(TH!E$1,SMALL(Dong6,ROWS($1:26)),))</f>
        <v>42566</v>
      </c>
      <c r="D36" s="808" t="str">
        <f ca="1">IF(ROWS($1:26)&gt;COUNT(Dong6),"",OFFSET(TH!F$1,SMALL(Dong6,ROWS($1:26)),))</f>
        <v>Dầu Do</v>
      </c>
      <c r="E36" s="807">
        <f t="shared" ca="1" si="0"/>
        <v>26</v>
      </c>
      <c r="F36" s="809" t="str">
        <f ca="1">IF(ROWS($1:26)&gt;COUNT(Dong6),"",OFFSET(TH!L$1,SMALL(Dong6,ROWS($1:26)),))</f>
        <v>641</v>
      </c>
      <c r="G36" s="809" t="str">
        <f ca="1">IF(ROWS($1:26)&gt;COUNT(Dong6),"",OFFSET(TH!M$1,SMALL(Dong6,ROWS($1:26)),))</f>
        <v>1111</v>
      </c>
      <c r="H36" s="706">
        <f ca="1">IF(ROWS($1:26)&gt;COUNT(Dong6),"",OFFSET(TH!K$1,SMALL(Dong6,ROWS($1:26)),))</f>
        <v>1454545</v>
      </c>
      <c r="I36" s="706">
        <f ca="1">IF(ROWS($1:26)&gt;COUNT(Dong6),"",OFFSET(TH!K$1,SMALL(Dong6,ROWS($1:26)),))</f>
        <v>1454545</v>
      </c>
    </row>
    <row r="37" spans="1:9" s="798" customFormat="1" ht="21" customHeight="1">
      <c r="A37" s="806">
        <f ca="1">IF(ROWS($1:27)&gt;COUNT(Dong6),"",OFFSET(TH!C$1,SMALL(Dong6,ROWS($1:27)),))</f>
        <v>42566</v>
      </c>
      <c r="B37" s="807" t="str">
        <f ca="1">IF(ROWS($1:27)&gt;COUNT(Dong6),"",OFFSET(TH!D$1,SMALL(Dong6,ROWS($1:27)),))</f>
        <v>C02</v>
      </c>
      <c r="C37" s="806">
        <f ca="1">IF(ROWS($1:27)&gt;COUNT(Dong6),"",OFFSET(TH!E$1,SMALL(Dong6,ROWS($1:27)),))</f>
        <v>42566</v>
      </c>
      <c r="D37" s="808" t="str">
        <f ca="1">IF(ROWS($1:27)&gt;COUNT(Dong6),"",OFFSET(TH!F$1,SMALL(Dong6,ROWS($1:27)),))</f>
        <v>VAT Dầu Do</v>
      </c>
      <c r="E37" s="807">
        <f t="shared" ca="1" si="0"/>
        <v>27</v>
      </c>
      <c r="F37" s="809" t="str">
        <f ca="1">IF(ROWS($1:27)&gt;COUNT(Dong6),"",OFFSET(TH!L$1,SMALL(Dong6,ROWS($1:27)),))</f>
        <v>1331</v>
      </c>
      <c r="G37" s="809" t="str">
        <f ca="1">IF(ROWS($1:27)&gt;COUNT(Dong6),"",OFFSET(TH!M$1,SMALL(Dong6,ROWS($1:27)),))</f>
        <v>1111</v>
      </c>
      <c r="H37" s="706">
        <f ca="1">IF(ROWS($1:27)&gt;COUNT(Dong6),"",OFFSET(TH!K$1,SMALL(Dong6,ROWS($1:27)),))</f>
        <v>145455</v>
      </c>
      <c r="I37" s="706">
        <f ca="1">IF(ROWS($1:27)&gt;COUNT(Dong6),"",OFFSET(TH!K$1,SMALL(Dong6,ROWS($1:27)),))</f>
        <v>145455</v>
      </c>
    </row>
    <row r="38" spans="1:9" s="798" customFormat="1" ht="21" customHeight="1">
      <c r="A38" s="806">
        <f ca="1">IF(ROWS($1:28)&gt;COUNT(Dong6),"",OFFSET(TH!C$1,SMALL(Dong6,ROWS($1:28)),))</f>
        <v>42576</v>
      </c>
      <c r="B38" s="807" t="str">
        <f ca="1">IF(ROWS($1:28)&gt;COUNT(Dong6),"",OFFSET(TH!D$1,SMALL(Dong6,ROWS($1:28)),))</f>
        <v>GBN</v>
      </c>
      <c r="C38" s="806">
        <f ca="1">IF(ROWS($1:28)&gt;COUNT(Dong6),"",OFFSET(TH!E$1,SMALL(Dong6,ROWS($1:28)),))</f>
        <v>42576</v>
      </c>
      <c r="D38" s="808" t="str">
        <f ca="1">IF(ROWS($1:28)&gt;COUNT(Dong6),"",OFFSET(TH!F$1,SMALL(Dong6,ROWS($1:28)),))</f>
        <v>Lãi tiền gửi</v>
      </c>
      <c r="E38" s="807">
        <f t="shared" ca="1" si="0"/>
        <v>28</v>
      </c>
      <c r="F38" s="809" t="str">
        <f ca="1">IF(ROWS($1:28)&gt;COUNT(Dong6),"",OFFSET(TH!L$1,SMALL(Dong6,ROWS($1:28)),))</f>
        <v>1121</v>
      </c>
      <c r="G38" s="809" t="str">
        <f ca="1">IF(ROWS($1:28)&gt;COUNT(Dong6),"",OFFSET(TH!M$1,SMALL(Dong6,ROWS($1:28)),))</f>
        <v>515</v>
      </c>
      <c r="H38" s="706">
        <f ca="1">IF(ROWS($1:28)&gt;COUNT(Dong6),"",OFFSET(TH!K$1,SMALL(Dong6,ROWS($1:28)),))</f>
        <v>1428</v>
      </c>
      <c r="I38" s="706">
        <f ca="1">IF(ROWS($1:28)&gt;COUNT(Dong6),"",OFFSET(TH!K$1,SMALL(Dong6,ROWS($1:28)),))</f>
        <v>1428</v>
      </c>
    </row>
    <row r="39" spans="1:9" s="798" customFormat="1" ht="21" customHeight="1">
      <c r="A39" s="806">
        <f ca="1">IF(ROWS($1:29)&gt;COUNT(Dong6),"",OFFSET(TH!C$1,SMALL(Dong6,ROWS($1:29)),))</f>
        <v>42576</v>
      </c>
      <c r="B39" s="807" t="str">
        <f ca="1">IF(ROWS($1:29)&gt;COUNT(Dong6),"",OFFSET(TH!D$1,SMALL(Dong6,ROWS($1:29)),))</f>
        <v>GBN</v>
      </c>
      <c r="C39" s="806">
        <f ca="1">IF(ROWS($1:29)&gt;COUNT(Dong6),"",OFFSET(TH!E$1,SMALL(Dong6,ROWS($1:29)),))</f>
        <v>42576</v>
      </c>
      <c r="D39" s="808" t="str">
        <f ca="1">IF(ROWS($1:29)&gt;COUNT(Dong6),"",OFFSET(TH!F$1,SMALL(Dong6,ROWS($1:29)),))</f>
        <v>Phí quản lý tài khoản</v>
      </c>
      <c r="E39" s="807">
        <f t="shared" ca="1" si="0"/>
        <v>29</v>
      </c>
      <c r="F39" s="809" t="str">
        <f ca="1">IF(ROWS($1:29)&gt;COUNT(Dong6),"",OFFSET(TH!L$1,SMALL(Dong6,ROWS($1:29)),))</f>
        <v>642</v>
      </c>
      <c r="G39" s="809" t="str">
        <f ca="1">IF(ROWS($1:29)&gt;COUNT(Dong6),"",OFFSET(TH!M$1,SMALL(Dong6,ROWS($1:29)),))</f>
        <v>1121</v>
      </c>
      <c r="H39" s="706">
        <f ca="1">IF(ROWS($1:29)&gt;COUNT(Dong6),"",OFFSET(TH!K$1,SMALL(Dong6,ROWS($1:29)),))</f>
        <v>10000</v>
      </c>
      <c r="I39" s="706">
        <f ca="1">IF(ROWS($1:29)&gt;COUNT(Dong6),"",OFFSET(TH!K$1,SMALL(Dong6,ROWS($1:29)),))</f>
        <v>10000</v>
      </c>
    </row>
    <row r="40" spans="1:9" s="798" customFormat="1" ht="21" customHeight="1">
      <c r="A40" s="806">
        <f ca="1">IF(ROWS($1:30)&gt;COUNT(Dong6),"",OFFSET(TH!C$1,SMALL(Dong6,ROWS($1:30)),))</f>
        <v>42576</v>
      </c>
      <c r="B40" s="807" t="str">
        <f ca="1">IF(ROWS($1:30)&gt;COUNT(Dong6),"",OFFSET(TH!D$1,SMALL(Dong6,ROWS($1:30)),))</f>
        <v>GBN</v>
      </c>
      <c r="C40" s="806">
        <f ca="1">IF(ROWS($1:30)&gt;COUNT(Dong6),"",OFFSET(TH!E$1,SMALL(Dong6,ROWS($1:30)),))</f>
        <v>42576</v>
      </c>
      <c r="D40" s="808" t="str">
        <f ca="1">IF(ROWS($1:30)&gt;COUNT(Dong6),"",OFFSET(TH!F$1,SMALL(Dong6,ROWS($1:30)),))</f>
        <v>VAT Phí quản lý tài khoản</v>
      </c>
      <c r="E40" s="807">
        <f t="shared" ca="1" si="0"/>
        <v>30</v>
      </c>
      <c r="F40" s="809" t="str">
        <f ca="1">IF(ROWS($1:30)&gt;COUNT(Dong6),"",OFFSET(TH!L$1,SMALL(Dong6,ROWS($1:30)),))</f>
        <v>1331</v>
      </c>
      <c r="G40" s="809" t="str">
        <f ca="1">IF(ROWS($1:30)&gt;COUNT(Dong6),"",OFFSET(TH!M$1,SMALL(Dong6,ROWS($1:30)),))</f>
        <v>1121</v>
      </c>
      <c r="H40" s="706">
        <f ca="1">IF(ROWS($1:30)&gt;COUNT(Dong6),"",OFFSET(TH!K$1,SMALL(Dong6,ROWS($1:30)),))</f>
        <v>1000</v>
      </c>
      <c r="I40" s="706">
        <f ca="1">IF(ROWS($1:30)&gt;COUNT(Dong6),"",OFFSET(TH!K$1,SMALL(Dong6,ROWS($1:30)),))</f>
        <v>1000</v>
      </c>
    </row>
    <row r="41" spans="1:9" s="798" customFormat="1" ht="21" customHeight="1">
      <c r="A41" s="806">
        <f ca="1">IF(ROWS($1:31)&gt;COUNT(Dong6),"",OFFSET(TH!C$1,SMALL(Dong6,ROWS($1:31)),))</f>
        <v>42579</v>
      </c>
      <c r="B41" s="807" t="str">
        <f ca="1">IF(ROWS($1:31)&gt;COUNT(Dong6),"",OFFSET(TH!D$1,SMALL(Dong6,ROWS($1:31)),))</f>
        <v>GBC</v>
      </c>
      <c r="C41" s="806">
        <f ca="1">IF(ROWS($1:31)&gt;COUNT(Dong6),"",OFFSET(TH!E$1,SMALL(Dong6,ROWS($1:31)),))</f>
        <v>42579</v>
      </c>
      <c r="D41" s="808" t="str">
        <f ca="1">IF(ROWS($1:31)&gt;COUNT(Dong6),"",OFFSET(TH!F$1,SMALL(Dong6,ROWS($1:31)),))</f>
        <v>Thu tiền hàng</v>
      </c>
      <c r="E41" s="807">
        <f t="shared" ref="E41:E50" ca="1" si="1">IF(D41&lt;&gt;"",ROW()-10,"")</f>
        <v>31</v>
      </c>
      <c r="F41" s="809" t="str">
        <f ca="1">IF(ROWS($1:31)&gt;COUNT(Dong6),"",OFFSET(TH!L$1,SMALL(Dong6,ROWS($1:31)),))</f>
        <v>1121</v>
      </c>
      <c r="G41" s="809" t="str">
        <f ca="1">IF(ROWS($1:31)&gt;COUNT(Dong6),"",OFFSET(TH!M$1,SMALL(Dong6,ROWS($1:31)),))</f>
        <v>131</v>
      </c>
      <c r="H41" s="706">
        <f ca="1">IF(ROWS($1:31)&gt;COUNT(Dong6),"",OFFSET(TH!K$1,SMALL(Dong6,ROWS($1:31)),))</f>
        <v>14300000</v>
      </c>
      <c r="I41" s="706">
        <f ca="1">IF(ROWS($1:31)&gt;COUNT(Dong6),"",OFFSET(TH!K$1,SMALL(Dong6,ROWS($1:31)),))</f>
        <v>14300000</v>
      </c>
    </row>
    <row r="42" spans="1:9" s="798" customFormat="1" ht="21" customHeight="1">
      <c r="A42" s="806">
        <f ca="1">IF(ROWS($1:32)&gt;COUNT(Dong6),"",OFFSET(TH!C$1,SMALL(Dong6,ROWS($1:32)),))</f>
        <v>42580</v>
      </c>
      <c r="B42" s="807" t="str">
        <f ca="1">IF(ROWS($1:32)&gt;COUNT(Dong6),"",OFFSET(TH!D$1,SMALL(Dong6,ROWS($1:32)),))</f>
        <v>NL/N05</v>
      </c>
      <c r="C42" s="806">
        <f ca="1">IF(ROWS($1:32)&gt;COUNT(Dong6),"",OFFSET(TH!E$1,SMALL(Dong6,ROWS($1:32)),))</f>
        <v>42580</v>
      </c>
      <c r="D42" s="808" t="str">
        <f ca="1">IF(ROWS($1:32)&gt;COUNT(Dong6),"",OFFSET(TH!F$1,SMALL(Dong6,ROWS($1:32)),))</f>
        <v>Giấy cuộn xeo</v>
      </c>
      <c r="E42" s="807">
        <f t="shared" ca="1" si="1"/>
        <v>32</v>
      </c>
      <c r="F42" s="809" t="str">
        <f ca="1">IF(ROWS($1:32)&gt;COUNT(Dong6),"",OFFSET(TH!L$1,SMALL(Dong6,ROWS($1:32)),))</f>
        <v>1521</v>
      </c>
      <c r="G42" s="809" t="str">
        <f ca="1">IF(ROWS($1:32)&gt;COUNT(Dong6),"",OFFSET(TH!M$1,SMALL(Dong6,ROWS($1:32)),))</f>
        <v>331</v>
      </c>
      <c r="H42" s="706">
        <f ca="1">IF(ROWS($1:32)&gt;COUNT(Dong6),"",OFFSET(TH!K$1,SMALL(Dong6,ROWS($1:32)),))</f>
        <v>58945600</v>
      </c>
      <c r="I42" s="706">
        <f ca="1">IF(ROWS($1:32)&gt;COUNT(Dong6),"",OFFSET(TH!K$1,SMALL(Dong6,ROWS($1:32)),))</f>
        <v>58945600</v>
      </c>
    </row>
    <row r="43" spans="1:9" s="798" customFormat="1" ht="21" customHeight="1">
      <c r="A43" s="806">
        <f ca="1">IF(ROWS($1:33)&gt;COUNT(Dong6),"",OFFSET(TH!C$1,SMALL(Dong6,ROWS($1:33)),))</f>
        <v>42580</v>
      </c>
      <c r="B43" s="807" t="str">
        <f ca="1">IF(ROWS($1:33)&gt;COUNT(Dong6),"",OFFSET(TH!D$1,SMALL(Dong6,ROWS($1:33)),))</f>
        <v>NL/N05</v>
      </c>
      <c r="C43" s="806">
        <f ca="1">IF(ROWS($1:33)&gt;COUNT(Dong6),"",OFFSET(TH!E$1,SMALL(Dong6,ROWS($1:33)),))</f>
        <v>42580</v>
      </c>
      <c r="D43" s="808" t="str">
        <f ca="1">IF(ROWS($1:33)&gt;COUNT(Dong6),"",OFFSET(TH!F$1,SMALL(Dong6,ROWS($1:33)),))</f>
        <v>Giấy nâu gia keo</v>
      </c>
      <c r="E43" s="807">
        <f t="shared" ca="1" si="1"/>
        <v>33</v>
      </c>
      <c r="F43" s="809" t="str">
        <f ca="1">IF(ROWS($1:33)&gt;COUNT(Dong6),"",OFFSET(TH!L$1,SMALL(Dong6,ROWS($1:33)),))</f>
        <v>1521</v>
      </c>
      <c r="G43" s="809" t="str">
        <f ca="1">IF(ROWS($1:33)&gt;COUNT(Dong6),"",OFFSET(TH!M$1,SMALL(Dong6,ROWS($1:33)),))</f>
        <v>331</v>
      </c>
      <c r="H43" s="706">
        <f ca="1">IF(ROWS($1:33)&gt;COUNT(Dong6),"",OFFSET(TH!K$1,SMALL(Dong6,ROWS($1:33)),))</f>
        <v>37584700</v>
      </c>
      <c r="I43" s="706">
        <f ca="1">IF(ROWS($1:33)&gt;COUNT(Dong6),"",OFFSET(TH!K$1,SMALL(Dong6,ROWS($1:33)),))</f>
        <v>37584700</v>
      </c>
    </row>
    <row r="44" spans="1:9" s="798" customFormat="1" ht="21" customHeight="1">
      <c r="A44" s="806">
        <f ca="1">IF(ROWS($1:34)&gt;COUNT(Dong6),"",OFFSET(TH!C$1,SMALL(Dong6,ROWS($1:34)),))</f>
        <v>42580</v>
      </c>
      <c r="B44" s="807" t="str">
        <f ca="1">IF(ROWS($1:34)&gt;COUNT(Dong6),"",OFFSET(TH!D$1,SMALL(Dong6,ROWS($1:34)),))</f>
        <v>NL/N05</v>
      </c>
      <c r="C44" s="806">
        <f ca="1">IF(ROWS($1:34)&gt;COUNT(Dong6),"",OFFSET(TH!E$1,SMALL(Dong6,ROWS($1:34)),))</f>
        <v>42580</v>
      </c>
      <c r="D44" s="808" t="str">
        <f ca="1">IF(ROWS($1:34)&gt;COUNT(Dong6),"",OFFSET(TH!F$1,SMALL(Dong6,ROWS($1:34)),))</f>
        <v>Giấy xeo gia keo chống thấm</v>
      </c>
      <c r="E44" s="807">
        <f t="shared" ca="1" si="1"/>
        <v>34</v>
      </c>
      <c r="F44" s="809" t="str">
        <f ca="1">IF(ROWS($1:34)&gt;COUNT(Dong6),"",OFFSET(TH!L$1,SMALL(Dong6,ROWS($1:34)),))</f>
        <v>1521</v>
      </c>
      <c r="G44" s="809" t="str">
        <f ca="1">IF(ROWS($1:34)&gt;COUNT(Dong6),"",OFFSET(TH!M$1,SMALL(Dong6,ROWS($1:34)),))</f>
        <v>331</v>
      </c>
      <c r="H44" s="706">
        <f ca="1">IF(ROWS($1:34)&gt;COUNT(Dong6),"",OFFSET(TH!K$1,SMALL(Dong6,ROWS($1:34)),))</f>
        <v>58488500</v>
      </c>
      <c r="I44" s="706">
        <f ca="1">IF(ROWS($1:34)&gt;COUNT(Dong6),"",OFFSET(TH!K$1,SMALL(Dong6,ROWS($1:34)),))</f>
        <v>58488500</v>
      </c>
    </row>
    <row r="45" spans="1:9" s="798" customFormat="1" ht="21" customHeight="1">
      <c r="A45" s="806">
        <f ca="1">IF(ROWS($1:35)&gt;COUNT(Dong6),"",OFFSET(TH!C$1,SMALL(Dong6,ROWS($1:35)),))</f>
        <v>42580</v>
      </c>
      <c r="B45" s="807" t="str">
        <f ca="1">IF(ROWS($1:35)&gt;COUNT(Dong6),"",OFFSET(TH!D$1,SMALL(Dong6,ROWS($1:35)),))</f>
        <v>NL/N05</v>
      </c>
      <c r="C45" s="806">
        <f ca="1">IF(ROWS($1:35)&gt;COUNT(Dong6),"",OFFSET(TH!E$1,SMALL(Dong6,ROWS($1:35)),))</f>
        <v>42580</v>
      </c>
      <c r="D45" s="808" t="str">
        <f ca="1">IF(ROWS($1:35)&gt;COUNT(Dong6),"",OFFSET(TH!F$1,SMALL(Dong6,ROWS($1:35)),))</f>
        <v>VAT Giấy màu vàng, xeo gia keo chống thấm</v>
      </c>
      <c r="E45" s="807">
        <f t="shared" ca="1" si="1"/>
        <v>35</v>
      </c>
      <c r="F45" s="809" t="str">
        <f ca="1">IF(ROWS($1:35)&gt;COUNT(Dong6),"",OFFSET(TH!L$1,SMALL(Dong6,ROWS($1:35)),))</f>
        <v>1331</v>
      </c>
      <c r="G45" s="809" t="str">
        <f ca="1">IF(ROWS($1:35)&gt;COUNT(Dong6),"",OFFSET(TH!M$1,SMALL(Dong6,ROWS($1:35)),))</f>
        <v>331</v>
      </c>
      <c r="H45" s="706">
        <f ca="1">IF(ROWS($1:35)&gt;COUNT(Dong6),"",OFFSET(TH!K$1,SMALL(Dong6,ROWS($1:35)),))</f>
        <v>15501880</v>
      </c>
      <c r="I45" s="706">
        <f ca="1">IF(ROWS($1:35)&gt;COUNT(Dong6),"",OFFSET(TH!K$1,SMALL(Dong6,ROWS($1:35)),))</f>
        <v>15501880</v>
      </c>
    </row>
    <row r="46" spans="1:9" s="798" customFormat="1" ht="21" customHeight="1">
      <c r="A46" s="806">
        <f ca="1">IF(ROWS($1:36)&gt;COUNT(Dong6),"",OFFSET(TH!C$1,SMALL(Dong6,ROWS($1:36)),))</f>
        <v>42580</v>
      </c>
      <c r="B46" s="807" t="str">
        <f ca="1">IF(ROWS($1:36)&gt;COUNT(Dong6),"",OFFSET(TH!D$1,SMALL(Dong6,ROWS($1:36)),))</f>
        <v>T01</v>
      </c>
      <c r="C46" s="806">
        <f ca="1">IF(ROWS($1:36)&gt;COUNT(Dong6),"",OFFSET(TH!E$1,SMALL(Dong6,ROWS($1:36)),))</f>
        <v>42580</v>
      </c>
      <c r="D46" s="808" t="str">
        <f ca="1">IF(ROWS($1:36)&gt;COUNT(Dong6),"",OFFSET(TH!F$1,SMALL(Dong6,ROWS($1:36)),))</f>
        <v>Rút tiền mặt</v>
      </c>
      <c r="E46" s="807">
        <f t="shared" ca="1" si="1"/>
        <v>36</v>
      </c>
      <c r="F46" s="809" t="str">
        <f ca="1">IF(ROWS($1:36)&gt;COUNT(Dong6),"",OFFSET(TH!L$1,SMALL(Dong6,ROWS($1:36)),))</f>
        <v>1111</v>
      </c>
      <c r="G46" s="809" t="str">
        <f ca="1">IF(ROWS($1:36)&gt;COUNT(Dong6),"",OFFSET(TH!M$1,SMALL(Dong6,ROWS($1:36)),))</f>
        <v>1121</v>
      </c>
      <c r="H46" s="706">
        <f ca="1">IF(ROWS($1:36)&gt;COUNT(Dong6),"",OFFSET(TH!K$1,SMALL(Dong6,ROWS($1:36)),))</f>
        <v>15000000</v>
      </c>
      <c r="I46" s="706">
        <f ca="1">IF(ROWS($1:36)&gt;COUNT(Dong6),"",OFFSET(TH!K$1,SMALL(Dong6,ROWS($1:36)),))</f>
        <v>15000000</v>
      </c>
    </row>
    <row r="47" spans="1:9" s="798" customFormat="1" ht="21" customHeight="1">
      <c r="A47" s="806">
        <f ca="1">IF(ROWS($1:37)&gt;COUNT(Dong6),"",OFFSET(TH!C$1,SMALL(Dong6,ROWS($1:37)),))</f>
        <v>42580</v>
      </c>
      <c r="B47" s="807" t="str">
        <f ca="1">IF(ROWS($1:37)&gt;COUNT(Dong6),"",OFFSET(TH!D$1,SMALL(Dong6,ROWS($1:37)),))</f>
        <v>GBC</v>
      </c>
      <c r="C47" s="806">
        <f ca="1">IF(ROWS($1:37)&gt;COUNT(Dong6),"",OFFSET(TH!E$1,SMALL(Dong6,ROWS($1:37)),))</f>
        <v>42580</v>
      </c>
      <c r="D47" s="808" t="str">
        <f ca="1">IF(ROWS($1:37)&gt;COUNT(Dong6),"",OFFSET(TH!F$1,SMALL(Dong6,ROWS($1:37)),))</f>
        <v>Thu tiền hàng</v>
      </c>
      <c r="E47" s="807">
        <f t="shared" ca="1" si="1"/>
        <v>37</v>
      </c>
      <c r="F47" s="809" t="str">
        <f ca="1">IF(ROWS($1:37)&gt;COUNT(Dong6),"",OFFSET(TH!L$1,SMALL(Dong6,ROWS($1:37)),))</f>
        <v>1121</v>
      </c>
      <c r="G47" s="809" t="str">
        <f ca="1">IF(ROWS($1:37)&gt;COUNT(Dong6),"",OFFSET(TH!M$1,SMALL(Dong6,ROWS($1:37)),))</f>
        <v>131</v>
      </c>
      <c r="H47" s="706">
        <f ca="1">IF(ROWS($1:37)&gt;COUNT(Dong6),"",OFFSET(TH!K$1,SMALL(Dong6,ROWS($1:37)),))</f>
        <v>25674000</v>
      </c>
      <c r="I47" s="706">
        <f ca="1">IF(ROWS($1:37)&gt;COUNT(Dong6),"",OFFSET(TH!K$1,SMALL(Dong6,ROWS($1:37)),))</f>
        <v>25674000</v>
      </c>
    </row>
    <row r="48" spans="1:9" s="798" customFormat="1" ht="21" customHeight="1">
      <c r="A48" s="806">
        <f ca="1">IF(ROWS($1:38)&gt;COUNT(Dong6),"",OFFSET(TH!C$1,SMALL(Dong6,ROWS($1:38)),))</f>
        <v>42581</v>
      </c>
      <c r="B48" s="807" t="str">
        <f ca="1">IF(ROWS($1:38)&gt;COUNT(Dong6),"",OFFSET(TH!D$1,SMALL(Dong6,ROWS($1:38)),))</f>
        <v>C03</v>
      </c>
      <c r="C48" s="806">
        <f ca="1">IF(ROWS($1:38)&gt;COUNT(Dong6),"",OFFSET(TH!E$1,SMALL(Dong6,ROWS($1:38)),))</f>
        <v>42581</v>
      </c>
      <c r="D48" s="808" t="str">
        <f ca="1">IF(ROWS($1:38)&gt;COUNT(Dong6),"",OFFSET(TH!F$1,SMALL(Dong6,ROWS($1:38)),))</f>
        <v>Mực in</v>
      </c>
      <c r="E48" s="807">
        <f t="shared" ca="1" si="1"/>
        <v>38</v>
      </c>
      <c r="F48" s="809" t="str">
        <f ca="1">IF(ROWS($1:38)&gt;COUNT(Dong6),"",OFFSET(TH!L$1,SMALL(Dong6,ROWS($1:38)),))</f>
        <v>154</v>
      </c>
      <c r="G48" s="809" t="str">
        <f ca="1">IF(ROWS($1:38)&gt;COUNT(Dong6),"",OFFSET(TH!M$1,SMALL(Dong6,ROWS($1:38)),))</f>
        <v>1111</v>
      </c>
      <c r="H48" s="706">
        <f ca="1">IF(ROWS($1:38)&gt;COUNT(Dong6),"",OFFSET(TH!K$1,SMALL(Dong6,ROWS($1:38)),))</f>
        <v>6290000</v>
      </c>
      <c r="I48" s="706">
        <f ca="1">IF(ROWS($1:38)&gt;COUNT(Dong6),"",OFFSET(TH!K$1,SMALL(Dong6,ROWS($1:38)),))</f>
        <v>6290000</v>
      </c>
    </row>
    <row r="49" spans="1:10" s="798" customFormat="1" ht="21" customHeight="1">
      <c r="A49" s="806">
        <f ca="1">IF(ROWS($1:39)&gt;COUNT(Dong6),"",OFFSET(TH!C$1,SMALL(Dong6,ROWS($1:39)),))</f>
        <v>42581</v>
      </c>
      <c r="B49" s="807" t="str">
        <f ca="1">IF(ROWS($1:39)&gt;COUNT(Dong6),"",OFFSET(TH!D$1,SMALL(Dong6,ROWS($1:39)),))</f>
        <v>C03</v>
      </c>
      <c r="C49" s="806">
        <f ca="1">IF(ROWS($1:39)&gt;COUNT(Dong6),"",OFFSET(TH!E$1,SMALL(Dong6,ROWS($1:39)),))</f>
        <v>42581</v>
      </c>
      <c r="D49" s="808" t="str">
        <f ca="1">IF(ROWS($1:39)&gt;COUNT(Dong6),"",OFFSET(TH!F$1,SMALL(Dong6,ROWS($1:39)),))</f>
        <v>VAT Mực in</v>
      </c>
      <c r="E49" s="807">
        <f t="shared" ca="1" si="1"/>
        <v>39</v>
      </c>
      <c r="F49" s="809" t="str">
        <f ca="1">IF(ROWS($1:39)&gt;COUNT(Dong6),"",OFFSET(TH!L$1,SMALL(Dong6,ROWS($1:39)),))</f>
        <v>1331</v>
      </c>
      <c r="G49" s="809" t="str">
        <f ca="1">IF(ROWS($1:39)&gt;COUNT(Dong6),"",OFFSET(TH!M$1,SMALL(Dong6,ROWS($1:39)),))</f>
        <v>1111</v>
      </c>
      <c r="H49" s="706">
        <f ca="1">IF(ROWS($1:39)&gt;COUNT(Dong6),"",OFFSET(TH!K$1,SMALL(Dong6,ROWS($1:39)),))</f>
        <v>629000</v>
      </c>
      <c r="I49" s="706">
        <f ca="1">IF(ROWS($1:39)&gt;COUNT(Dong6),"",OFFSET(TH!K$1,SMALL(Dong6,ROWS($1:39)),))</f>
        <v>629000</v>
      </c>
    </row>
    <row r="50" spans="1:10" s="798" customFormat="1" ht="21" customHeight="1">
      <c r="A50" s="806">
        <f ca="1">IF(ROWS($1:40)&gt;COUNT(Dong6),"",OFFSET(TH!C$1,SMALL(Dong6,ROWS($1:40)),))</f>
        <v>42581</v>
      </c>
      <c r="B50" s="807" t="str">
        <f ca="1">IF(ROWS($1:40)&gt;COUNT(Dong6),"",OFFSET(TH!D$1,SMALL(Dong6,ROWS($1:40)),))</f>
        <v>C04</v>
      </c>
      <c r="C50" s="806">
        <f ca="1">IF(ROWS($1:40)&gt;COUNT(Dong6),"",OFFSET(TH!E$1,SMALL(Dong6,ROWS($1:40)),))</f>
        <v>42581</v>
      </c>
      <c r="D50" s="808" t="str">
        <f ca="1">IF(ROWS($1:40)&gt;COUNT(Dong6),"",OFFSET(TH!F$1,SMALL(Dong6,ROWS($1:40)),))</f>
        <v>Dầu Do</v>
      </c>
      <c r="E50" s="807">
        <f t="shared" ca="1" si="1"/>
        <v>40</v>
      </c>
      <c r="F50" s="809" t="str">
        <f ca="1">IF(ROWS($1:40)&gt;COUNT(Dong6),"",OFFSET(TH!L$1,SMALL(Dong6,ROWS($1:40)),))</f>
        <v>641</v>
      </c>
      <c r="G50" s="809" t="str">
        <f ca="1">IF(ROWS($1:40)&gt;COUNT(Dong6),"",OFFSET(TH!M$1,SMALL(Dong6,ROWS($1:40)),))</f>
        <v>1111</v>
      </c>
      <c r="H50" s="706">
        <f ca="1">IF(ROWS($1:40)&gt;COUNT(Dong6),"",OFFSET(TH!K$1,SMALL(Dong6,ROWS($1:40)),))</f>
        <v>2011090</v>
      </c>
      <c r="I50" s="706">
        <f ca="1">IF(ROWS($1:40)&gt;COUNT(Dong6),"",OFFSET(TH!K$1,SMALL(Dong6,ROWS($1:40)),))</f>
        <v>2011090</v>
      </c>
    </row>
    <row r="51" spans="1:10" s="798" customFormat="1" ht="21" customHeight="1">
      <c r="A51" s="806"/>
      <c r="B51" s="807"/>
      <c r="C51" s="806"/>
      <c r="D51" s="808"/>
      <c r="E51" s="807"/>
      <c r="F51" s="809"/>
      <c r="G51" s="809"/>
      <c r="H51" s="706"/>
      <c r="I51" s="706"/>
    </row>
    <row r="52" spans="1:10" s="798" customFormat="1" ht="21" customHeight="1">
      <c r="A52" s="810"/>
      <c r="B52" s="810"/>
      <c r="C52" s="810"/>
      <c r="D52" s="811" t="s">
        <v>348</v>
      </c>
      <c r="E52" s="812" t="s">
        <v>19</v>
      </c>
      <c r="F52" s="812"/>
      <c r="G52" s="812" t="s">
        <v>19</v>
      </c>
      <c r="H52" s="813">
        <f ca="1">SUBTOTAL(9,$H$10:$H$51)</f>
        <v>3652261718</v>
      </c>
      <c r="I52" s="813">
        <f ca="1">SUBTOTAL(9,I10:I51)</f>
        <v>3652261718</v>
      </c>
    </row>
    <row r="53" spans="1:10" s="798" customFormat="1" ht="15">
      <c r="A53" s="814" t="s">
        <v>404</v>
      </c>
    </row>
    <row r="54" spans="1:10" s="798" customFormat="1" ht="15">
      <c r="A54" s="814" t="str">
        <f ca="1">"- Ngày mở sổ: "&amp;DAY($A$11)&amp;"/"&amp;MONTH($A$11)&amp;"/ " &amp;YEAR($A$11)</f>
        <v>- Ngày mở sổ: 1/7/ 2016</v>
      </c>
    </row>
    <row r="55" spans="1:10" s="798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5"/>
      <c r="J55" s="815"/>
    </row>
    <row r="56" spans="1:10" s="798" customFormat="1" ht="15">
      <c r="B56" s="815" t="s">
        <v>345</v>
      </c>
      <c r="D56" s="815" t="s">
        <v>12</v>
      </c>
      <c r="H56" s="815" t="s">
        <v>346</v>
      </c>
      <c r="I56" s="815"/>
      <c r="J56" s="815"/>
    </row>
    <row r="57" spans="1:10" s="798" customFormat="1" ht="15">
      <c r="B57" s="815" t="s">
        <v>13</v>
      </c>
      <c r="D57" s="815" t="s">
        <v>13</v>
      </c>
      <c r="H57" s="815" t="s">
        <v>136</v>
      </c>
      <c r="I57" s="815"/>
      <c r="J57" s="815"/>
    </row>
    <row r="58" spans="1:10" s="798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81" t="s">
        <v>145</v>
      </c>
      <c r="H2" s="981"/>
      <c r="I2" s="981"/>
    </row>
    <row r="3" spans="1:9" ht="15.75" customHeight="1">
      <c r="A3" s="1" t="str">
        <f>TH!A2</f>
        <v>Địa chỉ: Ấp Rừng Sến, xã Mỹ Hạnh Bắc, Huyện Đức Hòa, Tỉnh Long An, Việt Nam</v>
      </c>
      <c r="G3" s="982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82"/>
      <c r="I3" s="982"/>
    </row>
    <row r="4" spans="1:9">
      <c r="F4" s="17"/>
      <c r="G4" s="982"/>
      <c r="H4" s="982"/>
      <c r="I4" s="982"/>
    </row>
    <row r="5" spans="1:9" ht="17.25" customHeight="1">
      <c r="A5" s="983" t="s">
        <v>146</v>
      </c>
      <c r="B5" s="983"/>
      <c r="C5" s="983"/>
      <c r="D5" s="983"/>
      <c r="E5" s="983"/>
      <c r="F5" s="983"/>
      <c r="G5" s="983"/>
      <c r="H5" s="983"/>
      <c r="I5" s="983"/>
    </row>
    <row r="6" spans="1:9">
      <c r="A6" s="984" t="s">
        <v>147</v>
      </c>
      <c r="B6" s="985"/>
      <c r="C6" s="985"/>
      <c r="D6" s="985"/>
      <c r="E6" s="985"/>
      <c r="F6" s="985"/>
      <c r="G6" s="985"/>
      <c r="H6" s="985"/>
      <c r="I6" s="985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5" t="s">
        <v>29</v>
      </c>
      <c r="B9" s="986"/>
      <c r="C9" s="986"/>
      <c r="D9" s="986"/>
      <c r="E9" s="986"/>
      <c r="F9" s="986"/>
      <c r="G9" s="986"/>
      <c r="H9" s="986"/>
      <c r="I9" s="986"/>
    </row>
    <row r="10" spans="1:9" ht="9.75" customHeight="1">
      <c r="C10" s="987"/>
      <c r="D10" s="988"/>
      <c r="E10" s="988"/>
      <c r="F10" s="988"/>
      <c r="G10" s="988"/>
      <c r="H10" s="988"/>
      <c r="I10" s="988"/>
    </row>
    <row r="11" spans="1:9" s="18" customFormat="1" ht="19.5" customHeight="1">
      <c r="A11" s="989" t="s">
        <v>20</v>
      </c>
      <c r="B11" s="979" t="s">
        <v>1</v>
      </c>
      <c r="C11" s="990"/>
      <c r="D11" s="989" t="s">
        <v>0</v>
      </c>
      <c r="E11" s="989" t="s">
        <v>14</v>
      </c>
      <c r="F11" s="979" t="s">
        <v>21</v>
      </c>
      <c r="G11" s="990"/>
      <c r="H11" s="979" t="s">
        <v>31</v>
      </c>
      <c r="I11" s="980"/>
    </row>
    <row r="12" spans="1:9" s="18" customFormat="1" ht="32.25" customHeight="1">
      <c r="A12" s="989"/>
      <c r="B12" s="241" t="s">
        <v>15</v>
      </c>
      <c r="C12" s="241" t="s">
        <v>32</v>
      </c>
      <c r="D12" s="989"/>
      <c r="E12" s="989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189637155.45454547</v>
      </c>
      <c r="H15" s="246">
        <f ca="1">IF(D15&lt;&gt;"",MAX(H14+F15-G15-I14,0),0)</f>
        <v>0</v>
      </c>
      <c r="I15" s="246">
        <f ca="1">IF(D15&lt;&gt;"",MAX(I14+G15-H14-F15,0),0)</f>
        <v>189637155.45454547</v>
      </c>
    </row>
    <row r="16" spans="1:9" s="18" customFormat="1" ht="18" customHeight="1">
      <c r="A16" s="198">
        <f ca="1">IF(ROWS($1:2)&gt;COUNT(Dong5),"",OFFSET(TH!C$1,SMALL(Dong5,ROWS($1:2)),))</f>
        <v>42582</v>
      </c>
      <c r="B16" s="198" t="str">
        <f ca="1">IF(ROWS($1:2)&gt;COUNT(Dong5),"",OFFSET(TH!D$1,SMALL(Dong5,ROWS($1:2)),))</f>
        <v>CTGS</v>
      </c>
      <c r="C16" s="198">
        <f ca="1">IF(ROWS($1:2)&gt;COUNT(Dong5),"",OFFSET(TH!E$1,SMALL(Dong5,ROWS($1:2)),))</f>
        <v>42582</v>
      </c>
      <c r="D16" s="244" t="str">
        <f ca="1">IF(ROWS($1:2)&gt;COUNT(Dong5),"",OFFSET(TH!F$1,SMALL(Dong5,ROWS($1:2)),))</f>
        <v>Tiền lương BP Văn phòng</v>
      </c>
      <c r="E16" s="198" t="str">
        <f ca="1">IF(ROWS($1:2)&gt;COUNT(Dong5),"",IF(OFFSET(TH!L$1,SMALL(Dong5,ROWS($1:2)),)=$E$7,OFFSET(TH!M$1,SMALL(Dong5,ROWS($1:2)),),OFFSET(TH!L$1,SMALL(Dong5,ROWS($1:2)),)))</f>
        <v>3341</v>
      </c>
      <c r="F16" s="245">
        <f ca="1">IF(ROWS($1:2)&gt;COUNT(Dong5),0,IF(OFFSET(TH!L$1,SMALL(Dong5,ROWS($1:2)),)=$E$7,OFFSET(TH!K$1,SMALL(Dong5,ROWS($1:2)),),0))</f>
        <v>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189637155.45454547</v>
      </c>
    </row>
    <row r="17" spans="1:9" s="18" customFormat="1" ht="18" customHeight="1">
      <c r="A17" s="198">
        <f ca="1">IF(ROWS($1:3)&gt;COUNT(Dong5),"",OFFSET(TH!C$1,SMALL(Dong5,ROWS($1:3)),))</f>
        <v>42613</v>
      </c>
      <c r="B17" s="198" t="str">
        <f ca="1">IF(ROWS($1:3)&gt;COUNT(Dong5),"",OFFSET(TH!D$1,SMALL(Dong5,ROWS($1:3)),))</f>
        <v>CTGS</v>
      </c>
      <c r="C17" s="198">
        <f ca="1">IF(ROWS($1:3)&gt;COUNT(Dong5),"",OFFSET(TH!E$1,SMALL(Dong5,ROWS($1:3)),))</f>
        <v>42613</v>
      </c>
      <c r="D17" s="244" t="str">
        <f ca="1">IF(ROWS($1:3)&gt;COUNT(Dong5),"",OFFSET(TH!F$1,SMALL(Dong5,ROWS($1:3)),))</f>
        <v>Tiền lương BP Văn phòng</v>
      </c>
      <c r="E17" s="198" t="str">
        <f ca="1">IF(ROWS($1:3)&gt;COUNT(Dong5),"",IF(OFFSET(TH!L$1,SMALL(Dong5,ROWS($1:3)),)=$E$7,OFFSET(TH!M$1,SMALL(Dong5,ROWS($1:3)),),OFFSET(TH!L$1,SMALL(Dong5,ROWS($1:3)),)))</f>
        <v>3341</v>
      </c>
      <c r="F17" s="245">
        <f ca="1">IF(ROWS($1:3)&gt;COUNT(Dong5),0,IF(OFFSET(TH!L$1,SMALL(Dong5,ROWS($1:3)),)=$E$7,OFFSET(TH!K$1,SMALL(Dong5,ROWS($1:3)),),0))</f>
        <v>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189637155.45454547</v>
      </c>
    </row>
    <row r="18" spans="1:9" s="18" customFormat="1" ht="18" customHeight="1">
      <c r="A18" s="198">
        <f ca="1">IF(ROWS($1:4)&gt;COUNT(Dong5),"",OFFSET(TH!C$1,SMALL(Dong5,ROWS($1:4)),))</f>
        <v>42643</v>
      </c>
      <c r="B18" s="198" t="str">
        <f ca="1">IF(ROWS($1:4)&gt;COUNT(Dong5),"",OFFSET(TH!D$1,SMALL(Dong5,ROWS($1:4)),))</f>
        <v>CTGS</v>
      </c>
      <c r="C18" s="198">
        <f ca="1">IF(ROWS($1:4)&gt;COUNT(Dong5),"",OFFSET(TH!E$1,SMALL(Dong5,ROWS($1:4)),))</f>
        <v>42643</v>
      </c>
      <c r="D18" s="244" t="str">
        <f ca="1">IF(ROWS($1:4)&gt;COUNT(Dong5),"",OFFSET(TH!F$1,SMALL(Dong5,ROWS($1:4)),))</f>
        <v>Tiền lương BP Văn phòng</v>
      </c>
      <c r="E18" s="198" t="str">
        <f ca="1">IF(ROWS($1:4)&gt;COUNT(Dong5),"",IF(OFFSET(TH!L$1,SMALL(Dong5,ROWS($1:4)),)=$E$7,OFFSET(TH!M$1,SMALL(Dong5,ROWS($1:4)),),OFFSET(TH!L$1,SMALL(Dong5,ROWS($1:4)),)))</f>
        <v>3341</v>
      </c>
      <c r="F18" s="245">
        <f ca="1">IF(ROWS($1:4)&gt;COUNT(Dong5),0,IF(OFFSET(TH!L$1,SMALL(Dong5,ROWS($1:4)),)=$E$7,OFFSET(TH!K$1,SMALL(Dong5,ROWS($1:4)),),0))</f>
        <v>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189637155.45454547</v>
      </c>
    </row>
    <row r="19" spans="1:9" s="18" customFormat="1" ht="18" customHeight="1">
      <c r="A19" s="198">
        <f ca="1">IF(ROWS($1:5)&gt;COUNT(Dong5),"",OFFSET(TH!C$1,SMALL(Dong5,ROWS($1:5)),))</f>
        <v>42674</v>
      </c>
      <c r="B19" s="198" t="str">
        <f ca="1">IF(ROWS($1:5)&gt;COUNT(Dong5),"",OFFSET(TH!D$1,SMALL(Dong5,ROWS($1:5)),))</f>
        <v>CTGS</v>
      </c>
      <c r="C19" s="198">
        <f ca="1">IF(ROWS($1:5)&gt;COUNT(Dong5),"",OFFSET(TH!E$1,SMALL(Dong5,ROWS($1:5)),))</f>
        <v>42674</v>
      </c>
      <c r="D19" s="244" t="str">
        <f ca="1">IF(ROWS($1:5)&gt;COUNT(Dong5),"",OFFSET(TH!F$1,SMALL(Dong5,ROWS($1:5)),))</f>
        <v>Tiền lương BP Văn phòng</v>
      </c>
      <c r="E19" s="198" t="str">
        <f ca="1">IF(ROWS($1:5)&gt;COUNT(Dong5),"",IF(OFFSET(TH!L$1,SMALL(Dong5,ROWS($1:5)),)=$E$7,OFFSET(TH!M$1,SMALL(Dong5,ROWS($1:5)),),OFFSET(TH!L$1,SMALL(Dong5,ROWS($1:5)),)))</f>
        <v>3341</v>
      </c>
      <c r="F19" s="245">
        <f ca="1">IF(ROWS($1:5)&gt;COUNT(Dong5),0,IF(OFFSET(TH!L$1,SMALL(Dong5,ROWS($1:5)),)=$E$7,OFFSET(TH!K$1,SMALL(Dong5,ROWS($1:5)),),0))</f>
        <v>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189637155.45454547</v>
      </c>
    </row>
    <row r="20" spans="1:9" s="18" customFormat="1" ht="18" customHeight="1">
      <c r="A20" s="198">
        <f ca="1">IF(ROWS($1:6)&gt;COUNT(Dong5),"",OFFSET(TH!C$1,SMALL(Dong5,ROWS($1:6)),))</f>
        <v>42704</v>
      </c>
      <c r="B20" s="198" t="str">
        <f ca="1">IF(ROWS($1:6)&gt;COUNT(Dong5),"",OFFSET(TH!D$1,SMALL(Dong5,ROWS($1:6)),))</f>
        <v>CTGS</v>
      </c>
      <c r="C20" s="198">
        <f ca="1">IF(ROWS($1:6)&gt;COUNT(Dong5),"",OFFSET(TH!E$1,SMALL(Dong5,ROWS($1:6)),))</f>
        <v>42704</v>
      </c>
      <c r="D20" s="244" t="str">
        <f ca="1">IF(ROWS($1:6)&gt;COUNT(Dong5),"",OFFSET(TH!F$1,SMALL(Dong5,ROWS($1:6)),))</f>
        <v>Tiền lương BP Văn phòng</v>
      </c>
      <c r="E20" s="198" t="str">
        <f ca="1">IF(ROWS($1:6)&gt;COUNT(Dong5),"",IF(OFFSET(TH!L$1,SMALL(Dong5,ROWS($1:6)),)=$E$7,OFFSET(TH!M$1,SMALL(Dong5,ROWS($1:6)),),OFFSET(TH!L$1,SMALL(Dong5,ROWS($1:6)),)))</f>
        <v>3341</v>
      </c>
      <c r="F20" s="245">
        <f ca="1">IF(ROWS($1:6)&gt;COUNT(Dong5),0,IF(OFFSET(TH!L$1,SMALL(Dong5,ROWS($1:6)),)=$E$7,OFFSET(TH!K$1,SMALL(Dong5,ROWS($1:6)),),0))</f>
        <v>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189637155.45454547</v>
      </c>
    </row>
    <row r="21" spans="1:9" s="18" customFormat="1" ht="18" customHeight="1">
      <c r="A21" s="198">
        <f ca="1">IF(ROWS($1:7)&gt;COUNT(Dong5),"",OFFSET(TH!C$1,SMALL(Dong5,ROWS($1:7)),))</f>
        <v>42735</v>
      </c>
      <c r="B21" s="198" t="str">
        <f ca="1">IF(ROWS($1:7)&gt;COUNT(Dong5),"",OFFSET(TH!D$1,SMALL(Dong5,ROWS($1:7)),))</f>
        <v>CTGS</v>
      </c>
      <c r="C21" s="198">
        <f ca="1">IF(ROWS($1:7)&gt;COUNT(Dong5),"",OFFSET(TH!E$1,SMALL(Dong5,ROWS($1:7)),))</f>
        <v>42735</v>
      </c>
      <c r="D21" s="244" t="str">
        <f ca="1">IF(ROWS($1:7)&gt;COUNT(Dong5),"",OFFSET(TH!F$1,SMALL(Dong5,ROWS($1:7)),))</f>
        <v>Tiền lương BP Văn phòng</v>
      </c>
      <c r="E21" s="198" t="str">
        <f ca="1">IF(ROWS($1:7)&gt;COUNT(Dong5),"",IF(OFFSET(TH!L$1,SMALL(Dong5,ROWS($1:7)),)=$E$7,OFFSET(TH!M$1,SMALL(Dong5,ROWS($1:7)),),OFFSET(TH!L$1,SMALL(Dong5,ROWS($1:7)),)))</f>
        <v>3341</v>
      </c>
      <c r="F21" s="245">
        <f ca="1">IF(ROWS($1:7)&gt;COUNT(Dong5),0,IF(OFFSET(TH!L$1,SMALL(Dong5,ROWS($1:7)),)=$E$7,OFFSET(TH!K$1,SMALL(Dong5,ROWS($1:7)),),0))</f>
        <v>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189637155.45454547</v>
      </c>
    </row>
    <row r="22" spans="1:9" s="18" customFormat="1" ht="18" customHeight="1">
      <c r="A22" s="198">
        <f ca="1">IF(ROWS($1:8)&gt;COUNT(Dong5),"",OFFSET(TH!C$1,SMALL(Dong5,ROWS($1:8)),))</f>
        <v>42516</v>
      </c>
      <c r="B22" s="198" t="str">
        <f ca="1">IF(ROWS($1:8)&gt;COUNT(Dong5),"",OFFSET(TH!D$1,SMALL(Dong5,ROWS($1:8)),))</f>
        <v>T01</v>
      </c>
      <c r="C22" s="198">
        <f ca="1">IF(ROWS($1:8)&gt;COUNT(Dong5),"",OFFSET(TH!E$1,SMALL(Dong5,ROWS($1:8)),))</f>
        <v>42516</v>
      </c>
      <c r="D22" s="244" t="str">
        <f ca="1">IF(ROWS($1:8)&gt;COUNT(Dong5),"",OFFSET(TH!F$1,SMALL(Dong5,ROWS($1:8)),))</f>
        <v>Thu vốn góp</v>
      </c>
      <c r="E22" s="198" t="str">
        <f ca="1">IF(ROWS($1:8)&gt;COUNT(Dong5),"",IF(OFFSET(TH!L$1,SMALL(Dong5,ROWS($1:8)),)=$E$7,OFFSET(TH!M$1,SMALL(Dong5,ROWS($1:8)),),OFFSET(TH!L$1,SMALL(Dong5,ROWS($1:8)),)))</f>
        <v>1111</v>
      </c>
      <c r="F22" s="245">
        <f ca="1">IF(ROWS($1:8)&gt;COUNT(Dong5),0,IF(OFFSET(TH!L$1,SMALL(Dong5,ROWS($1:8)),)=$E$7,OFFSET(TH!K$1,SMALL(Dong5,ROWS($1:8)),),0))</f>
        <v>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189637155.45454547</v>
      </c>
    </row>
    <row r="23" spans="1:9" s="18" customFormat="1" ht="18" customHeight="1">
      <c r="A23" s="198">
        <f ca="1">IF(ROWS($1:9)&gt;COUNT(Dong5),"",OFFSET(TH!C$1,SMALL(Dong5,ROWS($1:9)),))</f>
        <v>42529</v>
      </c>
      <c r="B23" s="198" t="str">
        <f ca="1">IF(ROWS($1:9)&gt;COUNT(Dong5),"",OFFSET(TH!D$1,SMALL(Dong5,ROWS($1:9)),))</f>
        <v>NL/N01</v>
      </c>
      <c r="C23" s="198">
        <f ca="1">IF(ROWS($1:9)&gt;COUNT(Dong5),"",OFFSET(TH!E$1,SMALL(Dong5,ROWS($1:9)),))</f>
        <v>42529</v>
      </c>
      <c r="D23" s="244" t="str">
        <f ca="1">IF(ROWS($1:9)&gt;COUNT(Dong5),"",OFFSET(TH!F$1,SMALL(Dong5,ROWS($1:9)),))</f>
        <v>Giấy cuộn xeo</v>
      </c>
      <c r="E23" s="198" t="str">
        <f ca="1">IF(ROWS($1:9)&gt;COUNT(Dong5),"",IF(OFFSET(TH!L$1,SMALL(Dong5,ROWS($1:9)),)=$E$7,OFFSET(TH!M$1,SMALL(Dong5,ROWS($1:9)),),OFFSET(TH!L$1,SMALL(Dong5,ROWS($1:9)),)))</f>
        <v>1521</v>
      </c>
      <c r="F23" s="245">
        <f ca="1">IF(ROWS($1:9)&gt;COUNT(Dong5),0,IF(OFFSET(TH!L$1,SMALL(Dong5,ROWS($1:9)),)=$E$7,OFFSET(TH!K$1,SMALL(Dong5,ROWS($1:9)),),0))</f>
        <v>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189637155.45454547</v>
      </c>
    </row>
    <row r="24" spans="1:9" s="18" customFormat="1" ht="18" customHeight="1">
      <c r="A24" s="198">
        <f ca="1">IF(ROWS($1:10)&gt;COUNT(Dong5),"",OFFSET(TH!C$1,SMALL(Dong5,ROWS($1:10)),))</f>
        <v>42542</v>
      </c>
      <c r="B24" s="198" t="str">
        <f ca="1">IF(ROWS($1:10)&gt;COUNT(Dong5),"",OFFSET(TH!D$1,SMALL(Dong5,ROWS($1:10)),))</f>
        <v>NL/N02</v>
      </c>
      <c r="C24" s="198">
        <f ca="1">IF(ROWS($1:10)&gt;COUNT(Dong5),"",OFFSET(TH!E$1,SMALL(Dong5,ROWS($1:10)),))</f>
        <v>42542</v>
      </c>
      <c r="D24" s="244" t="str">
        <f ca="1">IF(ROWS($1:10)&gt;COUNT(Dong5),"",OFFSET(TH!F$1,SMALL(Dong5,ROWS($1:10)),))</f>
        <v>Giấy xeo gia keo chống thấm</v>
      </c>
      <c r="E24" s="198" t="str">
        <f ca="1">IF(ROWS($1:10)&gt;COUNT(Dong5),"",IF(OFFSET(TH!L$1,SMALL(Dong5,ROWS($1:10)),)=$E$7,OFFSET(TH!M$1,SMALL(Dong5,ROWS($1:10)),),OFFSET(TH!L$1,SMALL(Dong5,ROWS($1:10)),)))</f>
        <v>1521</v>
      </c>
      <c r="F24" s="245">
        <f ca="1">IF(ROWS($1:10)&gt;COUNT(Dong5),0,IF(OFFSET(TH!L$1,SMALL(Dong5,ROWS($1:10)),)=$E$7,OFFSET(TH!K$1,SMALL(Dong5,ROWS($1:10)),),0))</f>
        <v>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189637155.45454547</v>
      </c>
    </row>
    <row r="25" spans="1:9" s="18" customFormat="1" ht="18" customHeight="1">
      <c r="A25" s="198">
        <f ca="1">IF(ROWS($1:11)&gt;COUNT(Dong5),"",OFFSET(TH!C$1,SMALL(Dong5,ROWS($1:11)),))</f>
        <v>42551</v>
      </c>
      <c r="B25" s="198" t="str">
        <f ca="1">IF(ROWS($1:11)&gt;COUNT(Dong5),"",OFFSET(TH!D$1,SMALL(Dong5,ROWS($1:11)),))</f>
        <v>NL/N03</v>
      </c>
      <c r="C25" s="198">
        <f ca="1">IF(ROWS($1:11)&gt;COUNT(Dong5),"",OFFSET(TH!E$1,SMALL(Dong5,ROWS($1:11)),))</f>
        <v>42551</v>
      </c>
      <c r="D25" s="244" t="str">
        <f ca="1">IF(ROWS($1:11)&gt;COUNT(Dong5),"",OFFSET(TH!F$1,SMALL(Dong5,ROWS($1:11)),))</f>
        <v>Giấy xeo gia keo chống thấm</v>
      </c>
      <c r="E25" s="198" t="str">
        <f ca="1">IF(ROWS($1:11)&gt;COUNT(Dong5),"",IF(OFFSET(TH!L$1,SMALL(Dong5,ROWS($1:11)),)=$E$7,OFFSET(TH!M$1,SMALL(Dong5,ROWS($1:11)),),OFFSET(TH!L$1,SMALL(Dong5,ROWS($1:11)),)))</f>
        <v>1521</v>
      </c>
      <c r="F25" s="245">
        <f ca="1">IF(ROWS($1:11)&gt;COUNT(Dong5),0,IF(OFFSET(TH!L$1,SMALL(Dong5,ROWS($1:11)),)=$E$7,OFFSET(TH!K$1,SMALL(Dong5,ROWS($1:11)),),0))</f>
        <v>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189637155.45454547</v>
      </c>
    </row>
    <row r="26" spans="1:9" s="18" customFormat="1" ht="18" customHeight="1">
      <c r="A26" s="198">
        <f ca="1">IF(ROWS($1:12)&gt;COUNT(Dong5),"",OFFSET(TH!C$1,SMALL(Dong5,ROWS($1:12)),))</f>
        <v>42559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42559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189617155.45454547</v>
      </c>
    </row>
    <row r="27" spans="1:9" s="18" customFormat="1" ht="18" customHeight="1">
      <c r="A27" s="198">
        <f ca="1">IF(ROWS($1:13)&gt;COUNT(Dong5),"",OFFSET(TH!C$1,SMALL(Dong5,ROWS($1:13)),))</f>
        <v>42559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42559</v>
      </c>
      <c r="D27" s="244" t="str">
        <f ca="1">IF(ROWS($1:13)&gt;COUNT(Dong5),"",OFFSET(TH!F$1,SMALL(Dong5,ROWS($1:13)),))</f>
        <v>Phí chuyển tiền trong ngày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189597155.45454547</v>
      </c>
    </row>
    <row r="28" spans="1:9" s="18" customFormat="1" ht="18" customHeight="1">
      <c r="A28" s="198">
        <f ca="1">IF(ROWS($1:14)&gt;COUNT(Dong5),"",OFFSET(TH!C$1,SMALL(Dong5,ROWS($1:14)),))</f>
        <v>42576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42576</v>
      </c>
      <c r="D28" s="244" t="str">
        <f ca="1">IF(ROWS($1:14)&gt;COUNT(Dong5),"",OFFSET(TH!F$1,SMALL(Dong5,ROWS($1:14)),))</f>
        <v>Phí quản lý tài khoản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10000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189587155.45454547</v>
      </c>
    </row>
    <row r="29" spans="1:9" s="18" customFormat="1" ht="18" customHeight="1">
      <c r="A29" s="198">
        <f ca="1">IF(ROWS($1:15)&gt;COUNT(Dong5),"",OFFSET(TH!C$1,SMALL(Dong5,ROWS($1:15)),))</f>
        <v>42590</v>
      </c>
      <c r="B29" s="198" t="str">
        <f ca="1">IF(ROWS($1:15)&gt;COUNT(Dong5),"",OFFSET(TH!D$1,SMALL(Dong5,ROWS($1:15)),))</f>
        <v>C06</v>
      </c>
      <c r="C29" s="198">
        <f ca="1">IF(ROWS($1:15)&gt;COUNT(Dong5),"",OFFSET(TH!E$1,SMALL(Dong5,ROWS($1:15)),))</f>
        <v>42590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1400000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188187155.45454547</v>
      </c>
    </row>
    <row r="30" spans="1:9" s="18" customFormat="1" ht="18" customHeight="1">
      <c r="A30" s="198">
        <f ca="1">IF(ROWS($1:16)&gt;COUNT(Dong5),"",OFFSET(TH!C$1,SMALL(Dong5,ROWS($1:16)),))</f>
        <v>42601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42601</v>
      </c>
      <c r="D30" s="244" t="str">
        <f ca="1">IF(ROWS($1:16)&gt;COUNT(Dong5),"",OFFSET(TH!F$1,SMALL(Dong5,ROWS($1:16)),))</f>
        <v>Phí chuyển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188177155.45454547</v>
      </c>
    </row>
    <row r="31" spans="1:9" s="18" customFormat="1" ht="18" customHeight="1">
      <c r="A31" s="198">
        <f ca="1">IF(ROWS($1:17)&gt;COUNT(Dong5),"",OFFSET(TH!C$1,SMALL(Dong5,ROWS($1:17)),))</f>
        <v>42601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42601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188157155.45454547</v>
      </c>
    </row>
    <row r="32" spans="1:9" s="18" customFormat="1" ht="18" customHeight="1">
      <c r="A32" s="198">
        <f ca="1">IF(ROWS($1:18)&gt;COUNT(Dong5),"",OFFSET(TH!C$1,SMALL(Dong5,ROWS($1:18)),))</f>
        <v>42601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42601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20000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188137155.45454547</v>
      </c>
    </row>
    <row r="33" spans="1:9" s="18" customFormat="1" ht="18" customHeight="1">
      <c r="A33" s="198">
        <f ca="1">IF(ROWS($1:19)&gt;COUNT(Dong5),"",OFFSET(TH!C$1,SMALL(Dong5,ROWS($1:19)),))</f>
        <v>42601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42601</v>
      </c>
      <c r="D33" s="244" t="str">
        <f ca="1">IF(ROWS($1:19)&gt;COUNT(Dong5),"",OFFSET(TH!F$1,SMALL(Dong5,ROWS($1:19)),))</f>
        <v>Phí kiểm đếm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83010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188054145.45454547</v>
      </c>
    </row>
    <row r="34" spans="1:9" s="18" customFormat="1" ht="18" customHeight="1">
      <c r="A34" s="198">
        <f ca="1">IF(ROWS($1:20)&gt;COUNT(Dong5),"",OFFSET(TH!C$1,SMALL(Dong5,ROWS($1:20)),))</f>
        <v>42604</v>
      </c>
      <c r="B34" s="198" t="str">
        <f ca="1">IF(ROWS($1:20)&gt;COUNT(Dong5),"",OFFSET(TH!D$1,SMALL(Dong5,ROWS($1:20)),))</f>
        <v>C10</v>
      </c>
      <c r="C34" s="198">
        <f ca="1">IF(ROWS($1:20)&gt;COUNT(Dong5),"",OFFSET(TH!E$1,SMALL(Dong5,ROWS($1:20)),))</f>
        <v>42604</v>
      </c>
      <c r="D34" s="244" t="str">
        <f ca="1">IF(ROWS($1:20)&gt;COUNT(Dong5),"",OFFSET(TH!F$1,SMALL(Dong5,ROWS($1:20)),))</f>
        <v>Khuông hộp</v>
      </c>
      <c r="E34" s="198" t="str">
        <f ca="1">IF(ROWS($1:20)&gt;COUNT(Dong5),"",IF(OFFSET(TH!L$1,SMALL(Dong5,ROWS($1:20)),)=$E$7,OFFSET(TH!M$1,SMALL(Dong5,ROWS($1:20)),),OFFSET(TH!L$1,SMALL(Dong5,ROWS($1:20)),)))</f>
        <v>1111</v>
      </c>
      <c r="F34" s="245">
        <f ca="1">IF(ROWS($1:20)&gt;COUNT(Dong5),0,IF(OFFSET(TH!L$1,SMALL(Dong5,ROWS($1:20)),)=$E$7,OFFSET(TH!K$1,SMALL(Dong5,ROWS($1:20)),),0))</f>
        <v>1840000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186214145.45454547</v>
      </c>
    </row>
    <row r="35" spans="1:9" s="18" customFormat="1" ht="18" customHeight="1">
      <c r="A35" s="198">
        <f ca="1">IF(ROWS($1:21)&gt;COUNT(Dong5),"",OFFSET(TH!C$1,SMALL(Dong5,ROWS($1:21)),))</f>
        <v>42607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42607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186194145.45454547</v>
      </c>
    </row>
    <row r="36" spans="1:9" s="18" customFormat="1" ht="18" customHeight="1">
      <c r="A36" s="198">
        <f ca="1">IF(ROWS($1:22)&gt;COUNT(Dong5),"",OFFSET(TH!C$1,SMALL(Dong5,ROWS($1:22)),))</f>
        <v>42607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42607</v>
      </c>
      <c r="D36" s="244" t="str">
        <f ca="1">IF(ROWS($1:22)&gt;COUNT(Dong5),"",OFFSET(TH!F$1,SMALL(Dong5,ROWS($1:22)),))</f>
        <v>Phí quản lý tài khoản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10000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186184145.45454547</v>
      </c>
    </row>
    <row r="37" spans="1:9" s="18" customFormat="1" ht="18" customHeight="1">
      <c r="A37" s="198">
        <f ca="1">IF(ROWS($1:23)&gt;COUNT(Dong5),"",OFFSET(TH!C$1,SMALL(Dong5,ROWS($1:23)),))</f>
        <v>42614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42614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186164145.45454547</v>
      </c>
    </row>
    <row r="38" spans="1:9" s="18" customFormat="1" ht="18" customHeight="1">
      <c r="A38" s="198">
        <f ca="1">IF(ROWS($1:24)&gt;COUNT(Dong5),"",OFFSET(TH!C$1,SMALL(Dong5,ROWS($1:24)),))</f>
        <v>42622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42622</v>
      </c>
      <c r="D38" s="244" t="str">
        <f ca="1">IF(ROWS($1:24)&gt;COUNT(Dong5),"",OFFSET(TH!F$1,SMALL(Dong5,ROWS($1:24)),))</f>
        <v>Phí chuyển tiền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10000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186154145.45454547</v>
      </c>
    </row>
    <row r="39" spans="1:9" s="18" customFormat="1" ht="18" customHeight="1">
      <c r="A39" s="198">
        <f ca="1">IF(ROWS($1:25)&gt;COUNT(Dong5),"",OFFSET(TH!C$1,SMALL(Dong5,ROWS($1:25)),))</f>
        <v>42626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42626</v>
      </c>
      <c r="D39" s="244" t="str">
        <f ca="1">IF(ROWS($1:25)&gt;COUNT(Dong5),"",OFFSET(TH!F$1,SMALL(Dong5,ROWS($1:25)),))</f>
        <v>Phí rút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186134145.45454547</v>
      </c>
    </row>
    <row r="40" spans="1:9" s="18" customFormat="1" ht="18" customHeight="1">
      <c r="A40" s="198">
        <f ca="1">IF(ROWS($1:26)&gt;COUNT(Dong5),"",OFFSET(TH!C$1,SMALL(Dong5,ROWS($1:26)),))</f>
        <v>42628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42628</v>
      </c>
      <c r="D40" s="244" t="str">
        <f ca="1">IF(ROWS($1:26)&gt;COUNT(Dong5),"",OFFSET(TH!F$1,SMALL(Dong5,ROWS($1:26)),))</f>
        <v>Phí điều chỉnh chuyển tiền lại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30000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186104145.45454547</v>
      </c>
    </row>
    <row r="41" spans="1:9" s="18" customFormat="1" ht="18" customHeight="1">
      <c r="A41" s="198">
        <f ca="1">IF(ROWS($1:27)&gt;COUNT(Dong5),"",OFFSET(TH!C$1,SMALL(Dong5,ROWS($1:27)),))</f>
        <v>42633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42633</v>
      </c>
      <c r="D41" s="244" t="str">
        <f ca="1">IF(ROWS($1:27)&gt;COUNT(Dong5),"",OFFSET(TH!F$1,SMALL(Dong5,ROWS($1:27)),))</f>
        <v>Phí chuyển tiền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20000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186084145.45454547</v>
      </c>
    </row>
    <row r="42" spans="1:9" s="18" customFormat="1" ht="18" customHeight="1">
      <c r="A42" s="198">
        <f ca="1">IF(ROWS($1:28)&gt;COUNT(Dong5),"",OFFSET(TH!C$1,SMALL(Dong5,ROWS($1:28)),))</f>
        <v>42633</v>
      </c>
      <c r="B42" s="198" t="str">
        <f ca="1">IF(ROWS($1:28)&gt;COUNT(Dong5),"",OFFSET(TH!D$1,SMALL(Dong5,ROWS($1:28)),))</f>
        <v>GBN</v>
      </c>
      <c r="C42" s="198">
        <f ca="1">IF(ROWS($1:28)&gt;COUNT(Dong5),"",OFFSET(TH!E$1,SMALL(Dong5,ROWS($1:28)),))</f>
        <v>42633</v>
      </c>
      <c r="D42" s="244" t="str">
        <f ca="1">IF(ROWS($1:28)&gt;COUNT(Dong5),"",OFFSET(TH!F$1,SMALL(Dong5,ROWS($1:28)),))</f>
        <v>Phí kiểm đếm</v>
      </c>
      <c r="E42" s="198" t="str">
        <f ca="1">IF(ROWS($1:28)&gt;COUNT(Dong5),"",IF(OFFSET(TH!L$1,SMALL(Dong5,ROWS($1:28)),)=$E$7,OFFSET(TH!M$1,SMALL(Dong5,ROWS($1:28)),),OFFSET(TH!L$1,SMALL(Dong5,ROWS($1:28)),)))</f>
        <v>1121</v>
      </c>
      <c r="F42" s="245">
        <f ca="1">IF(ROWS($1:28)&gt;COUNT(Dong5),0,IF(OFFSET(TH!L$1,SMALL(Dong5,ROWS($1:28)),)=$E$7,OFFSET(TH!K$1,SMALL(Dong5,ROWS($1:28)),),0))</f>
        <v>20000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186064145.45454547</v>
      </c>
    </row>
    <row r="43" spans="1:9" s="18" customFormat="1" ht="18" customHeight="1">
      <c r="A43" s="198">
        <f ca="1">IF(ROWS($1:29)&gt;COUNT(Dong5),"",OFFSET(TH!C$1,SMALL(Dong5,ROWS($1:29)),))</f>
        <v>42635</v>
      </c>
      <c r="B43" s="198" t="str">
        <f ca="1">IF(ROWS($1:29)&gt;COUNT(Dong5),"",OFFSET(TH!D$1,SMALL(Dong5,ROWS($1:29)),))</f>
        <v>GBN</v>
      </c>
      <c r="C43" s="198">
        <f ca="1">IF(ROWS($1:29)&gt;COUNT(Dong5),"",OFFSET(TH!E$1,SMALL(Dong5,ROWS($1:29)),))</f>
        <v>42635</v>
      </c>
      <c r="D43" s="244" t="str">
        <f ca="1">IF(ROWS($1:29)&gt;COUNT(Dong5),"",OFFSET(TH!F$1,SMALL(Dong5,ROWS($1:29)),))</f>
        <v>Phí chuyển tiền</v>
      </c>
      <c r="E43" s="198" t="str">
        <f ca="1">IF(ROWS($1:29)&gt;COUNT(Dong5),"",IF(OFFSET(TH!L$1,SMALL(Dong5,ROWS($1:29)),)=$E$7,OFFSET(TH!M$1,SMALL(Dong5,ROWS($1:29)),),OFFSET(TH!L$1,SMALL(Dong5,ROWS($1:29)),)))</f>
        <v>1121</v>
      </c>
      <c r="F43" s="245">
        <f ca="1">IF(ROWS($1:29)&gt;COUNT(Dong5),0,IF(OFFSET(TH!L$1,SMALL(Dong5,ROWS($1:29)),)=$E$7,OFFSET(TH!K$1,SMALL(Dong5,ROWS($1:29)),),0))</f>
        <v>20000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186044145.45454547</v>
      </c>
    </row>
    <row r="44" spans="1:9" s="18" customFormat="1" ht="18" customHeight="1">
      <c r="A44" s="198">
        <f ca="1">IF(ROWS($1:30)&gt;COUNT(Dong5),"",OFFSET(TH!C$1,SMALL(Dong5,ROWS($1:30)),))</f>
        <v>42635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42635</v>
      </c>
      <c r="D44" s="244" t="str">
        <f ca="1">IF(ROWS($1:30)&gt;COUNT(Dong5),"",OFFSET(TH!F$1,SMALL(Dong5,ROWS($1:30)),))</f>
        <v>Phí kiểm đếm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20000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186024145.45454547</v>
      </c>
    </row>
    <row r="45" spans="1:9" s="18" customFormat="1" ht="18" customHeight="1">
      <c r="A45" s="198">
        <f ca="1">IF(ROWS($1:31)&gt;COUNT(Dong5),"",OFFSET(TH!C$1,SMALL(Dong5,ROWS($1:31)),))</f>
        <v>42638</v>
      </c>
      <c r="B45" s="198" t="str">
        <f ca="1">IF(ROWS($1:31)&gt;COUNT(Dong5),"",OFFSET(TH!D$1,SMALL(Dong5,ROWS($1:31)),))</f>
        <v>GBN</v>
      </c>
      <c r="C45" s="198">
        <f ca="1">IF(ROWS($1:31)&gt;COUNT(Dong5),"",OFFSET(TH!E$1,SMALL(Dong5,ROWS($1:31)),))</f>
        <v>42638</v>
      </c>
      <c r="D45" s="244" t="str">
        <f ca="1">IF(ROWS($1:31)&gt;COUNT(Dong5),"",OFFSET(TH!F$1,SMALL(Dong5,ROWS($1:31)),))</f>
        <v>Phí quản lý tài khoản</v>
      </c>
      <c r="E45" s="198" t="str">
        <f ca="1">IF(ROWS($1:31)&gt;COUNT(Dong5),"",IF(OFFSET(TH!L$1,SMALL(Dong5,ROWS($1:31)),)=$E$7,OFFSET(TH!M$1,SMALL(Dong5,ROWS($1:31)),),OFFSET(TH!L$1,SMALL(Dong5,ROWS($1:31)),)))</f>
        <v>1121</v>
      </c>
      <c r="F45" s="245">
        <f ca="1">IF(ROWS($1:31)&gt;COUNT(Dong5),0,IF(OFFSET(TH!L$1,SMALL(Dong5,ROWS($1:31)),)=$E$7,OFFSET(TH!K$1,SMALL(Dong5,ROWS($1:31)),),0))</f>
        <v>10000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186014145.45454547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42576</v>
      </c>
      <c r="D46" s="244" t="str">
        <f ca="1">IF(ROWS($1:32)&gt;COUNT(Dong5),"",OFFSET(TH!F$1,SMALL(Dong5,ROWS($1:32)),))</f>
        <v>Đóng hộ tiền điện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17110500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168903645.45454547</v>
      </c>
    </row>
    <row r="47" spans="1:9" s="18" customFormat="1" ht="18" customHeight="1">
      <c r="A47" s="198">
        <f ca="1">IF(ROWS($1:33)&gt;COUNT(Dong5),"",OFFSET(TH!C$1,SMALL(Dong5,ROWS($1:33)),))</f>
        <v>42643</v>
      </c>
      <c r="B47" s="198" t="str">
        <f ca="1">IF(ROWS($1:33)&gt;COUNT(Dong5),"",OFFSET(TH!D$1,SMALL(Dong5,ROWS($1:33)),))</f>
        <v>CTGS</v>
      </c>
      <c r="C47" s="198">
        <f ca="1">IF(ROWS($1:33)&gt;COUNT(Dong5),"",OFFSET(TH!E$1,SMALL(Dong5,ROWS($1:33)),))</f>
        <v>42576</v>
      </c>
      <c r="D47" s="244" t="str">
        <f ca="1">IF(ROWS($1:33)&gt;COUNT(Dong5),"",OFFSET(TH!F$1,SMALL(Dong5,ROWS($1:33)),))</f>
        <v>Tiền thuê xưởng T06/2016</v>
      </c>
      <c r="E47" s="198" t="str">
        <f ca="1">IF(ROWS($1:33)&gt;COUNT(Dong5),"",IF(OFFSET(TH!L$1,SMALL(Dong5,ROWS($1:33)),)=$E$7,OFFSET(TH!M$1,SMALL(Dong5,ROWS($1:33)),),OFFSET(TH!L$1,SMALL(Dong5,ROWS($1:33)),)))</f>
        <v>331</v>
      </c>
      <c r="F47" s="245">
        <f ca="1">IF(ROWS($1:33)&gt;COUNT(Dong5),0,IF(OFFSET(TH!L$1,SMALL(Dong5,ROWS($1:33)),)=$E$7,OFFSET(TH!K$1,SMALL(Dong5,ROWS($1:33)),),0))</f>
        <v>37000000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131903645.45454547</v>
      </c>
    </row>
    <row r="48" spans="1:9" s="18" customFormat="1" ht="18" customHeight="1">
      <c r="A48" s="198">
        <f ca="1">IF(ROWS($1:34)&gt;COUNT(Dong5),"",OFFSET(TH!C$1,SMALL(Dong5,ROWS($1:34)),))</f>
        <v>42643</v>
      </c>
      <c r="B48" s="198" t="str">
        <f ca="1">IF(ROWS($1:34)&gt;COUNT(Dong5),"",OFFSET(TH!D$1,SMALL(Dong5,ROWS($1:34)),))</f>
        <v>CTGS</v>
      </c>
      <c r="C48" s="198">
        <f ca="1">IF(ROWS($1:34)&gt;COUNT(Dong5),"",OFFSET(TH!E$1,SMALL(Dong5,ROWS($1:34)),))</f>
        <v>42602</v>
      </c>
      <c r="D48" s="244" t="str">
        <f ca="1">IF(ROWS($1:34)&gt;COUNT(Dong5),"",OFFSET(TH!F$1,SMALL(Dong5,ROWS($1:34)),))</f>
        <v>Tiền thuê xưởng T07/2016</v>
      </c>
      <c r="E48" s="198" t="str">
        <f ca="1">IF(ROWS($1:34)&gt;COUNT(Dong5),"",IF(OFFSET(TH!L$1,SMALL(Dong5,ROWS($1:34)),)=$E$7,OFFSET(TH!M$1,SMALL(Dong5,ROWS($1:34)),),OFFSET(TH!L$1,SMALL(Dong5,ROWS($1:34)),)))</f>
        <v>331</v>
      </c>
      <c r="F48" s="245">
        <f ca="1">IF(ROWS($1:34)&gt;COUNT(Dong5),0,IF(OFFSET(TH!L$1,SMALL(Dong5,ROWS($1:34)),)=$E$7,OFFSET(TH!K$1,SMALL(Dong5,ROWS($1:34)),),0))</f>
        <v>37000000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94903645.454545468</v>
      </c>
    </row>
    <row r="49" spans="1:9" s="18" customFormat="1" ht="18" customHeight="1">
      <c r="A49" s="198">
        <f ca="1">IF(ROWS($1:35)&gt;COUNT(Dong5),"",OFFSET(TH!C$1,SMALL(Dong5,ROWS($1:35)),))</f>
        <v>42644</v>
      </c>
      <c r="B49" s="198">
        <f ca="1">IF(ROWS($1:35)&gt;COUNT(Dong5),"",OFFSET(TH!D$1,SMALL(Dong5,ROWS($1:35)),))</f>
        <v>0</v>
      </c>
      <c r="C49" s="198">
        <f ca="1">IF(ROWS($1:35)&gt;COUNT(Dong5),"",OFFSET(TH!E$1,SMALL(Dong5,ROWS($1:35)),))</f>
        <v>42644</v>
      </c>
      <c r="D49" s="244" t="str">
        <f ca="1">IF(ROWS($1:35)&gt;COUNT(Dong5),"",OFFSET(TH!F$1,SMALL(Dong5,ROWS($1:35)),))</f>
        <v>Vật dụng sửa xe</v>
      </c>
      <c r="E49" s="198" t="str">
        <f ca="1">IF(ROWS($1:35)&gt;COUNT(Dong5),"",IF(OFFSET(TH!L$1,SMALL(Dong5,ROWS($1:35)),)=$E$7,OFFSET(TH!M$1,SMALL(Dong5,ROWS($1:35)),),OFFSET(TH!L$1,SMALL(Dong5,ROWS($1:35)),)))</f>
        <v>1111</v>
      </c>
      <c r="F49" s="245">
        <f ca="1">IF(ROWS($1:35)&gt;COUNT(Dong5),0,IF(OFFSET(TH!L$1,SMALL(Dong5,ROWS($1:35)),)=$E$7,OFFSET(TH!K$1,SMALL(Dong5,ROWS($1:35)),),0))</f>
        <v>3910000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90993645.454545468</v>
      </c>
    </row>
    <row r="50" spans="1:9" s="18" customFormat="1" ht="18" customHeight="1">
      <c r="A50" s="198">
        <f ca="1">IF(ROWS($1:36)&gt;COUNT(Dong5),"",OFFSET(TH!C$1,SMALL(Dong5,ROWS($1:36)),))</f>
        <v>42647</v>
      </c>
      <c r="B50" s="198" t="str">
        <f ca="1">IF(ROWS($1:36)&gt;COUNT(Dong5),"",OFFSET(TH!D$1,SMALL(Dong5,ROWS($1:36)),))</f>
        <v>GBN</v>
      </c>
      <c r="C50" s="198">
        <f ca="1">IF(ROWS($1:36)&gt;COUNT(Dong5),"",OFFSET(TH!E$1,SMALL(Dong5,ROWS($1:36)),))</f>
        <v>42647</v>
      </c>
      <c r="D50" s="244" t="str">
        <f ca="1">IF(ROWS($1:36)&gt;COUNT(Dong5),"",OFFSET(TH!F$1,SMALL(Dong5,ROWS($1:36)),))</f>
        <v>Phí chuyển tiền</v>
      </c>
      <c r="E50" s="198" t="str">
        <f ca="1">IF(ROWS($1:36)&gt;COUNT(Dong5),"",IF(OFFSET(TH!L$1,SMALL(Dong5,ROWS($1:36)),)=$E$7,OFFSET(TH!M$1,SMALL(Dong5,ROWS($1:36)),),OFFSET(TH!L$1,SMALL(Dong5,ROWS($1:36)),)))</f>
        <v>1121</v>
      </c>
      <c r="F50" s="245">
        <f ca="1">IF(ROWS($1:36)&gt;COUNT(Dong5),0,IF(OFFSET(TH!L$1,SMALL(Dong5,ROWS($1:36)),)=$E$7,OFFSET(TH!K$1,SMALL(Dong5,ROWS($1:36)),),0))</f>
        <v>10000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90983645.454545468</v>
      </c>
    </row>
    <row r="51" spans="1:9" s="18" customFormat="1" ht="18" customHeight="1">
      <c r="A51" s="198">
        <f ca="1">IF(ROWS($1:37)&gt;COUNT(Dong5),"",OFFSET(TH!C$1,SMALL(Dong5,ROWS($1:37)),))</f>
        <v>42658</v>
      </c>
      <c r="B51" s="198" t="str">
        <f ca="1">IF(ROWS($1:37)&gt;COUNT(Dong5),"",OFFSET(TH!D$1,SMALL(Dong5,ROWS($1:37)),))</f>
        <v>CTGS</v>
      </c>
      <c r="C51" s="198">
        <f ca="1">IF(ROWS($1:37)&gt;COUNT(Dong5),"",OFFSET(TH!E$1,SMALL(Dong5,ROWS($1:37)),))</f>
        <v>42658</v>
      </c>
      <c r="D51" s="244" t="str">
        <f ca="1">IF(ROWS($1:37)&gt;COUNT(Dong5),"",OFFSET(TH!F$1,SMALL(Dong5,ROWS($1:37)),))</f>
        <v>Tiền thuê xưởng T10/2016</v>
      </c>
      <c r="E51" s="198" t="str">
        <f ca="1">IF(ROWS($1:37)&gt;COUNT(Dong5),"",IF(OFFSET(TH!L$1,SMALL(Dong5,ROWS($1:37)),)=$E$7,OFFSET(TH!M$1,SMALL(Dong5,ROWS($1:37)),),OFFSET(TH!L$1,SMALL(Dong5,ROWS($1:37)),)))</f>
        <v>331</v>
      </c>
      <c r="F51" s="245">
        <f ca="1">IF(ROWS($1:37)&gt;COUNT(Dong5),0,IF(OFFSET(TH!L$1,SMALL(Dong5,ROWS($1:37)),)=$E$7,OFFSET(TH!K$1,SMALL(Dong5,ROWS($1:37)),),0))</f>
        <v>37000000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53983645.454545468</v>
      </c>
    </row>
    <row r="52" spans="1:9" s="18" customFormat="1" ht="18" customHeight="1">
      <c r="A52" s="198">
        <f ca="1">IF(ROWS($1:38)&gt;COUNT(Dong5),"",OFFSET(TH!C$1,SMALL(Dong5,ROWS($1:38)),))</f>
        <v>42663</v>
      </c>
      <c r="B52" s="198">
        <f ca="1">IF(ROWS($1:38)&gt;COUNT(Dong5),"",OFFSET(TH!D$1,SMALL(Dong5,ROWS($1:38)),))</f>
        <v>0</v>
      </c>
      <c r="C52" s="198">
        <f ca="1">IF(ROWS($1:38)&gt;COUNT(Dong5),"",OFFSET(TH!E$1,SMALL(Dong5,ROWS($1:38)),))</f>
        <v>42663</v>
      </c>
      <c r="D52" s="244" t="str">
        <f ca="1">IF(ROWS($1:38)&gt;COUNT(Dong5),"",OFFSET(TH!F$1,SMALL(Dong5,ROWS($1:38)),))</f>
        <v>Văn phòng phẩm</v>
      </c>
      <c r="E52" s="198" t="str">
        <f ca="1">IF(ROWS($1:38)&gt;COUNT(Dong5),"",IF(OFFSET(TH!L$1,SMALL(Dong5,ROWS($1:38)),)=$E$7,OFFSET(TH!M$1,SMALL(Dong5,ROWS($1:38)),),OFFSET(TH!L$1,SMALL(Dong5,ROWS($1:38)),)))</f>
        <v>1111</v>
      </c>
      <c r="F52" s="245">
        <f ca="1">IF(ROWS($1:38)&gt;COUNT(Dong5),0,IF(OFFSET(TH!L$1,SMALL(Dong5,ROWS($1:38)),)=$E$7,OFFSET(TH!K$1,SMALL(Dong5,ROWS($1:38)),),0))</f>
        <v>934000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53049645.454545468</v>
      </c>
    </row>
    <row r="53" spans="1:9" s="18" customFormat="1" ht="18" customHeight="1">
      <c r="A53" s="198">
        <f ca="1">IF(ROWS($1:39)&gt;COUNT(Dong5),"",OFFSET(TH!C$1,SMALL(Dong5,ROWS($1:39)),))</f>
        <v>42668</v>
      </c>
      <c r="B53" s="198" t="str">
        <f ca="1">IF(ROWS($1:39)&gt;COUNT(Dong5),"",OFFSET(TH!D$1,SMALL(Dong5,ROWS($1:39)),))</f>
        <v>GBN</v>
      </c>
      <c r="C53" s="198">
        <f ca="1">IF(ROWS($1:39)&gt;COUNT(Dong5),"",OFFSET(TH!E$1,SMALL(Dong5,ROWS($1:39)),))</f>
        <v>42668</v>
      </c>
      <c r="D53" s="244" t="str">
        <f ca="1">IF(ROWS($1:39)&gt;COUNT(Dong5),"",OFFSET(TH!F$1,SMALL(Dong5,ROWS($1:39)),))</f>
        <v>Phí quản lý tài khoản</v>
      </c>
      <c r="E53" s="198" t="str">
        <f ca="1">IF(ROWS($1:39)&gt;COUNT(Dong5),"",IF(OFFSET(TH!L$1,SMALL(Dong5,ROWS($1:39)),)=$E$7,OFFSET(TH!M$1,SMALL(Dong5,ROWS($1:39)),),OFFSET(TH!L$1,SMALL(Dong5,ROWS($1:39)),)))</f>
        <v>1121</v>
      </c>
      <c r="F53" s="245">
        <f ca="1">IF(ROWS($1:39)&gt;COUNT(Dong5),0,IF(OFFSET(TH!L$1,SMALL(Dong5,ROWS($1:39)),)=$E$7,OFFSET(TH!K$1,SMALL(Dong5,ROWS($1:39)),),0))</f>
        <v>10000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53039645.454545468</v>
      </c>
    </row>
    <row r="54" spans="1:9" s="18" customFormat="1" ht="18" customHeight="1">
      <c r="A54" s="198">
        <f ca="1">IF(ROWS($1:40)&gt;COUNT(Dong5),"",OFFSET(TH!C$1,SMALL(Dong5,ROWS($1:40)),))</f>
        <v>42673</v>
      </c>
      <c r="B54" s="198">
        <f ca="1">IF(ROWS($1:40)&gt;COUNT(Dong5),"",OFFSET(TH!D$1,SMALL(Dong5,ROWS($1:40)),))</f>
        <v>0</v>
      </c>
      <c r="C54" s="198">
        <f ca="1">IF(ROWS($1:40)&gt;COUNT(Dong5),"",OFFSET(TH!E$1,SMALL(Dong5,ROWS($1:40)),))</f>
        <v>42673</v>
      </c>
      <c r="D54" s="244" t="str">
        <f ca="1">IF(ROWS($1:40)&gt;COUNT(Dong5),"",OFFSET(TH!F$1,SMALL(Dong5,ROWS($1:40)),))</f>
        <v>Phí giao thông</v>
      </c>
      <c r="E54" s="198" t="str">
        <f ca="1">IF(ROWS($1:40)&gt;COUNT(Dong5),"",IF(OFFSET(TH!L$1,SMALL(Dong5,ROWS($1:40)),)=$E$7,OFFSET(TH!M$1,SMALL(Dong5,ROWS($1:40)),),OFFSET(TH!L$1,SMALL(Dong5,ROWS($1:40)),)))</f>
        <v>1111</v>
      </c>
      <c r="F54" s="245">
        <f ca="1">IF(ROWS($1:40)&gt;COUNT(Dong5),0,IF(OFFSET(TH!L$1,SMALL(Dong5,ROWS($1:40)),)=$E$7,OFFSET(TH!K$1,SMALL(Dong5,ROWS($1:40)),),0))</f>
        <v>304545.45454545453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52735100.000000015</v>
      </c>
    </row>
    <row r="55" spans="1:9" s="18" customFormat="1" ht="18" customHeight="1">
      <c r="A55" s="198">
        <f ca="1">IF(ROWS($1:41)&gt;COUNT(Dong5),"",OFFSET(TH!C$1,SMALL(Dong5,ROWS($1:41)),))</f>
        <v>42678</v>
      </c>
      <c r="B55" s="198" t="str">
        <f ca="1">IF(ROWS($1:41)&gt;COUNT(Dong5),"",OFFSET(TH!D$1,SMALL(Dong5,ROWS($1:41)),))</f>
        <v>GBN</v>
      </c>
      <c r="C55" s="198">
        <f ca="1">IF(ROWS($1:41)&gt;COUNT(Dong5),"",OFFSET(TH!E$1,SMALL(Dong5,ROWS($1:41)),))</f>
        <v>42678</v>
      </c>
      <c r="D55" s="244" t="str">
        <f ca="1">IF(ROWS($1:41)&gt;COUNT(Dong5),"",OFFSET(TH!F$1,SMALL(Dong5,ROWS($1:41)),))</f>
        <v>Thanh toán tiền hàng</v>
      </c>
      <c r="E55" s="198" t="str">
        <f ca="1">IF(ROWS($1:41)&gt;COUNT(Dong5),"",IF(OFFSET(TH!L$1,SMALL(Dong5,ROWS($1:41)),)=$E$7,OFFSET(TH!M$1,SMALL(Dong5,ROWS($1:41)),),OFFSET(TH!L$1,SMALL(Dong5,ROWS($1:41)),)))</f>
        <v>331</v>
      </c>
      <c r="F55" s="245">
        <f ca="1">IF(ROWS($1:41)&gt;COUNT(Dong5),0,IF(OFFSET(TH!L$1,SMALL(Dong5,ROWS($1:41)),)=$E$7,OFFSET(TH!K$1,SMALL(Dong5,ROWS($1:41)),),0))</f>
        <v>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52735100.000000015</v>
      </c>
    </row>
    <row r="56" spans="1:9" s="18" customFormat="1" ht="18" customHeight="1">
      <c r="A56" s="198">
        <f ca="1">IF(ROWS($1:42)&gt;COUNT(Dong5),"",OFFSET(TH!C$1,SMALL(Dong5,ROWS($1:42)),))</f>
        <v>42679</v>
      </c>
      <c r="B56" s="198">
        <f ca="1">IF(ROWS($1:42)&gt;COUNT(Dong5),"",OFFSET(TH!D$1,SMALL(Dong5,ROWS($1:42)),))</f>
        <v>0</v>
      </c>
      <c r="C56" s="198">
        <f ca="1">IF(ROWS($1:42)&gt;COUNT(Dong5),"",OFFSET(TH!E$1,SMALL(Dong5,ROWS($1:42)),))</f>
        <v>42679</v>
      </c>
      <c r="D56" s="244" t="str">
        <f ca="1">IF(ROWS($1:42)&gt;COUNT(Dong5),"",OFFSET(TH!F$1,SMALL(Dong5,ROWS($1:42)),))</f>
        <v>VAT Vật dụng sửa xe</v>
      </c>
      <c r="E56" s="198" t="str">
        <f ca="1">IF(ROWS($1:42)&gt;COUNT(Dong5),"",IF(OFFSET(TH!L$1,SMALL(Dong5,ROWS($1:42)),)=$E$7,OFFSET(TH!M$1,SMALL(Dong5,ROWS($1:42)),),OFFSET(TH!L$1,SMALL(Dong5,ROWS($1:42)),)))</f>
        <v>1331</v>
      </c>
      <c r="F56" s="245">
        <f ca="1">IF(ROWS($1:42)&gt;COUNT(Dong5),0,IF(OFFSET(TH!L$1,SMALL(Dong5,ROWS($1:42)),)=$E$7,OFFSET(TH!K$1,SMALL(Dong5,ROWS($1:42)),),0))</f>
        <v>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52735100.000000015</v>
      </c>
    </row>
    <row r="57" spans="1:9" s="18" customFormat="1" ht="18" customHeight="1">
      <c r="A57" s="198">
        <f ca="1">IF(ROWS($1:43)&gt;COUNT(Dong5),"",OFFSET(TH!C$1,SMALL(Dong5,ROWS($1:43)),))</f>
        <v>42684</v>
      </c>
      <c r="B57" s="198" t="str">
        <f ca="1">IF(ROWS($1:43)&gt;COUNT(Dong5),"",OFFSET(TH!D$1,SMALL(Dong5,ROWS($1:43)),))</f>
        <v>VL/N05</v>
      </c>
      <c r="C57" s="198">
        <f ca="1">IF(ROWS($1:43)&gt;COUNT(Dong5),"",OFFSET(TH!E$1,SMALL(Dong5,ROWS($1:43)),))</f>
        <v>42684</v>
      </c>
      <c r="D57" s="244" t="str">
        <f ca="1">IF(ROWS($1:43)&gt;COUNT(Dong5),"",OFFSET(TH!F$1,SMALL(Dong5,ROWS($1:43)),))</f>
        <v>Tinh bột khoai mì</v>
      </c>
      <c r="E57" s="198" t="str">
        <f ca="1">IF(ROWS($1:43)&gt;COUNT(Dong5),"",IF(OFFSET(TH!L$1,SMALL(Dong5,ROWS($1:43)),)=$E$7,OFFSET(TH!M$1,SMALL(Dong5,ROWS($1:43)),),OFFSET(TH!L$1,SMALL(Dong5,ROWS($1:43)),)))</f>
        <v>1522</v>
      </c>
      <c r="F57" s="245">
        <f ca="1">IF(ROWS($1:43)&gt;COUNT(Dong5),0,IF(OFFSET(TH!L$1,SMALL(Dong5,ROWS($1:43)),)=$E$7,OFFSET(TH!K$1,SMALL(Dong5,ROWS($1:43)),),0))</f>
        <v>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52735100.000000015</v>
      </c>
    </row>
    <row r="58" spans="1:9" s="18" customFormat="1" ht="18" customHeight="1">
      <c r="A58" s="198">
        <f ca="1">IF(ROWS($1:44)&gt;COUNT(Dong5),"",OFFSET(TH!C$1,SMALL(Dong5,ROWS($1:44)),))</f>
        <v>42684</v>
      </c>
      <c r="B58" s="198">
        <f ca="1">IF(ROWS($1:44)&gt;COUNT(Dong5),"",OFFSET(TH!D$1,SMALL(Dong5,ROWS($1:44)),))</f>
        <v>0</v>
      </c>
      <c r="C58" s="198">
        <f ca="1">IF(ROWS($1:44)&gt;COUNT(Dong5),"",OFFSET(TH!E$1,SMALL(Dong5,ROWS($1:44)),))</f>
        <v>42684</v>
      </c>
      <c r="D58" s="244" t="str">
        <f ca="1">IF(ROWS($1:44)&gt;COUNT(Dong5),"",OFFSET(TH!F$1,SMALL(Dong5,ROWS($1:44)),))</f>
        <v>Thanh toán tiền hàng</v>
      </c>
      <c r="E58" s="198" t="str">
        <f ca="1">IF(ROWS($1:44)&gt;COUNT(Dong5),"",IF(OFFSET(TH!L$1,SMALL(Dong5,ROWS($1:44)),)=$E$7,OFFSET(TH!M$1,SMALL(Dong5,ROWS($1:44)),),OFFSET(TH!L$1,SMALL(Dong5,ROWS($1:44)),)))</f>
        <v>331</v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52735100.000000015</v>
      </c>
    </row>
    <row r="59" spans="1:9" s="18" customFormat="1" ht="18" customHeight="1">
      <c r="A59" s="198">
        <f ca="1">IF(ROWS($1:45)&gt;COUNT(Dong5),"",OFFSET(TH!C$1,SMALL(Dong5,ROWS($1:45)),))</f>
        <v>42685</v>
      </c>
      <c r="B59" s="198" t="str">
        <f ca="1">IF(ROWS($1:45)&gt;COUNT(Dong5),"",OFFSET(TH!D$1,SMALL(Dong5,ROWS($1:45)),))</f>
        <v>GBN</v>
      </c>
      <c r="C59" s="198">
        <f ca="1">IF(ROWS($1:45)&gt;COUNT(Dong5),"",OFFSET(TH!E$1,SMALL(Dong5,ROWS($1:45)),))</f>
        <v>42685</v>
      </c>
      <c r="D59" s="244" t="str">
        <f ca="1">IF(ROWS($1:45)&gt;COUNT(Dong5),"",OFFSET(TH!F$1,SMALL(Dong5,ROWS($1:45)),))</f>
        <v>Phí chuyển tiền</v>
      </c>
      <c r="E59" s="198" t="str">
        <f ca="1">IF(ROWS($1:45)&gt;COUNT(Dong5),"",IF(OFFSET(TH!L$1,SMALL(Dong5,ROWS($1:45)),)=$E$7,OFFSET(TH!M$1,SMALL(Dong5,ROWS($1:45)),),OFFSET(TH!L$1,SMALL(Dong5,ROWS($1:45)),)))</f>
        <v>1121</v>
      </c>
      <c r="F59" s="245">
        <f ca="1">IF(ROWS($1:45)&gt;COUNT(Dong5),0,IF(OFFSET(TH!L$1,SMALL(Dong5,ROWS($1:45)),)=$E$7,OFFSET(TH!K$1,SMALL(Dong5,ROWS($1:45)),),0))</f>
        <v>20000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52715100.000000015</v>
      </c>
    </row>
    <row r="60" spans="1:9" s="18" customFormat="1" ht="18" customHeight="1">
      <c r="A60" s="198">
        <f ca="1">IF(ROWS($1:46)&gt;COUNT(Dong5),"",OFFSET(TH!C$1,SMALL(Dong5,ROWS($1:46)),))</f>
        <v>42688</v>
      </c>
      <c r="B60" s="198" t="str">
        <f ca="1">IF(ROWS($1:46)&gt;COUNT(Dong5),"",OFFSET(TH!D$1,SMALL(Dong5,ROWS($1:46)),))</f>
        <v>GBN</v>
      </c>
      <c r="C60" s="198">
        <f ca="1">IF(ROWS($1:46)&gt;COUNT(Dong5),"",OFFSET(TH!E$1,SMALL(Dong5,ROWS($1:46)),))</f>
        <v>42688</v>
      </c>
      <c r="D60" s="244" t="str">
        <f ca="1">IF(ROWS($1:46)&gt;COUNT(Dong5),"",OFFSET(TH!F$1,SMALL(Dong5,ROWS($1:46)),))</f>
        <v>Phí nộp tiền chuyển trong ngày</v>
      </c>
      <c r="E60" s="198" t="str">
        <f ca="1">IF(ROWS($1:46)&gt;COUNT(Dong5),"",IF(OFFSET(TH!L$1,SMALL(Dong5,ROWS($1:46)),)=$E$7,OFFSET(TH!M$1,SMALL(Dong5,ROWS($1:46)),),OFFSET(TH!L$1,SMALL(Dong5,ROWS($1:46)),)))</f>
        <v>1121</v>
      </c>
      <c r="F60" s="245">
        <f ca="1">IF(ROWS($1:46)&gt;COUNT(Dong5),0,IF(OFFSET(TH!L$1,SMALL(Dong5,ROWS($1:46)),)=$E$7,OFFSET(TH!K$1,SMALL(Dong5,ROWS($1:46)),),0))</f>
        <v>20000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52695100.000000015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136942055.45454547</v>
      </c>
      <c r="G62" s="247">
        <f ca="1">SUM(G15:G61)</f>
        <v>189637155.45454547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52695100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78" t="str">
        <f ca="1">"Ngày 31 tháng  12  năm  "&amp;YEAR($A$15)</f>
        <v>Ngày 31 tháng  12  năm  2016</v>
      </c>
      <c r="F67" s="978"/>
      <c r="G67" s="978"/>
      <c r="H67" s="978"/>
      <c r="I67" s="978"/>
    </row>
    <row r="68" spans="1:9" s="18" customFormat="1" ht="12.75">
      <c r="A68" s="978" t="s">
        <v>11</v>
      </c>
      <c r="B68" s="978"/>
      <c r="C68" s="978"/>
      <c r="D68" s="978"/>
      <c r="E68" s="978" t="s">
        <v>12</v>
      </c>
      <c r="F68" s="978"/>
      <c r="G68" s="978"/>
      <c r="H68" s="978"/>
      <c r="I68" s="978"/>
    </row>
    <row r="69" spans="1:9" s="18" customFormat="1" ht="12.75">
      <c r="A69" s="978" t="s">
        <v>13</v>
      </c>
      <c r="B69" s="978"/>
      <c r="C69" s="978"/>
      <c r="D69" s="978"/>
      <c r="E69" s="978" t="s">
        <v>13</v>
      </c>
      <c r="F69" s="978"/>
      <c r="G69" s="978"/>
      <c r="H69" s="978"/>
      <c r="I69" s="978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91"/>
      <c r="B76" s="991"/>
      <c r="C76" s="991"/>
      <c r="D76" s="991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81" t="s">
        <v>119</v>
      </c>
      <c r="H1" s="981"/>
      <c r="I1" s="981"/>
      <c r="J1" s="981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8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82"/>
      <c r="I2" s="982"/>
      <c r="J2" s="982"/>
    </row>
    <row r="3" spans="1:15" s="3" customFormat="1" ht="16.5" customHeight="1">
      <c r="A3" s="4"/>
      <c r="B3" s="16"/>
      <c r="C3" s="108"/>
      <c r="D3" s="108"/>
      <c r="E3" s="16"/>
      <c r="G3" s="982"/>
      <c r="H3" s="982"/>
      <c r="I3" s="982"/>
      <c r="J3" s="982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92" t="s">
        <v>120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 ca="1">$L$11&amp;" / "&amp;YEAR($A$14)</f>
        <v>Quý II / 2016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121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122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1"/>
      <c r="I9" s="111" t="s">
        <v>123</v>
      </c>
    </row>
    <row r="10" spans="1:15" ht="33" customHeight="1" thickBot="1">
      <c r="A10" s="996" t="s">
        <v>20</v>
      </c>
      <c r="B10" s="996" t="s">
        <v>124</v>
      </c>
      <c r="C10" s="995" t="s">
        <v>125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126</v>
      </c>
      <c r="J10" s="995" t="s">
        <v>127</v>
      </c>
      <c r="L10" s="605"/>
      <c r="N10" s="976" t="s">
        <v>331</v>
      </c>
      <c r="O10" s="976"/>
    </row>
    <row r="11" spans="1:15" ht="24" customHeight="1" thickBot="1">
      <c r="A11" s="997"/>
      <c r="B11" s="997"/>
      <c r="C11" s="112" t="s">
        <v>128</v>
      </c>
      <c r="D11" s="112" t="s">
        <v>129</v>
      </c>
      <c r="E11" s="995"/>
      <c r="F11" s="997"/>
      <c r="G11" s="112" t="s">
        <v>22</v>
      </c>
      <c r="H11" s="112" t="s">
        <v>23</v>
      </c>
      <c r="I11" s="995"/>
      <c r="J11" s="995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42516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42516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&amp;[3]!VND('IN-TC'!D13,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2"/>
      <c r="L1" s="792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1008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1008"/>
      <c r="H2" s="1008"/>
      <c r="I2" s="231"/>
      <c r="K2" s="793"/>
      <c r="L2" s="793"/>
    </row>
    <row r="3" spans="1:21" s="139" customFormat="1" ht="16.5" customHeight="1">
      <c r="A3" s="176"/>
      <c r="B3" s="176"/>
      <c r="C3" s="176"/>
      <c r="D3" s="176"/>
      <c r="F3" s="1008"/>
      <c r="G3" s="1008"/>
      <c r="H3" s="1008"/>
      <c r="I3" s="231"/>
    </row>
    <row r="4" spans="1:21" s="139" customFormat="1" ht="19.5" customHeight="1">
      <c r="A4" s="1011" t="s">
        <v>137</v>
      </c>
      <c r="B4" s="1011"/>
      <c r="C4" s="1011"/>
      <c r="D4" s="1011"/>
      <c r="E4" s="1011"/>
      <c r="F4" s="1011"/>
      <c r="G4" s="1011"/>
      <c r="H4" s="1011"/>
      <c r="I4" s="1011"/>
    </row>
    <row r="5" spans="1:21" s="139" customFormat="1" ht="15">
      <c r="A5" s="100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00"/>
      <c r="C5" s="1000"/>
      <c r="D5" s="1000"/>
      <c r="E5" s="1000"/>
      <c r="F5" s="1000"/>
      <c r="G5" s="1000"/>
      <c r="H5" s="1000"/>
      <c r="I5" s="1000"/>
    </row>
    <row r="6" spans="1:21" s="139" customFormat="1" ht="15">
      <c r="D6" s="259" t="s">
        <v>158</v>
      </c>
      <c r="E6" s="1000" t="str">
        <f>IF($M$9="VCB","0631000451708","")</f>
        <v>0631000451708</v>
      </c>
      <c r="F6" s="1000"/>
      <c r="G6" s="1000"/>
      <c r="H6" s="591" t="s">
        <v>108</v>
      </c>
      <c r="I6" s="260" t="str">
        <f>IF(H6="VNĐ","1121",IF(H6="USD","1122",""))</f>
        <v>1121</v>
      </c>
      <c r="N6" s="993" t="s">
        <v>331</v>
      </c>
      <c r="O6" s="993"/>
      <c r="Q6" s="1009" t="s">
        <v>272</v>
      </c>
      <c r="R6" s="1009" t="s">
        <v>533</v>
      </c>
      <c r="S6" s="1009" t="s">
        <v>455</v>
      </c>
      <c r="T6" s="1009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1010"/>
      <c r="R7" s="1010"/>
      <c r="S7" s="1010"/>
      <c r="T7" s="1010"/>
    </row>
    <row r="8" spans="1:21" s="144" customFormat="1" ht="22.5" customHeight="1" thickBot="1">
      <c r="A8" s="1001" t="s">
        <v>138</v>
      </c>
      <c r="B8" s="1003" t="s">
        <v>1</v>
      </c>
      <c r="C8" s="1004"/>
      <c r="D8" s="998" t="s">
        <v>0</v>
      </c>
      <c r="E8" s="1005" t="s">
        <v>14</v>
      </c>
      <c r="F8" s="1007" t="s">
        <v>139</v>
      </c>
      <c r="G8" s="1007"/>
      <c r="H8" s="1004"/>
      <c r="I8" s="998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2"/>
      <c r="B9" s="145" t="s">
        <v>15</v>
      </c>
      <c r="C9" s="146" t="s">
        <v>140</v>
      </c>
      <c r="D9" s="999"/>
      <c r="E9" s="1006"/>
      <c r="F9" s="252" t="s">
        <v>141</v>
      </c>
      <c r="G9" s="147" t="s">
        <v>142</v>
      </c>
      <c r="H9" s="593" t="s">
        <v>143</v>
      </c>
      <c r="I9" s="999"/>
      <c r="K9" s="177" t="s">
        <v>399</v>
      </c>
      <c r="L9" s="139"/>
      <c r="M9" s="463" t="s">
        <v>533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>
        <f ca="1">IF(ROWS($1:50)&gt;COUNT(Dong2),"",OFFSET(TH!C$1,SMALL(Dong2,ROWS($1:50)),))</f>
        <v>42713</v>
      </c>
      <c r="B61" s="155" t="str">
        <f ca="1">IF(ROWS($1:50)&gt;COUNT(Dong2),"",OFFSET(TH!D$1,SMALL(Dong2,ROWS($1:50)),))</f>
        <v>GBC</v>
      </c>
      <c r="C61" s="155">
        <f ca="1">IF(ROWS($1:50)&gt;COUNT(Dong2),"",OFFSET(TH!E$1,SMALL(Dong2,ROWS($1:50)),))</f>
        <v>42713</v>
      </c>
      <c r="D61" s="234" t="str">
        <f ca="1">IF(ROWS($1:50)&gt;COUNT(Dong2),"",OFFSET(TH!F$1,SMALL(Dong2,ROWS($1:50)),))</f>
        <v>Thu tiền hàng</v>
      </c>
      <c r="E61" s="155" t="str">
        <f ca="1">IF(ROWS($1:50)&gt;COUNT(Dong2),"",IF(OFFSET(TH!M$1,SMALL(Dong2,ROWS($1:50)),)=$I$6,OFFSET(TH!L$1,SMALL(Dong2,ROWS($1:50)),),OFFSET(TH!M$1,SMALL(Dong2,ROWS($1:50)),)))</f>
        <v>131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601">
        <f t="shared" ca="1" si="0"/>
        <v>16768161</v>
      </c>
      <c r="I61" s="468"/>
    </row>
    <row r="62" spans="1:9" s="144" customFormat="1" ht="18.75" customHeight="1">
      <c r="A62" s="155">
        <f ca="1">IF(ROWS($1:51)&gt;COUNT(Dong2),"",OFFSET(TH!C$1,SMALL(Dong2,ROWS($1:51)),))</f>
        <v>42716</v>
      </c>
      <c r="B62" s="155" t="str">
        <f ca="1">IF(ROWS($1:51)&gt;COUNT(Dong2),"",OFFSET(TH!D$1,SMALL(Dong2,ROWS($1:51)),))</f>
        <v>GBC</v>
      </c>
      <c r="C62" s="155">
        <f ca="1">IF(ROWS($1:51)&gt;COUNT(Dong2),"",OFFSET(TH!E$1,SMALL(Dong2,ROWS($1:51)),))</f>
        <v>42716</v>
      </c>
      <c r="D62" s="234" t="str">
        <f ca="1">IF(ROWS($1:51)&gt;COUNT(Dong2),"",OFFSET(TH!F$1,SMALL(Dong2,ROWS($1:51)),))</f>
        <v>Nộp tiền mặt</v>
      </c>
      <c r="E62" s="155" t="str">
        <f ca="1">IF(ROWS($1:51)&gt;COUNT(Dong2),"",IF(OFFSET(TH!M$1,SMALL(Dong2,ROWS($1:51)),)=$I$6,OFFSET(TH!L$1,SMALL(Dong2,ROWS($1:51)),),OFFSET(TH!M$1,SMALL(Dong2,ROWS($1:51)),)))</f>
        <v>1111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601">
        <f t="shared" ca="1" si="0"/>
        <v>21268161</v>
      </c>
      <c r="I62" s="468"/>
    </row>
    <row r="63" spans="1:9" s="144" customFormat="1" ht="18.75" customHeight="1">
      <c r="A63" s="155">
        <f ca="1">IF(ROWS($1:52)&gt;COUNT(Dong2),"",OFFSET(TH!C$1,SMALL(Dong2,ROWS($1:52)),))</f>
        <v>42716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42716</v>
      </c>
      <c r="D63" s="234" t="str">
        <f ca="1">IF(ROWS($1:52)&gt;COUNT(Dong2),"",OFFSET(TH!F$1,SMALL(Dong2,ROWS($1:52)),))</f>
        <v>Thanh toán tiền hàng</v>
      </c>
      <c r="E63" s="155" t="str">
        <f ca="1">IF(ROWS($1:52)&gt;COUNT(Dong2),"",IF(OFFSET(TH!M$1,SMALL(Dong2,ROWS($1:52)),)=$I$6,OFFSET(TH!L$1,SMALL(Dong2,ROWS($1:52)),),OFFSET(TH!M$1,SMALL(Dong2,ROWS($1:52)),)))</f>
        <v>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601">
        <f t="shared" ca="1" si="0"/>
        <v>1268161</v>
      </c>
      <c r="I63" s="468"/>
    </row>
    <row r="64" spans="1:9" s="144" customFormat="1" ht="18.75" customHeight="1">
      <c r="A64" s="155">
        <f ca="1">IF(ROWS($1:53)&gt;COUNT(Dong2),"",OFFSET(TH!C$1,SMALL(Dong2,ROWS($1:53)),))</f>
        <v>42716</v>
      </c>
      <c r="B64" s="155" t="str">
        <f ca="1">IF(ROWS($1:53)&gt;COUNT(Dong2),"",OFFSET(TH!D$1,SMALL(Dong2,ROWS($1:53)),))</f>
        <v>GBN</v>
      </c>
      <c r="C64" s="155">
        <f ca="1">IF(ROWS($1:53)&gt;COUNT(Dong2),"",OFFSET(TH!E$1,SMALL(Dong2,ROWS($1:53)),))</f>
        <v>42716</v>
      </c>
      <c r="D64" s="234" t="str">
        <f ca="1">IF(ROWS($1:53)&gt;COUNT(Dong2),"",OFFSET(TH!F$1,SMALL(Dong2,ROWS($1:53)),))</f>
        <v>Phí kiểm đếm</v>
      </c>
      <c r="E64" s="155" t="str">
        <f ca="1">IF(ROWS($1:53)&gt;COUNT(Dong2),"",IF(OFFSET(TH!M$1,SMALL(Dong2,ROWS($1:53)),)=$I$6,OFFSET(TH!L$1,SMALL(Dong2,ROWS($1:53)),),OFFSET(TH!M$1,SMALL(Dong2,ROWS($1:53)),)))</f>
        <v>642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601">
        <f t="shared" ca="1" si="0"/>
        <v>1248161</v>
      </c>
      <c r="I64" s="468"/>
    </row>
    <row r="65" spans="1:9" s="144" customFormat="1" ht="18.75" customHeight="1">
      <c r="A65" s="155">
        <f ca="1">IF(ROWS($1:54)&gt;COUNT(Dong2),"",OFFSET(TH!C$1,SMALL(Dong2,ROWS($1:54)),))</f>
        <v>42716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42716</v>
      </c>
      <c r="D65" s="234" t="str">
        <f ca="1">IF(ROWS($1:54)&gt;COUNT(Dong2),"",OFFSET(TH!F$1,SMALL(Dong2,ROWS($1:54)),))</f>
        <v>VAT Phí kiểm đếm</v>
      </c>
      <c r="E65" s="155" t="str">
        <f ca="1">IF(ROWS($1:54)&gt;COUNT(Dong2),"",IF(OFFSET(TH!M$1,SMALL(Dong2,ROWS($1:54)),)=$I$6,OFFSET(TH!L$1,SMALL(Dong2,ROWS($1:54)),),OFFSET(TH!M$1,SMALL(Dong2,ROWS($1:54)),)))</f>
        <v>1331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601">
        <f t="shared" ca="1" si="0"/>
        <v>1246161</v>
      </c>
      <c r="I65" s="468"/>
    </row>
    <row r="66" spans="1:9" s="144" customFormat="1" ht="18.75" customHeight="1">
      <c r="A66" s="155">
        <f ca="1">IF(ROWS($1:55)&gt;COUNT(Dong2),"",OFFSET(TH!C$1,SMALL(Dong2,ROWS($1:55)),))</f>
        <v>42717</v>
      </c>
      <c r="B66" s="155" t="str">
        <f ca="1">IF(ROWS($1:55)&gt;COUNT(Dong2),"",OFFSET(TH!D$1,SMALL(Dong2,ROWS($1:55)),))</f>
        <v>GBC</v>
      </c>
      <c r="C66" s="155">
        <f ca="1">IF(ROWS($1:55)&gt;COUNT(Dong2),"",OFFSET(TH!E$1,SMALL(Dong2,ROWS($1:55)),))</f>
        <v>42717</v>
      </c>
      <c r="D66" s="234" t="str">
        <f ca="1">IF(ROWS($1:55)&gt;COUNT(Dong2),"",OFFSET(TH!F$1,SMALL(Dong2,ROWS($1:55)),))</f>
        <v>Nộp tiền mặt</v>
      </c>
      <c r="E66" s="155" t="str">
        <f ca="1">IF(ROWS($1:55)&gt;COUNT(Dong2),"",IF(OFFSET(TH!M$1,SMALL(Dong2,ROWS($1:55)),)=$I$6,OFFSET(TH!L$1,SMALL(Dong2,ROWS($1:55)),),OFFSET(TH!M$1,SMALL(Dong2,ROWS($1:55)),)))</f>
        <v>1111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601">
        <f t="shared" ca="1" si="0"/>
        <v>14546161</v>
      </c>
      <c r="I66" s="468"/>
    </row>
    <row r="67" spans="1:9" s="144" customFormat="1" ht="18.75" customHeight="1">
      <c r="A67" s="155">
        <f ca="1">IF(ROWS($1:56)&gt;COUNT(Dong2),"",OFFSET(TH!C$1,SMALL(Dong2,ROWS($1:56)),))</f>
        <v>42717</v>
      </c>
      <c r="B67" s="155" t="str">
        <f ca="1">IF(ROWS($1:56)&gt;COUNT(Dong2),"",OFFSET(TH!D$1,SMALL(Dong2,ROWS($1:56)),))</f>
        <v>GBC</v>
      </c>
      <c r="C67" s="155">
        <f ca="1">IF(ROWS($1:56)&gt;COUNT(Dong2),"",OFFSET(TH!E$1,SMALL(Dong2,ROWS($1:56)),))</f>
        <v>42717</v>
      </c>
      <c r="D67" s="234" t="str">
        <f ca="1">IF(ROWS($1:56)&gt;COUNT(Dong2),"",OFFSET(TH!F$1,SMALL(Dong2,ROWS($1:56)),))</f>
        <v>Thu tiền hàng</v>
      </c>
      <c r="E67" s="155" t="str">
        <f ca="1">IF(ROWS($1:56)&gt;COUNT(Dong2),"",IF(OFFSET(TH!M$1,SMALL(Dong2,ROWS($1:56)),)=$I$6,OFFSET(TH!L$1,SMALL(Dong2,ROWS($1:56)),),OFFSET(TH!M$1,SMALL(Dong2,ROWS($1:56)),)))</f>
        <v>131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601">
        <f t="shared" ca="1" si="0"/>
        <v>41870161</v>
      </c>
      <c r="I67" s="468"/>
    </row>
    <row r="68" spans="1:9" s="144" customFormat="1" ht="18.75" customHeight="1">
      <c r="A68" s="155">
        <f ca="1">IF(ROWS($1:57)&gt;COUNT(Dong2),"",OFFSET(TH!C$1,SMALL(Dong2,ROWS($1:57)),))</f>
        <v>42718</v>
      </c>
      <c r="B68" s="155" t="str">
        <f ca="1">IF(ROWS($1:57)&gt;COUNT(Dong2),"",OFFSET(TH!D$1,SMALL(Dong2,ROWS($1:57)),))</f>
        <v>GBN</v>
      </c>
      <c r="C68" s="155">
        <f ca="1">IF(ROWS($1:57)&gt;COUNT(Dong2),"",OFFSET(TH!E$1,SMALL(Dong2,ROWS($1:57)),))</f>
        <v>42718</v>
      </c>
      <c r="D68" s="234" t="str">
        <f ca="1">IF(ROWS($1:57)&gt;COUNT(Dong2),"",OFFSET(TH!F$1,SMALL(Dong2,ROWS($1:57)),))</f>
        <v>Phí chuyển tiền</v>
      </c>
      <c r="E68" s="155" t="str">
        <f ca="1">IF(ROWS($1:57)&gt;COUNT(Dong2),"",IF(OFFSET(TH!M$1,SMALL(Dong2,ROWS($1:57)),)=$I$6,OFFSET(TH!L$1,SMALL(Dong2,ROWS($1:57)),),OFFSET(TH!M$1,SMALL(Dong2,ROWS($1:57)),)))</f>
        <v>642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601">
        <f t="shared" ca="1" si="0"/>
        <v>41850161</v>
      </c>
      <c r="I68" s="468"/>
    </row>
    <row r="69" spans="1:9" s="144" customFormat="1" ht="18.75" customHeight="1">
      <c r="A69" s="155">
        <f ca="1">IF(ROWS($1:58)&gt;COUNT(Dong2),"",OFFSET(TH!C$1,SMALL(Dong2,ROWS($1:58)),))</f>
        <v>42718</v>
      </c>
      <c r="B69" s="155" t="str">
        <f ca="1">IF(ROWS($1:58)&gt;COUNT(Dong2),"",OFFSET(TH!D$1,SMALL(Dong2,ROWS($1:58)),))</f>
        <v>GBN</v>
      </c>
      <c r="C69" s="155">
        <f ca="1">IF(ROWS($1:58)&gt;COUNT(Dong2),"",OFFSET(TH!E$1,SMALL(Dong2,ROWS($1:58)),))</f>
        <v>42718</v>
      </c>
      <c r="D69" s="234" t="str">
        <f ca="1">IF(ROWS($1:58)&gt;COUNT(Dong2),"",OFFSET(TH!F$1,SMALL(Dong2,ROWS($1:58)),))</f>
        <v>VAT Phí chuyển tiền</v>
      </c>
      <c r="E69" s="155" t="str">
        <f ca="1">IF(ROWS($1:58)&gt;COUNT(Dong2),"",IF(OFFSET(TH!M$1,SMALL(Dong2,ROWS($1:58)),)=$I$6,OFFSET(TH!L$1,SMALL(Dong2,ROWS($1:58)),),OFFSET(TH!M$1,SMALL(Dong2,ROWS($1:58)),)))</f>
        <v>1331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601">
        <f t="shared" ca="1" si="0"/>
        <v>41848161</v>
      </c>
      <c r="I69" s="468"/>
    </row>
    <row r="70" spans="1:9" s="144" customFormat="1" ht="18.75" customHeight="1">
      <c r="A70" s="155">
        <f ca="1">IF(ROWS($1:59)&gt;COUNT(Dong2),"",OFFSET(TH!C$1,SMALL(Dong2,ROWS($1:59)),))</f>
        <v>42718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42718</v>
      </c>
      <c r="D70" s="234" t="str">
        <f ca="1">IF(ROWS($1:59)&gt;COUNT(Dong2),"",OFFSET(TH!F$1,SMALL(Dong2,ROWS($1:59)),))</f>
        <v>Thanh toán tiền thuê kho T12/2016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601">
        <f t="shared" ca="1" si="0"/>
        <v>1148161</v>
      </c>
      <c r="I70" s="468"/>
    </row>
    <row r="71" spans="1:9" s="144" customFormat="1" ht="18.75" customHeight="1">
      <c r="A71" s="155">
        <f ca="1">IF(ROWS($1:60)&gt;COUNT(Dong2),"",OFFSET(TH!C$1,SMALL(Dong2,ROWS($1:60)),))</f>
        <v>42718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42718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1">
        <f t="shared" ca="1" si="0"/>
        <v>1128161</v>
      </c>
      <c r="I71" s="468"/>
    </row>
    <row r="72" spans="1:9" s="144" customFormat="1" ht="18.75" customHeight="1">
      <c r="A72" s="155">
        <f ca="1">IF(ROWS($1:61)&gt;COUNT(Dong2),"",OFFSET(TH!C$1,SMALL(Dong2,ROWS($1:61)),))</f>
        <v>42718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42718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1">
        <f t="shared" ca="1" si="0"/>
        <v>1126161</v>
      </c>
      <c r="I72" s="468"/>
    </row>
    <row r="73" spans="1:9" s="144" customFormat="1" ht="18.75" customHeight="1">
      <c r="A73" s="155">
        <f ca="1">IF(ROWS($1:62)&gt;COUNT(Dong2),"",OFFSET(TH!C$1,SMALL(Dong2,ROWS($1:62)),))</f>
        <v>42723</v>
      </c>
      <c r="B73" s="155" t="str">
        <f ca="1">IF(ROWS($1:62)&gt;COUNT(Dong2),"",OFFSET(TH!D$1,SMALL(Dong2,ROWS($1:62)),))</f>
        <v>GBC</v>
      </c>
      <c r="C73" s="155">
        <f ca="1">IF(ROWS($1:62)&gt;COUNT(Dong2),"",OFFSET(TH!E$1,SMALL(Dong2,ROWS($1:62)),))</f>
        <v>42723</v>
      </c>
      <c r="D73" s="234" t="str">
        <f ca="1">IF(ROWS($1:62)&gt;COUNT(Dong2),"",OFFSET(TH!F$1,SMALL(Dong2,ROWS($1:62)),))</f>
        <v>Nộp tiền mặt</v>
      </c>
      <c r="E73" s="155" t="str">
        <f ca="1">IF(ROWS($1:62)&gt;COUNT(Dong2),"",IF(OFFSET(TH!M$1,SMALL(Dong2,ROWS($1:62)),)=$I$6,OFFSET(TH!L$1,SMALL(Dong2,ROWS($1:62)),),OFFSET(TH!M$1,SMALL(Dong2,ROWS($1:62)),)))</f>
        <v>1111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601">
        <f t="shared" ca="1" si="0"/>
        <v>12526161</v>
      </c>
      <c r="I73" s="468"/>
    </row>
    <row r="74" spans="1:9" s="144" customFormat="1" ht="18.75" customHeight="1">
      <c r="A74" s="155">
        <f ca="1">IF(ROWS($1:63)&gt;COUNT(Dong2),"",OFFSET(TH!C$1,SMALL(Dong2,ROWS($1:63)),))</f>
        <v>42723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42723</v>
      </c>
      <c r="D74" s="234" t="str">
        <f ca="1">IF(ROWS($1:63)&gt;COUNT(Dong2),"",OFFSET(TH!F$1,SMALL(Dong2,ROWS($1:63)),))</f>
        <v>Thanh toán tiền điện</v>
      </c>
      <c r="E74" s="155" t="str">
        <f ca="1">IF(ROWS($1:63)&gt;COUNT(Dong2),"",IF(OFFSET(TH!M$1,SMALL(Dong2,ROWS($1:63)),)=$I$6,OFFSET(TH!L$1,SMALL(Dong2,ROWS($1:63)),),OFFSET(TH!M$1,SMALL(Dong2,ROWS($1:63)),)))</f>
        <v>1388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601">
        <f t="shared" ca="1" si="0"/>
        <v>1239391</v>
      </c>
      <c r="I74" s="468"/>
    </row>
    <row r="75" spans="1:9" s="144" customFormat="1" ht="18.75" customHeight="1">
      <c r="A75" s="155">
        <f ca="1">IF(ROWS($1:64)&gt;COUNT(Dong2),"",OFFSET(TH!C$1,SMALL(Dong2,ROWS($1:64)),))</f>
        <v>42723</v>
      </c>
      <c r="B75" s="155" t="str">
        <f ca="1">IF(ROWS($1:64)&gt;COUNT(Dong2),"",OFFSET(TH!D$1,SMALL(Dong2,ROWS($1:64)),))</f>
        <v>GBN</v>
      </c>
      <c r="C75" s="155">
        <f ca="1">IF(ROWS($1:64)&gt;COUNT(Dong2),"",OFFSET(TH!E$1,SMALL(Dong2,ROWS($1:64)),))</f>
        <v>42723</v>
      </c>
      <c r="D75" s="234" t="str">
        <f ca="1">IF(ROWS($1:64)&gt;COUNT(Dong2),"",OFFSET(TH!F$1,SMALL(Dong2,ROWS($1:64)),))</f>
        <v>Phí kiểm đếm</v>
      </c>
      <c r="E75" s="155" t="str">
        <f ca="1">IF(ROWS($1:64)&gt;COUNT(Dong2),"",IF(OFFSET(TH!M$1,SMALL(Dong2,ROWS($1:64)),)=$I$6,OFFSET(TH!L$1,SMALL(Dong2,ROWS($1:64)),),OFFSET(TH!M$1,SMALL(Dong2,ROWS($1:64)),)))</f>
        <v>642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601">
        <f t="shared" ca="1" si="0"/>
        <v>1219391</v>
      </c>
      <c r="I75" s="468"/>
    </row>
    <row r="76" spans="1:9" s="144" customFormat="1" ht="18.75" customHeight="1">
      <c r="A76" s="155">
        <f ca="1">IF(ROWS($1:65)&gt;COUNT(Dong2),"",OFFSET(TH!C$1,SMALL(Dong2,ROWS($1:65)),))</f>
        <v>42723</v>
      </c>
      <c r="B76" s="155" t="str">
        <f ca="1">IF(ROWS($1:65)&gt;COUNT(Dong2),"",OFFSET(TH!D$1,SMALL(Dong2,ROWS($1:65)),))</f>
        <v>GBN</v>
      </c>
      <c r="C76" s="155">
        <f ca="1">IF(ROWS($1:65)&gt;COUNT(Dong2),"",OFFSET(TH!E$1,SMALL(Dong2,ROWS($1:65)),))</f>
        <v>42723</v>
      </c>
      <c r="D76" s="234" t="str">
        <f ca="1">IF(ROWS($1:65)&gt;COUNT(Dong2),"",OFFSET(TH!F$1,SMALL(Dong2,ROWS($1:65)),))</f>
        <v>VAT Phí kiểm đếm</v>
      </c>
      <c r="E76" s="155" t="str">
        <f ca="1">IF(ROWS($1:65)&gt;COUNT(Dong2),"",IF(OFFSET(TH!M$1,SMALL(Dong2,ROWS($1:65)),)=$I$6,OFFSET(TH!L$1,SMALL(Dong2,ROWS($1:65)),),OFFSET(TH!M$1,SMALL(Dong2,ROWS($1:65)),)))</f>
        <v>1331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601">
        <f t="shared" ca="1" si="0"/>
        <v>1217391</v>
      </c>
      <c r="I76" s="468"/>
    </row>
    <row r="77" spans="1:9" s="144" customFormat="1" ht="18.75" customHeight="1">
      <c r="A77" s="155">
        <f ca="1">IF(ROWS($1:66)&gt;COUNT(Dong2),"",OFFSET(TH!C$1,SMALL(Dong2,ROWS($1:66)),))</f>
        <v>42724</v>
      </c>
      <c r="B77" s="155" t="str">
        <f ca="1">IF(ROWS($1:66)&gt;COUNT(Dong2),"",OFFSET(TH!D$1,SMALL(Dong2,ROWS($1:66)),))</f>
        <v>GBC</v>
      </c>
      <c r="C77" s="155">
        <f ca="1">IF(ROWS($1:66)&gt;COUNT(Dong2),"",OFFSET(TH!E$1,SMALL(Dong2,ROWS($1:66)),))</f>
        <v>42724</v>
      </c>
      <c r="D77" s="234" t="str">
        <f ca="1">IF(ROWS($1:66)&gt;COUNT(Dong2),"",OFFSET(TH!F$1,SMALL(Dong2,ROWS($1:66)),))</f>
        <v>Nộp tiền mặt</v>
      </c>
      <c r="E77" s="155" t="str">
        <f ca="1">IF(ROWS($1:66)&gt;COUNT(Dong2),"",IF(OFFSET(TH!M$1,SMALL(Dong2,ROWS($1:66)),)=$I$6,OFFSET(TH!L$1,SMALL(Dong2,ROWS($1:66)),),OFFSET(TH!M$1,SMALL(Dong2,ROWS($1:66)),)))</f>
        <v>1111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601">
        <f t="shared" ref="H77:H90" ca="1" si="1">IF(A77&lt;&gt;"",H76+F77-G77,0)</f>
        <v>31217391</v>
      </c>
      <c r="I77" s="468"/>
    </row>
    <row r="78" spans="1:9" s="144" customFormat="1" ht="18.75" customHeight="1">
      <c r="A78" s="155">
        <f ca="1">IF(ROWS($1:67)&gt;COUNT(Dong2),"",OFFSET(TH!C$1,SMALL(Dong2,ROWS($1:67)),))</f>
        <v>42724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42724</v>
      </c>
      <c r="D78" s="234" t="str">
        <f ca="1">IF(ROWS($1:67)&gt;COUNT(Dong2),"",OFFSET(TH!F$1,SMALL(Dong2,ROWS($1:67)),))</f>
        <v>Thanh toán tiền hàng</v>
      </c>
      <c r="E78" s="155" t="str">
        <f ca="1">IF(ROWS($1:67)&gt;COUNT(Dong2),"",IF(OFFSET(TH!M$1,SMALL(Dong2,ROWS($1:67)),)=$I$6,OFFSET(TH!L$1,SMALL(Dong2,ROWS($1:67)),),OFFSET(TH!M$1,SMALL(Dong2,ROWS($1:67)),)))</f>
        <v>331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601">
        <f t="shared" ca="1" si="1"/>
        <v>1217391</v>
      </c>
      <c r="I78" s="468"/>
    </row>
    <row r="79" spans="1:9" s="144" customFormat="1" ht="18.75" customHeight="1">
      <c r="A79" s="155">
        <f ca="1">IF(ROWS($1:68)&gt;COUNT(Dong2),"",OFFSET(TH!C$1,SMALL(Dong2,ROWS($1:68)),))</f>
        <v>42724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42724</v>
      </c>
      <c r="D79" s="234" t="str">
        <f ca="1">IF(ROWS($1:68)&gt;COUNT(Dong2),"",OFFSET(TH!F$1,SMALL(Dong2,ROWS($1:68)),))</f>
        <v>Phí chuyển tiền</v>
      </c>
      <c r="E79" s="155" t="str">
        <f ca="1">IF(ROWS($1:68)&gt;COUNT(Dong2),"",IF(OFFSET(TH!M$1,SMALL(Dong2,ROWS($1:68)),)=$I$6,OFFSET(TH!L$1,SMALL(Dong2,ROWS($1:68)),),OFFSET(TH!M$1,SMALL(Dong2,ROWS($1:68)),)))</f>
        <v>642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601">
        <f t="shared" ca="1" si="1"/>
        <v>1197391</v>
      </c>
      <c r="I79" s="468"/>
    </row>
    <row r="80" spans="1:9" s="144" customFormat="1" ht="18.75" customHeight="1">
      <c r="A80" s="155">
        <f ca="1">IF(ROWS($1:69)&gt;COUNT(Dong2),"",OFFSET(TH!C$1,SMALL(Dong2,ROWS($1:69)),))</f>
        <v>42724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42724</v>
      </c>
      <c r="D80" s="234" t="str">
        <f ca="1">IF(ROWS($1:69)&gt;COUNT(Dong2),"",OFFSET(TH!F$1,SMALL(Dong2,ROWS($1:69)),))</f>
        <v>VAT Phí chuyển tiền</v>
      </c>
      <c r="E80" s="155" t="str">
        <f ca="1">IF(ROWS($1:69)&gt;COUNT(Dong2),"",IF(OFFSET(TH!M$1,SMALL(Dong2,ROWS($1:69)),)=$I$6,OFFSET(TH!L$1,SMALL(Dong2,ROWS($1:69)),),OFFSET(TH!M$1,SMALL(Dong2,ROWS($1:69)),)))</f>
        <v>1331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601">
        <f t="shared" ca="1" si="1"/>
        <v>1195391</v>
      </c>
      <c r="I80" s="468"/>
    </row>
    <row r="81" spans="1:21" s="144" customFormat="1" ht="18.75" customHeight="1">
      <c r="A81" s="155">
        <f ca="1">IF(ROWS($1:70)&gt;COUNT(Dong2),"",OFFSET(TH!C$1,SMALL(Dong2,ROWS($1:70)),))</f>
        <v>42724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42724</v>
      </c>
      <c r="D81" s="234" t="str">
        <f ca="1">IF(ROWS($1:70)&gt;COUNT(Dong2),"",OFFSET(TH!F$1,SMALL(Dong2,ROWS($1:70)),))</f>
        <v>Phí kiểm đếm</v>
      </c>
      <c r="E81" s="155" t="str">
        <f ca="1">IF(ROWS($1:70)&gt;COUNT(Dong2),"",IF(OFFSET(TH!M$1,SMALL(Dong2,ROWS($1:70)),)=$I$6,OFFSET(TH!L$1,SMALL(Dong2,ROWS($1:70)),),OFFSET(TH!M$1,SMALL(Dong2,ROWS($1:70)),)))</f>
        <v>642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601">
        <f t="shared" ca="1" si="1"/>
        <v>1175391</v>
      </c>
      <c r="I81" s="468"/>
    </row>
    <row r="82" spans="1:21" s="144" customFormat="1" ht="18.75" customHeight="1">
      <c r="A82" s="155">
        <f ca="1">IF(ROWS($1:71)&gt;COUNT(Dong2),"",OFFSET(TH!C$1,SMALL(Dong2,ROWS($1:71)),))</f>
        <v>42724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42724</v>
      </c>
      <c r="D82" s="234" t="str">
        <f ca="1">IF(ROWS($1:71)&gt;COUNT(Dong2),"",OFFSET(TH!F$1,SMALL(Dong2,ROWS($1:71)),))</f>
        <v>VAT Phí kiểm đếm</v>
      </c>
      <c r="E82" s="155" t="str">
        <f ca="1">IF(ROWS($1:71)&gt;COUNT(Dong2),"",IF(OFFSET(TH!M$1,SMALL(Dong2,ROWS($1:71)),)=$I$6,OFFSET(TH!L$1,SMALL(Dong2,ROWS($1:71)),),OFFSET(TH!M$1,SMALL(Dong2,ROWS($1:71)),)))</f>
        <v>1331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601">
        <f t="shared" ca="1" si="1"/>
        <v>1173391</v>
      </c>
      <c r="I82" s="468"/>
    </row>
    <row r="83" spans="1:21" s="144" customFormat="1" ht="18.75" customHeight="1">
      <c r="A83" s="155">
        <f ca="1">IF(ROWS($1:72)&gt;COUNT(Dong2),"",OFFSET(TH!C$1,SMALL(Dong2,ROWS($1:72)),))</f>
        <v>42726</v>
      </c>
      <c r="B83" s="155" t="str">
        <f ca="1">IF(ROWS($1:72)&gt;COUNT(Dong2),"",OFFSET(TH!D$1,SMALL(Dong2,ROWS($1:72)),))</f>
        <v>GBC</v>
      </c>
      <c r="C83" s="155">
        <f ca="1">IF(ROWS($1:72)&gt;COUNT(Dong2),"",OFFSET(TH!E$1,SMALL(Dong2,ROWS($1:72)),))</f>
        <v>42726</v>
      </c>
      <c r="D83" s="234" t="str">
        <f ca="1">IF(ROWS($1:72)&gt;COUNT(Dong2),"",OFFSET(TH!F$1,SMALL(Dong2,ROWS($1:72)),))</f>
        <v>Hoàn trả lệnh chuyển tiền do sai tên</v>
      </c>
      <c r="E83" s="155" t="str">
        <f ca="1">IF(ROWS($1:72)&gt;COUNT(Dong2),"",IF(OFFSET(TH!M$1,SMALL(Dong2,ROWS($1:72)),)=$I$6,OFFSET(TH!L$1,SMALL(Dong2,ROWS($1:72)),),OFFSET(TH!M$1,SMALL(Dong2,ROWS($1:72)),)))</f>
        <v>1388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601">
        <f t="shared" ca="1" si="1"/>
        <v>12460161</v>
      </c>
      <c r="I83" s="468"/>
    </row>
    <row r="84" spans="1:21" s="144" customFormat="1" ht="18.75" customHeight="1">
      <c r="A84" s="155">
        <f ca="1">IF(ROWS($1:73)&gt;COUNT(Dong2),"",OFFSET(TH!C$1,SMALL(Dong2,ROWS($1:73)),))</f>
        <v>42726</v>
      </c>
      <c r="B84" s="155" t="str">
        <f ca="1">IF(ROWS($1:73)&gt;COUNT(Dong2),"",OFFSET(TH!D$1,SMALL(Dong2,ROWS($1:73)),))</f>
        <v>GBN</v>
      </c>
      <c r="C84" s="155">
        <f ca="1">IF(ROWS($1:73)&gt;COUNT(Dong2),"",OFFSET(TH!E$1,SMALL(Dong2,ROWS($1:73)),))</f>
        <v>42726</v>
      </c>
      <c r="D84" s="234" t="str">
        <f ca="1">IF(ROWS($1:73)&gt;COUNT(Dong2),"",OFFSET(TH!F$1,SMALL(Dong2,ROWS($1:73)),))</f>
        <v>Rút tiền mặt</v>
      </c>
      <c r="E84" s="155" t="str">
        <f ca="1">IF(ROWS($1:73)&gt;COUNT(Dong2),"",IF(OFFSET(TH!M$1,SMALL(Dong2,ROWS($1:73)),)=$I$6,OFFSET(TH!L$1,SMALL(Dong2,ROWS($1:73)),),OFFSET(TH!M$1,SMALL(Dong2,ROWS($1:73)),)))</f>
        <v>1111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601">
        <f t="shared" ca="1" si="1"/>
        <v>1160161</v>
      </c>
      <c r="I84" s="468"/>
    </row>
    <row r="85" spans="1:21" s="144" customFormat="1" ht="18.75" customHeight="1">
      <c r="A85" s="155">
        <f ca="1">IF(ROWS($1:74)&gt;COUNT(Dong2),"",OFFSET(TH!C$1,SMALL(Dong2,ROWS($1:74)),))</f>
        <v>42731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42731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1">
        <f t="shared" ca="1" si="1"/>
        <v>6849801</v>
      </c>
      <c r="I85" s="468"/>
    </row>
    <row r="86" spans="1:21" s="144" customFormat="1" ht="18.75" customHeight="1">
      <c r="A86" s="155">
        <f ca="1">IF(ROWS($1:75)&gt;COUNT(Dong2),"",OFFSET(TH!C$1,SMALL(Dong2,ROWS($1:75)),))</f>
        <v>42732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42732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601">
        <f t="shared" ca="1" si="1"/>
        <v>1349801</v>
      </c>
      <c r="I86" s="468"/>
    </row>
    <row r="87" spans="1:21" s="144" customFormat="1" ht="18.75" customHeight="1">
      <c r="A87" s="155">
        <f ca="1">IF(ROWS($1:76)&gt;COUNT(Dong2),"",OFFSET(TH!C$1,SMALL(Dong2,ROWS($1:76)),))</f>
        <v>42733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42733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1">
        <f t="shared" ca="1" si="1"/>
        <v>10843901</v>
      </c>
      <c r="I87" s="468"/>
    </row>
    <row r="88" spans="1:21" s="144" customFormat="1" ht="18.75" customHeight="1">
      <c r="A88" s="155">
        <f ca="1">IF(ROWS($1:77)&gt;COUNT(Dong2),"",OFFSET(TH!C$1,SMALL(Dong2,ROWS($1:77)),))</f>
        <v>42734</v>
      </c>
      <c r="B88" s="155" t="str">
        <f ca="1">IF(ROWS($1:77)&gt;COUNT(Dong2),"",OFFSET(TH!D$1,SMALL(Dong2,ROWS($1:77)),))</f>
        <v>GBC</v>
      </c>
      <c r="C88" s="155">
        <f ca="1">IF(ROWS($1:77)&gt;COUNT(Dong2),"",OFFSET(TH!E$1,SMALL(Dong2,ROWS($1:77)),))</f>
        <v>42734</v>
      </c>
      <c r="D88" s="234" t="str">
        <f ca="1">IF(ROWS($1:77)&gt;COUNT(Dong2),"",OFFSET(TH!F$1,SMALL(Dong2,ROWS($1:77)),))</f>
        <v>Thu tiền hàng</v>
      </c>
      <c r="E88" s="155" t="str">
        <f ca="1">IF(ROWS($1:77)&gt;COUNT(Dong2),"",IF(OFFSET(TH!M$1,SMALL(Dong2,ROWS($1:77)),)=$I$6,OFFSET(TH!L$1,SMALL(Dong2,ROWS($1:77)),),OFFSET(TH!M$1,SMALL(Dong2,ROWS($1:77)),)))</f>
        <v>131</v>
      </c>
      <c r="F88" s="471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471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601">
        <f t="shared" ca="1" si="1"/>
        <v>25638188</v>
      </c>
      <c r="I88" s="468"/>
    </row>
    <row r="89" spans="1:21" s="144" customFormat="1" ht="18.75" customHeight="1">
      <c r="A89" s="155">
        <f ca="1">IF(ROWS($1:78)&gt;COUNT(Dong2),"",OFFSET(TH!C$1,SMALL(Dong2,ROWS($1:78)),))</f>
        <v>42734</v>
      </c>
      <c r="B89" s="155" t="str">
        <f ca="1">IF(ROWS($1:78)&gt;COUNT(Dong2),"",OFFSET(TH!D$1,SMALL(Dong2,ROWS($1:78)),))</f>
        <v>GBN</v>
      </c>
      <c r="C89" s="155">
        <f ca="1">IF(ROWS($1:78)&gt;COUNT(Dong2),"",OFFSET(TH!E$1,SMALL(Dong2,ROWS($1:78)),))</f>
        <v>42734</v>
      </c>
      <c r="D89" s="234" t="str">
        <f ca="1">IF(ROWS($1:78)&gt;COUNT(Dong2),"",OFFSET(TH!F$1,SMALL(Dong2,ROWS($1:78)),))</f>
        <v>Rút tiền mặt</v>
      </c>
      <c r="E89" s="155" t="str">
        <f ca="1">IF(ROWS($1:78)&gt;COUNT(Dong2),"",IF(OFFSET(TH!M$1,SMALL(Dong2,ROWS($1:78)),)=$I$6,OFFSET(TH!L$1,SMALL(Dong2,ROWS($1:78)),),OFFSET(TH!M$1,SMALL(Dong2,ROWS($1:78)),)))</f>
        <v>1111</v>
      </c>
      <c r="F89" s="471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471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601">
        <f t="shared" ca="1" si="1"/>
        <v>16138188</v>
      </c>
      <c r="I89" s="468"/>
    </row>
    <row r="90" spans="1:21" s="144" customFormat="1" ht="18.75" customHeight="1">
      <c r="A90" s="155">
        <f ca="1">IF(ROWS($1:79)&gt;COUNT(Dong2),"",OFFSET(TH!C$1,SMALL(Dong2,ROWS($1:79)),))</f>
        <v>42735</v>
      </c>
      <c r="B90" s="155" t="str">
        <f ca="1">IF(ROWS($1:79)&gt;COUNT(Dong2),"",OFFSET(TH!D$1,SMALL(Dong2,ROWS($1:79)),))</f>
        <v>GBC</v>
      </c>
      <c r="C90" s="155">
        <f ca="1">IF(ROWS($1:79)&gt;COUNT(Dong2),"",OFFSET(TH!E$1,SMALL(Dong2,ROWS($1:79)),))</f>
        <v>42735</v>
      </c>
      <c r="D90" s="234" t="str">
        <f ca="1">IF(ROWS($1:79)&gt;COUNT(Dong2),"",OFFSET(TH!F$1,SMALL(Dong2,ROWS($1:79)),))</f>
        <v>Lãi tiền gửi</v>
      </c>
      <c r="E90" s="155" t="str">
        <f ca="1">IF(ROWS($1:79)&gt;COUNT(Dong2),"",IF(OFFSET(TH!M$1,SMALL(Dong2,ROWS($1:79)),)=$I$6,OFFSET(TH!L$1,SMALL(Dong2,ROWS($1:79)),),OFFSET(TH!M$1,SMALL(Dong2,ROWS($1:79)),)))</f>
        <v>515</v>
      </c>
      <c r="F90" s="471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471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601">
        <f t="shared" ca="1" si="1"/>
        <v>16140937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638553623</v>
      </c>
      <c r="G92" s="470">
        <f ca="1">SUM(G12:G91)</f>
        <v>642772770</v>
      </c>
      <c r="H92" s="470">
        <f ca="1">H11+F92-G92</f>
        <v>16140937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16140937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1"/>
  <sheetViews>
    <sheetView showZeros="0" topLeftCell="A4" workbookViewId="0">
      <pane ySplit="2" topLeftCell="A21" activePane="bottomLeft" state="frozen"/>
      <selection activeCell="A4" sqref="A4"/>
      <selection pane="bottomLeft" activeCell="B35" sqref="B35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6" t="str">
        <f>TH!$A$1</f>
        <v>Đơn vị: CÔNG TY TNHH BAO BÌ GIẤY KIM DUNG PHÁT</v>
      </c>
    </row>
    <row r="2" spans="1:8">
      <c r="A2" s="817" t="str">
        <f>TH!$A$2</f>
        <v>Địa chỉ: Ấp Rừng Sến, xã Mỹ Hạnh Bắc, Huyện Đức Hòa, Tỉnh Long An, Việt Nam</v>
      </c>
    </row>
    <row r="3" spans="1:8" ht="27" customHeight="1">
      <c r="A3" s="1013" t="s">
        <v>336</v>
      </c>
      <c r="B3" s="1013"/>
      <c r="C3" s="1013"/>
      <c r="D3" s="1013"/>
      <c r="E3" s="1013"/>
      <c r="F3" s="1013"/>
      <c r="G3" s="1013"/>
      <c r="H3" s="1013"/>
    </row>
    <row r="4" spans="1:8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8" s="10" customFormat="1" ht="14.25" customHeight="1">
      <c r="A5" s="1015"/>
      <c r="B5" s="1017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45" si="0">IF(B6&lt;&gt;"",ROW()-5,"")</f>
        <v>1</v>
      </c>
      <c r="B6" s="7" t="s">
        <v>676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8" si="1">ROUND(MAX(C6+E6-D6-F6,0),2)</f>
        <v>2485890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412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415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410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0</v>
      </c>
      <c r="G10" s="54">
        <f t="shared" si="1"/>
        <v>81035035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409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408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4">
        <f t="shared" si="1"/>
        <v>0</v>
      </c>
      <c r="H13" s="774">
        <f t="shared" si="2"/>
        <v>0</v>
      </c>
    </row>
    <row r="14" spans="1:8" s="10" customFormat="1" ht="16.5" customHeight="1">
      <c r="A14" s="6">
        <f t="shared" si="0"/>
        <v>9</v>
      </c>
      <c r="B14" s="7" t="s">
        <v>565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4">
        <f t="shared" si="1"/>
        <v>0</v>
      </c>
      <c r="H14" s="77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678</v>
      </c>
      <c r="C15" s="8"/>
      <c r="D15" s="8"/>
      <c r="E15" s="8">
        <f t="array" ref="E15">SUM(IF("131"&amp;B15=KHN&amp;KH,TH))</f>
        <v>31846430</v>
      </c>
      <c r="F15" s="8">
        <f t="array" ref="F15">SUM(IF("131"&amp;B15=KHC&amp;KH,TH))</f>
        <v>0</v>
      </c>
      <c r="G15" s="774">
        <f t="shared" si="1"/>
        <v>31846430</v>
      </c>
      <c r="H15" s="774">
        <f t="shared" si="2"/>
        <v>0</v>
      </c>
    </row>
    <row r="16" spans="1:8" s="10" customFormat="1" ht="16.5" customHeight="1">
      <c r="A16" s="6">
        <f t="shared" si="0"/>
        <v>11</v>
      </c>
      <c r="B16" s="7" t="s">
        <v>677</v>
      </c>
      <c r="C16" s="8"/>
      <c r="D16" s="8"/>
      <c r="E16" s="8">
        <f t="array" ref="E16">SUM(IF("131"&amp;B16=KHN&amp;KH,TH))</f>
        <v>31987175</v>
      </c>
      <c r="F16" s="8">
        <f t="array" ref="F16">SUM(IF("131"&amp;B16=KHC&amp;KH,TH))</f>
        <v>0</v>
      </c>
      <c r="G16" s="774">
        <f t="shared" si="1"/>
        <v>31987175</v>
      </c>
      <c r="H16" s="774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554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4">
        <f t="shared" si="1"/>
        <v>0</v>
      </c>
      <c r="H17" s="774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603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4">
        <f t="shared" si="1"/>
        <v>0</v>
      </c>
      <c r="H18" s="774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407</v>
      </c>
      <c r="C19" s="8"/>
      <c r="D19" s="8"/>
      <c r="E19" s="8">
        <f t="array" ref="E19">SUM(IF("131"&amp;B19=KHN&amp;KH,TH))</f>
        <v>44756030</v>
      </c>
      <c r="F19" s="8">
        <f t="array" ref="F19">SUM(IF("131"&amp;B19=KHC&amp;KH,TH))</f>
        <v>0</v>
      </c>
      <c r="G19" s="774">
        <f t="shared" si="1"/>
        <v>44756030</v>
      </c>
      <c r="H19" s="77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675</v>
      </c>
      <c r="C20" s="8"/>
      <c r="D20" s="8"/>
      <c r="E20" s="8">
        <f t="array" ref="E20">SUM(IF("131"&amp;B20=KHN&amp;KH,TH))</f>
        <v>12281500</v>
      </c>
      <c r="F20" s="8">
        <f t="array" ref="F20">SUM(IF("131"&amp;B20=KHC&amp;KH,TH))</f>
        <v>5929000</v>
      </c>
      <c r="G20" s="774">
        <f t="shared" si="1"/>
        <v>6352500</v>
      </c>
      <c r="H20" s="774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584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4">
        <f t="shared" si="1"/>
        <v>30625892</v>
      </c>
      <c r="H21" s="774">
        <f t="shared" si="2"/>
        <v>0</v>
      </c>
    </row>
    <row r="22" spans="1:8" s="10" customFormat="1" ht="16.5" customHeight="1">
      <c r="A22" s="6">
        <f t="shared" si="0"/>
        <v>17</v>
      </c>
      <c r="B22" s="7" t="s">
        <v>680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4">
        <f t="shared" si="1"/>
        <v>12640100</v>
      </c>
      <c r="H22" s="774">
        <f t="shared" si="2"/>
        <v>0</v>
      </c>
    </row>
    <row r="23" spans="1:8" s="10" customFormat="1" ht="16.5" customHeight="1">
      <c r="A23" s="6">
        <f t="shared" si="0"/>
        <v>18</v>
      </c>
      <c r="B23" s="7" t="s">
        <v>610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4">
        <f t="shared" si="1"/>
        <v>0</v>
      </c>
      <c r="H23" s="774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681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4">
        <f t="shared" si="1"/>
        <v>0</v>
      </c>
      <c r="H24" s="77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682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4">
        <f t="shared" si="1"/>
        <v>22867790</v>
      </c>
      <c r="H25" s="774">
        <f t="shared" si="2"/>
        <v>0</v>
      </c>
    </row>
    <row r="26" spans="1:8" s="10" customFormat="1" ht="16.5" customHeight="1">
      <c r="A26" s="6">
        <f t="shared" si="0"/>
        <v>21</v>
      </c>
      <c r="B26" s="7" t="s">
        <v>683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9237800</v>
      </c>
      <c r="G26" s="774">
        <f t="shared" si="1"/>
        <v>0</v>
      </c>
      <c r="H26" s="774">
        <f t="shared" si="2"/>
        <v>0</v>
      </c>
    </row>
    <row r="27" spans="1:8" s="10" customFormat="1" ht="16.5" customHeight="1">
      <c r="A27" s="6">
        <f t="shared" si="0"/>
        <v>22</v>
      </c>
      <c r="B27" s="7" t="s">
        <v>414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4">
        <f t="shared" si="1"/>
        <v>19338000</v>
      </c>
      <c r="H27" s="774">
        <f t="shared" si="2"/>
        <v>0</v>
      </c>
    </row>
    <row r="28" spans="1:8" s="10" customFormat="1" ht="16.5" customHeight="1">
      <c r="A28" s="6">
        <f t="shared" si="0"/>
        <v>23</v>
      </c>
      <c r="B28" s="7" t="s">
        <v>679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4">
        <f t="shared" si="1"/>
        <v>0</v>
      </c>
      <c r="H28" s="774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745</v>
      </c>
      <c r="C29" s="8"/>
      <c r="D29" s="8"/>
      <c r="E29" s="8">
        <f t="array" ref="E29">SUM(IF("131"&amp;B29=KHN&amp;KH,TH))</f>
        <v>329035740</v>
      </c>
      <c r="F29" s="8">
        <f t="array" ref="F29">SUM(IF("131"&amp;B29=KHC&amp;KH,TH))</f>
        <v>175296000</v>
      </c>
      <c r="G29" s="774">
        <f t="shared" ref="G29:G32" si="3">ROUND(MAX(C29+E29-D29-F29,0),2)</f>
        <v>153739740</v>
      </c>
      <c r="H29" s="774">
        <f t="shared" ref="H29:H32" si="4">ROUND(MAX(D29+F29-C29-E29,0),2)</f>
        <v>0</v>
      </c>
    </row>
    <row r="30" spans="1:8" s="10" customFormat="1" ht="16.5" customHeight="1">
      <c r="A30" s="6">
        <f t="shared" si="0"/>
        <v>25</v>
      </c>
      <c r="B30" s="209" t="s">
        <v>888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4">
        <f t="shared" si="3"/>
        <v>0</v>
      </c>
      <c r="H30" s="774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752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4">
        <f t="shared" si="3"/>
        <v>6619800</v>
      </c>
      <c r="H31" s="77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879</v>
      </c>
      <c r="C32" s="8"/>
      <c r="D32" s="8"/>
      <c r="E32" s="8">
        <f t="array" ref="E32">SUM(IF("131"&amp;B32=KHN&amp;KH,TH))</f>
        <v>488167350</v>
      </c>
      <c r="F32" s="8">
        <f t="array" ref="F32">SUM(IF("131"&amp;B32=KHC&amp;KH,TH))</f>
        <v>488167350</v>
      </c>
      <c r="G32" s="774">
        <f t="shared" si="3"/>
        <v>0</v>
      </c>
      <c r="H32" s="774">
        <f t="shared" si="4"/>
        <v>0</v>
      </c>
    </row>
    <row r="33" spans="1:8" s="10" customFormat="1" ht="16.5" customHeight="1">
      <c r="A33" s="6">
        <f t="shared" si="0"/>
        <v>28</v>
      </c>
      <c r="B33" s="7" t="s">
        <v>896</v>
      </c>
      <c r="C33" s="8"/>
      <c r="D33" s="8"/>
      <c r="E33" s="8">
        <f t="array" ref="E33">SUM(IF("131"&amp;B33=KHN&amp;KH,TH))</f>
        <v>15576000</v>
      </c>
      <c r="F33" s="8">
        <f t="array" ref="F33">SUM(IF("131"&amp;B33=KHC&amp;KH,TH))</f>
        <v>15576000</v>
      </c>
      <c r="G33" s="774">
        <f t="shared" ref="G33:G38" si="5">ROUND(MAX(C33+E33-D33-F33,0),2)</f>
        <v>0</v>
      </c>
      <c r="H33" s="774">
        <f t="shared" ref="H33:H38" si="6">ROUND(MAX(D33+F33-C33-E33,0),2)</f>
        <v>0</v>
      </c>
    </row>
    <row r="34" spans="1:8" s="10" customFormat="1" ht="16.5" customHeight="1">
      <c r="A34" s="6">
        <f t="shared" si="0"/>
        <v>29</v>
      </c>
      <c r="B34" s="7" t="s">
        <v>900</v>
      </c>
      <c r="C34" s="8"/>
      <c r="D34" s="8"/>
      <c r="E34" s="8">
        <f t="array" ref="E34">SUM(IF("131"&amp;B34=KHN&amp;KH,TH))</f>
        <v>4913700</v>
      </c>
      <c r="F34" s="8">
        <f t="array" ref="F34">SUM(IF("131"&amp;B34=KHC&amp;KH,TH))</f>
        <v>0</v>
      </c>
      <c r="G34" s="774">
        <f t="shared" si="5"/>
        <v>4913700</v>
      </c>
      <c r="H34" s="774">
        <f t="shared" si="6"/>
        <v>0</v>
      </c>
    </row>
    <row r="35" spans="1:8" s="10" customFormat="1" ht="16.5" customHeight="1">
      <c r="A35" s="6">
        <f t="shared" si="0"/>
        <v>30</v>
      </c>
      <c r="B35" s="7" t="s">
        <v>911</v>
      </c>
      <c r="C35" s="8"/>
      <c r="D35" s="8"/>
      <c r="E35" s="8">
        <f t="array" ref="E35">SUM(IF("131"&amp;B35=KHN&amp;KH,TH))</f>
        <v>41245518</v>
      </c>
      <c r="F35" s="8">
        <f t="array" ref="F35">SUM(IF("131"&amp;B35=KHC&amp;KH,TH))</f>
        <v>14794287</v>
      </c>
      <c r="G35" s="774">
        <f t="shared" si="5"/>
        <v>26451231</v>
      </c>
      <c r="H35" s="774">
        <f t="shared" si="6"/>
        <v>0</v>
      </c>
    </row>
    <row r="36" spans="1:8" s="10" customFormat="1" ht="16.5" customHeight="1">
      <c r="A36" s="6">
        <f t="shared" si="0"/>
        <v>31</v>
      </c>
      <c r="B36" s="7" t="s">
        <v>959</v>
      </c>
      <c r="C36" s="8"/>
      <c r="D36" s="8"/>
      <c r="E36" s="8">
        <f t="array" ref="E36">SUM(IF("131"&amp;B36=KHN&amp;KH,TH))</f>
        <v>1901900</v>
      </c>
      <c r="F36" s="8">
        <f t="array" ref="F36">SUM(IF("131"&amp;B36=KHC&amp;KH,TH))</f>
        <v>9494100</v>
      </c>
      <c r="G36" s="774">
        <f t="shared" si="5"/>
        <v>0</v>
      </c>
      <c r="H36" s="774">
        <f t="shared" si="6"/>
        <v>7592200</v>
      </c>
    </row>
    <row r="37" spans="1:8" s="10" customFormat="1" ht="16.5" customHeight="1">
      <c r="A37" s="6">
        <f t="shared" si="0"/>
        <v>32</v>
      </c>
      <c r="B37" s="209" t="s">
        <v>963</v>
      </c>
      <c r="C37" s="8"/>
      <c r="D37" s="8"/>
      <c r="E37" s="8">
        <f t="array" ref="E37">SUM(IF("131"&amp;B37=KHN&amp;KH,TH))</f>
        <v>3146220</v>
      </c>
      <c r="F37" s="8">
        <f t="array" ref="F37">SUM(IF("131"&amp;B37=KHC&amp;KH,TH))</f>
        <v>0</v>
      </c>
      <c r="G37" s="774">
        <f t="shared" si="5"/>
        <v>3146220</v>
      </c>
      <c r="H37" s="774">
        <f t="shared" si="6"/>
        <v>0</v>
      </c>
    </row>
    <row r="38" spans="1:8" s="10" customFormat="1" ht="16.5" customHeight="1">
      <c r="A38" s="6">
        <f t="shared" si="0"/>
        <v>33</v>
      </c>
      <c r="B38" s="7" t="s">
        <v>986</v>
      </c>
      <c r="C38" s="8"/>
      <c r="D38" s="8"/>
      <c r="E38" s="8">
        <f t="array" ref="E38">SUM(IF("131"&amp;B38=KHN&amp;KH,TH))</f>
        <v>11416900</v>
      </c>
      <c r="F38" s="8">
        <f t="array" ref="F38">SUM(IF("131"&amp;B38=KHC&amp;KH,TH))</f>
        <v>0</v>
      </c>
      <c r="G38" s="774">
        <f t="shared" si="5"/>
        <v>11416900</v>
      </c>
      <c r="H38" s="774">
        <f t="shared" si="6"/>
        <v>0</v>
      </c>
    </row>
    <row r="39" spans="1:8" s="10" customFormat="1" ht="16.5" customHeight="1">
      <c r="A39" s="6">
        <f t="shared" si="0"/>
        <v>34</v>
      </c>
      <c r="B39" s="7" t="s">
        <v>1000</v>
      </c>
      <c r="C39" s="8"/>
      <c r="D39" s="8"/>
      <c r="E39" s="8">
        <f t="array" ref="E39">SUM(IF("131"&amp;B39=KHN&amp;KH,TH))</f>
        <v>3217500</v>
      </c>
      <c r="F39" s="8">
        <f t="array" ref="F39">SUM(IF("131"&amp;B39=KHC&amp;KH,TH))</f>
        <v>0</v>
      </c>
      <c r="G39" s="774">
        <f t="shared" ref="G39:G44" si="7">ROUND(MAX(C39+E39-D39-F39,0),2)</f>
        <v>3217500</v>
      </c>
      <c r="H39" s="774">
        <f t="shared" ref="H39:H44" si="8">ROUND(MAX(D39+F39-C39-E39,0),2)</f>
        <v>0</v>
      </c>
    </row>
    <row r="40" spans="1:8" s="10" customFormat="1" ht="16.5" customHeight="1">
      <c r="A40" s="6">
        <f t="shared" si="0"/>
        <v>35</v>
      </c>
      <c r="B40" s="7" t="s">
        <v>1023</v>
      </c>
      <c r="C40" s="8"/>
      <c r="D40" s="8"/>
      <c r="E40" s="8">
        <f t="array" ref="E40">SUM(IF("131"&amp;B40=KHN&amp;KH,TH))</f>
        <v>15123108</v>
      </c>
      <c r="F40" s="8">
        <f t="array" ref="F40">SUM(IF("131"&amp;B40=KHC&amp;KH,TH))</f>
        <v>15123108</v>
      </c>
      <c r="G40" s="774">
        <f t="shared" si="7"/>
        <v>0</v>
      </c>
      <c r="H40" s="774">
        <f t="shared" si="8"/>
        <v>0</v>
      </c>
    </row>
    <row r="41" spans="1:8" s="10" customFormat="1" ht="16.5" customHeight="1">
      <c r="A41" s="6">
        <f t="shared" si="0"/>
        <v>36</v>
      </c>
      <c r="B41" s="7" t="s">
        <v>1027</v>
      </c>
      <c r="C41" s="8"/>
      <c r="D41" s="8"/>
      <c r="E41" s="8">
        <f t="array" ref="E41">SUM(IF("131"&amp;B41=KHN&amp;KH,TH))</f>
        <v>2895200</v>
      </c>
      <c r="F41" s="8">
        <f t="array" ref="F41">SUM(IF("131"&amp;B41=KHC&amp;KH,TH))</f>
        <v>0</v>
      </c>
      <c r="G41" s="774">
        <f t="shared" si="7"/>
        <v>2895200</v>
      </c>
      <c r="H41" s="774">
        <f t="shared" si="8"/>
        <v>0</v>
      </c>
    </row>
    <row r="42" spans="1:8" s="10" customFormat="1" ht="16.5" customHeight="1">
      <c r="A42" s="6" t="str">
        <f t="shared" si="0"/>
        <v/>
      </c>
      <c r="B42" s="7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74">
        <f t="shared" si="7"/>
        <v>0</v>
      </c>
      <c r="H42" s="774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74">
        <f t="shared" si="7"/>
        <v>0</v>
      </c>
      <c r="H43" s="774">
        <f t="shared" si="8"/>
        <v>0</v>
      </c>
    </row>
    <row r="44" spans="1:8" s="10" customFormat="1" ht="16.5" customHeight="1">
      <c r="A44" s="6" t="str">
        <f t="shared" si="0"/>
        <v/>
      </c>
      <c r="B44" s="7"/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74">
        <f t="shared" si="7"/>
        <v>0</v>
      </c>
      <c r="H44" s="774">
        <f t="shared" si="8"/>
        <v>0</v>
      </c>
    </row>
    <row r="45" spans="1:8" s="10" customFormat="1" ht="16.5" customHeight="1">
      <c r="A45" s="6" t="str">
        <f t="shared" si="0"/>
        <v/>
      </c>
      <c r="B45" s="43"/>
      <c r="C45" s="8"/>
      <c r="D45" s="8"/>
      <c r="E45" s="8"/>
      <c r="F45" s="8"/>
      <c r="G45" s="54"/>
      <c r="H45" s="54"/>
    </row>
    <row r="46" spans="1:8" s="14" customFormat="1" ht="14.25" customHeight="1">
      <c r="A46" s="11"/>
      <c r="B46" s="12" t="s">
        <v>39</v>
      </c>
      <c r="C46" s="13">
        <f t="shared" ref="C46:H46" si="9">SUM(C6:C45)</f>
        <v>0</v>
      </c>
      <c r="D46" s="13">
        <f t="shared" si="9"/>
        <v>0</v>
      </c>
      <c r="E46" s="13">
        <f t="shared" si="9"/>
        <v>1863372099</v>
      </c>
      <c r="F46" s="13">
        <f t="shared" si="9"/>
        <v>1263497849</v>
      </c>
      <c r="G46" s="13">
        <f t="shared" si="9"/>
        <v>607466450</v>
      </c>
      <c r="H46" s="13">
        <f t="shared" si="9"/>
        <v>7592200</v>
      </c>
    </row>
    <row r="47" spans="1:8">
      <c r="D47" s="182">
        <f>D46-CDPS!C15</f>
        <v>0</v>
      </c>
      <c r="E47" s="15">
        <f>E46-CDPS!E14</f>
        <v>0</v>
      </c>
      <c r="F47" s="15">
        <f>F46-CDPS!F14</f>
        <v>0</v>
      </c>
      <c r="G47" s="182">
        <f>G46-CDPS!G14-H46</f>
        <v>0</v>
      </c>
    </row>
    <row r="49" spans="5:8">
      <c r="E49" s="15"/>
      <c r="F49" s="1012" t="s">
        <v>685</v>
      </c>
      <c r="G49" s="1012"/>
      <c r="H49" s="1012"/>
    </row>
    <row r="50" spans="5:8">
      <c r="F50" s="1012" t="s">
        <v>109</v>
      </c>
      <c r="G50" s="1012"/>
      <c r="H50" s="1012"/>
    </row>
    <row r="51" spans="5:8">
      <c r="E51" s="182"/>
      <c r="F51" s="1012" t="s">
        <v>136</v>
      </c>
      <c r="G51" s="1012"/>
      <c r="H51" s="1012"/>
    </row>
  </sheetData>
  <sortState ref="A6:I94">
    <sortCondition ref="B6:B94"/>
  </sortState>
  <mergeCells count="9">
    <mergeCell ref="F49:H49"/>
    <mergeCell ref="F50:H50"/>
    <mergeCell ref="F51:H5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21" t="s">
        <v>46</v>
      </c>
      <c r="I1" s="1021"/>
      <c r="J1" s="1021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2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2"/>
      <c r="J2" s="1022"/>
    </row>
    <row r="3" spans="1:10" s="460" customFormat="1" ht="14.25" customHeight="1">
      <c r="A3" s="606"/>
      <c r="B3" s="604"/>
      <c r="C3" s="604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24" t="s">
        <v>676</v>
      </c>
      <c r="F7" s="1024"/>
      <c r="G7" s="1024"/>
      <c r="H7" s="1024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VLOOKUP($E$7,'131'!$B$6:$H$45,2,0)</f>
        <v>0</v>
      </c>
      <c r="J13" s="46">
        <f>VLOOKUP($E$7,'131'!$B$6:$H$45,3,0)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>
        <f ca="1">IF(ROWS($1:3)&gt;COUNT(Dong14),"",OFFSET(TH!D$1,SMALL(Dong14,ROWS($1:3)),))</f>
        <v>0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>
        <f ca="1">IF(ROWS($1:6)&gt;COUNT(Dong14),"",OFFSET(TH!D$1,SMALL(Dong14,ROWS($1:6)),))</f>
        <v>0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>
        <f ca="1">IF(ROWS($1:10)&gt;COUNT(Dong14),"",OFFSET(TH!D$1,SMALL(Dong14,ROWS($1:10)),))</f>
        <v>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>
        <f ca="1">IF(ROWS($1:13)&gt;COUNT(Dong14),"",OFFSET(TH!D$1,SMALL(Dong14,ROWS($1:13)),))</f>
        <v>0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42724</v>
      </c>
      <c r="B27" s="9" t="str">
        <f ca="1">IF(ROWS($1:14)&gt;COUNT(Dong14),"",OFFSET(TH!D$1,SMALL(Dong14,ROWS($1:14)),))</f>
        <v>TP/X48</v>
      </c>
      <c r="C27" s="9">
        <f ca="1">IF(ROWS($1:14)&gt;COUNT(Dong14),"",OFFSET(TH!E$1,SMALL(Dong14,ROWS($1:14)),))</f>
        <v>42724</v>
      </c>
      <c r="D27" s="225" t="str">
        <f ca="1">IF(ROWS($1:14)&gt;COUNT(Dong14),"",OFFSET(TH!F$1,SMALL(Dong14,ROWS($1:14)),))</f>
        <v>Giấy 2 lớp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2259900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2259900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42724</v>
      </c>
      <c r="B28" s="9" t="str">
        <f ca="1">IF(ROWS($1:15)&gt;COUNT(Dong14),"",OFFSET(TH!D$1,SMALL(Dong14,ROWS($1:15)),))</f>
        <v>TP/X48</v>
      </c>
      <c r="C28" s="9">
        <f ca="1">IF(ROWS($1:15)&gt;COUNT(Dong14),"",OFFSET(TH!E$1,SMALL(Dong14,ROWS($1:15)),))</f>
        <v>42724</v>
      </c>
      <c r="D28" s="225" t="str">
        <f ca="1">IF(ROWS($1:15)&gt;COUNT(Dong14),"",OFFSET(TH!F$1,SMALL(Dong14,ROWS($1:15)),))</f>
        <v>VAT Giấy carton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225990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2485890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10756570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2485890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78" t="str">
        <f ca="1">"Ngày 31 tháng  12  năm  "&amp;YEAR($A$14)</f>
        <v>Ngày 31 tháng  12  năm  2016</v>
      </c>
      <c r="F37" s="978"/>
      <c r="G37" s="978"/>
      <c r="H37" s="978"/>
      <c r="I37" s="978"/>
      <c r="J37" s="978"/>
    </row>
    <row r="38" spans="1:11" s="18" customFormat="1" ht="14.25" customHeight="1">
      <c r="C38" s="602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602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603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B9" sqref="B9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6" t="str">
        <f>TH!$A$1</f>
        <v>Đơn vị: CÔNG TY TNHH BAO BÌ GIẤY KIM DUNG PHÁT</v>
      </c>
    </row>
    <row r="2" spans="1:9">
      <c r="A2" s="817" t="str">
        <f>TH!$A$2</f>
        <v>Địa chỉ: Ấp Rừng Sến, xã Mỹ Hạnh Bắc, Huyện Đức Hòa, Tỉnh Long An, Việt Nam</v>
      </c>
    </row>
    <row r="3" spans="1:9" ht="27" customHeight="1">
      <c r="A3" s="1013" t="s">
        <v>102</v>
      </c>
      <c r="B3" s="1013"/>
      <c r="C3" s="1013"/>
      <c r="D3" s="1013"/>
      <c r="E3" s="1013"/>
      <c r="F3" s="1013"/>
      <c r="G3" s="1013"/>
      <c r="H3" s="1013"/>
    </row>
    <row r="4" spans="1:9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9" s="10" customFormat="1" ht="14.25" customHeight="1">
      <c r="A5" s="1015"/>
      <c r="B5" s="1017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456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204784380</v>
      </c>
      <c r="I6" s="10" t="str">
        <f>IF(ISNA(VLOOKUP(B6,[4]!DSKH,1,0)),"","x")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457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IF(ISNA(VLOOKUP(B7,[4]!DSKH,1,0)),"","x")</f>
        <v/>
      </c>
    </row>
    <row r="8" spans="1:9" s="10" customFormat="1" ht="16.5" customHeight="1">
      <c r="A8" s="6">
        <f t="shared" si="2"/>
        <v>3</v>
      </c>
      <c r="B8" s="192" t="s">
        <v>501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88119460</v>
      </c>
      <c r="G8" s="54">
        <f t="shared" si="0"/>
        <v>0</v>
      </c>
      <c r="H8" s="54">
        <f t="shared" si="1"/>
        <v>47819200</v>
      </c>
      <c r="I8" s="10" t="str">
        <f>IF(ISNA(VLOOKUP(B8,[4]!DSKH,1,0)),"","x")</f>
        <v/>
      </c>
    </row>
    <row r="9" spans="1:9" s="10" customFormat="1" ht="16.5" customHeight="1">
      <c r="A9" s="6">
        <f t="shared" si="2"/>
        <v>4</v>
      </c>
      <c r="B9" s="192" t="s">
        <v>684</v>
      </c>
      <c r="C9" s="8"/>
      <c r="D9" s="8"/>
      <c r="E9" s="8">
        <f t="array" ref="E9">SUM(IF("331"&amp;B9=KHN&amp;KH,TH))</f>
        <v>244200000</v>
      </c>
      <c r="F9" s="8">
        <f t="array" ref="F9">SUM(IF("331"&amp;B9=KHC&amp;KH,TH))</f>
        <v>181621550</v>
      </c>
      <c r="G9" s="54">
        <f t="shared" si="0"/>
        <v>62578450</v>
      </c>
      <c r="H9" s="54">
        <f t="shared" si="1"/>
        <v>0</v>
      </c>
      <c r="I9" s="10" t="str">
        <f>IF(ISNA(VLOOKUP(B9,[4]!DSKH,1,0)),"","x")</f>
        <v/>
      </c>
    </row>
    <row r="10" spans="1:9" s="10" customFormat="1" ht="16.5" customHeight="1">
      <c r="A10" s="6">
        <f t="shared" si="2"/>
        <v>5</v>
      </c>
      <c r="B10" s="192" t="s">
        <v>842</v>
      </c>
      <c r="C10" s="8"/>
      <c r="D10" s="8"/>
      <c r="E10" s="8">
        <f t="array" ref="E10">SUM(IF("331"&amp;B10=KHN&amp;KH,TH))</f>
        <v>67695650</v>
      </c>
      <c r="F10" s="8">
        <f t="array" ref="F10">SUM(IF("331"&amp;B10=KHC&amp;KH,TH))</f>
        <v>67695650</v>
      </c>
      <c r="G10" s="774">
        <f t="shared" ref="G10:G13" si="3">ROUND(MAX(C10+E10-D10-F10,0),2)</f>
        <v>0</v>
      </c>
      <c r="H10" s="77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690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4">
        <f t="shared" si="3"/>
        <v>0</v>
      </c>
      <c r="H11" s="774">
        <f t="shared" si="4"/>
        <v>924000000</v>
      </c>
    </row>
    <row r="12" spans="1:9" s="10" customFormat="1" ht="16.5" customHeight="1">
      <c r="A12" s="6">
        <f t="shared" si="2"/>
        <v>7</v>
      </c>
      <c r="B12" s="192" t="s">
        <v>928</v>
      </c>
      <c r="C12" s="8"/>
      <c r="D12" s="8"/>
      <c r="E12" s="8">
        <f t="array" ref="E12">SUM(IF("331"&amp;B12=KHN&amp;KH,TH))</f>
        <v>63530500</v>
      </c>
      <c r="F12" s="8">
        <f t="array" ref="F12">SUM(IF("331"&amp;B12=KHC&amp;KH,TH))</f>
        <v>63530500</v>
      </c>
      <c r="G12" s="774">
        <f t="shared" si="3"/>
        <v>0</v>
      </c>
      <c r="H12" s="774">
        <f t="shared" si="4"/>
        <v>0</v>
      </c>
    </row>
    <row r="13" spans="1:9" s="10" customFormat="1" ht="16.5" customHeight="1">
      <c r="A13" s="6">
        <f t="shared" si="2"/>
        <v>8</v>
      </c>
      <c r="B13" s="192" t="s">
        <v>946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514668000</v>
      </c>
      <c r="G13" s="774">
        <f t="shared" si="3"/>
        <v>0</v>
      </c>
      <c r="H13" s="774">
        <f t="shared" si="4"/>
        <v>514668000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IF(ISNA(VLOOKUP(B14,[4]!DSKH,1,0)),"","x")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852226410</v>
      </c>
      <c r="F15" s="13">
        <f t="shared" si="5"/>
        <v>2814304240</v>
      </c>
      <c r="G15" s="13">
        <f t="shared" si="5"/>
        <v>62578450</v>
      </c>
      <c r="H15" s="13">
        <f t="shared" si="5"/>
        <v>2024656280</v>
      </c>
    </row>
    <row r="16" spans="1:9">
      <c r="C16" s="182"/>
      <c r="D16" s="182">
        <f>D15-C15-CDPS!D28</f>
        <v>0</v>
      </c>
      <c r="E16" s="182">
        <f>E15-CDPS!E28</f>
        <v>-50000000</v>
      </c>
      <c r="F16" s="182">
        <f>F15-CDPS!F28</f>
        <v>0</v>
      </c>
      <c r="H16" s="182">
        <f>H15-G15-CDPS!H28</f>
        <v>50000000</v>
      </c>
    </row>
    <row r="17" spans="5:8">
      <c r="E17" s="15"/>
      <c r="F17" s="1012" t="s">
        <v>685</v>
      </c>
      <c r="G17" s="1012"/>
      <c r="H17" s="1012"/>
    </row>
    <row r="18" spans="5:8">
      <c r="F18" s="1012" t="s">
        <v>109</v>
      </c>
      <c r="G18" s="1012"/>
      <c r="H18" s="1012"/>
    </row>
    <row r="19" spans="5:8">
      <c r="E19" s="182"/>
      <c r="F19" s="1012" t="s">
        <v>136</v>
      </c>
      <c r="G19" s="1012"/>
      <c r="H19" s="1012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21" t="s">
        <v>46</v>
      </c>
      <c r="I1" s="1021"/>
      <c r="J1" s="1021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2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</row>
    <row r="3" spans="1:10" s="3" customFormat="1" ht="14.25" customHeight="1">
      <c r="A3" s="4"/>
      <c r="B3" s="16"/>
      <c r="C3" s="16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24" t="s">
        <v>359</v>
      </c>
      <c r="F7" s="1024"/>
      <c r="G7" s="1024"/>
      <c r="H7" s="102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8" t="e">
        <f ca="1">"Ngày 31 tháng  12  năm  "&amp;YEAR($A$14)</f>
        <v>#VALUE!</v>
      </c>
      <c r="F56" s="978"/>
      <c r="G56" s="978"/>
      <c r="H56" s="978"/>
      <c r="I56" s="978"/>
      <c r="J56" s="978"/>
    </row>
    <row r="57" spans="1:11" s="18" customFormat="1" ht="14.25" customHeight="1">
      <c r="C57" s="213" t="s">
        <v>11</v>
      </c>
      <c r="E57" s="978" t="s">
        <v>12</v>
      </c>
      <c r="F57" s="978"/>
      <c r="G57" s="978"/>
      <c r="H57" s="978"/>
      <c r="I57" s="978"/>
      <c r="J57" s="978"/>
    </row>
    <row r="58" spans="1:11" s="18" customFormat="1" ht="14.25" customHeight="1">
      <c r="C58" s="213" t="s">
        <v>13</v>
      </c>
      <c r="E58" s="978" t="s">
        <v>13</v>
      </c>
      <c r="F58" s="978"/>
      <c r="G58" s="978"/>
      <c r="H58" s="978"/>
      <c r="I58" s="978"/>
      <c r="J58" s="978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13" t="s">
        <v>473</v>
      </c>
      <c r="B1" s="1013"/>
      <c r="C1" s="1013"/>
      <c r="D1" s="1013"/>
      <c r="E1" s="1013"/>
      <c r="F1" s="1013"/>
      <c r="G1" s="1013"/>
      <c r="H1" s="1013"/>
      <c r="I1" s="1013"/>
    </row>
    <row r="2" spans="1:9" s="10" customFormat="1" ht="15.75" customHeight="1">
      <c r="A2" s="1028" t="s">
        <v>35</v>
      </c>
      <c r="B2" s="1029" t="s">
        <v>439</v>
      </c>
      <c r="C2" s="1029" t="s">
        <v>440</v>
      </c>
      <c r="D2" s="1029" t="s">
        <v>37</v>
      </c>
      <c r="E2" s="1029"/>
      <c r="F2" s="1029" t="s">
        <v>38</v>
      </c>
      <c r="G2" s="1029"/>
      <c r="H2" s="1030" t="s">
        <v>351</v>
      </c>
      <c r="I2" s="1019"/>
    </row>
    <row r="3" spans="1:9" s="10" customFormat="1" ht="15.75" customHeight="1">
      <c r="A3" s="1028"/>
      <c r="B3" s="1029"/>
      <c r="C3" s="1029"/>
      <c r="D3" s="860" t="s">
        <v>42</v>
      </c>
      <c r="E3" s="860" t="s">
        <v>43</v>
      </c>
      <c r="F3" s="860" t="s">
        <v>42</v>
      </c>
      <c r="G3" s="860" t="s">
        <v>43</v>
      </c>
      <c r="H3" s="860" t="s">
        <v>42</v>
      </c>
      <c r="I3" s="860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2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1">
        <f t="shared" ref="H4:H10" si="1">ROUND(MAX(D4+F4-E4-G4,0),2)</f>
        <v>0</v>
      </c>
      <c r="I4" s="861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2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1">
        <f t="shared" si="1"/>
        <v>0</v>
      </c>
      <c r="I5" s="861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1">
        <f t="shared" si="1"/>
        <v>0</v>
      </c>
      <c r="I6" s="861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1">
        <f t="shared" si="1"/>
        <v>0</v>
      </c>
      <c r="I7" s="861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2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1">
        <f t="shared" si="1"/>
        <v>0</v>
      </c>
      <c r="I8" s="861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1">
        <f t="shared" si="1"/>
        <v>0</v>
      </c>
      <c r="I9" s="861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2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1">
        <f t="shared" si="1"/>
        <v>0</v>
      </c>
      <c r="I10" s="861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3"/>
      <c r="C11" s="864"/>
      <c r="D11" s="181"/>
      <c r="E11" s="181"/>
      <c r="F11" s="181"/>
      <c r="G11" s="181"/>
      <c r="H11" s="865"/>
      <c r="I11" s="865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6" customWidth="1"/>
    <col min="2" max="2" width="8.28515625" style="886" customWidth="1"/>
    <col min="3" max="3" width="9.28515625" style="886" customWidth="1"/>
    <col min="4" max="4" width="37.28515625" style="886" customWidth="1"/>
    <col min="5" max="5" width="10.140625" style="886" customWidth="1"/>
    <col min="6" max="9" width="15" style="886" customWidth="1"/>
    <col min="10" max="16384" width="9.140625" style="886"/>
  </cols>
  <sheetData>
    <row r="1" spans="1:9" s="867" customFormat="1" ht="16.5" customHeight="1">
      <c r="A1" s="612" t="str">
        <f>[5]TH!A1</f>
        <v>Đơn vị: CÔNG TY TNHH SX TM KIM DUNG PHÁT</v>
      </c>
      <c r="B1" s="866"/>
      <c r="C1" s="866"/>
      <c r="F1" s="866"/>
      <c r="G1" s="1021" t="s">
        <v>442</v>
      </c>
      <c r="H1" s="1021"/>
      <c r="I1" s="1021"/>
    </row>
    <row r="2" spans="1:9" s="867" customFormat="1" ht="16.5" customHeight="1">
      <c r="A2" s="611" t="str">
        <f>[5]TH!A2</f>
        <v>Địa chỉ: 1A227/1 Ấp 1, Phạm Văn Hai, Bình Chánh, TPHCM</v>
      </c>
      <c r="B2" s="845"/>
      <c r="C2" s="845"/>
      <c r="F2" s="733"/>
      <c r="G2" s="1022" t="s">
        <v>443</v>
      </c>
      <c r="H2" s="1022"/>
      <c r="I2" s="1022"/>
    </row>
    <row r="3" spans="1:9" s="867" customFormat="1" ht="16.5" customHeight="1">
      <c r="A3" s="845"/>
      <c r="B3" s="845"/>
      <c r="C3" s="845"/>
      <c r="F3" s="733"/>
      <c r="G3" s="1022"/>
      <c r="H3" s="1022"/>
      <c r="I3" s="1022"/>
    </row>
    <row r="4" spans="1:9" s="867" customFormat="1" ht="16.5" customHeight="1">
      <c r="A4" s="845"/>
      <c r="B4" s="845"/>
      <c r="C4" s="845"/>
      <c r="F4" s="733"/>
      <c r="G4" s="846"/>
      <c r="H4" s="846"/>
      <c r="I4" s="846"/>
    </row>
    <row r="5" spans="1:9" s="18" customFormat="1" ht="23.25" customHeight="1">
      <c r="A5" s="1036" t="s">
        <v>444</v>
      </c>
      <c r="B5" s="1036"/>
      <c r="C5" s="1036"/>
      <c r="D5" s="1036"/>
      <c r="E5" s="1036"/>
      <c r="F5" s="1036"/>
      <c r="G5" s="1036"/>
      <c r="H5" s="1036"/>
      <c r="I5" s="1036"/>
    </row>
    <row r="6" spans="1:9" s="18" customFormat="1">
      <c r="A6" s="978" t="s">
        <v>445</v>
      </c>
      <c r="B6" s="978"/>
      <c r="C6" s="978"/>
      <c r="D6" s="978"/>
      <c r="E6" s="978"/>
      <c r="F6" s="978"/>
      <c r="G6" s="978"/>
      <c r="H6" s="978"/>
      <c r="I6" s="978"/>
    </row>
    <row r="7" spans="1:9" s="18" customFormat="1">
      <c r="A7" s="978" t="s">
        <v>446</v>
      </c>
      <c r="B7" s="978"/>
      <c r="C7" s="978"/>
      <c r="D7" s="978"/>
      <c r="E7" s="978"/>
      <c r="F7" s="978"/>
      <c r="G7" s="978"/>
      <c r="H7" s="978"/>
      <c r="I7" s="978"/>
    </row>
    <row r="8" spans="1:9" s="18" customFormat="1" ht="15" customHeight="1">
      <c r="A8" s="978" t="str">
        <f>IF(MID($E$9,4,4)="1015","Đối tượng cho vay: NH Eximbank CN Q11","Đối tượng cho vay: NH Eximbank CN Q4")</f>
        <v>Đối tượng cho vay: NH Eximbank CN Q4</v>
      </c>
      <c r="B8" s="978"/>
      <c r="C8" s="978"/>
      <c r="D8" s="978"/>
      <c r="E8" s="978"/>
      <c r="F8" s="978"/>
      <c r="G8" s="978"/>
      <c r="H8" s="978"/>
      <c r="I8" s="978"/>
    </row>
    <row r="9" spans="1:9" s="18" customFormat="1">
      <c r="A9" s="843"/>
      <c r="B9" s="843"/>
      <c r="C9" s="843"/>
      <c r="D9" s="20" t="s">
        <v>447</v>
      </c>
      <c r="E9" s="1031" t="s">
        <v>441</v>
      </c>
      <c r="F9" s="1031"/>
      <c r="G9" s="847" t="e">
        <f>"ngày "&amp; TEXT(VLOOKUP($E$9,'341'!$B$4:$I$11,2,0),"dd/MM/yy")</f>
        <v>#N/A</v>
      </c>
      <c r="H9" s="843"/>
      <c r="I9" s="843"/>
    </row>
    <row r="10" spans="1:9" s="18" customFormat="1">
      <c r="A10" s="978" t="s">
        <v>448</v>
      </c>
      <c r="B10" s="978"/>
      <c r="C10" s="978"/>
      <c r="D10" s="978"/>
      <c r="E10" s="978"/>
      <c r="F10" s="978"/>
      <c r="G10" s="978"/>
      <c r="H10" s="978"/>
      <c r="I10" s="978"/>
    </row>
    <row r="11" spans="1:9" s="18" customFormat="1">
      <c r="C11" s="1025"/>
      <c r="D11" s="1025"/>
      <c r="E11" s="1025"/>
      <c r="F11" s="1025"/>
      <c r="G11" s="1025"/>
      <c r="H11" s="1025"/>
      <c r="I11" s="1025"/>
    </row>
    <row r="12" spans="1:9" s="18" customFormat="1" ht="15.75" customHeight="1">
      <c r="A12" s="1032" t="s">
        <v>20</v>
      </c>
      <c r="B12" s="1026" t="s">
        <v>1</v>
      </c>
      <c r="C12" s="1027"/>
      <c r="D12" s="1032" t="s">
        <v>0</v>
      </c>
      <c r="E12" s="1032" t="s">
        <v>14</v>
      </c>
      <c r="F12" s="1034" t="s">
        <v>449</v>
      </c>
      <c r="G12" s="1035"/>
      <c r="H12" s="1034" t="s">
        <v>450</v>
      </c>
      <c r="I12" s="1035"/>
    </row>
    <row r="13" spans="1:9" s="18" customFormat="1" ht="33.75" customHeight="1">
      <c r="A13" s="1033"/>
      <c r="B13" s="241" t="s">
        <v>15</v>
      </c>
      <c r="C13" s="241" t="s">
        <v>32</v>
      </c>
      <c r="D13" s="1033"/>
      <c r="E13" s="1033"/>
      <c r="F13" s="868" t="s">
        <v>22</v>
      </c>
      <c r="G13" s="868" t="s">
        <v>23</v>
      </c>
      <c r="H13" s="868" t="s">
        <v>22</v>
      </c>
      <c r="I13" s="868" t="s">
        <v>23</v>
      </c>
    </row>
    <row r="14" spans="1:9" s="843" customFormat="1">
      <c r="A14" s="844" t="s">
        <v>2</v>
      </c>
      <c r="B14" s="848" t="s">
        <v>3</v>
      </c>
      <c r="C14" s="844" t="s">
        <v>4</v>
      </c>
      <c r="D14" s="844" t="s">
        <v>5</v>
      </c>
      <c r="E14" s="844" t="s">
        <v>6</v>
      </c>
      <c r="F14" s="844">
        <v>3</v>
      </c>
      <c r="G14" s="844">
        <v>5</v>
      </c>
      <c r="H14" s="844">
        <v>7</v>
      </c>
      <c r="I14" s="844">
        <v>9</v>
      </c>
    </row>
    <row r="15" spans="1:9" s="18" customFormat="1" ht="19.5" customHeight="1">
      <c r="A15" s="869"/>
      <c r="B15" s="869"/>
      <c r="C15" s="869"/>
      <c r="D15" s="236" t="s">
        <v>7</v>
      </c>
      <c r="E15" s="237"/>
      <c r="F15" s="869"/>
      <c r="G15" s="869"/>
      <c r="H15" s="870" t="e">
        <f>VLOOKUP($E$9,'341'!$B$4:$I$11,3,0)</f>
        <v>#N/A</v>
      </c>
      <c r="I15" s="870" t="e">
        <f>VLOOKUP($E$9,'341'!$B$4:$I$11,4,0)</f>
        <v>#N/A</v>
      </c>
    </row>
    <row r="16" spans="1:9" s="18" customFormat="1" ht="19.5" customHeight="1">
      <c r="A16" s="198" t="str">
        <f ca="1">IF(ROWS($1:1)&gt;COUNT(Dong4),"",OFFSET([5]TH!C$1,SMALL(Dong4,ROWS($1:1)),))</f>
        <v/>
      </c>
      <c r="B16" s="183" t="str">
        <f ca="1">IF(ROWS($1:1)&gt;COUNT(Dong4),"",OFFSET([5]TH!D$1,SMALL(Dong4,ROWS($1:1)),))</f>
        <v/>
      </c>
      <c r="C16" s="183" t="str">
        <f ca="1">IF(ROWS($1:1)&gt;COUNT(Dong4),"",OFFSET([5]TH!E$1,SMALL(Dong4,ROWS($1:1)),))</f>
        <v/>
      </c>
      <c r="D16" s="871" t="str">
        <f ca="1">IF(ROWS($1:1)&gt;COUNT(Dong4),"",OFFSET([5]TH!F$1,SMALL(Dong4,ROWS($1:1)),))</f>
        <v/>
      </c>
      <c r="E16" s="183" t="str">
        <f ca="1">IF(ROWS($1:1)&gt;COUNT(Dong4),"",IF(LEFT(OFFSET([5]TH!M$1,SMALL(Dong4,ROWS($1:1)),),3)="341",OFFSET([5]TH!L$1,SMALL(Dong4,ROWS($1:1)),),OFFSET([5]TH!M$1,SMALL(Dong4,ROWS($1:1)),)))</f>
        <v/>
      </c>
      <c r="F16" s="872" t="str">
        <f ca="1">IF(ROWS($1:1)&gt;COUNT(Dong4),"",IF(LEFT(OFFSET([5]TH!L$1,SMALL(Dong4,ROWS($1:1)),),3)="341",OFFSET([5]TH!K$1,SMALL(Dong4,ROWS($1:1)),),0))</f>
        <v/>
      </c>
      <c r="G16" s="872" t="str">
        <f ca="1">IF(ROWS($1:1)&gt;COUNT(Dong4),"",IF(LEFT(OFFSET([5]TH!M$1,SMALL(Dong4,ROWS($1:1)),),3)="341",OFFSET([5]TH!K$1,SMALL(Dong4,ROWS($1:1)),),0))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3" customFormat="1" ht="19.5" customHeight="1">
      <c r="A17" s="198" t="str">
        <f ca="1">IF(ROWS($1:2)&gt;COUNT(Dong4),"",OFFSET([5]TH!C$1,SMALL(Dong4,ROWS($1:2)),))</f>
        <v/>
      </c>
      <c r="B17" s="183" t="str">
        <f ca="1">IF(ROWS($1:2)&gt;COUNT(Dong4),"",OFFSET([5]TH!D$1,SMALL(Dong4,ROWS($1:2)),))</f>
        <v/>
      </c>
      <c r="C17" s="183" t="str">
        <f ca="1">IF(ROWS($1:2)&gt;COUNT(Dong4),"",OFFSET([5]TH!E$1,SMALL(Dong4,ROWS($1:2)),))</f>
        <v/>
      </c>
      <c r="D17" s="871" t="str">
        <f ca="1">IF(ROWS($1:2)&gt;COUNT(Dong4),"",OFFSET([5]TH!F$1,SMALL(Dong4,ROWS($1:2)),))</f>
        <v/>
      </c>
      <c r="E17" s="183" t="str">
        <f ca="1">IF(ROWS($1:2)&gt;COUNT(Dong4),"",IF(LEFT(OFFSET([5]TH!M$1,SMALL(Dong4,ROWS($1:2)),),3)="341",OFFSET([5]TH!L$1,SMALL(Dong4,ROWS($1:2)),),OFFSET([5]TH!M$1,SMALL(Dong4,ROWS($1:2)),)))</f>
        <v/>
      </c>
      <c r="F17" s="872" t="str">
        <f ca="1">IF(ROWS($1:2)&gt;COUNT(Dong4),"",IF(LEFT(OFFSET([5]TH!L$1,SMALL(Dong4,ROWS($1:2)),),3)="341",OFFSET([5]TH!K$1,SMALL(Dong4,ROWS($1:2)),),0))</f>
        <v/>
      </c>
      <c r="G17" s="872" t="str">
        <f ca="1">IF(ROWS($1:2)&gt;COUNT(Dong4),"",IF(LEFT(OFFSET([5]TH!M$1,SMALL(Dong4,ROWS($1:2)),),3)="341",OFFSET([5]TH!K$1,SMALL(Dong4,ROWS($1:2)),),0))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3" customFormat="1" ht="19.5" customHeight="1">
      <c r="A18" s="198" t="str">
        <f ca="1">IF(ROWS($1:3)&gt;COUNT(Dong4),"",OFFSET([5]TH!C$1,SMALL(Dong4,ROWS($1:3)),))</f>
        <v/>
      </c>
      <c r="B18" s="183" t="str">
        <f ca="1">IF(ROWS($1:3)&gt;COUNT(Dong4),"",OFFSET([5]TH!D$1,SMALL(Dong4,ROWS($1:3)),))</f>
        <v/>
      </c>
      <c r="C18" s="183" t="str">
        <f ca="1">IF(ROWS($1:3)&gt;COUNT(Dong4),"",OFFSET([5]TH!E$1,SMALL(Dong4,ROWS($1:3)),))</f>
        <v/>
      </c>
      <c r="D18" s="871" t="str">
        <f ca="1">IF(ROWS($1:3)&gt;COUNT(Dong4),"",OFFSET([5]TH!F$1,SMALL(Dong4,ROWS($1:3)),))</f>
        <v/>
      </c>
      <c r="E18" s="183" t="str">
        <f ca="1">IF(ROWS($1:3)&gt;COUNT(Dong4),"",IF(LEFT(OFFSET([5]TH!M$1,SMALL(Dong4,ROWS($1:3)),),3)="341",OFFSET([5]TH!L$1,SMALL(Dong4,ROWS($1:3)),),OFFSET([5]TH!M$1,SMALL(Dong4,ROWS($1:3)),)))</f>
        <v/>
      </c>
      <c r="F18" s="872" t="str">
        <f ca="1">IF(ROWS($1:3)&gt;COUNT(Dong4),"",IF(LEFT(OFFSET([5]TH!L$1,SMALL(Dong4,ROWS($1:3)),),3)="341",OFFSET([5]TH!K$1,SMALL(Dong4,ROWS($1:3)),),0))</f>
        <v/>
      </c>
      <c r="G18" s="872" t="str">
        <f ca="1">IF(ROWS($1:3)&gt;COUNT(Dong4),"",IF(LEFT(OFFSET([5]TH!M$1,SMALL(Dong4,ROWS($1:3)),),3)="341",OFFSET([5]TH!K$1,SMALL(Dong4,ROWS($1:3)),),0))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3" customFormat="1" ht="19.5" customHeight="1">
      <c r="A19" s="198" t="str">
        <f ca="1">IF(ROWS($1:4)&gt;COUNT(Dong4),"",OFFSET([5]TH!C$1,SMALL(Dong4,ROWS($1:4)),))</f>
        <v/>
      </c>
      <c r="B19" s="183" t="str">
        <f ca="1">IF(ROWS($1:4)&gt;COUNT(Dong4),"",OFFSET([5]TH!D$1,SMALL(Dong4,ROWS($1:4)),))</f>
        <v/>
      </c>
      <c r="C19" s="183" t="str">
        <f ca="1">IF(ROWS($1:4)&gt;COUNT(Dong4),"",OFFSET([5]TH!E$1,SMALL(Dong4,ROWS($1:4)),))</f>
        <v/>
      </c>
      <c r="D19" s="871" t="str">
        <f ca="1">IF(ROWS($1:4)&gt;COUNT(Dong4),"",OFFSET([5]TH!F$1,SMALL(Dong4,ROWS($1:4)),))</f>
        <v/>
      </c>
      <c r="E19" s="183" t="str">
        <f ca="1">IF(ROWS($1:4)&gt;COUNT(Dong4),"",IF(LEFT(OFFSET([5]TH!M$1,SMALL(Dong4,ROWS($1:4)),),3)="341",OFFSET([5]TH!L$1,SMALL(Dong4,ROWS($1:4)),),OFFSET([5]TH!M$1,SMALL(Dong4,ROWS($1:4)),)))</f>
        <v/>
      </c>
      <c r="F19" s="872" t="str">
        <f ca="1">IF(ROWS($1:4)&gt;COUNT(Dong4),"",IF(LEFT(OFFSET([5]TH!L$1,SMALL(Dong4,ROWS($1:4)),),3)="341",OFFSET([5]TH!K$1,SMALL(Dong4,ROWS($1:4)),),0))</f>
        <v/>
      </c>
      <c r="G19" s="872" t="str">
        <f ca="1">IF(ROWS($1:4)&gt;COUNT(Dong4),"",IF(LEFT(OFFSET([5]TH!M$1,SMALL(Dong4,ROWS($1:4)),),3)="341",OFFSET([5]TH!K$1,SMALL(Dong4,ROWS($1:4)),),0))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3" customFormat="1" ht="19.5" customHeight="1">
      <c r="A20" s="198" t="str">
        <f ca="1">IF(ROWS($1:5)&gt;COUNT(Dong4),"",OFFSET([5]TH!C$1,SMALL(Dong4,ROWS($1:5)),))</f>
        <v/>
      </c>
      <c r="B20" s="183" t="str">
        <f ca="1">IF(ROWS($1:5)&gt;COUNT(Dong4),"",OFFSET([5]TH!D$1,SMALL(Dong4,ROWS($1:5)),))</f>
        <v/>
      </c>
      <c r="C20" s="183" t="str">
        <f ca="1">IF(ROWS($1:5)&gt;COUNT(Dong4),"",OFFSET([5]TH!E$1,SMALL(Dong4,ROWS($1:5)),))</f>
        <v/>
      </c>
      <c r="D20" s="871" t="str">
        <f ca="1">IF(ROWS($1:5)&gt;COUNT(Dong4),"",OFFSET([5]TH!F$1,SMALL(Dong4,ROWS($1:5)),))</f>
        <v/>
      </c>
      <c r="E20" s="183" t="str">
        <f ca="1">IF(ROWS($1:5)&gt;COUNT(Dong4),"",IF(LEFT(OFFSET([5]TH!M$1,SMALL(Dong4,ROWS($1:5)),),3)="341",OFFSET([5]TH!L$1,SMALL(Dong4,ROWS($1:5)),),OFFSET([5]TH!M$1,SMALL(Dong4,ROWS($1:5)),)))</f>
        <v/>
      </c>
      <c r="F20" s="872" t="str">
        <f ca="1">IF(ROWS($1:5)&gt;COUNT(Dong4),"",IF(LEFT(OFFSET([5]TH!L$1,SMALL(Dong4,ROWS($1:5)),),3)="341",OFFSET([5]TH!K$1,SMALL(Dong4,ROWS($1:5)),),0))</f>
        <v/>
      </c>
      <c r="G20" s="872" t="str">
        <f ca="1">IF(ROWS($1:5)&gt;COUNT(Dong4),"",IF(LEFT(OFFSET([5]TH!M$1,SMALL(Dong4,ROWS($1:5)),),3)="341",OFFSET([5]TH!K$1,SMALL(Dong4,ROWS($1:5)),),0))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3" customFormat="1" ht="19.5" customHeight="1">
      <c r="A21" s="198" t="str">
        <f ca="1">IF(ROWS($1:6)&gt;COUNT(Dong4),"",OFFSET([5]TH!C$1,SMALL(Dong4,ROWS($1:6)),))</f>
        <v/>
      </c>
      <c r="B21" s="183" t="str">
        <f ca="1">IF(ROWS($1:6)&gt;COUNT(Dong4),"",OFFSET([5]TH!D$1,SMALL(Dong4,ROWS($1:6)),))</f>
        <v/>
      </c>
      <c r="C21" s="183" t="str">
        <f ca="1">IF(ROWS($1:6)&gt;COUNT(Dong4),"",OFFSET([5]TH!E$1,SMALL(Dong4,ROWS($1:6)),))</f>
        <v/>
      </c>
      <c r="D21" s="871" t="str">
        <f ca="1">IF(ROWS($1:6)&gt;COUNT(Dong4),"",OFFSET([5]TH!F$1,SMALL(Dong4,ROWS($1:6)),))</f>
        <v/>
      </c>
      <c r="E21" s="183" t="str">
        <f ca="1">IF(ROWS($1:6)&gt;COUNT(Dong4),"",IF(LEFT(OFFSET([5]TH!M$1,SMALL(Dong4,ROWS($1:6)),),3)="341",OFFSET([5]TH!L$1,SMALL(Dong4,ROWS($1:6)),),OFFSET([5]TH!M$1,SMALL(Dong4,ROWS($1:6)),)))</f>
        <v/>
      </c>
      <c r="F21" s="872" t="str">
        <f ca="1">IF(ROWS($1:6)&gt;COUNT(Dong4),"",IF(LEFT(OFFSET([5]TH!L$1,SMALL(Dong4,ROWS($1:6)),),3)="341",OFFSET([5]TH!K$1,SMALL(Dong4,ROWS($1:6)),),0))</f>
        <v/>
      </c>
      <c r="G21" s="872" t="str">
        <f ca="1">IF(ROWS($1:6)&gt;COUNT(Dong4),"",IF(LEFT(OFFSET([5]TH!M$1,SMALL(Dong4,ROWS($1:6)),),3)="341",OFFSET([5]TH!K$1,SMALL(Dong4,ROWS($1:6)),),0))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3" customFormat="1" ht="19.5" customHeight="1">
      <c r="A22" s="198" t="str">
        <f ca="1">IF(ROWS($1:7)&gt;COUNT(Dong4),"",OFFSET([5]TH!C$1,SMALL(Dong4,ROWS($1:7)),))</f>
        <v/>
      </c>
      <c r="B22" s="183" t="str">
        <f ca="1">IF(ROWS($1:7)&gt;COUNT(Dong4),"",OFFSET([5]TH!D$1,SMALL(Dong4,ROWS($1:7)),))</f>
        <v/>
      </c>
      <c r="C22" s="183" t="str">
        <f ca="1">IF(ROWS($1:7)&gt;COUNT(Dong4),"",OFFSET([5]TH!E$1,SMALL(Dong4,ROWS($1:7)),))</f>
        <v/>
      </c>
      <c r="D22" s="871" t="str">
        <f ca="1">IF(ROWS($1:7)&gt;COUNT(Dong4),"",OFFSET([5]TH!F$1,SMALL(Dong4,ROWS($1:7)),))</f>
        <v/>
      </c>
      <c r="E22" s="183" t="str">
        <f ca="1">IF(ROWS($1:7)&gt;COUNT(Dong4),"",IF(LEFT(OFFSET([5]TH!M$1,SMALL(Dong4,ROWS($1:7)),),3)="341",OFFSET([5]TH!L$1,SMALL(Dong4,ROWS($1:7)),),OFFSET([5]TH!M$1,SMALL(Dong4,ROWS($1:7)),)))</f>
        <v/>
      </c>
      <c r="F22" s="872" t="str">
        <f ca="1">IF(ROWS($1:7)&gt;COUNT(Dong4),"",IF(LEFT(OFFSET([5]TH!L$1,SMALL(Dong4,ROWS($1:7)),),3)="341",OFFSET([5]TH!K$1,SMALL(Dong4,ROWS($1:7)),),0))</f>
        <v/>
      </c>
      <c r="G22" s="872" t="str">
        <f ca="1">IF(ROWS($1:7)&gt;COUNT(Dong4),"",IF(LEFT(OFFSET([5]TH!M$1,SMALL(Dong4,ROWS($1:7)),),3)="341",OFFSET([5]TH!K$1,SMALL(Dong4,ROWS($1:7)),),0))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3" customFormat="1" ht="19.5" customHeight="1">
      <c r="A23" s="198" t="str">
        <f ca="1">IF(ROWS($1:8)&gt;COUNT(Dong4),"",OFFSET([5]TH!C$1,SMALL(Dong4,ROWS($1:8)),))</f>
        <v/>
      </c>
      <c r="B23" s="183" t="str">
        <f ca="1">IF(ROWS($1:8)&gt;COUNT(Dong4),"",OFFSET([5]TH!D$1,SMALL(Dong4,ROWS($1:8)),))</f>
        <v/>
      </c>
      <c r="C23" s="183" t="str">
        <f ca="1">IF(ROWS($1:8)&gt;COUNT(Dong4),"",OFFSET([5]TH!E$1,SMALL(Dong4,ROWS($1:8)),))</f>
        <v/>
      </c>
      <c r="D23" s="871" t="str">
        <f ca="1">IF(ROWS($1:8)&gt;COUNT(Dong4),"",OFFSET([5]TH!F$1,SMALL(Dong4,ROWS($1:8)),))</f>
        <v/>
      </c>
      <c r="E23" s="183" t="str">
        <f ca="1">IF(ROWS($1:8)&gt;COUNT(Dong4),"",IF(LEFT(OFFSET([5]TH!M$1,SMALL(Dong4,ROWS($1:8)),),3)="341",OFFSET([5]TH!L$1,SMALL(Dong4,ROWS($1:8)),),OFFSET([5]TH!M$1,SMALL(Dong4,ROWS($1:8)),)))</f>
        <v/>
      </c>
      <c r="F23" s="872" t="str">
        <f ca="1">IF(ROWS($1:8)&gt;COUNT(Dong4),"",IF(LEFT(OFFSET([5]TH!L$1,SMALL(Dong4,ROWS($1:8)),),3)="341",OFFSET([5]TH!K$1,SMALL(Dong4,ROWS($1:8)),),0))</f>
        <v/>
      </c>
      <c r="G23" s="872" t="str">
        <f ca="1">IF(ROWS($1:8)&gt;COUNT(Dong4),"",IF(LEFT(OFFSET([5]TH!M$1,SMALL(Dong4,ROWS($1:8)),),3)="341",OFFSET([5]TH!K$1,SMALL(Dong4,ROWS($1:8)),),0))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3" customFormat="1" ht="19.5" customHeight="1">
      <c r="A24" s="198" t="str">
        <f ca="1">IF(ROWS($1:9)&gt;COUNT(Dong4),"",OFFSET([5]TH!C$1,SMALL(Dong4,ROWS($1:9)),))</f>
        <v/>
      </c>
      <c r="B24" s="183" t="str">
        <f ca="1">IF(ROWS($1:9)&gt;COUNT(Dong4),"",OFFSET([5]TH!D$1,SMALL(Dong4,ROWS($1:9)),))</f>
        <v/>
      </c>
      <c r="C24" s="183" t="str">
        <f ca="1">IF(ROWS($1:9)&gt;COUNT(Dong4),"",OFFSET([5]TH!E$1,SMALL(Dong4,ROWS($1:9)),))</f>
        <v/>
      </c>
      <c r="D24" s="871" t="str">
        <f ca="1">IF(ROWS($1:9)&gt;COUNT(Dong4),"",OFFSET([5]TH!F$1,SMALL(Dong4,ROWS($1:9)),))</f>
        <v/>
      </c>
      <c r="E24" s="183" t="str">
        <f ca="1">IF(ROWS($1:9)&gt;COUNT(Dong4),"",IF(LEFT(OFFSET([5]TH!M$1,SMALL(Dong4,ROWS($1:9)),),3)="341",OFFSET([5]TH!L$1,SMALL(Dong4,ROWS($1:9)),),OFFSET([5]TH!M$1,SMALL(Dong4,ROWS($1:9)),)))</f>
        <v/>
      </c>
      <c r="F24" s="872" t="str">
        <f ca="1">IF(ROWS($1:9)&gt;COUNT(Dong4),"",IF(LEFT(OFFSET([5]TH!L$1,SMALL(Dong4,ROWS($1:9)),),3)="341",OFFSET([5]TH!K$1,SMALL(Dong4,ROWS($1:9)),),0))</f>
        <v/>
      </c>
      <c r="G24" s="872" t="str">
        <f ca="1">IF(ROWS($1:9)&gt;COUNT(Dong4),"",IF(LEFT(OFFSET([5]TH!M$1,SMALL(Dong4,ROWS($1:9)),),3)="341",OFFSET([5]TH!K$1,SMALL(Dong4,ROWS($1:9)),),0))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3" customFormat="1" ht="19.5" customHeight="1">
      <c r="A25" s="874"/>
      <c r="B25" s="874"/>
      <c r="C25" s="874"/>
      <c r="D25" s="875"/>
      <c r="E25" s="876"/>
      <c r="F25" s="877"/>
      <c r="G25" s="878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3">
        <f ca="1">SUM(F16:F25)</f>
        <v>0</v>
      </c>
      <c r="G26" s="773">
        <f ca="1">SUM(G16:G25)</f>
        <v>0</v>
      </c>
      <c r="H26" s="879" t="s">
        <v>19</v>
      </c>
      <c r="I26" s="879" t="s">
        <v>19</v>
      </c>
    </row>
    <row r="27" spans="1:9" s="18" customFormat="1" ht="19.5" customHeight="1">
      <c r="A27" s="880"/>
      <c r="B27" s="880"/>
      <c r="C27" s="880"/>
      <c r="D27" s="239" t="s">
        <v>10</v>
      </c>
      <c r="E27" s="240" t="s">
        <v>19</v>
      </c>
      <c r="F27" s="240" t="s">
        <v>19</v>
      </c>
      <c r="G27" s="240" t="s">
        <v>19</v>
      </c>
      <c r="H27" s="881" t="e">
        <f ca="1">MAX(H15+F26-I15-G26,0)</f>
        <v>#N/A</v>
      </c>
      <c r="I27" s="881" t="e">
        <f ca="1">MAX(I15+G26-H15-F26,0)</f>
        <v>#N/A</v>
      </c>
    </row>
    <row r="28" spans="1:9" s="18" customFormat="1">
      <c r="E28" s="843"/>
    </row>
    <row r="29" spans="1:9" s="18" customFormat="1">
      <c r="A29" s="882" t="s">
        <v>451</v>
      </c>
      <c r="E29" s="843"/>
    </row>
    <row r="30" spans="1:9" s="18" customFormat="1">
      <c r="A30" s="882" t="e">
        <f>"- Ngày mở sổ: "&amp; TEXT(VLOOKUP($E$9,'341'!$B$4:$I$11,2,0),"dd/MM/yy")</f>
        <v>#N/A</v>
      </c>
      <c r="E30" s="843"/>
    </row>
    <row r="31" spans="1:9" s="18" customFormat="1">
      <c r="E31" s="843"/>
      <c r="H31" s="843" t="s">
        <v>452</v>
      </c>
    </row>
    <row r="32" spans="1:9" s="18" customFormat="1">
      <c r="C32" s="843" t="s">
        <v>11</v>
      </c>
      <c r="E32" s="843"/>
      <c r="H32" s="843" t="s">
        <v>12</v>
      </c>
    </row>
    <row r="33" spans="2:8" s="18" customFormat="1">
      <c r="C33" s="843" t="s">
        <v>13</v>
      </c>
      <c r="E33" s="843"/>
      <c r="H33" s="843" t="s">
        <v>13</v>
      </c>
    </row>
    <row r="34" spans="2:8" s="18" customFormat="1">
      <c r="E34" s="843"/>
    </row>
    <row r="35" spans="2:8" s="18" customFormat="1">
      <c r="E35" s="843"/>
    </row>
    <row r="36" spans="2:8" s="883" customFormat="1"/>
    <row r="37" spans="2:8" s="883" customFormat="1"/>
    <row r="38" spans="2:8" s="883" customFormat="1"/>
    <row r="39" spans="2:8" s="883" customFormat="1"/>
    <row r="40" spans="2:8" s="883" customFormat="1" ht="15">
      <c r="B40" s="884"/>
      <c r="C40" s="885" t="s">
        <v>453</v>
      </c>
      <c r="D40" s="884"/>
    </row>
    <row r="41" spans="2:8" s="883" customFormat="1"/>
    <row r="42" spans="2:8" s="883" customFormat="1"/>
    <row r="43" spans="2:8" s="883" customFormat="1"/>
    <row r="44" spans="2:8" s="883" customFormat="1"/>
    <row r="45" spans="2:8" s="883" customFormat="1"/>
    <row r="46" spans="2:8" s="883" customFormat="1"/>
    <row r="47" spans="2:8" s="883" customFormat="1"/>
    <row r="48" spans="2:8" s="883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6" t="str">
        <f>TH!$A$1</f>
        <v>Đơn vị: CÔNG TY TNHH BAO BÌ GIẤY KIM DUNG PHÁT</v>
      </c>
      <c r="C2" s="264"/>
      <c r="F2" s="265"/>
      <c r="G2" s="265"/>
      <c r="H2" s="265"/>
      <c r="I2" s="265"/>
      <c r="J2" s="1039" t="s">
        <v>178</v>
      </c>
      <c r="K2" s="1039"/>
      <c r="L2" s="1039"/>
      <c r="M2" s="1039"/>
      <c r="N2" s="265"/>
    </row>
    <row r="3" spans="1:14">
      <c r="A3" s="817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4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47"/>
      <c r="L3" s="1047"/>
      <c r="M3" s="1047"/>
      <c r="N3" s="266"/>
    </row>
    <row r="4" spans="1:14">
      <c r="F4" s="266"/>
      <c r="G4" s="266"/>
      <c r="H4" s="266"/>
      <c r="I4" s="266"/>
      <c r="J4" s="1047"/>
      <c r="K4" s="1047"/>
      <c r="L4" s="1047"/>
      <c r="M4" s="1047"/>
      <c r="N4" s="266"/>
    </row>
    <row r="5" spans="1:14" s="267" customFormat="1" ht="23.25" customHeight="1">
      <c r="A5" s="1038" t="s">
        <v>179</v>
      </c>
      <c r="B5" s="1038"/>
      <c r="C5" s="1038"/>
      <c r="D5" s="1038"/>
      <c r="E5" s="1038"/>
      <c r="F5" s="1038"/>
      <c r="G5" s="1038"/>
      <c r="H5" s="1038"/>
      <c r="I5" s="1038"/>
      <c r="J5" s="1038"/>
      <c r="K5" s="1038"/>
      <c r="L5" s="1038"/>
      <c r="M5" s="1038"/>
      <c r="N5" s="1038"/>
    </row>
    <row r="6" spans="1:14">
      <c r="A6" s="1039" t="s">
        <v>213</v>
      </c>
      <c r="B6" s="1039" t="s">
        <v>180</v>
      </c>
      <c r="C6" s="1039"/>
      <c r="D6" s="1039"/>
      <c r="E6" s="1039"/>
      <c r="F6" s="1039"/>
      <c r="G6" s="1039"/>
      <c r="H6" s="1039"/>
      <c r="I6" s="1039"/>
      <c r="J6" s="1039"/>
      <c r="K6" s="1039"/>
      <c r="L6" s="1039"/>
      <c r="M6" s="1039"/>
      <c r="N6" s="1039"/>
    </row>
    <row r="7" spans="1:14">
      <c r="C7" s="1040"/>
      <c r="D7" s="1040"/>
      <c r="E7" s="1040"/>
      <c r="F7" s="1040"/>
      <c r="G7" s="1040"/>
      <c r="H7" s="1040"/>
      <c r="I7" s="1040"/>
      <c r="J7" s="1040"/>
      <c r="K7" s="1040"/>
      <c r="L7" s="1040"/>
      <c r="M7" s="1040"/>
      <c r="N7" s="1040"/>
    </row>
    <row r="8" spans="1:14" ht="15.75" customHeight="1">
      <c r="A8" s="1041" t="s">
        <v>20</v>
      </c>
      <c r="B8" s="1042" t="s">
        <v>1</v>
      </c>
      <c r="C8" s="1043"/>
      <c r="D8" s="1041" t="s">
        <v>0</v>
      </c>
      <c r="E8" s="1041" t="s">
        <v>14</v>
      </c>
      <c r="F8" s="1046" t="s">
        <v>21</v>
      </c>
      <c r="G8" s="1046"/>
      <c r="H8" s="1046"/>
      <c r="I8" s="1046"/>
      <c r="J8" s="1046"/>
      <c r="K8" s="1046"/>
      <c r="L8" s="1046" t="s">
        <v>31</v>
      </c>
      <c r="M8" s="1046"/>
      <c r="N8" s="1046"/>
    </row>
    <row r="9" spans="1:14" ht="15.75" customHeight="1">
      <c r="A9" s="1041"/>
      <c r="B9" s="1044"/>
      <c r="C9" s="1045"/>
      <c r="D9" s="1041"/>
      <c r="E9" s="1041"/>
      <c r="F9" s="1046" t="s">
        <v>181</v>
      </c>
      <c r="G9" s="1046"/>
      <c r="H9" s="1046"/>
      <c r="I9" s="1046" t="s">
        <v>182</v>
      </c>
      <c r="J9" s="1046"/>
      <c r="K9" s="1046"/>
      <c r="L9" s="1041" t="s">
        <v>183</v>
      </c>
      <c r="M9" s="1041" t="s">
        <v>184</v>
      </c>
      <c r="N9" s="1041" t="s">
        <v>185</v>
      </c>
    </row>
    <row r="10" spans="1:14" ht="15.75" customHeight="1">
      <c r="A10" s="1041"/>
      <c r="B10" s="1049" t="s">
        <v>15</v>
      </c>
      <c r="C10" s="1049" t="s">
        <v>32</v>
      </c>
      <c r="D10" s="1041"/>
      <c r="E10" s="1041"/>
      <c r="F10" s="1051" t="s">
        <v>183</v>
      </c>
      <c r="G10" s="1051" t="s">
        <v>184</v>
      </c>
      <c r="H10" s="1051" t="s">
        <v>185</v>
      </c>
      <c r="I10" s="1051" t="s">
        <v>183</v>
      </c>
      <c r="J10" s="1051" t="s">
        <v>184</v>
      </c>
      <c r="K10" s="1051" t="s">
        <v>185</v>
      </c>
      <c r="L10" s="1048"/>
      <c r="M10" s="1048"/>
      <c r="N10" s="1048"/>
    </row>
    <row r="11" spans="1:14">
      <c r="A11" s="1041"/>
      <c r="B11" s="1050"/>
      <c r="C11" s="1050"/>
      <c r="D11" s="1041"/>
      <c r="E11" s="1041"/>
      <c r="F11" s="1052"/>
      <c r="G11" s="1052"/>
      <c r="H11" s="1052"/>
      <c r="I11" s="1052"/>
      <c r="J11" s="1052"/>
      <c r="K11" s="1052"/>
      <c r="L11" s="1048"/>
      <c r="M11" s="1048"/>
      <c r="N11" s="1048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1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0">
        <f>C14</f>
        <v>42516</v>
      </c>
      <c r="B14" s="724" t="s">
        <v>355</v>
      </c>
      <c r="C14" s="820">
        <v>42516</v>
      </c>
      <c r="D14" s="273" t="s">
        <v>394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37" t="str">
        <f>"Ngày 31 tháng  12  năm  "&amp;YEAR($A$14)</f>
        <v>Ngày 31 tháng  12  năm  2016</v>
      </c>
      <c r="F21" s="1037"/>
      <c r="G21" s="1037"/>
      <c r="H21" s="1037"/>
      <c r="I21" s="1037"/>
      <c r="J21" s="1037"/>
      <c r="K21" s="1037"/>
      <c r="L21" s="1037"/>
      <c r="M21" s="1037"/>
      <c r="N21" s="1037"/>
    </row>
    <row r="22" spans="1:14">
      <c r="A22" s="1037" t="s">
        <v>11</v>
      </c>
      <c r="B22" s="1037"/>
      <c r="C22" s="1037"/>
      <c r="D22" s="1037"/>
      <c r="E22" s="1037" t="s">
        <v>12</v>
      </c>
      <c r="F22" s="1037"/>
      <c r="G22" s="1037"/>
      <c r="H22" s="1037"/>
      <c r="I22" s="1037"/>
      <c r="J22" s="1037"/>
      <c r="K22" s="1037"/>
      <c r="L22" s="1037"/>
      <c r="M22" s="1037"/>
      <c r="N22" s="1037"/>
    </row>
    <row r="23" spans="1:14">
      <c r="A23" s="1037" t="s">
        <v>13</v>
      </c>
      <c r="B23" s="1037"/>
      <c r="C23" s="1037"/>
      <c r="D23" s="1037"/>
      <c r="E23" s="1037" t="s">
        <v>13</v>
      </c>
      <c r="F23" s="1037"/>
      <c r="G23" s="1037"/>
      <c r="H23" s="1037"/>
      <c r="I23" s="1037"/>
      <c r="J23" s="1037"/>
      <c r="K23" s="1037"/>
      <c r="L23" s="1037"/>
      <c r="M23" s="1037"/>
      <c r="N23" s="1037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17"/>
  <sheetViews>
    <sheetView topLeftCell="A9" workbookViewId="0">
      <pane ySplit="3" topLeftCell="A263" activePane="bottomLeft" state="frozen"/>
      <selection activeCell="A9" sqref="A9"/>
      <selection pane="bottomLeft" activeCell="D52" sqref="D52:D28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6" t="str">
        <f>TH!$A$1</f>
        <v>Đơn vị: CÔNG TY TNHH BAO BÌ GIẤY KIM DUNG PHÁT</v>
      </c>
      <c r="C1" s="282"/>
      <c r="D1" s="282"/>
      <c r="E1" s="282"/>
      <c r="F1" s="283"/>
      <c r="G1" s="283"/>
      <c r="H1" s="1021" t="s">
        <v>187</v>
      </c>
      <c r="I1" s="1021"/>
      <c r="J1" s="1021"/>
      <c r="K1" s="1021"/>
      <c r="L1" s="1021"/>
      <c r="M1" s="728"/>
      <c r="N1" s="729"/>
    </row>
    <row r="2" spans="1:14" s="262" customFormat="1" ht="14.25" customHeight="1">
      <c r="B2" s="817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2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  <c r="K2" s="1022"/>
      <c r="L2" s="1022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22"/>
      <c r="I3" s="1022"/>
      <c r="J3" s="1022"/>
      <c r="K3" s="1022"/>
      <c r="L3" s="1022"/>
      <c r="M3" s="734"/>
      <c r="N3" s="729"/>
    </row>
    <row r="4" spans="1:14" s="285" customFormat="1" ht="27.75" customHeight="1">
      <c r="B4" s="1061" t="s">
        <v>188</v>
      </c>
      <c r="C4" s="1061"/>
      <c r="D4" s="1061"/>
      <c r="E4" s="1061"/>
      <c r="F4" s="1061"/>
      <c r="G4" s="1061"/>
      <c r="H4" s="1061"/>
      <c r="I4" s="1061"/>
      <c r="J4" s="1061"/>
      <c r="K4" s="1061"/>
      <c r="L4" s="1061"/>
      <c r="N4" s="730"/>
    </row>
    <row r="5" spans="1:14" s="285" customFormat="1" ht="15" customHeight="1">
      <c r="B5" s="1060" t="s">
        <v>189</v>
      </c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N5" s="730"/>
    </row>
    <row r="6" spans="1:14" s="285" customFormat="1" ht="12.75" customHeight="1">
      <c r="B6" s="1060" t="s">
        <v>190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N6" s="730"/>
    </row>
    <row r="7" spans="1:14" s="286" customFormat="1" ht="24" customHeight="1">
      <c r="C7" s="1053" t="s">
        <v>191</v>
      </c>
      <c r="D7" s="1053"/>
      <c r="E7" s="1053"/>
      <c r="F7" s="1053"/>
      <c r="G7" s="1053"/>
      <c r="H7" s="1053"/>
      <c r="I7" s="1053"/>
      <c r="J7" s="1053"/>
      <c r="K7" s="1053"/>
      <c r="L7" s="1053"/>
      <c r="N7" s="731"/>
    </row>
    <row r="8" spans="1:14" ht="20.25" customHeight="1">
      <c r="B8" s="1054" t="s">
        <v>35</v>
      </c>
      <c r="C8" s="1055" t="s">
        <v>192</v>
      </c>
      <c r="D8" s="1056" t="s">
        <v>193</v>
      </c>
      <c r="E8" s="1058" t="s">
        <v>139</v>
      </c>
      <c r="F8" s="1058"/>
      <c r="G8" s="1058"/>
      <c r="H8" s="1058"/>
      <c r="I8" s="1058"/>
      <c r="J8" s="1058"/>
      <c r="K8" s="1058"/>
      <c r="L8" s="1058"/>
    </row>
    <row r="9" spans="1:14" ht="20.25" customHeight="1">
      <c r="B9" s="1054"/>
      <c r="C9" s="1055"/>
      <c r="D9" s="1057"/>
      <c r="E9" s="1058" t="s">
        <v>194</v>
      </c>
      <c r="F9" s="1058"/>
      <c r="G9" s="1059" t="s">
        <v>195</v>
      </c>
      <c r="H9" s="1059"/>
      <c r="I9" s="1059" t="s">
        <v>196</v>
      </c>
      <c r="J9" s="1059"/>
      <c r="K9" s="1059" t="s">
        <v>197</v>
      </c>
      <c r="L9" s="1059"/>
    </row>
    <row r="10" spans="1:14" ht="20.25" customHeight="1">
      <c r="B10" s="1054"/>
      <c r="C10" s="1055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503</v>
      </c>
      <c r="D12" s="295" t="s">
        <v>335</v>
      </c>
      <c r="E12" s="25"/>
      <c r="F12" s="25"/>
      <c r="G12" s="25">
        <f t="array" ref="G12">SUM(IF("1522"&amp;C12=KHN&amp;MH,SL))</f>
        <v>101310</v>
      </c>
      <c r="H12" s="25">
        <f t="array" ref="H12">SUM(IF("1522"&amp;C12=KHN&amp;MH,TH))</f>
        <v>80108600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101310</v>
      </c>
      <c r="L12" s="25">
        <f t="shared" si="0"/>
        <v>80108600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839</v>
      </c>
      <c r="D13" s="295" t="s">
        <v>335</v>
      </c>
      <c r="E13" s="8"/>
      <c r="F13" s="8"/>
      <c r="G13" s="25">
        <f t="array" ref="G13">SUM(IF("1522"&amp;C13=KHN&amp;MH,SL))</f>
        <v>77770</v>
      </c>
      <c r="H13" s="25">
        <f t="array" ref="H13">SUM(IF("1522"&amp;C13=KHN&amp;MH,TH))</f>
        <v>61541500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77770</v>
      </c>
      <c r="L13" s="8">
        <f t="shared" si="0"/>
        <v>61541500</v>
      </c>
      <c r="M13" s="292"/>
    </row>
    <row r="14" spans="1:14" ht="18" customHeight="1">
      <c r="A14" s="292" t="str">
        <f>IF(B14&lt;&gt;"","VL","")</f>
        <v>VL</v>
      </c>
      <c r="B14" s="293">
        <f>IF(C14&lt;&gt;"",ROW()-11,"")</f>
        <v>3</v>
      </c>
      <c r="C14" s="188" t="s">
        <v>927</v>
      </c>
      <c r="D14" s="295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830</v>
      </c>
      <c r="L14" s="8">
        <f t="shared" si="0"/>
        <v>19505000</v>
      </c>
      <c r="M14" s="292"/>
    </row>
    <row r="15" spans="1:14" ht="18" customHeight="1">
      <c r="A15" s="292" t="str">
        <f t="shared" ref="A15" si="1">IF(B15&lt;&gt;"","VL","")</f>
        <v>VL</v>
      </c>
      <c r="B15" s="771">
        <f t="shared" ref="B15" si="2">IF(C15&lt;&gt;"",ROW()-11,"")</f>
        <v>4</v>
      </c>
      <c r="C15" s="188" t="s">
        <v>929</v>
      </c>
      <c r="D15" s="295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3">E15+G15-I15</f>
        <v>4250</v>
      </c>
      <c r="L15" s="8">
        <f t="shared" ref="L15" si="4">F15+H15-J15</f>
        <v>38250000</v>
      </c>
      <c r="M15" s="292"/>
    </row>
    <row r="16" spans="1:14" ht="18.75" customHeight="1">
      <c r="A16" s="292" t="str">
        <f>IF(B16&lt;&gt;"","VL","")</f>
        <v/>
      </c>
      <c r="B16" s="293" t="str">
        <f>IF(C16&lt;&gt;"",ROW()-11,"")</f>
        <v/>
      </c>
      <c r="C16" s="297"/>
      <c r="D16" s="298"/>
      <c r="E16" s="299"/>
      <c r="F16" s="299"/>
      <c r="G16" s="25"/>
      <c r="H16" s="299"/>
      <c r="I16" s="299"/>
      <c r="J16" s="299"/>
      <c r="K16" s="299"/>
      <c r="L16" s="299"/>
      <c r="M16" s="292"/>
    </row>
    <row r="17" spans="1:13" ht="18.75" customHeight="1">
      <c r="A17" s="292" t="str">
        <f>IF(B17&lt;&gt;"","VL","")</f>
        <v/>
      </c>
      <c r="B17" s="291"/>
      <c r="C17" s="300" t="s">
        <v>334</v>
      </c>
      <c r="D17" s="13"/>
      <c r="E17" s="13">
        <f t="shared" ref="E17:L17" si="5">SUM(E12:E16)</f>
        <v>0</v>
      </c>
      <c r="F17" s="13">
        <f t="shared" si="5"/>
        <v>0</v>
      </c>
      <c r="G17" s="13">
        <f t="shared" si="5"/>
        <v>184160</v>
      </c>
      <c r="H17" s="13">
        <f t="shared" si="5"/>
        <v>199405100</v>
      </c>
      <c r="I17" s="13">
        <f t="shared" si="5"/>
        <v>0</v>
      </c>
      <c r="J17" s="13">
        <f t="shared" si="5"/>
        <v>0</v>
      </c>
      <c r="K17" s="13">
        <f t="shared" si="5"/>
        <v>184160</v>
      </c>
      <c r="L17" s="13">
        <f t="shared" si="5"/>
        <v>199405100</v>
      </c>
      <c r="M17" s="292"/>
    </row>
    <row r="18" spans="1:13" ht="18.75" customHeight="1">
      <c r="A18" s="292"/>
      <c r="B18" s="473"/>
      <c r="C18" s="474"/>
      <c r="D18" s="475"/>
      <c r="E18" s="475"/>
      <c r="F18" s="475">
        <f>F17-CDPS!C20</f>
        <v>0</v>
      </c>
      <c r="G18" s="475"/>
      <c r="H18" s="475">
        <f>H17-CDPS!E20</f>
        <v>0</v>
      </c>
      <c r="I18" s="475"/>
      <c r="J18" s="475">
        <f>J17-CDPS!F20</f>
        <v>0</v>
      </c>
      <c r="K18" s="475"/>
      <c r="L18" s="475">
        <f>L17-CDPS!G20</f>
        <v>0</v>
      </c>
      <c r="M18" s="292"/>
    </row>
    <row r="19" spans="1:13" ht="18.75" customHeight="1">
      <c r="A19" s="292" t="str">
        <f t="shared" ref="A19:A24" si="6">IF(B19&lt;&gt;"","NL","")</f>
        <v>NL</v>
      </c>
      <c r="B19" s="472">
        <f>IF(C19&lt;&gt;"",B18+1,"")</f>
        <v>1</v>
      </c>
      <c r="C19" s="188" t="s">
        <v>463</v>
      </c>
      <c r="D19" s="295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4" si="7">E19+G19-I19</f>
        <v>39900</v>
      </c>
      <c r="L19" s="25">
        <f t="shared" ref="L19:L24" si="8">F19+H19-J19</f>
        <v>302211200</v>
      </c>
      <c r="M19" s="292"/>
    </row>
    <row r="20" spans="1:13" ht="18.75" customHeight="1">
      <c r="A20" s="292" t="str">
        <f t="shared" si="6"/>
        <v>NL</v>
      </c>
      <c r="B20" s="472">
        <f t="shared" ref="B20:B24" si="9">IF(C20&lt;&gt;"",B19+1,"")</f>
        <v>2</v>
      </c>
      <c r="C20" s="188" t="s">
        <v>508</v>
      </c>
      <c r="D20" s="295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1383</v>
      </c>
      <c r="J20" s="25">
        <f t="array" ref="J20">SUM(IF("1521"&amp;C20=KHC&amp;MH,TH))</f>
        <v>12308700</v>
      </c>
      <c r="K20" s="8">
        <f t="shared" si="7"/>
        <v>8819</v>
      </c>
      <c r="L20" s="8">
        <f t="shared" si="8"/>
        <v>78489100</v>
      </c>
      <c r="M20" s="292"/>
    </row>
    <row r="21" spans="1:13" ht="18.75" customHeight="1">
      <c r="A21" s="292" t="str">
        <f t="shared" si="6"/>
        <v>NL</v>
      </c>
      <c r="B21" s="472">
        <f t="shared" si="9"/>
        <v>3</v>
      </c>
      <c r="C21" s="188" t="s">
        <v>509</v>
      </c>
      <c r="D21" s="295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21716</v>
      </c>
      <c r="L21" s="8">
        <f t="shared" si="8"/>
        <v>184586000</v>
      </c>
      <c r="M21" s="292"/>
    </row>
    <row r="22" spans="1:13" ht="18.75" customHeight="1">
      <c r="A22" s="292" t="str">
        <f t="shared" si="6"/>
        <v>NL</v>
      </c>
      <c r="B22" s="472">
        <f t="shared" si="9"/>
        <v>4</v>
      </c>
      <c r="C22" s="188" t="s">
        <v>465</v>
      </c>
      <c r="D22" s="295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13252</v>
      </c>
      <c r="L22" s="8">
        <f t="shared" si="8"/>
        <v>112642000</v>
      </c>
      <c r="M22" s="292"/>
    </row>
    <row r="23" spans="1:13" ht="18" customHeight="1">
      <c r="A23" s="292" t="str">
        <f t="shared" si="6"/>
        <v>NL</v>
      </c>
      <c r="B23" s="472">
        <f t="shared" si="9"/>
        <v>5</v>
      </c>
      <c r="C23" s="188" t="s">
        <v>845</v>
      </c>
      <c r="D23" s="295" t="s">
        <v>335</v>
      </c>
      <c r="E23" s="8"/>
      <c r="F23" s="8"/>
      <c r="G23" s="25">
        <f t="array" ref="G23">SUM(IF("1521"&amp;C23=KHN&amp;MH,SL))</f>
        <v>24273</v>
      </c>
      <c r="H23" s="25">
        <f t="array" ref="H23">SUM(IF("1521"&amp;C23=KHN&amp;MH,TH))</f>
        <v>195825800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24273</v>
      </c>
      <c r="L23" s="8">
        <f t="shared" si="8"/>
        <v>195825800</v>
      </c>
      <c r="M23" s="292"/>
    </row>
    <row r="24" spans="1:13" ht="18" customHeight="1">
      <c r="A24" s="292" t="str">
        <f t="shared" si="6"/>
        <v>NL</v>
      </c>
      <c r="B24" s="472">
        <f t="shared" si="9"/>
        <v>6</v>
      </c>
      <c r="C24" s="188" t="s">
        <v>944</v>
      </c>
      <c r="D24" s="295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55700</v>
      </c>
      <c r="L24" s="8">
        <f t="shared" si="8"/>
        <v>467880000</v>
      </c>
      <c r="M24" s="292"/>
    </row>
    <row r="25" spans="1:13" ht="19.5" customHeight="1">
      <c r="A25" s="292" t="str">
        <f t="shared" ref="A25:A26" si="10">IF(B25&lt;&gt;"","NL","")</f>
        <v/>
      </c>
      <c r="B25" s="293" t="str">
        <f>IF(C25&lt;&gt;"",#REF!+1,"")</f>
        <v/>
      </c>
      <c r="C25" s="301"/>
      <c r="D25" s="302"/>
      <c r="E25" s="303"/>
      <c r="F25" s="303"/>
      <c r="G25" s="303"/>
      <c r="H25" s="303"/>
      <c r="I25" s="303"/>
      <c r="J25" s="303"/>
      <c r="K25" s="8"/>
      <c r="L25" s="8"/>
      <c r="M25" s="292"/>
    </row>
    <row r="26" spans="1:13" ht="19.5" customHeight="1">
      <c r="A26" s="292" t="str">
        <f t="shared" si="10"/>
        <v/>
      </c>
      <c r="B26" s="291"/>
      <c r="C26" s="300" t="s">
        <v>338</v>
      </c>
      <c r="D26" s="291"/>
      <c r="E26" s="13">
        <f t="shared" ref="E26:L26" si="11">SUM(E19:E25)</f>
        <v>0</v>
      </c>
      <c r="F26" s="13">
        <f t="shared" si="11"/>
        <v>0</v>
      </c>
      <c r="G26" s="13">
        <f t="shared" si="11"/>
        <v>165043</v>
      </c>
      <c r="H26" s="13">
        <f t="shared" si="11"/>
        <v>1353942800</v>
      </c>
      <c r="I26" s="13">
        <f t="shared" si="11"/>
        <v>1383</v>
      </c>
      <c r="J26" s="13">
        <f t="shared" si="11"/>
        <v>12308700</v>
      </c>
      <c r="K26" s="13">
        <f t="shared" si="11"/>
        <v>163660</v>
      </c>
      <c r="L26" s="13">
        <f t="shared" si="11"/>
        <v>1341634100</v>
      </c>
      <c r="M26" s="292"/>
    </row>
    <row r="27" spans="1:13" ht="19.5" customHeight="1">
      <c r="A27" s="292"/>
      <c r="B27" s="473"/>
      <c r="C27" s="474"/>
      <c r="D27" s="473"/>
      <c r="E27" s="475"/>
      <c r="F27" s="475">
        <f>F26-CDPS!C19</f>
        <v>0</v>
      </c>
      <c r="G27" s="475"/>
      <c r="H27" s="475">
        <f>H26-CDPS!E19</f>
        <v>0</v>
      </c>
      <c r="I27" s="475"/>
      <c r="J27" s="475">
        <f>J26-CDPS!F19</f>
        <v>0</v>
      </c>
      <c r="K27" s="475"/>
      <c r="L27" s="475">
        <f>L26-CDPS!G19</f>
        <v>0</v>
      </c>
      <c r="M27" s="292"/>
    </row>
    <row r="28" spans="1:13" ht="19.5" customHeight="1">
      <c r="A28" s="292" t="str">
        <f t="shared" ref="A28:A91" si="12">IF(B28&lt;&gt;"","TP","")</f>
        <v>TP</v>
      </c>
      <c r="B28" s="305">
        <f t="shared" ref="B28:B91" si="13">IF(C28&lt;&gt;"",B27+1,"")</f>
        <v>1</v>
      </c>
      <c r="C28" s="188" t="s">
        <v>591</v>
      </c>
      <c r="D28" s="304" t="s">
        <v>335</v>
      </c>
      <c r="E28" s="25"/>
      <c r="F28" s="25"/>
      <c r="G28" s="25">
        <f t="array" ref="G28">SUM(IF("155"&amp;C28=KHN&amp;MH,SL))</f>
        <v>0</v>
      </c>
      <c r="H28" s="25">
        <f t="array" ref="H28">SUM(IF("155"&amp;C28=KHN&amp;MH,TH))</f>
        <v>0</v>
      </c>
      <c r="I28" s="25">
        <f t="array" ref="I28">SUM(IF("155"&amp;C28=KHC&amp;MH,SL))</f>
        <v>0</v>
      </c>
      <c r="J28" s="25">
        <f t="array" ref="J28">SUM(IF("155"&amp;C28=KHC&amp;MH,TH))</f>
        <v>0</v>
      </c>
      <c r="K28" s="25">
        <f t="shared" ref="K28:K91" si="14">E28+G28-I28</f>
        <v>0</v>
      </c>
      <c r="L28" s="25">
        <f t="shared" ref="L28:L91" si="15">F28+H28-J28</f>
        <v>0</v>
      </c>
      <c r="M28" s="292"/>
    </row>
    <row r="29" spans="1:13" ht="19.5" customHeight="1">
      <c r="A29" s="292" t="str">
        <f t="shared" si="12"/>
        <v>TP</v>
      </c>
      <c r="B29" s="305">
        <f t="shared" si="13"/>
        <v>2</v>
      </c>
      <c r="C29" s="39" t="s">
        <v>591</v>
      </c>
      <c r="D29" s="304" t="s">
        <v>335</v>
      </c>
      <c r="E29" s="8"/>
      <c r="F29" s="8"/>
      <c r="G29" s="25">
        <f t="array" ref="G29">SUM(IF("155"&amp;C29=KHN&amp;MH,SL))</f>
        <v>0</v>
      </c>
      <c r="H29" s="25">
        <f t="array" ref="H29">SUM(IF("155"&amp;C29=KHN&amp;MH,TH))</f>
        <v>0</v>
      </c>
      <c r="I29" s="25">
        <f t="array" ref="I29">SUM(IF("155"&amp;C29=KHC&amp;MH,SL))</f>
        <v>0</v>
      </c>
      <c r="J29" s="25">
        <f t="array" ref="J29">SUM(IF("155"&amp;C29=KHC&amp;MH,TH))</f>
        <v>0</v>
      </c>
      <c r="K29" s="8">
        <f t="shared" si="14"/>
        <v>0</v>
      </c>
      <c r="L29" s="8">
        <f t="shared" si="15"/>
        <v>0</v>
      </c>
      <c r="M29" s="292"/>
    </row>
    <row r="30" spans="1:13" ht="18" customHeight="1">
      <c r="A30" s="292" t="str">
        <f t="shared" si="12"/>
        <v>TP</v>
      </c>
      <c r="B30" s="305">
        <f t="shared" si="13"/>
        <v>3</v>
      </c>
      <c r="C30" s="191" t="s">
        <v>591</v>
      </c>
      <c r="D30" s="304" t="s">
        <v>335</v>
      </c>
      <c r="E30" s="8"/>
      <c r="F30" s="8"/>
      <c r="G30" s="25">
        <f t="array" ref="G30">SUM(IF("155"&amp;C30=KHN&amp;MH,SL))</f>
        <v>0</v>
      </c>
      <c r="H30" s="25">
        <f t="array" ref="H30">SUM(IF("155"&amp;C30=KHN&amp;MH,TH))</f>
        <v>0</v>
      </c>
      <c r="I30" s="25">
        <f t="array" ref="I30">SUM(IF("155"&amp;C30=KHC&amp;MH,SL))</f>
        <v>0</v>
      </c>
      <c r="J30" s="25">
        <f t="array" ref="J30">SUM(IF("155"&amp;C30=KHC&amp;MH,TH))</f>
        <v>0</v>
      </c>
      <c r="K30" s="8">
        <f t="shared" si="14"/>
        <v>0</v>
      </c>
      <c r="L30" s="8">
        <f t="shared" si="15"/>
        <v>0</v>
      </c>
      <c r="M30" s="292"/>
    </row>
    <row r="31" spans="1:13" ht="18" customHeight="1">
      <c r="A31" s="292" t="str">
        <f t="shared" si="12"/>
        <v>TP</v>
      </c>
      <c r="B31" s="305">
        <f t="shared" si="13"/>
        <v>4</v>
      </c>
      <c r="C31" s="191" t="s">
        <v>591</v>
      </c>
      <c r="D31" s="304" t="s">
        <v>335</v>
      </c>
      <c r="E31" s="8"/>
      <c r="F31" s="8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8">
        <f t="shared" si="14"/>
        <v>0</v>
      </c>
      <c r="L31" s="8">
        <f t="shared" si="15"/>
        <v>0</v>
      </c>
      <c r="M31" s="292"/>
    </row>
    <row r="32" spans="1:13" ht="18.75" customHeight="1">
      <c r="A32" s="292" t="str">
        <f t="shared" si="12"/>
        <v>TP</v>
      </c>
      <c r="B32" s="305">
        <f t="shared" si="13"/>
        <v>5</v>
      </c>
      <c r="C32" s="39" t="s">
        <v>591</v>
      </c>
      <c r="D32" s="304" t="s">
        <v>335</v>
      </c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4"/>
        <v>0</v>
      </c>
      <c r="L32" s="8">
        <f t="shared" si="15"/>
        <v>0</v>
      </c>
      <c r="M32" s="292"/>
    </row>
    <row r="33" spans="1:13" ht="18.75" customHeight="1">
      <c r="A33" s="292" t="str">
        <f t="shared" si="12"/>
        <v>TP</v>
      </c>
      <c r="B33" s="305">
        <f t="shared" si="13"/>
        <v>6</v>
      </c>
      <c r="C33" s="191" t="s">
        <v>591</v>
      </c>
      <c r="D33" s="304" t="s">
        <v>335</v>
      </c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4"/>
        <v>0</v>
      </c>
      <c r="L33" s="8">
        <f t="shared" si="15"/>
        <v>0</v>
      </c>
      <c r="M33" s="292"/>
    </row>
    <row r="34" spans="1:13" ht="18.75" customHeight="1">
      <c r="A34" s="292" t="str">
        <f t="shared" si="12"/>
        <v>TP</v>
      </c>
      <c r="B34" s="305">
        <f t="shared" si="13"/>
        <v>7</v>
      </c>
      <c r="C34" s="191" t="s">
        <v>729</v>
      </c>
      <c r="D34" s="304" t="s">
        <v>1036</v>
      </c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.75" customHeight="1">
      <c r="A35" s="292" t="str">
        <f t="shared" si="12"/>
        <v>TP</v>
      </c>
      <c r="B35" s="305">
        <f t="shared" si="13"/>
        <v>8</v>
      </c>
      <c r="C35" s="39" t="s">
        <v>411</v>
      </c>
      <c r="D35" s="304" t="s">
        <v>1036</v>
      </c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.75" customHeight="1">
      <c r="A36" s="292" t="str">
        <f t="shared" si="12"/>
        <v>TP</v>
      </c>
      <c r="B36" s="305">
        <f t="shared" si="13"/>
        <v>9</v>
      </c>
      <c r="C36" s="188" t="s">
        <v>552</v>
      </c>
      <c r="D36" s="304" t="s">
        <v>1037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>TP</v>
      </c>
      <c r="B37" s="305">
        <f t="shared" si="13"/>
        <v>10</v>
      </c>
      <c r="C37" s="191" t="s">
        <v>1002</v>
      </c>
      <c r="D37" s="304" t="s">
        <v>1037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>TP</v>
      </c>
      <c r="B38" s="305">
        <f t="shared" si="13"/>
        <v>11</v>
      </c>
      <c r="C38" s="191" t="s">
        <v>743</v>
      </c>
      <c r="D38" s="304" t="s">
        <v>1036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>TP</v>
      </c>
      <c r="B39" s="305">
        <f t="shared" si="13"/>
        <v>12</v>
      </c>
      <c r="C39" s="191" t="s">
        <v>962</v>
      </c>
      <c r="D39" s="304" t="s">
        <v>1036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>TP</v>
      </c>
      <c r="B40" s="305">
        <f t="shared" si="13"/>
        <v>13</v>
      </c>
      <c r="C40" s="188" t="s">
        <v>924</v>
      </c>
      <c r="D40" s="304" t="s">
        <v>1036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>TP</v>
      </c>
      <c r="B41" s="305">
        <f t="shared" si="13"/>
        <v>14</v>
      </c>
      <c r="C41" s="191" t="s">
        <v>923</v>
      </c>
      <c r="D41" s="304" t="s">
        <v>1036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>TP</v>
      </c>
      <c r="B42" s="305">
        <f t="shared" si="13"/>
        <v>15</v>
      </c>
      <c r="C42" s="191" t="s">
        <v>922</v>
      </c>
      <c r="D42" s="304" t="s">
        <v>1036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>TP</v>
      </c>
      <c r="B43" s="305">
        <f t="shared" si="13"/>
        <v>16</v>
      </c>
      <c r="C43" s="191" t="s">
        <v>925</v>
      </c>
      <c r="D43" s="304" t="s">
        <v>1036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>TP</v>
      </c>
      <c r="B44" s="305">
        <f t="shared" si="13"/>
        <v>17</v>
      </c>
      <c r="C44" s="191" t="s">
        <v>418</v>
      </c>
      <c r="D44" s="304" t="s">
        <v>1036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>TP</v>
      </c>
      <c r="B45" s="305">
        <f t="shared" si="13"/>
        <v>18</v>
      </c>
      <c r="C45" s="39" t="s">
        <v>418</v>
      </c>
      <c r="D45" s="304" t="s">
        <v>1036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>TP</v>
      </c>
      <c r="B46" s="305">
        <f t="shared" si="13"/>
        <v>19</v>
      </c>
      <c r="C46" s="39" t="s">
        <v>418</v>
      </c>
      <c r="D46" s="304" t="s">
        <v>1036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>TP</v>
      </c>
      <c r="B47" s="305">
        <f t="shared" si="13"/>
        <v>20</v>
      </c>
      <c r="C47" s="39" t="s">
        <v>973</v>
      </c>
      <c r="D47" s="304" t="s">
        <v>1036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>TP</v>
      </c>
      <c r="B48" s="305">
        <f t="shared" si="13"/>
        <v>21</v>
      </c>
      <c r="C48" s="39" t="s">
        <v>594</v>
      </c>
      <c r="D48" s="304" t="s">
        <v>1036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>TP</v>
      </c>
      <c r="B49" s="305">
        <f t="shared" si="13"/>
        <v>22</v>
      </c>
      <c r="C49" s="39" t="s">
        <v>568</v>
      </c>
      <c r="D49" s="304" t="s">
        <v>1036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>TP</v>
      </c>
      <c r="B50" s="305">
        <f t="shared" si="13"/>
        <v>23</v>
      </c>
      <c r="C50" s="188" t="s">
        <v>568</v>
      </c>
      <c r="D50" s="304" t="s">
        <v>1036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>TP</v>
      </c>
      <c r="B51" s="305">
        <f t="shared" si="13"/>
        <v>24</v>
      </c>
      <c r="C51" s="39" t="s">
        <v>567</v>
      </c>
      <c r="D51" s="304" t="s">
        <v>1036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>TP</v>
      </c>
      <c r="B52" s="305">
        <f t="shared" si="13"/>
        <v>25</v>
      </c>
      <c r="C52" s="39" t="s">
        <v>722</v>
      </c>
      <c r="D52" s="304" t="s">
        <v>1037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>TP</v>
      </c>
      <c r="B53" s="305">
        <f t="shared" si="13"/>
        <v>26</v>
      </c>
      <c r="C53" s="191" t="s">
        <v>724</v>
      </c>
      <c r="D53" s="304" t="s">
        <v>1037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>TP</v>
      </c>
      <c r="B54" s="305">
        <f t="shared" si="13"/>
        <v>27</v>
      </c>
      <c r="C54" s="191" t="s">
        <v>720</v>
      </c>
      <c r="D54" s="304" t="s">
        <v>1037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>TP</v>
      </c>
      <c r="B55" s="305">
        <f t="shared" si="13"/>
        <v>28</v>
      </c>
      <c r="C55" s="191" t="s">
        <v>721</v>
      </c>
      <c r="D55" s="304" t="s">
        <v>1037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>TP</v>
      </c>
      <c r="B56" s="305">
        <f t="shared" si="13"/>
        <v>29</v>
      </c>
      <c r="C56" s="39" t="s">
        <v>719</v>
      </c>
      <c r="D56" s="304" t="s">
        <v>1037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>TP</v>
      </c>
      <c r="B57" s="305">
        <f t="shared" si="13"/>
        <v>30</v>
      </c>
      <c r="C57" s="191" t="s">
        <v>719</v>
      </c>
      <c r="D57" s="304" t="s">
        <v>1037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>TP</v>
      </c>
      <c r="B58" s="305">
        <f t="shared" si="13"/>
        <v>31</v>
      </c>
      <c r="C58" s="191" t="s">
        <v>723</v>
      </c>
      <c r="D58" s="304" t="s">
        <v>1037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>TP</v>
      </c>
      <c r="B59" s="305">
        <f t="shared" si="13"/>
        <v>32</v>
      </c>
      <c r="C59" s="191" t="s">
        <v>718</v>
      </c>
      <c r="D59" s="304" t="s">
        <v>1037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>TP</v>
      </c>
      <c r="B60" s="305">
        <f t="shared" si="13"/>
        <v>33</v>
      </c>
      <c r="C60" s="191" t="s">
        <v>588</v>
      </c>
      <c r="D60" s="304" t="s">
        <v>1037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>TP</v>
      </c>
      <c r="B61" s="305">
        <f t="shared" si="13"/>
        <v>34</v>
      </c>
      <c r="C61" s="39" t="s">
        <v>588</v>
      </c>
      <c r="D61" s="304" t="s">
        <v>1037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>TP</v>
      </c>
      <c r="B62" s="305">
        <f t="shared" si="13"/>
        <v>35</v>
      </c>
      <c r="C62" s="188" t="s">
        <v>588</v>
      </c>
      <c r="D62" s="304" t="s">
        <v>1037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>TP</v>
      </c>
      <c r="B63" s="305">
        <f t="shared" si="13"/>
        <v>36</v>
      </c>
      <c r="C63" s="191" t="s">
        <v>588</v>
      </c>
      <c r="D63" s="304" t="s">
        <v>1037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>TP</v>
      </c>
      <c r="B64" s="305">
        <f t="shared" si="13"/>
        <v>37</v>
      </c>
      <c r="C64" s="191" t="s">
        <v>588</v>
      </c>
      <c r="D64" s="304" t="s">
        <v>1037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si="12"/>
        <v>TP</v>
      </c>
      <c r="B65" s="305">
        <f t="shared" si="13"/>
        <v>38</v>
      </c>
      <c r="C65" s="191" t="s">
        <v>557</v>
      </c>
      <c r="D65" s="304" t="s">
        <v>1037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2"/>
        <v>TP</v>
      </c>
      <c r="B66" s="305">
        <f t="shared" si="13"/>
        <v>39</v>
      </c>
      <c r="C66" s="191" t="s">
        <v>557</v>
      </c>
      <c r="D66" s="304" t="s">
        <v>1037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2"/>
        <v>TP</v>
      </c>
      <c r="B67" s="305">
        <f t="shared" si="13"/>
        <v>40</v>
      </c>
      <c r="C67" s="191" t="s">
        <v>557</v>
      </c>
      <c r="D67" s="304" t="s">
        <v>1037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2"/>
        <v>TP</v>
      </c>
      <c r="B68" s="305">
        <f t="shared" si="13"/>
        <v>41</v>
      </c>
      <c r="C68" s="191" t="s">
        <v>556</v>
      </c>
      <c r="D68" s="304" t="s">
        <v>1037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2"/>
        <v>TP</v>
      </c>
      <c r="B69" s="305">
        <f t="shared" si="13"/>
        <v>42</v>
      </c>
      <c r="C69" s="191" t="s">
        <v>728</v>
      </c>
      <c r="D69" s="304" t="s">
        <v>1037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2"/>
        <v>TP</v>
      </c>
      <c r="B70" s="305">
        <f t="shared" si="13"/>
        <v>43</v>
      </c>
      <c r="C70" s="191" t="s">
        <v>728</v>
      </c>
      <c r="D70" s="304" t="s">
        <v>1037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2"/>
        <v>TP</v>
      </c>
      <c r="B71" s="305">
        <f t="shared" si="13"/>
        <v>44</v>
      </c>
      <c r="C71" s="191" t="s">
        <v>756</v>
      </c>
      <c r="D71" s="304" t="s">
        <v>1037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2"/>
        <v>TP</v>
      </c>
      <c r="B72" s="305">
        <f t="shared" si="13"/>
        <v>45</v>
      </c>
      <c r="C72" s="191" t="s">
        <v>755</v>
      </c>
      <c r="D72" s="304" t="s">
        <v>1037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2"/>
        <v>TP</v>
      </c>
      <c r="B73" s="305">
        <f t="shared" si="13"/>
        <v>46</v>
      </c>
      <c r="C73" s="191" t="s">
        <v>757</v>
      </c>
      <c r="D73" s="304" t="s">
        <v>1037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2"/>
        <v>TP</v>
      </c>
      <c r="B74" s="305">
        <f t="shared" si="13"/>
        <v>47</v>
      </c>
      <c r="C74" s="191" t="s">
        <v>758</v>
      </c>
      <c r="D74" s="304" t="s">
        <v>1037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" customHeight="1">
      <c r="A75" s="292" t="str">
        <f t="shared" si="12"/>
        <v>TP</v>
      </c>
      <c r="B75" s="305">
        <f t="shared" si="13"/>
        <v>48</v>
      </c>
      <c r="C75" s="191" t="s">
        <v>899</v>
      </c>
      <c r="D75" s="304" t="s">
        <v>1037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" customHeight="1">
      <c r="A76" s="292" t="str">
        <f t="shared" si="12"/>
        <v>TP</v>
      </c>
      <c r="B76" s="305">
        <f t="shared" si="13"/>
        <v>49</v>
      </c>
      <c r="C76" s="191" t="s">
        <v>580</v>
      </c>
      <c r="D76" s="304" t="s">
        <v>1037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2"/>
        <v>TP</v>
      </c>
      <c r="B77" s="305">
        <f t="shared" si="13"/>
        <v>50</v>
      </c>
      <c r="C77" s="188" t="s">
        <v>602</v>
      </c>
      <c r="D77" s="304" t="s">
        <v>1037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2"/>
        <v>TP</v>
      </c>
      <c r="B78" s="305">
        <f t="shared" si="13"/>
        <v>51</v>
      </c>
      <c r="C78" s="39" t="s">
        <v>714</v>
      </c>
      <c r="D78" s="304" t="s">
        <v>1037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2"/>
        <v>TP</v>
      </c>
      <c r="B79" s="305">
        <f t="shared" si="13"/>
        <v>52</v>
      </c>
      <c r="C79" s="39" t="s">
        <v>874</v>
      </c>
      <c r="D79" s="304" t="s">
        <v>1037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.75" customHeight="1">
      <c r="A80" s="292" t="str">
        <f t="shared" si="12"/>
        <v>TP</v>
      </c>
      <c r="B80" s="305">
        <f t="shared" si="13"/>
        <v>53</v>
      </c>
      <c r="C80" s="39" t="s">
        <v>600</v>
      </c>
      <c r="D80" s="304" t="s">
        <v>1037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.75" customHeight="1">
      <c r="A81" s="292" t="str">
        <f t="shared" si="12"/>
        <v>TP</v>
      </c>
      <c r="B81" s="305">
        <f t="shared" si="13"/>
        <v>54</v>
      </c>
      <c r="C81" s="191" t="s">
        <v>873</v>
      </c>
      <c r="D81" s="304" t="s">
        <v>1037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2"/>
        <v>TP</v>
      </c>
      <c r="B82" s="305">
        <f t="shared" si="13"/>
        <v>55</v>
      </c>
      <c r="C82" s="191" t="s">
        <v>727</v>
      </c>
      <c r="D82" s="304" t="s">
        <v>1037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2"/>
        <v>TP</v>
      </c>
      <c r="B83" s="305">
        <f t="shared" si="13"/>
        <v>56</v>
      </c>
      <c r="C83" s="188" t="s">
        <v>583</v>
      </c>
      <c r="D83" s="304" t="s">
        <v>1037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2"/>
        <v>TP</v>
      </c>
      <c r="B84" s="305">
        <f t="shared" si="13"/>
        <v>57</v>
      </c>
      <c r="C84" s="191" t="s">
        <v>583</v>
      </c>
      <c r="D84" s="304" t="s">
        <v>1037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si="12"/>
        <v>TP</v>
      </c>
      <c r="B85" s="305">
        <f t="shared" si="13"/>
        <v>58</v>
      </c>
      <c r="C85" s="39" t="s">
        <v>913</v>
      </c>
      <c r="D85" s="304" t="s">
        <v>1037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2"/>
        <v>TP</v>
      </c>
      <c r="B86" s="305">
        <f t="shared" si="13"/>
        <v>59</v>
      </c>
      <c r="C86" s="191" t="s">
        <v>713</v>
      </c>
      <c r="D86" s="304" t="s">
        <v>1037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2"/>
        <v>TP</v>
      </c>
      <c r="B87" s="305">
        <f t="shared" si="13"/>
        <v>60</v>
      </c>
      <c r="C87" s="191" t="s">
        <v>563</v>
      </c>
      <c r="D87" s="304" t="s">
        <v>1037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2"/>
        <v>TP</v>
      </c>
      <c r="B88" s="305">
        <f t="shared" si="13"/>
        <v>61</v>
      </c>
      <c r="C88" s="191" t="s">
        <v>753</v>
      </c>
      <c r="D88" s="304" t="s">
        <v>1037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2"/>
        <v>TP</v>
      </c>
      <c r="B89" s="305">
        <f t="shared" si="13"/>
        <v>62</v>
      </c>
      <c r="C89" s="39" t="s">
        <v>753</v>
      </c>
      <c r="D89" s="304" t="s">
        <v>1037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2"/>
        <v>TP</v>
      </c>
      <c r="B90" s="305">
        <f t="shared" si="13"/>
        <v>63</v>
      </c>
      <c r="C90" s="188" t="s">
        <v>569</v>
      </c>
      <c r="D90" s="304" t="s">
        <v>1037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si="12"/>
        <v>TP</v>
      </c>
      <c r="B91" s="305">
        <f t="shared" si="13"/>
        <v>64</v>
      </c>
      <c r="C91" s="39" t="s">
        <v>569</v>
      </c>
      <c r="D91" s="304" t="s">
        <v>1037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9.5" customHeight="1">
      <c r="A92" s="292" t="str">
        <f t="shared" ref="A92:A155" si="16">IF(B92&lt;&gt;"","TP","")</f>
        <v>TP</v>
      </c>
      <c r="B92" s="305">
        <f t="shared" ref="B92:B155" si="17">IF(C92&lt;&gt;"",B91+1,"")</f>
        <v>65</v>
      </c>
      <c r="C92" s="188" t="s">
        <v>569</v>
      </c>
      <c r="D92" s="304" t="s">
        <v>1037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ref="K92:K155" si="18">E92+G92-I92</f>
        <v>0</v>
      </c>
      <c r="L92" s="8">
        <f t="shared" ref="L92:L155" si="19">F92+H92-J92</f>
        <v>0</v>
      </c>
      <c r="M92" s="292"/>
    </row>
    <row r="93" spans="1:13" ht="19.5" customHeight="1">
      <c r="A93" s="292" t="str">
        <f t="shared" si="16"/>
        <v>TP</v>
      </c>
      <c r="B93" s="305">
        <f t="shared" si="17"/>
        <v>66</v>
      </c>
      <c r="C93" s="191" t="s">
        <v>569</v>
      </c>
      <c r="D93" s="304" t="s">
        <v>1037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8"/>
        <v>0</v>
      </c>
      <c r="L93" s="8">
        <f t="shared" si="19"/>
        <v>0</v>
      </c>
      <c r="M93" s="292"/>
    </row>
    <row r="94" spans="1:13" ht="19.5" customHeight="1">
      <c r="A94" s="292" t="str">
        <f t="shared" si="16"/>
        <v>TP</v>
      </c>
      <c r="B94" s="305">
        <f t="shared" si="17"/>
        <v>67</v>
      </c>
      <c r="C94" s="191" t="s">
        <v>918</v>
      </c>
      <c r="D94" s="304" t="s">
        <v>1037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8"/>
        <v>0</v>
      </c>
      <c r="L94" s="8">
        <f t="shared" si="19"/>
        <v>0</v>
      </c>
      <c r="M94" s="292"/>
    </row>
    <row r="95" spans="1:13" ht="19.5" customHeight="1">
      <c r="A95" s="292" t="str">
        <f t="shared" si="16"/>
        <v>TP</v>
      </c>
      <c r="B95" s="305">
        <f t="shared" si="17"/>
        <v>68</v>
      </c>
      <c r="C95" s="191" t="s">
        <v>917</v>
      </c>
      <c r="D95" s="304" t="s">
        <v>1037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8"/>
        <v>0</v>
      </c>
      <c r="L95" s="8">
        <f t="shared" si="19"/>
        <v>0</v>
      </c>
      <c r="M95" s="292"/>
    </row>
    <row r="96" spans="1:13" ht="19.5" customHeight="1">
      <c r="A96" s="292" t="str">
        <f t="shared" si="16"/>
        <v>TP</v>
      </c>
      <c r="B96" s="305">
        <f t="shared" si="17"/>
        <v>69</v>
      </c>
      <c r="C96" s="191" t="s">
        <v>916</v>
      </c>
      <c r="D96" s="304" t="s">
        <v>1037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8"/>
        <v>0</v>
      </c>
      <c r="L96" s="8">
        <f t="shared" si="19"/>
        <v>0</v>
      </c>
      <c r="M96" s="292"/>
    </row>
    <row r="97" spans="1:13" ht="19.5" customHeight="1">
      <c r="A97" s="292" t="str">
        <f t="shared" si="16"/>
        <v>TP</v>
      </c>
      <c r="B97" s="305">
        <f t="shared" si="17"/>
        <v>70</v>
      </c>
      <c r="C97" s="191" t="s">
        <v>741</v>
      </c>
      <c r="D97" s="304" t="s">
        <v>1037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8"/>
        <v>0</v>
      </c>
      <c r="L97" s="8">
        <f t="shared" si="19"/>
        <v>0</v>
      </c>
      <c r="M97" s="292"/>
    </row>
    <row r="98" spans="1:13" ht="19.5" customHeight="1">
      <c r="A98" s="292" t="str">
        <f t="shared" si="16"/>
        <v>TP</v>
      </c>
      <c r="B98" s="305">
        <f t="shared" si="17"/>
        <v>71</v>
      </c>
      <c r="C98" s="191" t="s">
        <v>919</v>
      </c>
      <c r="D98" s="304" t="s">
        <v>1037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8"/>
        <v>0</v>
      </c>
      <c r="L98" s="8">
        <f t="shared" si="19"/>
        <v>0</v>
      </c>
      <c r="M98" s="292"/>
    </row>
    <row r="99" spans="1:13" ht="19.5" customHeight="1">
      <c r="A99" s="292" t="str">
        <f t="shared" si="16"/>
        <v>TP</v>
      </c>
      <c r="B99" s="305">
        <f t="shared" si="17"/>
        <v>72</v>
      </c>
      <c r="C99" s="188" t="s">
        <v>573</v>
      </c>
      <c r="D99" s="304" t="s">
        <v>1037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18"/>
        <v>0</v>
      </c>
      <c r="L99" s="8">
        <f t="shared" si="19"/>
        <v>0</v>
      </c>
      <c r="M99" s="292"/>
    </row>
    <row r="100" spans="1:13" ht="19.5" customHeight="1">
      <c r="A100" s="292" t="str">
        <f t="shared" si="16"/>
        <v>TP</v>
      </c>
      <c r="B100" s="305">
        <f t="shared" si="17"/>
        <v>73</v>
      </c>
      <c r="C100" s="39" t="s">
        <v>872</v>
      </c>
      <c r="D100" s="304" t="s">
        <v>1037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18"/>
        <v>0</v>
      </c>
      <c r="L100" s="8">
        <f t="shared" si="19"/>
        <v>0</v>
      </c>
      <c r="M100" s="292"/>
    </row>
    <row r="101" spans="1:13" ht="19.5" customHeight="1">
      <c r="A101" s="292" t="str">
        <f t="shared" si="16"/>
        <v>TP</v>
      </c>
      <c r="B101" s="305">
        <f t="shared" si="17"/>
        <v>74</v>
      </c>
      <c r="C101" s="191" t="s">
        <v>726</v>
      </c>
      <c r="D101" s="304" t="s">
        <v>1037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18"/>
        <v>0</v>
      </c>
      <c r="L101" s="8">
        <f t="shared" si="19"/>
        <v>0</v>
      </c>
      <c r="M101" s="292"/>
    </row>
    <row r="102" spans="1:13" ht="19.5" customHeight="1">
      <c r="A102" s="292" t="str">
        <f t="shared" si="16"/>
        <v>TP</v>
      </c>
      <c r="B102" s="305">
        <f t="shared" si="17"/>
        <v>75</v>
      </c>
      <c r="C102" s="39" t="s">
        <v>726</v>
      </c>
      <c r="D102" s="304" t="s">
        <v>1037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18"/>
        <v>0</v>
      </c>
      <c r="L102" s="8">
        <f t="shared" si="19"/>
        <v>0</v>
      </c>
      <c r="M102" s="292"/>
    </row>
    <row r="103" spans="1:13" ht="19.5" customHeight="1">
      <c r="A103" s="292" t="str">
        <f t="shared" si="16"/>
        <v>TP</v>
      </c>
      <c r="B103" s="305">
        <f t="shared" si="17"/>
        <v>76</v>
      </c>
      <c r="C103" s="191" t="s">
        <v>726</v>
      </c>
      <c r="D103" s="304" t="s">
        <v>1037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18"/>
        <v>0</v>
      </c>
      <c r="L103" s="8">
        <f t="shared" si="19"/>
        <v>0</v>
      </c>
      <c r="M103" s="292"/>
    </row>
    <row r="104" spans="1:13" ht="19.5" customHeight="1">
      <c r="A104" s="292" t="str">
        <f t="shared" si="16"/>
        <v>TP</v>
      </c>
      <c r="B104" s="305">
        <f t="shared" si="17"/>
        <v>77</v>
      </c>
      <c r="C104" s="188" t="s">
        <v>726</v>
      </c>
      <c r="D104" s="304" t="s">
        <v>1037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18"/>
        <v>0</v>
      </c>
      <c r="L104" s="8">
        <f t="shared" si="19"/>
        <v>0</v>
      </c>
      <c r="M104" s="292"/>
    </row>
    <row r="105" spans="1:13" ht="19.5" customHeight="1">
      <c r="A105" s="292" t="str">
        <f t="shared" si="16"/>
        <v>TP</v>
      </c>
      <c r="B105" s="305">
        <f t="shared" si="17"/>
        <v>78</v>
      </c>
      <c r="C105" s="188" t="s">
        <v>742</v>
      </c>
      <c r="D105" s="304" t="s">
        <v>1037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18"/>
        <v>0</v>
      </c>
      <c r="L105" s="8">
        <f t="shared" si="19"/>
        <v>0</v>
      </c>
      <c r="M105" s="292"/>
    </row>
    <row r="106" spans="1:13" ht="19.5" customHeight="1">
      <c r="A106" s="292" t="str">
        <f t="shared" si="16"/>
        <v>TP</v>
      </c>
      <c r="B106" s="305">
        <f t="shared" si="17"/>
        <v>79</v>
      </c>
      <c r="C106" s="191" t="s">
        <v>590</v>
      </c>
      <c r="D106" s="304" t="s">
        <v>1037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18"/>
        <v>0</v>
      </c>
      <c r="L106" s="8">
        <f t="shared" si="19"/>
        <v>0</v>
      </c>
      <c r="M106" s="292"/>
    </row>
    <row r="107" spans="1:13" ht="19.5" customHeight="1">
      <c r="A107" s="292" t="str">
        <f t="shared" si="16"/>
        <v>TP</v>
      </c>
      <c r="B107" s="305">
        <f t="shared" si="17"/>
        <v>80</v>
      </c>
      <c r="C107" s="188" t="s">
        <v>564</v>
      </c>
      <c r="D107" s="304" t="s">
        <v>1037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18"/>
        <v>0</v>
      </c>
      <c r="L107" s="8">
        <f t="shared" si="19"/>
        <v>0</v>
      </c>
      <c r="M107" s="292"/>
    </row>
    <row r="108" spans="1:13" ht="19.5" customHeight="1">
      <c r="A108" s="292" t="str">
        <f t="shared" si="16"/>
        <v>TP</v>
      </c>
      <c r="B108" s="305">
        <f t="shared" si="17"/>
        <v>81</v>
      </c>
      <c r="C108" s="191" t="s">
        <v>589</v>
      </c>
      <c r="D108" s="304" t="s">
        <v>1037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18"/>
        <v>0</v>
      </c>
      <c r="L108" s="8">
        <f t="shared" si="19"/>
        <v>0</v>
      </c>
      <c r="M108" s="292"/>
    </row>
    <row r="109" spans="1:13" ht="19.5" customHeight="1">
      <c r="A109" s="292" t="str">
        <f t="shared" si="16"/>
        <v>TP</v>
      </c>
      <c r="B109" s="305">
        <f t="shared" si="17"/>
        <v>82</v>
      </c>
      <c r="C109" s="191" t="s">
        <v>867</v>
      </c>
      <c r="D109" s="304" t="s">
        <v>1037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18"/>
        <v>0</v>
      </c>
      <c r="L109" s="8">
        <f t="shared" si="19"/>
        <v>0</v>
      </c>
      <c r="M109" s="292"/>
    </row>
    <row r="110" spans="1:13" ht="19.5" customHeight="1">
      <c r="A110" s="292" t="str">
        <f t="shared" si="16"/>
        <v>TP</v>
      </c>
      <c r="B110" s="305">
        <f t="shared" si="17"/>
        <v>83</v>
      </c>
      <c r="C110" s="39" t="s">
        <v>733</v>
      </c>
      <c r="D110" s="304" t="s">
        <v>1037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18"/>
        <v>0</v>
      </c>
      <c r="L110" s="8">
        <f t="shared" si="19"/>
        <v>0</v>
      </c>
      <c r="M110" s="292"/>
    </row>
    <row r="111" spans="1:13" ht="19.5" customHeight="1">
      <c r="A111" s="292" t="str">
        <f t="shared" si="16"/>
        <v>TP</v>
      </c>
      <c r="B111" s="305">
        <f t="shared" si="17"/>
        <v>84</v>
      </c>
      <c r="C111" s="191" t="s">
        <v>608</v>
      </c>
      <c r="D111" s="304" t="s">
        <v>1037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18"/>
        <v>0</v>
      </c>
      <c r="L111" s="8">
        <f t="shared" si="19"/>
        <v>0</v>
      </c>
      <c r="M111" s="292"/>
    </row>
    <row r="112" spans="1:13" ht="19.5" customHeight="1">
      <c r="A112" s="292" t="str">
        <f t="shared" si="16"/>
        <v>TP</v>
      </c>
      <c r="B112" s="305">
        <f t="shared" si="17"/>
        <v>85</v>
      </c>
      <c r="C112" s="191" t="s">
        <v>576</v>
      </c>
      <c r="D112" s="304" t="s">
        <v>1037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18"/>
        <v>0</v>
      </c>
      <c r="L112" s="8">
        <f t="shared" si="19"/>
        <v>0</v>
      </c>
      <c r="M112" s="292"/>
    </row>
    <row r="113" spans="1:13" ht="19.5" customHeight="1">
      <c r="A113" s="292" t="str">
        <f t="shared" si="16"/>
        <v>TP</v>
      </c>
      <c r="B113" s="305">
        <f t="shared" si="17"/>
        <v>86</v>
      </c>
      <c r="C113" s="191" t="s">
        <v>914</v>
      </c>
      <c r="D113" s="304" t="s">
        <v>1037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18"/>
        <v>0</v>
      </c>
      <c r="L113" s="8">
        <f t="shared" si="19"/>
        <v>0</v>
      </c>
      <c r="M113" s="292"/>
    </row>
    <row r="114" spans="1:13" ht="19.5" customHeight="1">
      <c r="A114" s="292" t="str">
        <f t="shared" si="16"/>
        <v>TP</v>
      </c>
      <c r="B114" s="305">
        <f t="shared" si="17"/>
        <v>87</v>
      </c>
      <c r="C114" s="191" t="s">
        <v>969</v>
      </c>
      <c r="D114" s="304" t="s">
        <v>1037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18"/>
        <v>0</v>
      </c>
      <c r="L114" s="8">
        <f t="shared" si="19"/>
        <v>0</v>
      </c>
      <c r="M114" s="292"/>
    </row>
    <row r="115" spans="1:13" ht="19.5" customHeight="1">
      <c r="A115" s="292" t="str">
        <f t="shared" si="16"/>
        <v>TP</v>
      </c>
      <c r="B115" s="305">
        <f t="shared" si="17"/>
        <v>88</v>
      </c>
      <c r="C115" s="191" t="s">
        <v>597</v>
      </c>
      <c r="D115" s="304" t="s">
        <v>1037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18"/>
        <v>0</v>
      </c>
      <c r="L115" s="8">
        <f t="shared" si="19"/>
        <v>0</v>
      </c>
      <c r="M115" s="292"/>
    </row>
    <row r="116" spans="1:13" ht="19.5" customHeight="1">
      <c r="A116" s="292" t="str">
        <f t="shared" si="16"/>
        <v>TP</v>
      </c>
      <c r="B116" s="305">
        <f t="shared" si="17"/>
        <v>89</v>
      </c>
      <c r="C116" s="191" t="s">
        <v>597</v>
      </c>
      <c r="D116" s="304" t="s">
        <v>1037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18"/>
        <v>0</v>
      </c>
      <c r="L116" s="8">
        <f t="shared" si="19"/>
        <v>0</v>
      </c>
      <c r="M116" s="292"/>
    </row>
    <row r="117" spans="1:13" ht="19.5" customHeight="1">
      <c r="A117" s="292" t="str">
        <f t="shared" si="16"/>
        <v>TP</v>
      </c>
      <c r="B117" s="305">
        <f t="shared" si="17"/>
        <v>90</v>
      </c>
      <c r="C117" s="191" t="s">
        <v>731</v>
      </c>
      <c r="D117" s="304" t="s">
        <v>1037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18"/>
        <v>0</v>
      </c>
      <c r="L117" s="8">
        <f t="shared" si="19"/>
        <v>0</v>
      </c>
      <c r="M117" s="292"/>
    </row>
    <row r="118" spans="1:13" ht="19.5" customHeight="1">
      <c r="A118" s="292" t="str">
        <f t="shared" si="16"/>
        <v>TP</v>
      </c>
      <c r="B118" s="305">
        <f t="shared" si="17"/>
        <v>91</v>
      </c>
      <c r="C118" s="191" t="s">
        <v>735</v>
      </c>
      <c r="D118" s="304" t="s">
        <v>1037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18"/>
        <v>0</v>
      </c>
      <c r="L118" s="8">
        <f t="shared" si="19"/>
        <v>0</v>
      </c>
      <c r="M118" s="292"/>
    </row>
    <row r="119" spans="1:13" ht="19.5" customHeight="1">
      <c r="A119" s="292" t="str">
        <f t="shared" si="16"/>
        <v>TP</v>
      </c>
      <c r="B119" s="305">
        <f t="shared" si="17"/>
        <v>92</v>
      </c>
      <c r="C119" s="39" t="s">
        <v>735</v>
      </c>
      <c r="D119" s="304" t="s">
        <v>1037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18"/>
        <v>0</v>
      </c>
      <c r="L119" s="8">
        <f t="shared" si="19"/>
        <v>0</v>
      </c>
      <c r="M119" s="292"/>
    </row>
    <row r="120" spans="1:13" ht="19.5" customHeight="1">
      <c r="A120" s="292" t="str">
        <f t="shared" si="16"/>
        <v>TP</v>
      </c>
      <c r="B120" s="305">
        <f t="shared" si="17"/>
        <v>93</v>
      </c>
      <c r="C120" s="188" t="s">
        <v>734</v>
      </c>
      <c r="D120" s="304" t="s">
        <v>1037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18"/>
        <v>0</v>
      </c>
      <c r="L120" s="8">
        <f t="shared" si="19"/>
        <v>0</v>
      </c>
      <c r="M120" s="292"/>
    </row>
    <row r="121" spans="1:13" ht="19.5" customHeight="1">
      <c r="A121" s="292" t="str">
        <f t="shared" si="16"/>
        <v>TP</v>
      </c>
      <c r="B121" s="305">
        <f t="shared" si="17"/>
        <v>94</v>
      </c>
      <c r="C121" s="39" t="s">
        <v>604</v>
      </c>
      <c r="D121" s="304" t="s">
        <v>1037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18"/>
        <v>0</v>
      </c>
      <c r="L121" s="8">
        <f t="shared" si="19"/>
        <v>0</v>
      </c>
      <c r="M121" s="292"/>
    </row>
    <row r="122" spans="1:13" ht="19.5" customHeight="1">
      <c r="A122" s="292" t="str">
        <f t="shared" si="16"/>
        <v>TP</v>
      </c>
      <c r="B122" s="305">
        <f t="shared" si="17"/>
        <v>95</v>
      </c>
      <c r="C122" s="191" t="s">
        <v>578</v>
      </c>
      <c r="D122" s="304" t="s">
        <v>1037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18"/>
        <v>0</v>
      </c>
      <c r="L122" s="8">
        <f t="shared" si="19"/>
        <v>0</v>
      </c>
      <c r="M122" s="292"/>
    </row>
    <row r="123" spans="1:13" ht="19.5" customHeight="1">
      <c r="A123" s="292" t="str">
        <f t="shared" si="16"/>
        <v>TP</v>
      </c>
      <c r="B123" s="305">
        <f t="shared" si="17"/>
        <v>96</v>
      </c>
      <c r="C123" s="191" t="s">
        <v>725</v>
      </c>
      <c r="D123" s="304" t="s">
        <v>1037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18"/>
        <v>0</v>
      </c>
      <c r="L123" s="8">
        <f t="shared" si="19"/>
        <v>0</v>
      </c>
      <c r="M123" s="292"/>
    </row>
    <row r="124" spans="1:13" ht="19.5" customHeight="1">
      <c r="A124" s="292" t="str">
        <f t="shared" si="16"/>
        <v>TP</v>
      </c>
      <c r="B124" s="305">
        <f t="shared" si="17"/>
        <v>97</v>
      </c>
      <c r="C124" s="39" t="s">
        <v>725</v>
      </c>
      <c r="D124" s="304" t="s">
        <v>1037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18"/>
        <v>0</v>
      </c>
      <c r="L124" s="8">
        <f t="shared" si="19"/>
        <v>0</v>
      </c>
      <c r="M124" s="292"/>
    </row>
    <row r="125" spans="1:13" ht="19.5" customHeight="1">
      <c r="A125" s="292" t="str">
        <f t="shared" si="16"/>
        <v>TP</v>
      </c>
      <c r="B125" s="305">
        <f t="shared" si="17"/>
        <v>98</v>
      </c>
      <c r="C125" s="191" t="s">
        <v>561</v>
      </c>
      <c r="D125" s="304" t="s">
        <v>1037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18"/>
        <v>0</v>
      </c>
      <c r="L125" s="8">
        <f t="shared" si="19"/>
        <v>0</v>
      </c>
      <c r="M125" s="292"/>
    </row>
    <row r="126" spans="1:13" ht="19.5" customHeight="1">
      <c r="A126" s="292" t="str">
        <f t="shared" si="16"/>
        <v>TP</v>
      </c>
      <c r="B126" s="305">
        <f t="shared" si="17"/>
        <v>99</v>
      </c>
      <c r="C126" s="191" t="s">
        <v>561</v>
      </c>
      <c r="D126" s="304" t="s">
        <v>1037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18"/>
        <v>0</v>
      </c>
      <c r="L126" s="8">
        <f t="shared" si="19"/>
        <v>0</v>
      </c>
      <c r="M126" s="292"/>
    </row>
    <row r="127" spans="1:13" ht="19.5" customHeight="1">
      <c r="A127" s="292" t="str">
        <f t="shared" si="16"/>
        <v>TP</v>
      </c>
      <c r="B127" s="305">
        <f t="shared" si="17"/>
        <v>100</v>
      </c>
      <c r="C127" s="188" t="s">
        <v>561</v>
      </c>
      <c r="D127" s="304" t="s">
        <v>1037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18"/>
        <v>0</v>
      </c>
      <c r="L127" s="8">
        <f t="shared" si="19"/>
        <v>0</v>
      </c>
      <c r="M127" s="292"/>
    </row>
    <row r="128" spans="1:13" ht="19.5" customHeight="1">
      <c r="A128" s="292" t="str">
        <f t="shared" si="16"/>
        <v>TP</v>
      </c>
      <c r="B128" s="305">
        <f t="shared" si="17"/>
        <v>101</v>
      </c>
      <c r="C128" s="188" t="s">
        <v>561</v>
      </c>
      <c r="D128" s="304" t="s">
        <v>1037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18"/>
        <v>0</v>
      </c>
      <c r="L128" s="8">
        <f t="shared" si="19"/>
        <v>0</v>
      </c>
      <c r="M128" s="292"/>
    </row>
    <row r="129" spans="1:13" ht="19.5" customHeight="1">
      <c r="A129" s="292" t="str">
        <f t="shared" si="16"/>
        <v>TP</v>
      </c>
      <c r="B129" s="305">
        <f t="shared" si="17"/>
        <v>102</v>
      </c>
      <c r="C129" s="191" t="s">
        <v>561</v>
      </c>
      <c r="D129" s="304" t="s">
        <v>1037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18"/>
        <v>0</v>
      </c>
      <c r="L129" s="8">
        <f t="shared" si="19"/>
        <v>0</v>
      </c>
      <c r="M129" s="292"/>
    </row>
    <row r="130" spans="1:13" ht="19.5" customHeight="1">
      <c r="A130" s="292" t="str">
        <f t="shared" si="16"/>
        <v>TP</v>
      </c>
      <c r="B130" s="305">
        <f t="shared" si="17"/>
        <v>103</v>
      </c>
      <c r="C130" s="39" t="s">
        <v>561</v>
      </c>
      <c r="D130" s="304" t="s">
        <v>1037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18"/>
        <v>0</v>
      </c>
      <c r="L130" s="8">
        <f t="shared" si="19"/>
        <v>0</v>
      </c>
      <c r="M130" s="292"/>
    </row>
    <row r="131" spans="1:13" ht="19.5" customHeight="1">
      <c r="A131" s="292" t="str">
        <f t="shared" si="16"/>
        <v>TP</v>
      </c>
      <c r="B131" s="305">
        <f t="shared" si="17"/>
        <v>104</v>
      </c>
      <c r="C131" s="296" t="s">
        <v>561</v>
      </c>
      <c r="D131" s="304" t="s">
        <v>1037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18"/>
        <v>0</v>
      </c>
      <c r="L131" s="8">
        <f t="shared" si="19"/>
        <v>0</v>
      </c>
      <c r="M131" s="292"/>
    </row>
    <row r="132" spans="1:13" ht="19.5" customHeight="1">
      <c r="A132" s="292" t="str">
        <f t="shared" si="16"/>
        <v>TP</v>
      </c>
      <c r="B132" s="305">
        <f t="shared" si="17"/>
        <v>105</v>
      </c>
      <c r="C132" s="188" t="s">
        <v>739</v>
      </c>
      <c r="D132" s="304" t="s">
        <v>1037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18"/>
        <v>0</v>
      </c>
      <c r="L132" s="8">
        <f t="shared" si="19"/>
        <v>0</v>
      </c>
      <c r="M132" s="292"/>
    </row>
    <row r="133" spans="1:13" ht="19.5" customHeight="1">
      <c r="A133" s="292" t="str">
        <f t="shared" si="16"/>
        <v>TP</v>
      </c>
      <c r="B133" s="305">
        <f t="shared" si="17"/>
        <v>106</v>
      </c>
      <c r="C133" s="39" t="s">
        <v>609</v>
      </c>
      <c r="D133" s="304" t="s">
        <v>1037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18"/>
        <v>0</v>
      </c>
      <c r="L133" s="8">
        <f t="shared" si="19"/>
        <v>0</v>
      </c>
      <c r="M133" s="292"/>
    </row>
    <row r="134" spans="1:13" ht="19.5" customHeight="1">
      <c r="A134" s="292" t="str">
        <f t="shared" si="16"/>
        <v>TP</v>
      </c>
      <c r="B134" s="305">
        <f t="shared" si="17"/>
        <v>107</v>
      </c>
      <c r="C134" s="191" t="s">
        <v>738</v>
      </c>
      <c r="D134" s="304" t="s">
        <v>1037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18"/>
        <v>0</v>
      </c>
      <c r="L134" s="8">
        <f t="shared" si="19"/>
        <v>0</v>
      </c>
      <c r="M134" s="292"/>
    </row>
    <row r="135" spans="1:13" ht="19.5" customHeight="1">
      <c r="A135" s="292" t="str">
        <f t="shared" si="16"/>
        <v>TP</v>
      </c>
      <c r="B135" s="305">
        <f t="shared" si="17"/>
        <v>108</v>
      </c>
      <c r="C135" s="39" t="s">
        <v>716</v>
      </c>
      <c r="D135" s="304" t="s">
        <v>1037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18"/>
        <v>0</v>
      </c>
      <c r="L135" s="8">
        <f t="shared" si="19"/>
        <v>0</v>
      </c>
      <c r="M135" s="292"/>
    </row>
    <row r="136" spans="1:13" ht="19.5" customHeight="1">
      <c r="A136" s="292" t="str">
        <f t="shared" si="16"/>
        <v>TP</v>
      </c>
      <c r="B136" s="305">
        <f t="shared" si="17"/>
        <v>109</v>
      </c>
      <c r="C136" s="188" t="s">
        <v>716</v>
      </c>
      <c r="D136" s="304" t="s">
        <v>1037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18"/>
        <v>0</v>
      </c>
      <c r="L136" s="8">
        <f t="shared" si="19"/>
        <v>0</v>
      </c>
      <c r="M136" s="292"/>
    </row>
    <row r="137" spans="1:13" ht="19.5" customHeight="1">
      <c r="A137" s="292" t="str">
        <f t="shared" si="16"/>
        <v>TP</v>
      </c>
      <c r="B137" s="305">
        <f t="shared" si="17"/>
        <v>110</v>
      </c>
      <c r="C137" s="191" t="s">
        <v>559</v>
      </c>
      <c r="D137" s="304" t="s">
        <v>1037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18"/>
        <v>0</v>
      </c>
      <c r="L137" s="8">
        <f t="shared" si="19"/>
        <v>0</v>
      </c>
      <c r="M137" s="292"/>
    </row>
    <row r="138" spans="1:13" ht="19.5" customHeight="1">
      <c r="A138" s="292" t="str">
        <f t="shared" si="16"/>
        <v>TP</v>
      </c>
      <c r="B138" s="305">
        <f t="shared" si="17"/>
        <v>111</v>
      </c>
      <c r="C138" s="188" t="s">
        <v>559</v>
      </c>
      <c r="D138" s="304" t="s">
        <v>1037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18"/>
        <v>0</v>
      </c>
      <c r="L138" s="8">
        <f t="shared" si="19"/>
        <v>0</v>
      </c>
      <c r="M138" s="292"/>
    </row>
    <row r="139" spans="1:13" ht="19.5" customHeight="1">
      <c r="A139" s="292" t="str">
        <f t="shared" si="16"/>
        <v>TP</v>
      </c>
      <c r="B139" s="305">
        <f t="shared" si="17"/>
        <v>112</v>
      </c>
      <c r="C139" s="191" t="s">
        <v>559</v>
      </c>
      <c r="D139" s="304" t="s">
        <v>1037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18"/>
        <v>0</v>
      </c>
      <c r="L139" s="8">
        <f t="shared" si="19"/>
        <v>0</v>
      </c>
      <c r="M139" s="292"/>
    </row>
    <row r="140" spans="1:13" ht="19.5" customHeight="1">
      <c r="A140" s="292" t="str">
        <f t="shared" si="16"/>
        <v>TP</v>
      </c>
      <c r="B140" s="305">
        <f t="shared" si="17"/>
        <v>113</v>
      </c>
      <c r="C140" s="296" t="s">
        <v>559</v>
      </c>
      <c r="D140" s="304" t="s">
        <v>1037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18"/>
        <v>0</v>
      </c>
      <c r="L140" s="8">
        <f t="shared" si="19"/>
        <v>0</v>
      </c>
      <c r="M140" s="292"/>
    </row>
    <row r="141" spans="1:13" ht="19.5" customHeight="1">
      <c r="A141" s="292" t="str">
        <f t="shared" si="16"/>
        <v>TP</v>
      </c>
      <c r="B141" s="305">
        <f t="shared" si="17"/>
        <v>114</v>
      </c>
      <c r="C141" s="191" t="s">
        <v>559</v>
      </c>
      <c r="D141" s="304" t="s">
        <v>1037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18"/>
        <v>0</v>
      </c>
      <c r="L141" s="8">
        <f t="shared" si="19"/>
        <v>0</v>
      </c>
      <c r="M141" s="292"/>
    </row>
    <row r="142" spans="1:13" ht="19.5" customHeight="1">
      <c r="A142" s="292" t="str">
        <f t="shared" si="16"/>
        <v>TP</v>
      </c>
      <c r="B142" s="305">
        <f t="shared" si="17"/>
        <v>115</v>
      </c>
      <c r="C142" s="191" t="s">
        <v>559</v>
      </c>
      <c r="D142" s="304" t="s">
        <v>1037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18"/>
        <v>0</v>
      </c>
      <c r="L142" s="8">
        <f t="shared" si="19"/>
        <v>0</v>
      </c>
      <c r="M142" s="292"/>
    </row>
    <row r="143" spans="1:13" ht="19.5" customHeight="1">
      <c r="A143" s="292" t="str">
        <f t="shared" si="16"/>
        <v>TP</v>
      </c>
      <c r="B143" s="305">
        <f t="shared" si="17"/>
        <v>116</v>
      </c>
      <c r="C143" s="191" t="s">
        <v>559</v>
      </c>
      <c r="D143" s="304" t="s">
        <v>1037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18"/>
        <v>0</v>
      </c>
      <c r="L143" s="8">
        <f t="shared" si="19"/>
        <v>0</v>
      </c>
      <c r="M143" s="292"/>
    </row>
    <row r="144" spans="1:13" ht="19.5" customHeight="1">
      <c r="A144" s="292" t="str">
        <f t="shared" si="16"/>
        <v>TP</v>
      </c>
      <c r="B144" s="305">
        <f t="shared" si="17"/>
        <v>117</v>
      </c>
      <c r="C144" s="39" t="s">
        <v>559</v>
      </c>
      <c r="D144" s="304" t="s">
        <v>1037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18"/>
        <v>0</v>
      </c>
      <c r="L144" s="8">
        <f t="shared" si="19"/>
        <v>0</v>
      </c>
      <c r="M144" s="292"/>
    </row>
    <row r="145" spans="1:13" ht="19.5" customHeight="1">
      <c r="A145" s="292" t="str">
        <f t="shared" si="16"/>
        <v>TP</v>
      </c>
      <c r="B145" s="305">
        <f t="shared" si="17"/>
        <v>118</v>
      </c>
      <c r="C145" s="39" t="s">
        <v>559</v>
      </c>
      <c r="D145" s="304" t="s">
        <v>1037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18"/>
        <v>0</v>
      </c>
      <c r="L145" s="8">
        <f t="shared" si="19"/>
        <v>0</v>
      </c>
      <c r="M145" s="292"/>
    </row>
    <row r="146" spans="1:13" ht="19.5" customHeight="1">
      <c r="A146" s="292" t="str">
        <f t="shared" si="16"/>
        <v>TP</v>
      </c>
      <c r="B146" s="305">
        <f t="shared" si="17"/>
        <v>119</v>
      </c>
      <c r="C146" s="39" t="s">
        <v>559</v>
      </c>
      <c r="D146" s="304" t="s">
        <v>1037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18"/>
        <v>0</v>
      </c>
      <c r="L146" s="8">
        <f t="shared" si="19"/>
        <v>0</v>
      </c>
      <c r="M146" s="292"/>
    </row>
    <row r="147" spans="1:13" ht="19.5" customHeight="1">
      <c r="A147" s="292" t="str">
        <f t="shared" si="16"/>
        <v>TP</v>
      </c>
      <c r="B147" s="305">
        <f t="shared" si="17"/>
        <v>120</v>
      </c>
      <c r="C147" s="188" t="s">
        <v>559</v>
      </c>
      <c r="D147" s="304" t="s">
        <v>1037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18"/>
        <v>0</v>
      </c>
      <c r="L147" s="8">
        <f t="shared" si="19"/>
        <v>0</v>
      </c>
      <c r="M147" s="292"/>
    </row>
    <row r="148" spans="1:13" ht="19.5" customHeight="1">
      <c r="A148" s="292" t="str">
        <f t="shared" si="16"/>
        <v>TP</v>
      </c>
      <c r="B148" s="305">
        <f t="shared" si="17"/>
        <v>121</v>
      </c>
      <c r="C148" s="296" t="s">
        <v>559</v>
      </c>
      <c r="D148" s="304" t="s">
        <v>1037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18"/>
        <v>0</v>
      </c>
      <c r="L148" s="8">
        <f t="shared" si="19"/>
        <v>0</v>
      </c>
      <c r="M148" s="292"/>
    </row>
    <row r="149" spans="1:13" ht="19.5" customHeight="1">
      <c r="A149" s="292" t="str">
        <f t="shared" si="16"/>
        <v>TP</v>
      </c>
      <c r="B149" s="305">
        <f t="shared" si="17"/>
        <v>122</v>
      </c>
      <c r="C149" s="296" t="s">
        <v>747</v>
      </c>
      <c r="D149" s="304" t="s">
        <v>1037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18"/>
        <v>0</v>
      </c>
      <c r="L149" s="8">
        <f t="shared" si="19"/>
        <v>0</v>
      </c>
      <c r="M149" s="292"/>
    </row>
    <row r="150" spans="1:13" ht="19.5" customHeight="1">
      <c r="A150" s="292" t="str">
        <f t="shared" si="16"/>
        <v>TP</v>
      </c>
      <c r="B150" s="305">
        <f t="shared" si="17"/>
        <v>123</v>
      </c>
      <c r="C150" s="191" t="s">
        <v>747</v>
      </c>
      <c r="D150" s="304" t="s">
        <v>1037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18"/>
        <v>0</v>
      </c>
      <c r="L150" s="8">
        <f t="shared" si="19"/>
        <v>0</v>
      </c>
      <c r="M150" s="292"/>
    </row>
    <row r="151" spans="1:13" ht="19.5" customHeight="1">
      <c r="A151" s="292" t="str">
        <f t="shared" si="16"/>
        <v>TP</v>
      </c>
      <c r="B151" s="305">
        <f t="shared" si="17"/>
        <v>124</v>
      </c>
      <c r="C151" s="191" t="s">
        <v>903</v>
      </c>
      <c r="D151" s="304" t="s">
        <v>1037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18"/>
        <v>0</v>
      </c>
      <c r="L151" s="8">
        <f t="shared" si="19"/>
        <v>0</v>
      </c>
      <c r="M151" s="292"/>
    </row>
    <row r="152" spans="1:13" ht="19.5" customHeight="1">
      <c r="A152" s="292" t="str">
        <f t="shared" si="16"/>
        <v>TP</v>
      </c>
      <c r="B152" s="305">
        <f t="shared" si="17"/>
        <v>125</v>
      </c>
      <c r="C152" s="39" t="s">
        <v>869</v>
      </c>
      <c r="D152" s="304" t="s">
        <v>1037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18"/>
        <v>0</v>
      </c>
      <c r="L152" s="8">
        <f t="shared" si="19"/>
        <v>0</v>
      </c>
      <c r="M152" s="292"/>
    </row>
    <row r="153" spans="1:13" ht="19.5" customHeight="1">
      <c r="A153" s="292" t="str">
        <f t="shared" si="16"/>
        <v>TP</v>
      </c>
      <c r="B153" s="305">
        <f t="shared" si="17"/>
        <v>126</v>
      </c>
      <c r="C153" s="188" t="s">
        <v>736</v>
      </c>
      <c r="D153" s="304" t="s">
        <v>1037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18"/>
        <v>0</v>
      </c>
      <c r="L153" s="8">
        <f t="shared" si="19"/>
        <v>0</v>
      </c>
      <c r="M153" s="292"/>
    </row>
    <row r="154" spans="1:13" ht="19.5" customHeight="1">
      <c r="A154" s="292" t="str">
        <f t="shared" si="16"/>
        <v>TP</v>
      </c>
      <c r="B154" s="305">
        <f t="shared" si="17"/>
        <v>127</v>
      </c>
      <c r="C154" s="191" t="s">
        <v>736</v>
      </c>
      <c r="D154" s="304" t="s">
        <v>1037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18"/>
        <v>0</v>
      </c>
      <c r="L154" s="8">
        <f t="shared" si="19"/>
        <v>0</v>
      </c>
      <c r="M154" s="292"/>
    </row>
    <row r="155" spans="1:13" ht="19.5" customHeight="1">
      <c r="A155" s="292" t="str">
        <f t="shared" si="16"/>
        <v>TP</v>
      </c>
      <c r="B155" s="305">
        <f t="shared" si="17"/>
        <v>128</v>
      </c>
      <c r="C155" s="191" t="s">
        <v>968</v>
      </c>
      <c r="D155" s="304" t="s">
        <v>1037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18"/>
        <v>0</v>
      </c>
      <c r="L155" s="8">
        <f t="shared" si="19"/>
        <v>0</v>
      </c>
      <c r="M155" s="292"/>
    </row>
    <row r="156" spans="1:13" ht="19.5" customHeight="1">
      <c r="A156" s="292" t="str">
        <f t="shared" ref="A156:A219" si="20">IF(B156&lt;&gt;"","TP","")</f>
        <v>TP</v>
      </c>
      <c r="B156" s="305">
        <f t="shared" ref="B156:B219" si="21">IF(C156&lt;&gt;"",B155+1,"")</f>
        <v>129</v>
      </c>
      <c r="C156" s="188" t="s">
        <v>572</v>
      </c>
      <c r="D156" s="304" t="s">
        <v>1037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ref="K156:K219" si="22">E156+G156-I156</f>
        <v>0</v>
      </c>
      <c r="L156" s="8">
        <f t="shared" ref="L156:L219" si="23">F156+H156-J156</f>
        <v>0</v>
      </c>
      <c r="M156" s="292"/>
    </row>
    <row r="157" spans="1:13" ht="19.5" customHeight="1">
      <c r="A157" s="292" t="str">
        <f t="shared" si="20"/>
        <v>TP</v>
      </c>
      <c r="B157" s="305">
        <f t="shared" si="21"/>
        <v>130</v>
      </c>
      <c r="C157" s="191" t="s">
        <v>560</v>
      </c>
      <c r="D157" s="304" t="s">
        <v>1037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0"/>
        <v>TP</v>
      </c>
      <c r="B158" s="305">
        <f t="shared" si="21"/>
        <v>131</v>
      </c>
      <c r="C158" s="191" t="s">
        <v>560</v>
      </c>
      <c r="D158" s="304" t="s">
        <v>1037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0"/>
        <v>TP</v>
      </c>
      <c r="B159" s="305">
        <f t="shared" si="21"/>
        <v>132</v>
      </c>
      <c r="C159" s="191" t="s">
        <v>560</v>
      </c>
      <c r="D159" s="304" t="s">
        <v>1037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si="20"/>
        <v>TP</v>
      </c>
      <c r="B160" s="305">
        <f t="shared" si="21"/>
        <v>133</v>
      </c>
      <c r="C160" s="191" t="s">
        <v>972</v>
      </c>
      <c r="D160" s="304" t="s">
        <v>1037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0"/>
        <v>TP</v>
      </c>
      <c r="B161" s="305">
        <f t="shared" si="21"/>
        <v>134</v>
      </c>
      <c r="C161" s="39" t="s">
        <v>967</v>
      </c>
      <c r="D161" s="304" t="s">
        <v>1037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2"/>
        <v>0</v>
      </c>
      <c r="L161" s="8">
        <f t="shared" si="23"/>
        <v>0</v>
      </c>
      <c r="M161" s="292"/>
    </row>
    <row r="162" spans="1:13" ht="19.5" customHeight="1">
      <c r="A162" s="292" t="str">
        <f t="shared" si="20"/>
        <v>TP</v>
      </c>
      <c r="B162" s="305">
        <f t="shared" si="21"/>
        <v>135</v>
      </c>
      <c r="C162" s="191" t="s">
        <v>740</v>
      </c>
      <c r="D162" s="304" t="s">
        <v>1037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2"/>
        <v>0</v>
      </c>
      <c r="L162" s="8">
        <f t="shared" si="23"/>
        <v>0</v>
      </c>
      <c r="M162" s="292"/>
    </row>
    <row r="163" spans="1:13" ht="19.5" customHeight="1">
      <c r="A163" s="292" t="str">
        <f t="shared" si="20"/>
        <v>TP</v>
      </c>
      <c r="B163" s="305">
        <f t="shared" si="21"/>
        <v>136</v>
      </c>
      <c r="C163" s="191" t="s">
        <v>570</v>
      </c>
      <c r="D163" s="304" t="s">
        <v>1037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2"/>
        <v>0</v>
      </c>
      <c r="L163" s="8">
        <f t="shared" si="23"/>
        <v>0</v>
      </c>
      <c r="M163" s="292"/>
    </row>
    <row r="164" spans="1:13" ht="19.5" customHeight="1">
      <c r="A164" s="292" t="str">
        <f t="shared" si="20"/>
        <v>TP</v>
      </c>
      <c r="B164" s="305">
        <f t="shared" si="21"/>
        <v>137</v>
      </c>
      <c r="C164" s="39" t="s">
        <v>570</v>
      </c>
      <c r="D164" s="304" t="s">
        <v>1037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2"/>
        <v>0</v>
      </c>
      <c r="L164" s="8">
        <f t="shared" si="23"/>
        <v>0</v>
      </c>
      <c r="M164" s="292"/>
    </row>
    <row r="165" spans="1:13" ht="19.5" customHeight="1">
      <c r="A165" s="292" t="str">
        <f t="shared" si="20"/>
        <v>TP</v>
      </c>
      <c r="B165" s="305">
        <f t="shared" si="21"/>
        <v>138</v>
      </c>
      <c r="C165" s="188" t="s">
        <v>570</v>
      </c>
      <c r="D165" s="304" t="s">
        <v>1037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2"/>
        <v>0</v>
      </c>
      <c r="L165" s="8">
        <f t="shared" si="23"/>
        <v>0</v>
      </c>
      <c r="M165" s="292"/>
    </row>
    <row r="166" spans="1:13" ht="19.5" customHeight="1">
      <c r="A166" s="292" t="str">
        <f t="shared" si="20"/>
        <v>TP</v>
      </c>
      <c r="B166" s="305">
        <f t="shared" si="21"/>
        <v>139</v>
      </c>
      <c r="C166" s="39" t="s">
        <v>570</v>
      </c>
      <c r="D166" s="304" t="s">
        <v>1037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2"/>
        <v>0</v>
      </c>
      <c r="L166" s="8">
        <f t="shared" si="23"/>
        <v>0</v>
      </c>
      <c r="M166" s="292"/>
    </row>
    <row r="167" spans="1:13" ht="19.5" customHeight="1">
      <c r="A167" s="292" t="str">
        <f t="shared" si="20"/>
        <v>TP</v>
      </c>
      <c r="B167" s="305">
        <f t="shared" si="21"/>
        <v>140</v>
      </c>
      <c r="C167" s="39" t="s">
        <v>870</v>
      </c>
      <c r="D167" s="304" t="s">
        <v>1037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2"/>
        <v>0</v>
      </c>
      <c r="L167" s="8">
        <f t="shared" si="23"/>
        <v>0</v>
      </c>
      <c r="M167" s="292"/>
    </row>
    <row r="168" spans="1:13" ht="19.5" customHeight="1">
      <c r="A168" s="292" t="str">
        <f t="shared" si="20"/>
        <v>TP</v>
      </c>
      <c r="B168" s="305">
        <f t="shared" si="21"/>
        <v>141</v>
      </c>
      <c r="C168" s="191" t="s">
        <v>574</v>
      </c>
      <c r="D168" s="304" t="s">
        <v>1037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2"/>
        <v>0</v>
      </c>
      <c r="L168" s="8">
        <f t="shared" si="23"/>
        <v>0</v>
      </c>
      <c r="M168" s="292"/>
    </row>
    <row r="169" spans="1:13" ht="19.5" customHeight="1">
      <c r="A169" s="292" t="str">
        <f t="shared" si="20"/>
        <v>TP</v>
      </c>
      <c r="B169" s="305">
        <f t="shared" si="21"/>
        <v>142</v>
      </c>
      <c r="C169" s="191" t="s">
        <v>574</v>
      </c>
      <c r="D169" s="304" t="s">
        <v>1037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2"/>
        <v>0</v>
      </c>
      <c r="L169" s="8">
        <f t="shared" si="23"/>
        <v>0</v>
      </c>
      <c r="M169" s="292"/>
    </row>
    <row r="170" spans="1:13" ht="19.5" customHeight="1">
      <c r="A170" s="292" t="str">
        <f t="shared" si="20"/>
        <v>TP</v>
      </c>
      <c r="B170" s="305">
        <f t="shared" si="21"/>
        <v>143</v>
      </c>
      <c r="C170" s="188" t="s">
        <v>574</v>
      </c>
      <c r="D170" s="304" t="s">
        <v>1037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2"/>
        <v>0</v>
      </c>
      <c r="L170" s="8">
        <f t="shared" si="23"/>
        <v>0</v>
      </c>
      <c r="M170" s="292"/>
    </row>
    <row r="171" spans="1:13" ht="19.5" customHeight="1">
      <c r="A171" s="292" t="str">
        <f t="shared" si="20"/>
        <v>TP</v>
      </c>
      <c r="B171" s="305">
        <f t="shared" si="21"/>
        <v>144</v>
      </c>
      <c r="C171" s="191" t="s">
        <v>582</v>
      </c>
      <c r="D171" s="304" t="s">
        <v>1037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2"/>
        <v>0</v>
      </c>
      <c r="L171" s="8">
        <f t="shared" si="23"/>
        <v>0</v>
      </c>
      <c r="M171" s="292"/>
    </row>
    <row r="172" spans="1:13" ht="19.5" customHeight="1">
      <c r="A172" s="292" t="str">
        <f t="shared" si="20"/>
        <v>TP</v>
      </c>
      <c r="B172" s="305">
        <f t="shared" si="21"/>
        <v>145</v>
      </c>
      <c r="C172" s="191" t="s">
        <v>575</v>
      </c>
      <c r="D172" s="304" t="s">
        <v>1037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2"/>
        <v>0</v>
      </c>
      <c r="L172" s="8">
        <f t="shared" si="23"/>
        <v>0</v>
      </c>
      <c r="M172" s="292"/>
    </row>
    <row r="173" spans="1:13" ht="19.5" customHeight="1">
      <c r="A173" s="292" t="str">
        <f t="shared" si="20"/>
        <v>TP</v>
      </c>
      <c r="B173" s="305">
        <f t="shared" si="21"/>
        <v>146</v>
      </c>
      <c r="C173" s="191" t="s">
        <v>607</v>
      </c>
      <c r="D173" s="304" t="s">
        <v>1037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2"/>
        <v>0</v>
      </c>
      <c r="L173" s="8">
        <f t="shared" si="23"/>
        <v>0</v>
      </c>
      <c r="M173" s="292"/>
    </row>
    <row r="174" spans="1:13" ht="19.5" customHeight="1">
      <c r="A174" s="292" t="str">
        <f t="shared" si="20"/>
        <v>TP</v>
      </c>
      <c r="B174" s="305">
        <f t="shared" si="21"/>
        <v>147</v>
      </c>
      <c r="C174" s="191" t="s">
        <v>878</v>
      </c>
      <c r="D174" s="304" t="s">
        <v>1037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2"/>
        <v>0</v>
      </c>
      <c r="L174" s="8">
        <f t="shared" si="23"/>
        <v>0</v>
      </c>
      <c r="M174" s="292"/>
    </row>
    <row r="175" spans="1:13" ht="19.5" customHeight="1">
      <c r="A175" s="292" t="str">
        <f t="shared" si="20"/>
        <v>TP</v>
      </c>
      <c r="B175" s="305">
        <f t="shared" si="21"/>
        <v>148</v>
      </c>
      <c r="C175" s="188" t="s">
        <v>878</v>
      </c>
      <c r="D175" s="304" t="s">
        <v>1037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2"/>
        <v>0</v>
      </c>
      <c r="L175" s="8">
        <f t="shared" si="23"/>
        <v>0</v>
      </c>
      <c r="M175" s="292"/>
    </row>
    <row r="176" spans="1:13" ht="19.5" customHeight="1">
      <c r="A176" s="292" t="str">
        <f t="shared" si="20"/>
        <v>TP</v>
      </c>
      <c r="B176" s="305">
        <f t="shared" si="21"/>
        <v>149</v>
      </c>
      <c r="C176" s="191" t="s">
        <v>878</v>
      </c>
      <c r="D176" s="304" t="s">
        <v>1037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2"/>
        <v>0</v>
      </c>
      <c r="L176" s="8">
        <f t="shared" si="23"/>
        <v>0</v>
      </c>
      <c r="M176" s="292"/>
    </row>
    <row r="177" spans="1:13" ht="19.5" customHeight="1">
      <c r="A177" s="292" t="str">
        <f t="shared" si="20"/>
        <v>TP</v>
      </c>
      <c r="B177" s="305">
        <f t="shared" si="21"/>
        <v>150</v>
      </c>
      <c r="C177" s="191" t="s">
        <v>878</v>
      </c>
      <c r="D177" s="304" t="s">
        <v>1037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2"/>
        <v>0</v>
      </c>
      <c r="L177" s="8">
        <f t="shared" si="23"/>
        <v>0</v>
      </c>
      <c r="M177" s="292"/>
    </row>
    <row r="178" spans="1:13" ht="19.5" customHeight="1">
      <c r="A178" s="292" t="str">
        <f t="shared" si="20"/>
        <v>TP</v>
      </c>
      <c r="B178" s="305">
        <f t="shared" si="21"/>
        <v>151</v>
      </c>
      <c r="C178" s="191" t="s">
        <v>878</v>
      </c>
      <c r="D178" s="304" t="s">
        <v>1037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2"/>
        <v>0</v>
      </c>
      <c r="L178" s="8">
        <f t="shared" si="23"/>
        <v>0</v>
      </c>
      <c r="M178" s="292"/>
    </row>
    <row r="179" spans="1:13" ht="19.5" customHeight="1">
      <c r="A179" s="292" t="str">
        <f t="shared" si="20"/>
        <v>TP</v>
      </c>
      <c r="B179" s="305">
        <f t="shared" si="21"/>
        <v>152</v>
      </c>
      <c r="C179" s="188" t="s">
        <v>878</v>
      </c>
      <c r="D179" s="304" t="s">
        <v>1037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2"/>
        <v>0</v>
      </c>
      <c r="L179" s="8">
        <f t="shared" si="23"/>
        <v>0</v>
      </c>
      <c r="M179" s="292"/>
    </row>
    <row r="180" spans="1:13" ht="19.5" customHeight="1">
      <c r="A180" s="292" t="str">
        <f t="shared" si="20"/>
        <v>TP</v>
      </c>
      <c r="B180" s="305">
        <f t="shared" si="21"/>
        <v>153</v>
      </c>
      <c r="C180" s="39" t="s">
        <v>878</v>
      </c>
      <c r="D180" s="304" t="s">
        <v>1037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2"/>
        <v>0</v>
      </c>
      <c r="L180" s="8">
        <f t="shared" si="23"/>
        <v>0</v>
      </c>
      <c r="M180" s="292"/>
    </row>
    <row r="181" spans="1:13" ht="19.5" customHeight="1">
      <c r="A181" s="292" t="str">
        <f t="shared" si="20"/>
        <v>TP</v>
      </c>
      <c r="B181" s="305">
        <f t="shared" si="21"/>
        <v>154</v>
      </c>
      <c r="C181" s="188" t="s">
        <v>878</v>
      </c>
      <c r="D181" s="304" t="s">
        <v>1037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2"/>
        <v>0</v>
      </c>
      <c r="L181" s="8">
        <f t="shared" si="23"/>
        <v>0</v>
      </c>
      <c r="M181" s="292"/>
    </row>
    <row r="182" spans="1:13" ht="19.5" customHeight="1">
      <c r="A182" s="292" t="str">
        <f t="shared" si="20"/>
        <v>TP</v>
      </c>
      <c r="B182" s="305">
        <f t="shared" si="21"/>
        <v>155</v>
      </c>
      <c r="C182" s="191" t="s">
        <v>878</v>
      </c>
      <c r="D182" s="304" t="s">
        <v>1037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2"/>
        <v>0</v>
      </c>
      <c r="L182" s="8">
        <f t="shared" si="23"/>
        <v>0</v>
      </c>
      <c r="M182" s="292"/>
    </row>
    <row r="183" spans="1:13" ht="19.5" customHeight="1">
      <c r="A183" s="292" t="str">
        <f t="shared" si="20"/>
        <v>TP</v>
      </c>
      <c r="B183" s="305">
        <f t="shared" si="21"/>
        <v>156</v>
      </c>
      <c r="C183" s="188" t="s">
        <v>878</v>
      </c>
      <c r="D183" s="304" t="s">
        <v>1037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2"/>
        <v>0</v>
      </c>
      <c r="L183" s="8">
        <f t="shared" si="23"/>
        <v>0</v>
      </c>
      <c r="M183" s="292"/>
    </row>
    <row r="184" spans="1:13" ht="19.5" customHeight="1">
      <c r="A184" s="292" t="str">
        <f t="shared" si="20"/>
        <v>TP</v>
      </c>
      <c r="B184" s="305">
        <f t="shared" si="21"/>
        <v>157</v>
      </c>
      <c r="C184" s="188" t="s">
        <v>878</v>
      </c>
      <c r="D184" s="304" t="s">
        <v>1037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2"/>
        <v>0</v>
      </c>
      <c r="L184" s="8">
        <f t="shared" si="23"/>
        <v>0</v>
      </c>
      <c r="M184" s="292"/>
    </row>
    <row r="185" spans="1:13" ht="19.5" customHeight="1">
      <c r="A185" s="292" t="str">
        <f t="shared" si="20"/>
        <v>TP</v>
      </c>
      <c r="B185" s="305">
        <f t="shared" si="21"/>
        <v>158</v>
      </c>
      <c r="C185" s="191" t="s">
        <v>878</v>
      </c>
      <c r="D185" s="304" t="s">
        <v>1037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2"/>
        <v>0</v>
      </c>
      <c r="L185" s="8">
        <f t="shared" si="23"/>
        <v>0</v>
      </c>
      <c r="M185" s="292"/>
    </row>
    <row r="186" spans="1:13" ht="19.5" customHeight="1">
      <c r="A186" s="292" t="str">
        <f t="shared" si="20"/>
        <v>TP</v>
      </c>
      <c r="B186" s="305">
        <f t="shared" si="21"/>
        <v>159</v>
      </c>
      <c r="C186" s="191" t="s">
        <v>878</v>
      </c>
      <c r="D186" s="304" t="s">
        <v>1037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2"/>
        <v>0</v>
      </c>
      <c r="L186" s="8">
        <f t="shared" si="23"/>
        <v>0</v>
      </c>
      <c r="M186" s="292"/>
    </row>
    <row r="187" spans="1:13" ht="19.5" customHeight="1">
      <c r="A187" s="292" t="str">
        <f t="shared" si="20"/>
        <v>TP</v>
      </c>
      <c r="B187" s="305">
        <f t="shared" si="21"/>
        <v>160</v>
      </c>
      <c r="C187" s="39" t="s">
        <v>878</v>
      </c>
      <c r="D187" s="304" t="s">
        <v>1037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2"/>
        <v>0</v>
      </c>
      <c r="L187" s="8">
        <f t="shared" si="23"/>
        <v>0</v>
      </c>
      <c r="M187" s="292"/>
    </row>
    <row r="188" spans="1:13" ht="19.5" customHeight="1">
      <c r="A188" s="292" t="str">
        <f t="shared" si="20"/>
        <v>TP</v>
      </c>
      <c r="B188" s="305">
        <f t="shared" si="21"/>
        <v>161</v>
      </c>
      <c r="C188" s="191" t="s">
        <v>878</v>
      </c>
      <c r="D188" s="304" t="s">
        <v>1037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2"/>
        <v>0</v>
      </c>
      <c r="L188" s="8">
        <f t="shared" si="23"/>
        <v>0</v>
      </c>
      <c r="M188" s="292"/>
    </row>
    <row r="189" spans="1:13" ht="19.5" customHeight="1">
      <c r="A189" s="292" t="str">
        <f t="shared" si="20"/>
        <v>TP</v>
      </c>
      <c r="B189" s="305">
        <f t="shared" si="21"/>
        <v>162</v>
      </c>
      <c r="C189" s="39" t="s">
        <v>878</v>
      </c>
      <c r="D189" s="304" t="s">
        <v>1037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2"/>
        <v>0</v>
      </c>
      <c r="L189" s="8">
        <f t="shared" si="23"/>
        <v>0</v>
      </c>
      <c r="M189" s="292"/>
    </row>
    <row r="190" spans="1:13" ht="19.5" customHeight="1">
      <c r="A190" s="292" t="str">
        <f t="shared" si="20"/>
        <v>TP</v>
      </c>
      <c r="B190" s="305">
        <f t="shared" si="21"/>
        <v>163</v>
      </c>
      <c r="C190" s="191" t="s">
        <v>878</v>
      </c>
      <c r="D190" s="304" t="s">
        <v>1037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2"/>
        <v>0</v>
      </c>
      <c r="L190" s="8">
        <f t="shared" si="23"/>
        <v>0</v>
      </c>
      <c r="M190" s="292"/>
    </row>
    <row r="191" spans="1:13" ht="19.5" customHeight="1">
      <c r="A191" s="292" t="str">
        <f t="shared" si="20"/>
        <v>TP</v>
      </c>
      <c r="B191" s="305">
        <f t="shared" si="21"/>
        <v>164</v>
      </c>
      <c r="C191" s="39" t="s">
        <v>878</v>
      </c>
      <c r="D191" s="304" t="s">
        <v>1037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2"/>
        <v>0</v>
      </c>
      <c r="L191" s="8">
        <f t="shared" si="23"/>
        <v>0</v>
      </c>
      <c r="M191" s="292"/>
    </row>
    <row r="192" spans="1:13" ht="19.5" customHeight="1">
      <c r="A192" s="292" t="str">
        <f t="shared" si="20"/>
        <v>TP</v>
      </c>
      <c r="B192" s="305">
        <f t="shared" si="21"/>
        <v>165</v>
      </c>
      <c r="C192" s="191" t="s">
        <v>878</v>
      </c>
      <c r="D192" s="304" t="s">
        <v>1037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2"/>
        <v>0</v>
      </c>
      <c r="L192" s="8">
        <f t="shared" si="23"/>
        <v>0</v>
      </c>
      <c r="M192" s="292"/>
    </row>
    <row r="193" spans="1:13" ht="19.5" customHeight="1">
      <c r="A193" s="292" t="str">
        <f t="shared" si="20"/>
        <v>TP</v>
      </c>
      <c r="B193" s="305">
        <f t="shared" si="21"/>
        <v>166</v>
      </c>
      <c r="C193" s="191" t="s">
        <v>878</v>
      </c>
      <c r="D193" s="304" t="s">
        <v>1037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2"/>
        <v>0</v>
      </c>
      <c r="L193" s="8">
        <f t="shared" si="23"/>
        <v>0</v>
      </c>
      <c r="M193" s="292"/>
    </row>
    <row r="194" spans="1:13" ht="19.5" customHeight="1">
      <c r="A194" s="292" t="str">
        <f t="shared" si="20"/>
        <v>TP</v>
      </c>
      <c r="B194" s="305">
        <f t="shared" si="21"/>
        <v>167</v>
      </c>
      <c r="C194" s="188" t="s">
        <v>878</v>
      </c>
      <c r="D194" s="304" t="s">
        <v>1037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2"/>
        <v>0</v>
      </c>
      <c r="L194" s="8">
        <f t="shared" si="23"/>
        <v>0</v>
      </c>
      <c r="M194" s="292"/>
    </row>
    <row r="195" spans="1:13" ht="19.5" customHeight="1">
      <c r="A195" s="292" t="str">
        <f t="shared" si="20"/>
        <v>TP</v>
      </c>
      <c r="B195" s="305">
        <f t="shared" si="21"/>
        <v>168</v>
      </c>
      <c r="C195" s="191" t="s">
        <v>878</v>
      </c>
      <c r="D195" s="304" t="s">
        <v>1037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2"/>
        <v>0</v>
      </c>
      <c r="L195" s="8">
        <f t="shared" si="23"/>
        <v>0</v>
      </c>
      <c r="M195" s="292"/>
    </row>
    <row r="196" spans="1:13" ht="19.5" customHeight="1">
      <c r="A196" s="292" t="str">
        <f t="shared" si="20"/>
        <v>TP</v>
      </c>
      <c r="B196" s="305">
        <f t="shared" si="21"/>
        <v>169</v>
      </c>
      <c r="C196" s="191" t="s">
        <v>878</v>
      </c>
      <c r="D196" s="304" t="s">
        <v>1037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2"/>
        <v>0</v>
      </c>
      <c r="L196" s="8">
        <f t="shared" si="23"/>
        <v>0</v>
      </c>
      <c r="M196" s="292"/>
    </row>
    <row r="197" spans="1:13" ht="19.5" customHeight="1">
      <c r="A197" s="292" t="str">
        <f t="shared" si="20"/>
        <v>TP</v>
      </c>
      <c r="B197" s="305">
        <f t="shared" si="21"/>
        <v>170</v>
      </c>
      <c r="C197" s="191" t="s">
        <v>878</v>
      </c>
      <c r="D197" s="304" t="s">
        <v>1037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2"/>
        <v>0</v>
      </c>
      <c r="L197" s="8">
        <f t="shared" si="23"/>
        <v>0</v>
      </c>
      <c r="M197" s="292"/>
    </row>
    <row r="198" spans="1:13" ht="18" customHeight="1">
      <c r="A198" s="292" t="str">
        <f t="shared" si="20"/>
        <v>TP</v>
      </c>
      <c r="B198" s="305">
        <f t="shared" si="21"/>
        <v>171</v>
      </c>
      <c r="C198" s="39" t="s">
        <v>878</v>
      </c>
      <c r="D198" s="304" t="s">
        <v>1037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2"/>
        <v>0</v>
      </c>
      <c r="L198" s="8">
        <f t="shared" si="23"/>
        <v>0</v>
      </c>
      <c r="M198" s="292"/>
    </row>
    <row r="199" spans="1:13" ht="18.75" customHeight="1">
      <c r="A199" s="292" t="str">
        <f t="shared" si="20"/>
        <v>TP</v>
      </c>
      <c r="B199" s="305">
        <f t="shared" si="21"/>
        <v>172</v>
      </c>
      <c r="C199" s="39" t="s">
        <v>878</v>
      </c>
      <c r="D199" s="304" t="s">
        <v>1037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2"/>
        <v>0</v>
      </c>
      <c r="L199" s="8">
        <f t="shared" si="23"/>
        <v>0</v>
      </c>
      <c r="M199" s="292"/>
    </row>
    <row r="200" spans="1:13" ht="18.75" customHeight="1">
      <c r="A200" s="292" t="str">
        <f t="shared" si="20"/>
        <v>TP</v>
      </c>
      <c r="B200" s="305">
        <f t="shared" si="21"/>
        <v>173</v>
      </c>
      <c r="C200" s="188" t="s">
        <v>878</v>
      </c>
      <c r="D200" s="304" t="s">
        <v>1037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2"/>
        <v>0</v>
      </c>
      <c r="L200" s="8">
        <f t="shared" si="23"/>
        <v>0</v>
      </c>
      <c r="M200" s="292"/>
    </row>
    <row r="201" spans="1:13" ht="18.75" customHeight="1">
      <c r="A201" s="292" t="str">
        <f t="shared" si="20"/>
        <v>TP</v>
      </c>
      <c r="B201" s="305">
        <f t="shared" si="21"/>
        <v>174</v>
      </c>
      <c r="C201" s="39" t="s">
        <v>577</v>
      </c>
      <c r="D201" s="304" t="s">
        <v>1037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2"/>
        <v>0</v>
      </c>
      <c r="L201" s="8">
        <f t="shared" si="23"/>
        <v>0</v>
      </c>
      <c r="M201" s="292"/>
    </row>
    <row r="202" spans="1:13" ht="18.75" customHeight="1">
      <c r="A202" s="292" t="str">
        <f t="shared" si="20"/>
        <v>TP</v>
      </c>
      <c r="B202" s="305">
        <f t="shared" si="21"/>
        <v>175</v>
      </c>
      <c r="C202" s="39" t="s">
        <v>898</v>
      </c>
      <c r="D202" s="304" t="s">
        <v>1037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2"/>
        <v>0</v>
      </c>
      <c r="L202" s="8">
        <f t="shared" si="23"/>
        <v>0</v>
      </c>
      <c r="M202" s="292"/>
    </row>
    <row r="203" spans="1:13" ht="18.75" customHeight="1">
      <c r="A203" s="292" t="str">
        <f t="shared" si="20"/>
        <v>TP</v>
      </c>
      <c r="B203" s="305">
        <f t="shared" si="21"/>
        <v>176</v>
      </c>
      <c r="C203" s="191" t="s">
        <v>746</v>
      </c>
      <c r="D203" s="304" t="s">
        <v>1037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2"/>
        <v>0</v>
      </c>
      <c r="L203" s="8">
        <f t="shared" si="23"/>
        <v>0</v>
      </c>
      <c r="M203" s="292"/>
    </row>
    <row r="204" spans="1:13" ht="18.75" customHeight="1">
      <c r="A204" s="292" t="str">
        <f t="shared" si="20"/>
        <v>TP</v>
      </c>
      <c r="B204" s="305">
        <f t="shared" si="21"/>
        <v>177</v>
      </c>
      <c r="C204" s="191" t="s">
        <v>593</v>
      </c>
      <c r="D204" s="304" t="s">
        <v>1037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2"/>
        <v>0</v>
      </c>
      <c r="L204" s="8">
        <f t="shared" si="23"/>
        <v>0</v>
      </c>
      <c r="M204" s="292"/>
    </row>
    <row r="205" spans="1:13" ht="18.75" customHeight="1">
      <c r="A205" s="292" t="str">
        <f t="shared" si="20"/>
        <v>TP</v>
      </c>
      <c r="B205" s="305">
        <f t="shared" si="21"/>
        <v>178</v>
      </c>
      <c r="C205" s="188" t="s">
        <v>1026</v>
      </c>
      <c r="D205" s="304" t="s">
        <v>1037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2"/>
        <v>0</v>
      </c>
      <c r="L205" s="8">
        <f t="shared" si="23"/>
        <v>0</v>
      </c>
      <c r="M205" s="292"/>
    </row>
    <row r="206" spans="1:13" ht="18.75" customHeight="1">
      <c r="A206" s="292" t="str">
        <f t="shared" si="20"/>
        <v>TP</v>
      </c>
      <c r="B206" s="305">
        <f t="shared" si="21"/>
        <v>179</v>
      </c>
      <c r="C206" s="191" t="s">
        <v>595</v>
      </c>
      <c r="D206" s="304" t="s">
        <v>1037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2"/>
        <v>0</v>
      </c>
      <c r="L206" s="8">
        <f t="shared" si="23"/>
        <v>0</v>
      </c>
      <c r="M206" s="292"/>
    </row>
    <row r="207" spans="1:13" ht="18.75" customHeight="1">
      <c r="A207" s="292" t="str">
        <f t="shared" si="20"/>
        <v>TP</v>
      </c>
      <c r="B207" s="305">
        <f t="shared" si="21"/>
        <v>180</v>
      </c>
      <c r="C207" s="188" t="s">
        <v>985</v>
      </c>
      <c r="D207" s="304" t="s">
        <v>1037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2"/>
        <v>0</v>
      </c>
      <c r="L207" s="8">
        <f t="shared" si="23"/>
        <v>0</v>
      </c>
      <c r="M207" s="292"/>
    </row>
    <row r="208" spans="1:13" ht="18.75" customHeight="1">
      <c r="A208" s="292" t="str">
        <f t="shared" si="20"/>
        <v>TP</v>
      </c>
      <c r="B208" s="305">
        <f t="shared" si="21"/>
        <v>181</v>
      </c>
      <c r="C208" s="191" t="s">
        <v>579</v>
      </c>
      <c r="D208" s="304" t="s">
        <v>1037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2"/>
        <v>0</v>
      </c>
      <c r="L208" s="8">
        <f t="shared" si="23"/>
        <v>0</v>
      </c>
      <c r="M208" s="292"/>
    </row>
    <row r="209" spans="1:13" ht="18.75" customHeight="1">
      <c r="A209" s="292" t="str">
        <f t="shared" si="20"/>
        <v>TP</v>
      </c>
      <c r="B209" s="305">
        <f t="shared" si="21"/>
        <v>182</v>
      </c>
      <c r="C209" s="191" t="s">
        <v>579</v>
      </c>
      <c r="D209" s="304" t="s">
        <v>1037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2"/>
        <v>0</v>
      </c>
      <c r="L209" s="8">
        <f t="shared" si="23"/>
        <v>0</v>
      </c>
      <c r="M209" s="292"/>
    </row>
    <row r="210" spans="1:13" ht="18.75" customHeight="1">
      <c r="A210" s="292" t="str">
        <f t="shared" si="20"/>
        <v>TP</v>
      </c>
      <c r="B210" s="305">
        <f t="shared" si="21"/>
        <v>183</v>
      </c>
      <c r="C210" s="188" t="s">
        <v>579</v>
      </c>
      <c r="D210" s="304" t="s">
        <v>1037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2"/>
        <v>0</v>
      </c>
      <c r="L210" s="8">
        <f t="shared" si="23"/>
        <v>0</v>
      </c>
      <c r="M210" s="292"/>
    </row>
    <row r="211" spans="1:13" ht="18.75" customHeight="1">
      <c r="A211" s="292" t="str">
        <f t="shared" si="20"/>
        <v>TP</v>
      </c>
      <c r="B211" s="305">
        <f t="shared" si="21"/>
        <v>184</v>
      </c>
      <c r="C211" s="191" t="s">
        <v>579</v>
      </c>
      <c r="D211" s="304" t="s">
        <v>1037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2"/>
        <v>0</v>
      </c>
      <c r="L211" s="8">
        <f t="shared" si="23"/>
        <v>0</v>
      </c>
      <c r="M211" s="292"/>
    </row>
    <row r="212" spans="1:13" ht="18.75" customHeight="1">
      <c r="A212" s="292" t="str">
        <f t="shared" si="20"/>
        <v>TP</v>
      </c>
      <c r="B212" s="305">
        <f t="shared" si="21"/>
        <v>185</v>
      </c>
      <c r="C212" s="191" t="s">
        <v>586</v>
      </c>
      <c r="D212" s="304" t="s">
        <v>1037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2"/>
        <v>0</v>
      </c>
      <c r="L212" s="8">
        <f t="shared" si="23"/>
        <v>0</v>
      </c>
      <c r="M212" s="292"/>
    </row>
    <row r="213" spans="1:13" ht="18.75" customHeight="1">
      <c r="A213" s="292" t="str">
        <f t="shared" si="20"/>
        <v>TP</v>
      </c>
      <c r="B213" s="305">
        <f t="shared" si="21"/>
        <v>186</v>
      </c>
      <c r="C213" s="188" t="s">
        <v>754</v>
      </c>
      <c r="D213" s="304" t="s">
        <v>1037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2"/>
        <v>0</v>
      </c>
      <c r="L213" s="8">
        <f t="shared" si="23"/>
        <v>0</v>
      </c>
      <c r="M213" s="292"/>
    </row>
    <row r="214" spans="1:13" ht="18.75" customHeight="1">
      <c r="A214" s="292" t="str">
        <f t="shared" si="20"/>
        <v>TP</v>
      </c>
      <c r="B214" s="305">
        <f t="shared" si="21"/>
        <v>187</v>
      </c>
      <c r="C214" s="191" t="s">
        <v>605</v>
      </c>
      <c r="D214" s="304" t="s">
        <v>1037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2"/>
        <v>0</v>
      </c>
      <c r="L214" s="8">
        <f t="shared" si="23"/>
        <v>0</v>
      </c>
      <c r="M214" s="292"/>
    </row>
    <row r="215" spans="1:13" ht="18.75" customHeight="1">
      <c r="A215" s="292" t="str">
        <f t="shared" si="20"/>
        <v>TP</v>
      </c>
      <c r="B215" s="305">
        <f t="shared" si="21"/>
        <v>188</v>
      </c>
      <c r="C215" s="191" t="s">
        <v>605</v>
      </c>
      <c r="D215" s="304" t="s">
        <v>1037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2"/>
        <v>0</v>
      </c>
      <c r="L215" s="8">
        <f t="shared" si="23"/>
        <v>0</v>
      </c>
      <c r="M215" s="292"/>
    </row>
    <row r="216" spans="1:13" ht="18.75" customHeight="1">
      <c r="A216" s="292" t="str">
        <f t="shared" si="20"/>
        <v>TP</v>
      </c>
      <c r="B216" s="305">
        <f t="shared" si="21"/>
        <v>189</v>
      </c>
      <c r="C216" s="191" t="s">
        <v>587</v>
      </c>
      <c r="D216" s="304" t="s">
        <v>1037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2"/>
        <v>0</v>
      </c>
      <c r="L216" s="8">
        <f t="shared" si="23"/>
        <v>0</v>
      </c>
      <c r="M216" s="292"/>
    </row>
    <row r="217" spans="1:13" ht="18.75" customHeight="1">
      <c r="A217" s="292" t="str">
        <f t="shared" si="20"/>
        <v>TP</v>
      </c>
      <c r="B217" s="305">
        <f t="shared" si="21"/>
        <v>190</v>
      </c>
      <c r="C217" s="191" t="s">
        <v>599</v>
      </c>
      <c r="D217" s="304" t="s">
        <v>1037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2"/>
        <v>0</v>
      </c>
      <c r="L217" s="8">
        <f t="shared" si="23"/>
        <v>0</v>
      </c>
      <c r="M217" s="292"/>
    </row>
    <row r="218" spans="1:13" ht="18.75" customHeight="1">
      <c r="A218" s="292" t="str">
        <f t="shared" si="20"/>
        <v>TP</v>
      </c>
      <c r="B218" s="305">
        <f t="shared" si="21"/>
        <v>191</v>
      </c>
      <c r="C218" s="191" t="s">
        <v>599</v>
      </c>
      <c r="D218" s="304" t="s">
        <v>1037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2"/>
        <v>0</v>
      </c>
      <c r="L218" s="8">
        <f t="shared" si="23"/>
        <v>0</v>
      </c>
      <c r="M218" s="292"/>
    </row>
    <row r="219" spans="1:13" ht="18.75" customHeight="1">
      <c r="A219" s="292" t="str">
        <f t="shared" si="20"/>
        <v>TP</v>
      </c>
      <c r="B219" s="305">
        <f t="shared" si="21"/>
        <v>192</v>
      </c>
      <c r="C219" s="191" t="s">
        <v>606</v>
      </c>
      <c r="D219" s="304" t="s">
        <v>1037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2"/>
        <v>0</v>
      </c>
      <c r="L219" s="8">
        <f t="shared" si="23"/>
        <v>0</v>
      </c>
      <c r="M219" s="292"/>
    </row>
    <row r="220" spans="1:13" ht="18.75" customHeight="1">
      <c r="A220" s="292" t="str">
        <f t="shared" ref="A220:A283" si="24">IF(B220&lt;&gt;"","TP","")</f>
        <v>TP</v>
      </c>
      <c r="B220" s="305">
        <f t="shared" ref="B220:B283" si="25">IF(C220&lt;&gt;"",B219+1,"")</f>
        <v>193</v>
      </c>
      <c r="C220" s="191" t="s">
        <v>730</v>
      </c>
      <c r="D220" s="304" t="s">
        <v>1037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ref="K220:K283" si="26">E220+G220-I220</f>
        <v>0</v>
      </c>
      <c r="L220" s="8">
        <f t="shared" ref="L220:L283" si="27">F220+H220-J220</f>
        <v>0</v>
      </c>
      <c r="M220" s="292"/>
    </row>
    <row r="221" spans="1:13" ht="18.75" customHeight="1">
      <c r="A221" s="292" t="str">
        <f t="shared" si="24"/>
        <v>TP</v>
      </c>
      <c r="B221" s="305">
        <f t="shared" si="25"/>
        <v>194</v>
      </c>
      <c r="C221" s="191" t="s">
        <v>737</v>
      </c>
      <c r="D221" s="304" t="s">
        <v>1037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6"/>
        <v>0</v>
      </c>
      <c r="L221" s="8">
        <f t="shared" si="27"/>
        <v>0</v>
      </c>
      <c r="M221" s="292"/>
    </row>
    <row r="222" spans="1:13" ht="18.75" customHeight="1">
      <c r="A222" s="292" t="str">
        <f t="shared" si="24"/>
        <v>TP</v>
      </c>
      <c r="B222" s="305">
        <f t="shared" si="25"/>
        <v>195</v>
      </c>
      <c r="C222" s="188" t="s">
        <v>596</v>
      </c>
      <c r="D222" s="304" t="s">
        <v>1037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6"/>
        <v>0</v>
      </c>
      <c r="L222" s="8">
        <f t="shared" si="27"/>
        <v>0</v>
      </c>
      <c r="M222" s="292"/>
    </row>
    <row r="223" spans="1:13" ht="18.75" customHeight="1">
      <c r="A223" s="292" t="str">
        <f t="shared" si="24"/>
        <v>TP</v>
      </c>
      <c r="B223" s="305">
        <f t="shared" si="25"/>
        <v>196</v>
      </c>
      <c r="C223" s="39" t="s">
        <v>715</v>
      </c>
      <c r="D223" s="304" t="s">
        <v>1037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6"/>
        <v>0</v>
      </c>
      <c r="L223" s="8">
        <f t="shared" si="27"/>
        <v>0</v>
      </c>
      <c r="M223" s="292"/>
    </row>
    <row r="224" spans="1:13" ht="18.75" customHeight="1">
      <c r="A224" s="292" t="str">
        <f t="shared" si="24"/>
        <v>TP</v>
      </c>
      <c r="B224" s="305">
        <f t="shared" si="25"/>
        <v>197</v>
      </c>
      <c r="C224" s="188" t="s">
        <v>715</v>
      </c>
      <c r="D224" s="304" t="s">
        <v>1037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6"/>
        <v>0</v>
      </c>
      <c r="L224" s="8">
        <f t="shared" si="27"/>
        <v>0</v>
      </c>
      <c r="M224" s="292"/>
    </row>
    <row r="225" spans="1:13" ht="18.75" customHeight="1">
      <c r="A225" s="292" t="str">
        <f t="shared" si="24"/>
        <v>TP</v>
      </c>
      <c r="B225" s="305">
        <f t="shared" si="25"/>
        <v>198</v>
      </c>
      <c r="C225" s="191" t="s">
        <v>715</v>
      </c>
      <c r="D225" s="304" t="s">
        <v>1037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6"/>
        <v>0</v>
      </c>
      <c r="L225" s="8">
        <f t="shared" si="27"/>
        <v>0</v>
      </c>
      <c r="M225" s="292"/>
    </row>
    <row r="226" spans="1:13" ht="18.75" customHeight="1">
      <c r="A226" s="292" t="str">
        <f t="shared" si="24"/>
        <v>TP</v>
      </c>
      <c r="B226" s="305">
        <f t="shared" si="25"/>
        <v>199</v>
      </c>
      <c r="C226" s="191" t="s">
        <v>971</v>
      </c>
      <c r="D226" s="304" t="s">
        <v>1037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6"/>
        <v>0</v>
      </c>
      <c r="L226" s="8">
        <f t="shared" si="27"/>
        <v>0</v>
      </c>
      <c r="M226" s="292"/>
    </row>
    <row r="227" spans="1:13" ht="18.75" customHeight="1">
      <c r="A227" s="292" t="str">
        <f t="shared" si="24"/>
        <v>TP</v>
      </c>
      <c r="B227" s="305">
        <f t="shared" si="25"/>
        <v>200</v>
      </c>
      <c r="C227" s="39" t="s">
        <v>892</v>
      </c>
      <c r="D227" s="304" t="s">
        <v>1037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26"/>
        <v>0</v>
      </c>
      <c r="L227" s="8">
        <f t="shared" si="27"/>
        <v>0</v>
      </c>
      <c r="M227" s="292"/>
    </row>
    <row r="228" spans="1:13" ht="18.75" customHeight="1">
      <c r="A228" s="292" t="str">
        <f t="shared" si="24"/>
        <v>TP</v>
      </c>
      <c r="B228" s="305">
        <f t="shared" si="25"/>
        <v>201</v>
      </c>
      <c r="C228" s="191" t="s">
        <v>982</v>
      </c>
      <c r="D228" s="304" t="s">
        <v>1037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26"/>
        <v>0</v>
      </c>
      <c r="L228" s="8">
        <f t="shared" si="27"/>
        <v>0</v>
      </c>
      <c r="M228" s="292"/>
    </row>
    <row r="229" spans="1:13" ht="18.75" customHeight="1">
      <c r="A229" s="292" t="str">
        <f t="shared" si="24"/>
        <v>TP</v>
      </c>
      <c r="B229" s="305">
        <f t="shared" si="25"/>
        <v>202</v>
      </c>
      <c r="C229" s="191" t="s">
        <v>562</v>
      </c>
      <c r="D229" s="304" t="s">
        <v>1037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26"/>
        <v>0</v>
      </c>
      <c r="L229" s="8">
        <f t="shared" si="27"/>
        <v>0</v>
      </c>
      <c r="M229" s="292"/>
    </row>
    <row r="230" spans="1:13" ht="18.75" customHeight="1">
      <c r="A230" s="292" t="str">
        <f t="shared" si="24"/>
        <v>TP</v>
      </c>
      <c r="B230" s="305">
        <f t="shared" si="25"/>
        <v>203</v>
      </c>
      <c r="C230" s="191" t="s">
        <v>581</v>
      </c>
      <c r="D230" s="304" t="s">
        <v>1037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26"/>
        <v>0</v>
      </c>
      <c r="L230" s="8">
        <f t="shared" si="27"/>
        <v>0</v>
      </c>
      <c r="M230" s="292"/>
    </row>
    <row r="231" spans="1:13" ht="18.75" customHeight="1">
      <c r="A231" s="292" t="str">
        <f t="shared" si="24"/>
        <v>TP</v>
      </c>
      <c r="B231" s="305">
        <f t="shared" si="25"/>
        <v>204</v>
      </c>
      <c r="C231" s="39" t="s">
        <v>581</v>
      </c>
      <c r="D231" s="304" t="s">
        <v>1037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26"/>
        <v>0</v>
      </c>
      <c r="L231" s="8">
        <f t="shared" si="27"/>
        <v>0</v>
      </c>
      <c r="M231" s="292"/>
    </row>
    <row r="232" spans="1:13" ht="18.75" customHeight="1">
      <c r="A232" s="292" t="str">
        <f t="shared" si="24"/>
        <v>TP</v>
      </c>
      <c r="B232" s="305">
        <f t="shared" si="25"/>
        <v>205</v>
      </c>
      <c r="C232" s="191" t="s">
        <v>581</v>
      </c>
      <c r="D232" s="304" t="s">
        <v>1037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26"/>
        <v>0</v>
      </c>
      <c r="L232" s="8">
        <f t="shared" si="27"/>
        <v>0</v>
      </c>
      <c r="M232" s="292"/>
    </row>
    <row r="233" spans="1:13" ht="18.75" customHeight="1">
      <c r="A233" s="292" t="str">
        <f t="shared" si="24"/>
        <v>TP</v>
      </c>
      <c r="B233" s="305">
        <f t="shared" si="25"/>
        <v>206</v>
      </c>
      <c r="C233" s="188" t="s">
        <v>893</v>
      </c>
      <c r="D233" s="304" t="s">
        <v>1037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26"/>
        <v>0</v>
      </c>
      <c r="L233" s="8">
        <f t="shared" si="27"/>
        <v>0</v>
      </c>
      <c r="M233" s="292"/>
    </row>
    <row r="234" spans="1:13" ht="18.75" customHeight="1">
      <c r="A234" s="292" t="str">
        <f t="shared" si="24"/>
        <v>TP</v>
      </c>
      <c r="B234" s="305">
        <f t="shared" si="25"/>
        <v>207</v>
      </c>
      <c r="C234" s="191" t="s">
        <v>893</v>
      </c>
      <c r="D234" s="304" t="s">
        <v>1037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26"/>
        <v>0</v>
      </c>
      <c r="L234" s="8">
        <f t="shared" si="27"/>
        <v>0</v>
      </c>
      <c r="M234" s="292"/>
    </row>
    <row r="235" spans="1:13" ht="18.75" customHeight="1">
      <c r="A235" s="292" t="str">
        <f t="shared" si="24"/>
        <v>TP</v>
      </c>
      <c r="B235" s="305">
        <f t="shared" si="25"/>
        <v>208</v>
      </c>
      <c r="C235" s="39" t="s">
        <v>981</v>
      </c>
      <c r="D235" s="304" t="s">
        <v>1037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26"/>
        <v>0</v>
      </c>
      <c r="L235" s="8">
        <f t="shared" si="27"/>
        <v>0</v>
      </c>
      <c r="M235" s="292"/>
    </row>
    <row r="236" spans="1:13" ht="18.75" customHeight="1">
      <c r="A236" s="292" t="str">
        <f t="shared" si="24"/>
        <v>TP</v>
      </c>
      <c r="B236" s="305">
        <f t="shared" si="25"/>
        <v>209</v>
      </c>
      <c r="C236" s="39" t="s">
        <v>751</v>
      </c>
      <c r="D236" s="304" t="s">
        <v>1037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26"/>
        <v>0</v>
      </c>
      <c r="L236" s="8">
        <f t="shared" si="27"/>
        <v>0</v>
      </c>
      <c r="M236" s="292"/>
    </row>
    <row r="237" spans="1:13" ht="18.75" customHeight="1">
      <c r="A237" s="292" t="str">
        <f t="shared" si="24"/>
        <v>TP</v>
      </c>
      <c r="B237" s="305">
        <f t="shared" si="25"/>
        <v>210</v>
      </c>
      <c r="C237" s="188" t="s">
        <v>749</v>
      </c>
      <c r="D237" s="304" t="s">
        <v>1037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26"/>
        <v>0</v>
      </c>
      <c r="L237" s="8">
        <f t="shared" si="27"/>
        <v>0</v>
      </c>
      <c r="M237" s="292"/>
    </row>
    <row r="238" spans="1:13" ht="18.75" customHeight="1">
      <c r="A238" s="292" t="str">
        <f t="shared" si="24"/>
        <v>TP</v>
      </c>
      <c r="B238" s="305">
        <f t="shared" si="25"/>
        <v>211</v>
      </c>
      <c r="C238" s="39" t="s">
        <v>748</v>
      </c>
      <c r="D238" s="304" t="s">
        <v>1037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26"/>
        <v>0</v>
      </c>
      <c r="L238" s="8">
        <f t="shared" si="27"/>
        <v>0</v>
      </c>
      <c r="M238" s="292"/>
    </row>
    <row r="239" spans="1:13" ht="18.75" customHeight="1">
      <c r="A239" s="292" t="str">
        <f t="shared" si="24"/>
        <v>TP</v>
      </c>
      <c r="B239" s="305">
        <f t="shared" si="25"/>
        <v>212</v>
      </c>
      <c r="C239" s="191" t="s">
        <v>744</v>
      </c>
      <c r="D239" s="304" t="s">
        <v>1037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26"/>
        <v>0</v>
      </c>
      <c r="L239" s="8">
        <f t="shared" si="27"/>
        <v>0</v>
      </c>
      <c r="M239" s="292"/>
    </row>
    <row r="240" spans="1:13" ht="18.75" customHeight="1">
      <c r="A240" s="292" t="str">
        <f t="shared" si="24"/>
        <v>TP</v>
      </c>
      <c r="B240" s="305">
        <f t="shared" si="25"/>
        <v>213</v>
      </c>
      <c r="C240" s="39" t="s">
        <v>961</v>
      </c>
      <c r="D240" s="304" t="s">
        <v>1037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26"/>
        <v>0</v>
      </c>
      <c r="L240" s="8">
        <f t="shared" si="27"/>
        <v>0</v>
      </c>
      <c r="M240" s="292"/>
    </row>
    <row r="241" spans="1:13" ht="18.75" customHeight="1">
      <c r="A241" s="292" t="str">
        <f t="shared" si="24"/>
        <v>TP</v>
      </c>
      <c r="B241" s="305">
        <f t="shared" si="25"/>
        <v>214</v>
      </c>
      <c r="C241" s="191" t="s">
        <v>994</v>
      </c>
      <c r="D241" s="304" t="s">
        <v>1037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26"/>
        <v>0</v>
      </c>
      <c r="L241" s="8">
        <f t="shared" si="27"/>
        <v>0</v>
      </c>
      <c r="M241" s="292"/>
    </row>
    <row r="242" spans="1:13" ht="18" customHeight="1">
      <c r="A242" s="292" t="str">
        <f t="shared" si="24"/>
        <v>TP</v>
      </c>
      <c r="B242" s="305">
        <f t="shared" si="25"/>
        <v>215</v>
      </c>
      <c r="C242" s="191" t="s">
        <v>993</v>
      </c>
      <c r="D242" s="304" t="s">
        <v>1037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26"/>
        <v>0</v>
      </c>
      <c r="L242" s="8">
        <f t="shared" si="27"/>
        <v>0</v>
      </c>
      <c r="M242" s="292"/>
    </row>
    <row r="243" spans="1:13" ht="18" customHeight="1">
      <c r="A243" s="292" t="str">
        <f t="shared" si="24"/>
        <v>TP</v>
      </c>
      <c r="B243" s="305">
        <f t="shared" si="25"/>
        <v>216</v>
      </c>
      <c r="C243" s="191" t="s">
        <v>686</v>
      </c>
      <c r="D243" s="304" t="s">
        <v>1037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26"/>
        <v>0</v>
      </c>
      <c r="L243" s="8">
        <f t="shared" si="27"/>
        <v>0</v>
      </c>
      <c r="M243" s="292"/>
    </row>
    <row r="244" spans="1:13" ht="18.75" customHeight="1">
      <c r="A244" s="292" t="str">
        <f t="shared" si="24"/>
        <v>TP</v>
      </c>
      <c r="B244" s="305">
        <f t="shared" si="25"/>
        <v>217</v>
      </c>
      <c r="C244" s="191" t="s">
        <v>585</v>
      </c>
      <c r="D244" s="304" t="s">
        <v>1037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26"/>
        <v>0</v>
      </c>
      <c r="L244" s="8">
        <f t="shared" si="27"/>
        <v>0</v>
      </c>
      <c r="M244" s="292"/>
    </row>
    <row r="245" spans="1:13" ht="18.75" customHeight="1">
      <c r="A245" s="292" t="str">
        <f t="shared" si="24"/>
        <v>TP</v>
      </c>
      <c r="B245" s="305">
        <f t="shared" si="25"/>
        <v>218</v>
      </c>
      <c r="C245" s="39" t="s">
        <v>585</v>
      </c>
      <c r="D245" s="304" t="s">
        <v>1037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26"/>
        <v>0</v>
      </c>
      <c r="L245" s="8">
        <f t="shared" si="27"/>
        <v>0</v>
      </c>
      <c r="M245" s="292"/>
    </row>
    <row r="246" spans="1:13" ht="18.75" customHeight="1">
      <c r="A246" s="292" t="str">
        <f t="shared" si="24"/>
        <v>TP</v>
      </c>
      <c r="B246" s="305">
        <f t="shared" si="25"/>
        <v>219</v>
      </c>
      <c r="C246" s="191" t="s">
        <v>585</v>
      </c>
      <c r="D246" s="304" t="s">
        <v>1037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26"/>
        <v>0</v>
      </c>
      <c r="L246" s="8">
        <f t="shared" si="27"/>
        <v>0</v>
      </c>
      <c r="M246" s="292"/>
    </row>
    <row r="247" spans="1:13" ht="18.75" customHeight="1">
      <c r="A247" s="292" t="str">
        <f t="shared" si="24"/>
        <v>TP</v>
      </c>
      <c r="B247" s="305">
        <f t="shared" si="25"/>
        <v>220</v>
      </c>
      <c r="C247" s="191" t="s">
        <v>585</v>
      </c>
      <c r="D247" s="304" t="s">
        <v>1037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26"/>
        <v>0</v>
      </c>
      <c r="L247" s="8">
        <f t="shared" si="27"/>
        <v>0</v>
      </c>
      <c r="M247" s="292"/>
    </row>
    <row r="248" spans="1:13" ht="18.75" customHeight="1">
      <c r="A248" s="292" t="str">
        <f t="shared" si="24"/>
        <v>TP</v>
      </c>
      <c r="B248" s="305">
        <f t="shared" si="25"/>
        <v>221</v>
      </c>
      <c r="C248" s="188" t="s">
        <v>717</v>
      </c>
      <c r="D248" s="304" t="s">
        <v>1037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26"/>
        <v>0</v>
      </c>
      <c r="L248" s="8">
        <f t="shared" si="27"/>
        <v>0</v>
      </c>
      <c r="M248" s="292"/>
    </row>
    <row r="249" spans="1:13" ht="18.75" customHeight="1">
      <c r="A249" s="292" t="str">
        <f t="shared" si="24"/>
        <v>TP</v>
      </c>
      <c r="B249" s="305">
        <f t="shared" si="25"/>
        <v>222</v>
      </c>
      <c r="C249" s="39" t="s">
        <v>717</v>
      </c>
      <c r="D249" s="304" t="s">
        <v>1037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26"/>
        <v>0</v>
      </c>
      <c r="L249" s="8">
        <f t="shared" si="27"/>
        <v>0</v>
      </c>
      <c r="M249" s="292"/>
    </row>
    <row r="250" spans="1:13" ht="18.75" customHeight="1">
      <c r="A250" s="292" t="str">
        <f t="shared" si="24"/>
        <v>TP</v>
      </c>
      <c r="B250" s="305">
        <f t="shared" si="25"/>
        <v>223</v>
      </c>
      <c r="C250" s="191" t="s">
        <v>717</v>
      </c>
      <c r="D250" s="304" t="s">
        <v>1037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26"/>
        <v>0</v>
      </c>
      <c r="L250" s="8">
        <f t="shared" si="27"/>
        <v>0</v>
      </c>
      <c r="M250" s="292"/>
    </row>
    <row r="251" spans="1:13" ht="18.75" customHeight="1">
      <c r="A251" s="292" t="str">
        <f t="shared" si="24"/>
        <v>TP</v>
      </c>
      <c r="B251" s="305">
        <f t="shared" si="25"/>
        <v>224</v>
      </c>
      <c r="C251" s="188" t="s">
        <v>732</v>
      </c>
      <c r="D251" s="304" t="s">
        <v>1037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26"/>
        <v>0</v>
      </c>
      <c r="L251" s="8">
        <f t="shared" si="27"/>
        <v>0</v>
      </c>
      <c r="M251" s="292"/>
    </row>
    <row r="252" spans="1:13" ht="18.75" customHeight="1">
      <c r="A252" s="292" t="str">
        <f t="shared" si="24"/>
        <v>TP</v>
      </c>
      <c r="B252" s="305">
        <f t="shared" si="25"/>
        <v>225</v>
      </c>
      <c r="C252" s="191" t="s">
        <v>902</v>
      </c>
      <c r="D252" s="304" t="s">
        <v>1037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26"/>
        <v>0</v>
      </c>
      <c r="L252" s="8">
        <f t="shared" si="27"/>
        <v>0</v>
      </c>
      <c r="M252" s="292"/>
    </row>
    <row r="253" spans="1:13" ht="18.75" customHeight="1">
      <c r="A253" s="292" t="str">
        <f t="shared" si="24"/>
        <v>TP</v>
      </c>
      <c r="B253" s="305">
        <f t="shared" si="25"/>
        <v>226</v>
      </c>
      <c r="C253" s="188" t="s">
        <v>750</v>
      </c>
      <c r="D253" s="304" t="s">
        <v>1037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26"/>
        <v>0</v>
      </c>
      <c r="L253" s="8">
        <f t="shared" si="27"/>
        <v>0</v>
      </c>
      <c r="M253" s="292"/>
    </row>
    <row r="254" spans="1:13" ht="18.75" customHeight="1">
      <c r="A254" s="292" t="str">
        <f t="shared" si="24"/>
        <v>TP</v>
      </c>
      <c r="B254" s="305">
        <f t="shared" si="25"/>
        <v>227</v>
      </c>
      <c r="C254" s="188" t="s">
        <v>571</v>
      </c>
      <c r="D254" s="304" t="s">
        <v>1037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26"/>
        <v>0</v>
      </c>
      <c r="L254" s="8">
        <f t="shared" si="27"/>
        <v>0</v>
      </c>
      <c r="M254" s="292"/>
    </row>
    <row r="255" spans="1:13" ht="18.75" customHeight="1">
      <c r="A255" s="292" t="str">
        <f t="shared" si="24"/>
        <v>TP</v>
      </c>
      <c r="B255" s="305">
        <f t="shared" si="25"/>
        <v>228</v>
      </c>
      <c r="C255" s="39" t="s">
        <v>977</v>
      </c>
      <c r="D255" s="304" t="s">
        <v>1037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26"/>
        <v>0</v>
      </c>
      <c r="L255" s="8">
        <f t="shared" si="27"/>
        <v>0</v>
      </c>
      <c r="M255" s="292"/>
    </row>
    <row r="256" spans="1:13" ht="18.75" customHeight="1">
      <c r="A256" s="292" t="str">
        <f t="shared" si="24"/>
        <v>TP</v>
      </c>
      <c r="B256" s="305">
        <f t="shared" si="25"/>
        <v>229</v>
      </c>
      <c r="C256" s="191" t="s">
        <v>909</v>
      </c>
      <c r="D256" s="304" t="s">
        <v>1037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26"/>
        <v>0</v>
      </c>
      <c r="L256" s="8">
        <f t="shared" si="27"/>
        <v>0</v>
      </c>
      <c r="M256" s="292"/>
    </row>
    <row r="257" spans="1:13" ht="18.75" customHeight="1">
      <c r="A257" s="292" t="str">
        <f t="shared" si="24"/>
        <v>TP</v>
      </c>
      <c r="B257" s="305">
        <f t="shared" si="25"/>
        <v>230</v>
      </c>
      <c r="C257" s="191" t="s">
        <v>1024</v>
      </c>
      <c r="D257" s="304" t="s">
        <v>1037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26"/>
        <v>0</v>
      </c>
      <c r="L257" s="8">
        <f t="shared" si="27"/>
        <v>0</v>
      </c>
      <c r="M257" s="292"/>
    </row>
    <row r="258" spans="1:13" ht="18.75" customHeight="1">
      <c r="A258" s="292" t="str">
        <f t="shared" si="24"/>
        <v>TP</v>
      </c>
      <c r="B258" s="305">
        <f t="shared" si="25"/>
        <v>231</v>
      </c>
      <c r="C258" s="39" t="s">
        <v>958</v>
      </c>
      <c r="D258" s="304" t="s">
        <v>1037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26"/>
        <v>0</v>
      </c>
      <c r="L258" s="8">
        <f t="shared" si="27"/>
        <v>0</v>
      </c>
      <c r="M258" s="292"/>
    </row>
    <row r="259" spans="1:13" ht="19.5" customHeight="1">
      <c r="A259" s="292" t="str">
        <f t="shared" si="24"/>
        <v>TP</v>
      </c>
      <c r="B259" s="305">
        <f t="shared" si="25"/>
        <v>232</v>
      </c>
      <c r="C259" s="191" t="s">
        <v>558</v>
      </c>
      <c r="D259" s="304" t="s">
        <v>1037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26"/>
        <v>0</v>
      </c>
      <c r="L259" s="8">
        <f t="shared" si="27"/>
        <v>0</v>
      </c>
      <c r="M259" s="292"/>
    </row>
    <row r="260" spans="1:13" ht="19.5" customHeight="1">
      <c r="A260" s="292" t="str">
        <f t="shared" si="24"/>
        <v>TP</v>
      </c>
      <c r="B260" s="305">
        <f t="shared" si="25"/>
        <v>233</v>
      </c>
      <c r="C260" s="188" t="s">
        <v>910</v>
      </c>
      <c r="D260" s="304" t="s">
        <v>1037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26"/>
        <v>0</v>
      </c>
      <c r="L260" s="8">
        <f t="shared" si="27"/>
        <v>0</v>
      </c>
      <c r="M260" s="292"/>
    </row>
    <row r="261" spans="1:13" ht="19.5" customHeight="1">
      <c r="A261" s="292" t="str">
        <f t="shared" si="24"/>
        <v>TP</v>
      </c>
      <c r="B261" s="305">
        <f t="shared" si="25"/>
        <v>234</v>
      </c>
      <c r="C261" s="39" t="s">
        <v>708</v>
      </c>
      <c r="D261" s="304" t="s">
        <v>1037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26"/>
        <v>0</v>
      </c>
      <c r="L261" s="8">
        <f t="shared" si="27"/>
        <v>0</v>
      </c>
      <c r="M261" s="292"/>
    </row>
    <row r="262" spans="1:13" ht="19.5" customHeight="1">
      <c r="A262" s="292" t="str">
        <f t="shared" si="24"/>
        <v>TP</v>
      </c>
      <c r="B262" s="305">
        <f t="shared" si="25"/>
        <v>235</v>
      </c>
      <c r="C262" s="191" t="s">
        <v>708</v>
      </c>
      <c r="D262" s="304" t="s">
        <v>1037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26"/>
        <v>0</v>
      </c>
      <c r="L262" s="8">
        <f t="shared" si="27"/>
        <v>0</v>
      </c>
      <c r="M262" s="292"/>
    </row>
    <row r="263" spans="1:13" ht="19.5" customHeight="1">
      <c r="A263" s="292" t="str">
        <f t="shared" si="24"/>
        <v>TP</v>
      </c>
      <c r="B263" s="305">
        <f t="shared" si="25"/>
        <v>236</v>
      </c>
      <c r="C263" s="191" t="s">
        <v>709</v>
      </c>
      <c r="D263" s="304" t="s">
        <v>1037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26"/>
        <v>0</v>
      </c>
      <c r="L263" s="8">
        <f t="shared" si="27"/>
        <v>0</v>
      </c>
      <c r="M263" s="292"/>
    </row>
    <row r="264" spans="1:13" ht="19.5" customHeight="1">
      <c r="A264" s="292" t="str">
        <f t="shared" si="24"/>
        <v>TP</v>
      </c>
      <c r="B264" s="305">
        <f t="shared" si="25"/>
        <v>237</v>
      </c>
      <c r="C264" s="39" t="s">
        <v>709</v>
      </c>
      <c r="D264" s="304" t="s">
        <v>1037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26"/>
        <v>0</v>
      </c>
      <c r="L264" s="8">
        <f t="shared" si="27"/>
        <v>0</v>
      </c>
      <c r="M264" s="292"/>
    </row>
    <row r="265" spans="1:13" ht="19.5" customHeight="1">
      <c r="A265" s="292" t="str">
        <f t="shared" si="24"/>
        <v>TP</v>
      </c>
      <c r="B265" s="305">
        <f t="shared" si="25"/>
        <v>238</v>
      </c>
      <c r="C265" s="191" t="s">
        <v>709</v>
      </c>
      <c r="D265" s="304" t="s">
        <v>1037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26"/>
        <v>0</v>
      </c>
      <c r="L265" s="8">
        <f t="shared" si="27"/>
        <v>0</v>
      </c>
      <c r="M265" s="292"/>
    </row>
    <row r="266" spans="1:13" ht="19.5" customHeight="1">
      <c r="A266" s="292" t="str">
        <f t="shared" si="24"/>
        <v>TP</v>
      </c>
      <c r="B266" s="305">
        <f t="shared" si="25"/>
        <v>239</v>
      </c>
      <c r="C266" s="191" t="s">
        <v>712</v>
      </c>
      <c r="D266" s="304" t="s">
        <v>1037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26"/>
        <v>0</v>
      </c>
      <c r="L266" s="8">
        <f t="shared" si="27"/>
        <v>0</v>
      </c>
      <c r="M266" s="292"/>
    </row>
    <row r="267" spans="1:13" ht="19.5" customHeight="1">
      <c r="A267" s="292" t="str">
        <f t="shared" si="24"/>
        <v>TP</v>
      </c>
      <c r="B267" s="305">
        <f t="shared" si="25"/>
        <v>240</v>
      </c>
      <c r="C267" s="39" t="s">
        <v>712</v>
      </c>
      <c r="D267" s="304" t="s">
        <v>1037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26"/>
        <v>0</v>
      </c>
      <c r="L267" s="8">
        <f t="shared" si="27"/>
        <v>0</v>
      </c>
      <c r="M267" s="292"/>
    </row>
    <row r="268" spans="1:13" ht="19.5" customHeight="1">
      <c r="A268" s="292" t="str">
        <f t="shared" si="24"/>
        <v>TP</v>
      </c>
      <c r="B268" s="305">
        <f t="shared" si="25"/>
        <v>241</v>
      </c>
      <c r="C268" s="191" t="s">
        <v>710</v>
      </c>
      <c r="D268" s="304" t="s">
        <v>1037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26"/>
        <v>0</v>
      </c>
      <c r="L268" s="8">
        <f t="shared" si="27"/>
        <v>0</v>
      </c>
      <c r="M268" s="292"/>
    </row>
    <row r="269" spans="1:13" ht="19.5" customHeight="1">
      <c r="A269" s="292" t="str">
        <f t="shared" si="24"/>
        <v>TP</v>
      </c>
      <c r="B269" s="305">
        <f t="shared" si="25"/>
        <v>242</v>
      </c>
      <c r="C269" s="39" t="s">
        <v>710</v>
      </c>
      <c r="D269" s="304" t="s">
        <v>1037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26"/>
        <v>0</v>
      </c>
      <c r="L269" s="8">
        <f t="shared" si="27"/>
        <v>0</v>
      </c>
      <c r="M269" s="292"/>
    </row>
    <row r="270" spans="1:13" ht="19.5" customHeight="1">
      <c r="A270" s="292" t="str">
        <f t="shared" si="24"/>
        <v>TP</v>
      </c>
      <c r="B270" s="305">
        <f t="shared" si="25"/>
        <v>243</v>
      </c>
      <c r="C270" s="191" t="s">
        <v>710</v>
      </c>
      <c r="D270" s="304" t="s">
        <v>1037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26"/>
        <v>0</v>
      </c>
      <c r="L270" s="8">
        <f t="shared" si="27"/>
        <v>0</v>
      </c>
      <c r="M270" s="292"/>
    </row>
    <row r="271" spans="1:13" ht="19.5" customHeight="1">
      <c r="A271" s="292" t="str">
        <f t="shared" si="24"/>
        <v>TP</v>
      </c>
      <c r="B271" s="305">
        <f t="shared" si="25"/>
        <v>244</v>
      </c>
      <c r="C271" s="191" t="s">
        <v>711</v>
      </c>
      <c r="D271" s="304" t="s">
        <v>1037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26"/>
        <v>0</v>
      </c>
      <c r="L271" s="8">
        <f t="shared" si="27"/>
        <v>0</v>
      </c>
      <c r="M271" s="292"/>
    </row>
    <row r="272" spans="1:13" ht="19.5" customHeight="1">
      <c r="A272" s="292" t="str">
        <f t="shared" si="24"/>
        <v>TP</v>
      </c>
      <c r="B272" s="305">
        <f t="shared" si="25"/>
        <v>245</v>
      </c>
      <c r="C272" s="191" t="s">
        <v>711</v>
      </c>
      <c r="D272" s="304" t="s">
        <v>1037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26"/>
        <v>0</v>
      </c>
      <c r="L272" s="8">
        <f t="shared" si="27"/>
        <v>0</v>
      </c>
      <c r="M272" s="292"/>
    </row>
    <row r="273" spans="1:13" ht="19.5" customHeight="1">
      <c r="A273" s="292" t="str">
        <f t="shared" si="24"/>
        <v>TP</v>
      </c>
      <c r="B273" s="305">
        <f t="shared" si="25"/>
        <v>246</v>
      </c>
      <c r="C273" s="39" t="s">
        <v>711</v>
      </c>
      <c r="D273" s="304" t="s">
        <v>1037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26"/>
        <v>0</v>
      </c>
      <c r="L273" s="8">
        <f t="shared" si="27"/>
        <v>0</v>
      </c>
      <c r="M273" s="292"/>
    </row>
    <row r="274" spans="1:13" ht="19.5" customHeight="1">
      <c r="A274" s="292" t="str">
        <f t="shared" si="24"/>
        <v>TP</v>
      </c>
      <c r="B274" s="305">
        <f t="shared" si="25"/>
        <v>247</v>
      </c>
      <c r="C274" s="191" t="s">
        <v>711</v>
      </c>
      <c r="D274" s="304" t="s">
        <v>1037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26"/>
        <v>0</v>
      </c>
      <c r="L274" s="8">
        <f t="shared" si="27"/>
        <v>0</v>
      </c>
      <c r="M274" s="292"/>
    </row>
    <row r="275" spans="1:13" ht="19.5" customHeight="1">
      <c r="A275" s="292" t="str">
        <f t="shared" si="24"/>
        <v>TP</v>
      </c>
      <c r="B275" s="305">
        <f t="shared" si="25"/>
        <v>248</v>
      </c>
      <c r="C275" s="191" t="s">
        <v>884</v>
      </c>
      <c r="D275" s="304" t="s">
        <v>1037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26"/>
        <v>0</v>
      </c>
      <c r="L275" s="8">
        <f t="shared" si="27"/>
        <v>0</v>
      </c>
      <c r="M275" s="292"/>
    </row>
    <row r="276" spans="1:13" ht="19.5" customHeight="1">
      <c r="A276" s="292" t="str">
        <f t="shared" si="24"/>
        <v>TP</v>
      </c>
      <c r="B276" s="305">
        <f t="shared" si="25"/>
        <v>249</v>
      </c>
      <c r="C276" s="188" t="s">
        <v>884</v>
      </c>
      <c r="D276" s="304" t="s">
        <v>1037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26"/>
        <v>0</v>
      </c>
      <c r="L276" s="8">
        <f t="shared" si="27"/>
        <v>0</v>
      </c>
      <c r="M276" s="292"/>
    </row>
    <row r="277" spans="1:13" ht="19.5" customHeight="1">
      <c r="A277" s="292" t="str">
        <f t="shared" si="24"/>
        <v>TP</v>
      </c>
      <c r="B277" s="305">
        <f t="shared" si="25"/>
        <v>250</v>
      </c>
      <c r="C277" s="191" t="s">
        <v>884</v>
      </c>
      <c r="D277" s="304" t="s">
        <v>1037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26"/>
        <v>0</v>
      </c>
      <c r="L277" s="8">
        <f t="shared" si="27"/>
        <v>0</v>
      </c>
      <c r="M277" s="292"/>
    </row>
    <row r="278" spans="1:13" ht="19.5" customHeight="1">
      <c r="A278" s="292" t="str">
        <f t="shared" si="24"/>
        <v>TP</v>
      </c>
      <c r="B278" s="305">
        <f t="shared" si="25"/>
        <v>251</v>
      </c>
      <c r="C278" s="188" t="s">
        <v>883</v>
      </c>
      <c r="D278" s="304" t="s">
        <v>1037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26"/>
        <v>0</v>
      </c>
      <c r="L278" s="8">
        <f t="shared" si="27"/>
        <v>0</v>
      </c>
      <c r="M278" s="292"/>
    </row>
    <row r="279" spans="1:13" ht="19.5" customHeight="1">
      <c r="A279" s="292" t="str">
        <f t="shared" si="24"/>
        <v>TP</v>
      </c>
      <c r="B279" s="305">
        <f t="shared" si="25"/>
        <v>252</v>
      </c>
      <c r="C279" s="188" t="s">
        <v>882</v>
      </c>
      <c r="D279" s="304" t="s">
        <v>1037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26"/>
        <v>0</v>
      </c>
      <c r="L279" s="8">
        <f t="shared" si="27"/>
        <v>0</v>
      </c>
      <c r="M279" s="292"/>
    </row>
    <row r="280" spans="1:13" ht="19.5" customHeight="1">
      <c r="A280" s="292" t="str">
        <f t="shared" si="24"/>
        <v>TP</v>
      </c>
      <c r="B280" s="305">
        <f t="shared" si="25"/>
        <v>253</v>
      </c>
      <c r="C280" s="39" t="s">
        <v>998</v>
      </c>
      <c r="D280" s="304" t="s">
        <v>1037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26"/>
        <v>0</v>
      </c>
      <c r="L280" s="8">
        <f t="shared" si="27"/>
        <v>0</v>
      </c>
      <c r="M280" s="292"/>
    </row>
    <row r="281" spans="1:13" ht="19.5" customHeight="1">
      <c r="A281" s="292" t="str">
        <f t="shared" si="24"/>
        <v>TP</v>
      </c>
      <c r="B281" s="305">
        <f t="shared" si="25"/>
        <v>254</v>
      </c>
      <c r="C281" s="191" t="s">
        <v>997</v>
      </c>
      <c r="D281" s="304" t="s">
        <v>1037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26"/>
        <v>0</v>
      </c>
      <c r="L281" s="8">
        <f t="shared" si="27"/>
        <v>0</v>
      </c>
      <c r="M281" s="292"/>
    </row>
    <row r="282" spans="1:13" ht="19.5" customHeight="1">
      <c r="A282" s="292" t="str">
        <f t="shared" si="24"/>
        <v>TP</v>
      </c>
      <c r="B282" s="305">
        <f t="shared" si="25"/>
        <v>255</v>
      </c>
      <c r="C282" s="191" t="s">
        <v>996</v>
      </c>
      <c r="D282" s="304" t="s">
        <v>1037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26"/>
        <v>0</v>
      </c>
      <c r="L282" s="8">
        <f t="shared" si="27"/>
        <v>0</v>
      </c>
      <c r="M282" s="292"/>
    </row>
    <row r="283" spans="1:13" ht="19.5" customHeight="1">
      <c r="A283" s="292" t="str">
        <f t="shared" si="24"/>
        <v>TP</v>
      </c>
      <c r="B283" s="305">
        <f t="shared" si="25"/>
        <v>256</v>
      </c>
      <c r="C283" s="39" t="s">
        <v>995</v>
      </c>
      <c r="D283" s="304" t="s">
        <v>1037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26"/>
        <v>0</v>
      </c>
      <c r="L283" s="8">
        <f t="shared" si="27"/>
        <v>0</v>
      </c>
      <c r="M283" s="292"/>
    </row>
    <row r="284" spans="1:13" ht="18.75" customHeight="1">
      <c r="A284" s="292"/>
      <c r="B284" s="305"/>
      <c r="C284" s="39"/>
      <c r="D284" s="304"/>
      <c r="E284" s="8"/>
      <c r="F284" s="8"/>
      <c r="G284" s="25"/>
      <c r="H284" s="25"/>
      <c r="I284" s="25"/>
      <c r="J284" s="25"/>
      <c r="K284" s="8"/>
      <c r="L284" s="8"/>
      <c r="M284" s="292"/>
    </row>
    <row r="285" spans="1:13" ht="19.5" customHeight="1">
      <c r="A285" s="292" t="str">
        <f t="shared" ref="A285" si="28">IF(B285&lt;&gt;"","TP","")</f>
        <v/>
      </c>
      <c r="B285" s="291"/>
      <c r="C285" s="300" t="s">
        <v>200</v>
      </c>
      <c r="D285" s="291"/>
      <c r="E285" s="13">
        <f t="shared" ref="E285:L285" si="29">SUM(E28:E284)</f>
        <v>0</v>
      </c>
      <c r="F285" s="13">
        <f t="shared" si="29"/>
        <v>0</v>
      </c>
      <c r="G285" s="13">
        <f t="shared" si="29"/>
        <v>0</v>
      </c>
      <c r="H285" s="13">
        <f t="shared" si="29"/>
        <v>0</v>
      </c>
      <c r="I285" s="13">
        <f t="shared" si="29"/>
        <v>0</v>
      </c>
      <c r="J285" s="13">
        <f t="shared" si="29"/>
        <v>0</v>
      </c>
      <c r="K285" s="13">
        <f t="shared" si="29"/>
        <v>0</v>
      </c>
      <c r="L285" s="13">
        <f t="shared" si="29"/>
        <v>0</v>
      </c>
      <c r="M285" s="292"/>
    </row>
    <row r="286" spans="1:13" ht="18.75" customHeight="1">
      <c r="A286" s="292"/>
      <c r="B286" s="474"/>
      <c r="C286" s="474"/>
      <c r="D286" s="473"/>
      <c r="E286" s="475"/>
      <c r="F286" s="475">
        <f>F285-CDPS!C23</f>
        <v>0</v>
      </c>
      <c r="G286" s="475"/>
      <c r="H286" s="475">
        <f>H285-CDPS!E23</f>
        <v>0</v>
      </c>
      <c r="I286" s="475"/>
      <c r="J286" s="475">
        <f>J285-CDPS!F23</f>
        <v>0</v>
      </c>
      <c r="K286" s="475"/>
      <c r="L286" s="475">
        <f>L285-CDPS!H23</f>
        <v>0</v>
      </c>
      <c r="M286" s="306"/>
    </row>
    <row r="287" spans="1:13" ht="18.75" customHeight="1"/>
    <row r="288" spans="1:13" ht="19.5" customHeight="1"/>
    <row r="289" spans="3:12" ht="19.5" customHeight="1">
      <c r="C289" s="1012"/>
      <c r="D289" s="1012"/>
      <c r="E289" s="1012"/>
      <c r="F289" s="818"/>
      <c r="G289" s="818"/>
      <c r="H289" s="818"/>
      <c r="I289" s="818"/>
      <c r="J289" s="1012" t="s">
        <v>405</v>
      </c>
      <c r="K289" s="1012"/>
      <c r="L289" s="1012"/>
    </row>
    <row r="290" spans="3:12" ht="19.5" customHeight="1">
      <c r="C290" s="819"/>
      <c r="D290" s="819"/>
      <c r="E290" s="819"/>
      <c r="F290" s="1012"/>
      <c r="G290" s="1012"/>
      <c r="H290" s="1012"/>
      <c r="I290" s="818"/>
      <c r="J290" s="1012" t="s">
        <v>109</v>
      </c>
      <c r="K290" s="1012"/>
      <c r="L290" s="1012"/>
    </row>
    <row r="291" spans="3:12" ht="19.5" customHeight="1">
      <c r="C291" s="819"/>
      <c r="D291" s="819"/>
      <c r="E291" s="819"/>
      <c r="F291" s="1012"/>
      <c r="G291" s="1012"/>
      <c r="H291" s="1012"/>
      <c r="I291" s="287"/>
      <c r="J291" s="1012" t="s">
        <v>136</v>
      </c>
      <c r="K291" s="1012"/>
      <c r="L291" s="1012"/>
    </row>
    <row r="292" spans="3:12" ht="20.25" customHeight="1"/>
    <row r="293" spans="3:12" ht="20.25" customHeight="1"/>
    <row r="294" spans="3:12" ht="20.25" customHeight="1"/>
    <row r="295" spans="3:12" ht="20.25" customHeight="1"/>
    <row r="296" spans="3:12" ht="20.25" customHeight="1"/>
    <row r="297" spans="3:12" ht="20.25" customHeight="1"/>
    <row r="298" spans="3:12" ht="20.25" customHeight="1"/>
    <row r="299" spans="3:12" ht="19.5" customHeight="1"/>
    <row r="300" spans="3:12" ht="19.5" customHeight="1"/>
    <row r="301" spans="3:12" ht="19.5" customHeight="1"/>
    <row r="302" spans="3:12" ht="19.5" customHeight="1"/>
    <row r="303" spans="3:12" ht="19.5" customHeight="1"/>
    <row r="304" spans="3:12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</sheetData>
  <autoFilter ref="A11:N286"/>
  <sortState ref="A28:N283">
    <sortCondition ref="C28:C283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89:E289"/>
    <mergeCell ref="J291:L291"/>
    <mergeCell ref="F291:H291"/>
    <mergeCell ref="J290:L290"/>
    <mergeCell ref="F290:H290"/>
    <mergeCell ref="J289:L289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10</v>
      </c>
      <c r="Q3" s="668">
        <f>IF(J5="Quý I",3,IF(J5="Quý II",6,IF(J5="Quý III",9,IF(J5="Quý IV",12,""))))</f>
        <v>12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399</v>
      </c>
      <c r="K5" s="315"/>
      <c r="L5" s="661" t="s">
        <v>400</v>
      </c>
      <c r="M5" s="316"/>
      <c r="N5" s="662">
        <v>1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10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TP/X01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Thiên Thành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310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1062" t="s">
        <v>35</v>
      </c>
      <c r="B14" s="1062" t="s">
        <v>201</v>
      </c>
      <c r="C14" s="1062" t="s">
        <v>202</v>
      </c>
      <c r="D14" s="1062" t="s">
        <v>193</v>
      </c>
      <c r="E14" s="1064" t="s">
        <v>203</v>
      </c>
      <c r="F14" s="1064"/>
      <c r="G14" s="1062" t="s">
        <v>204</v>
      </c>
      <c r="H14" s="1062" t="s">
        <v>205</v>
      </c>
    </row>
    <row r="15" spans="1:17" ht="12.75" customHeight="1">
      <c r="A15" s="1063"/>
      <c r="B15" s="1063"/>
      <c r="C15" s="1063"/>
      <c r="D15" s="1063"/>
      <c r="E15" s="677" t="s">
        <v>206</v>
      </c>
      <c r="F15" s="677" t="str">
        <f>IF(LEFT($D$7,1)="N","Thực nhập","Thực xuất")</f>
        <v>Thực xuất</v>
      </c>
      <c r="G15" s="1063"/>
      <c r="H15" s="1063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(40x30x18.5)</v>
      </c>
      <c r="C17" s="681"/>
      <c r="D17" s="682" t="str">
        <f ca="1">IF(ISNA(VLOOKUP(B17,NXT!$C$12:$D$284,2,0)),"",VLOOKUP(B17,NXT!$C$12:$D$284,2,0))</f>
        <v>cái</v>
      </c>
      <c r="E17" s="683"/>
      <c r="F17" s="684">
        <f ca="1">IF(ROWS($1:1)&gt;COUNT(Dong10),"",OFFSET(TH!I$1,SMALL(Dong10,ROWS($1:1)),))</f>
        <v>423</v>
      </c>
      <c r="G17" s="684">
        <f ca="1">IF(ROWS($1:1)&gt;COUNT(Dong10),"",OFFSET(TH!J$1,SMALL(Dong10,ROWS($1:1)),))</f>
        <v>8800</v>
      </c>
      <c r="H17" s="683">
        <f ca="1">IF(F17&lt;&gt;"",ROUND(F17*G17,0),0)</f>
        <v>3722400</v>
      </c>
    </row>
    <row r="18" spans="1:8" ht="11.25" customHeight="1">
      <c r="A18" s="679" t="str">
        <f t="shared" ref="A18:A20" ca="1" si="0">IF(B18="","",A17+1)</f>
        <v/>
      </c>
      <c r="B18" s="680" t="str">
        <f ca="1">IF(ROWS($1:2)&gt;COUNT(Dong10),"",OFFSET(TH!F$1,SMALL(Dong10,ROWS($1:2)),))</f>
        <v/>
      </c>
      <c r="C18" s="681"/>
      <c r="D18" s="682" t="str">
        <f ca="1">IF(ISNA(VLOOKUP(B18,NXT!$C$12:$D$284,2,0)),"",VLOOKUP(B18,NXT!$C$12:$D$284,2,0))</f>
        <v/>
      </c>
      <c r="E18" s="683"/>
      <c r="F18" s="684" t="str">
        <f ca="1">IF(ROWS($1:2)&gt;COUNT(Dong10),"",OFFSET(TH!I$1,SMALL(Dong10,ROWS($1:2)),))</f>
        <v/>
      </c>
      <c r="G18" s="684" t="str">
        <f ca="1">IF(ROWS($1:2)&gt;COUNT(Dong10),"",OFFSET(TH!J$1,SMALL(Dong10,ROWS($1:2)),))</f>
        <v/>
      </c>
      <c r="H18" s="683">
        <f t="shared" ref="H18:H24" ca="1" si="1">IF(F18&lt;&gt;"",ROUND(F18*G18,0),0)</f>
        <v>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IF(ISNA(VLOOKUP(B19,NXT!$C$12:$D$284,2,0)),"",VLOOKUP(B19,NXT!$C$12:$D$284,2,0))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IF(ISNA(VLOOKUP(B20,NXT!$C$12:$D$284,2,0)),"",VLOOKUP(B20,NXT!$C$12:$D$284,2,0))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IF(ISNA(VLOOKUP(B21,NXT!$C$12:$D$284,2,0)),"",VLOOKUP(B21,NXT!$C$12:$D$284,2,0))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IF(ISNA(VLOOKUP(B22,NXT!$C$12:$D$284,2,0)),"",VLOOKUP(B22,NXT!$C$12:$D$284,2,0))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IF(ISNA(VLOOKUP(B23,NXT!$C$12:$D$284,2,0)),"",VLOOKUP(B23,NXT!$C$12:$D$284,2,0))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IF(ISNA(VLOOKUP(B24,NXT!$C$12:$D$284,2,0)),"",VLOOKUP(B24,NXT!$C$12:$D$284,2,0))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IF(ISNA(VLOOKUP(B25,NXT!$C$12:$D$284,2,0)),"",VLOOKUP(B25,NXT!$C$12:$D$284,2,0))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64" t="s">
        <v>207</v>
      </c>
      <c r="B27" s="1064"/>
      <c r="C27" s="686"/>
      <c r="D27" s="686"/>
      <c r="E27" s="687"/>
      <c r="F27" s="687"/>
      <c r="G27" s="687"/>
      <c r="H27" s="687">
        <f ca="1">SUM(H17:H26)</f>
        <v>3722400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str">
        <f ca="1">"Tổng số tiền (viết bằng chữ):  "&amp;[3]!VND(H27, TRUE)</f>
        <v>Tổng số tiền (viết bằng chữ):  Ba triệu, bảy trăm hai mươi hai ngàn, bốn trăm đồng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0000085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10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65" t="s">
        <v>211</v>
      </c>
      <c r="K2" s="1065"/>
      <c r="L2" s="1065"/>
      <c r="M2" s="1065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66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66"/>
      <c r="L3" s="1066"/>
      <c r="M3" s="1066"/>
      <c r="N3" s="329"/>
    </row>
    <row r="4" spans="1:17" s="262" customFormat="1" ht="16.5" customHeight="1">
      <c r="B4" s="323"/>
      <c r="C4" s="323"/>
      <c r="D4" s="323"/>
      <c r="E4" s="328"/>
      <c r="F4" s="323"/>
      <c r="J4" s="1066"/>
      <c r="K4" s="1066"/>
      <c r="L4" s="1066"/>
      <c r="M4" s="1066"/>
      <c r="N4" s="329"/>
    </row>
    <row r="5" spans="1:17" ht="18.75" customHeight="1">
      <c r="B5" s="1067" t="s">
        <v>212</v>
      </c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330"/>
    </row>
    <row r="6" spans="1:17" s="331" customFormat="1" ht="12.75">
      <c r="B6" s="1068" t="s">
        <v>213</v>
      </c>
      <c r="C6" s="1068"/>
      <c r="D6" s="1068"/>
      <c r="E6" s="1068"/>
      <c r="F6" s="1068"/>
      <c r="G6" s="1068"/>
      <c r="H6" s="1068"/>
      <c r="I6" s="1068"/>
      <c r="J6" s="1068"/>
      <c r="K6" s="1068"/>
      <c r="L6" s="1068"/>
      <c r="M6" s="1068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9" t="s">
        <v>465</v>
      </c>
      <c r="K8" s="1069"/>
      <c r="L8" s="1069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71" t="s">
        <v>35</v>
      </c>
      <c r="B10" s="1072" t="s">
        <v>1</v>
      </c>
      <c r="C10" s="1072"/>
      <c r="D10" s="1073" t="s">
        <v>0</v>
      </c>
      <c r="E10" s="1073" t="s">
        <v>216</v>
      </c>
      <c r="F10" s="1073" t="s">
        <v>204</v>
      </c>
      <c r="G10" s="1075" t="s">
        <v>217</v>
      </c>
      <c r="H10" s="1076"/>
      <c r="I10" s="1075" t="s">
        <v>218</v>
      </c>
      <c r="J10" s="1076"/>
      <c r="K10" s="1075" t="s">
        <v>219</v>
      </c>
      <c r="L10" s="1076"/>
      <c r="M10" s="1073" t="s">
        <v>127</v>
      </c>
      <c r="N10" s="340"/>
      <c r="O10" s="341" t="s">
        <v>210</v>
      </c>
    </row>
    <row r="11" spans="1:17" ht="31.5" customHeight="1">
      <c r="A11" s="1071"/>
      <c r="B11" s="342" t="s">
        <v>15</v>
      </c>
      <c r="C11" s="342" t="s">
        <v>32</v>
      </c>
      <c r="D11" s="1073"/>
      <c r="E11" s="1073"/>
      <c r="F11" s="1073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73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VLOOKUP($J$8,NXT!$C$12:$L$284,3,0)</f>
        <v>0</v>
      </c>
      <c r="L13" s="351">
        <f>VLOOKUP($J$8,NXT!$C$12:$L$284,4,0)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C02</v>
      </c>
      <c r="C14" s="353">
        <f ca="1">IF(ROWS($1:1)&gt;COUNT(Dong11),"",OFFSET(TH!E$1,SMALL(Dong11,ROWS($1:1)),))</f>
        <v>42508</v>
      </c>
      <c r="D14" s="354" t="str">
        <f ca="1">IF(ROWS($1:1)&gt;COUNT(Dong11),"",OFFSET(TH!H$1,SMALL(Dong11,ROWS($1:1)),))</f>
        <v>Cty TNHH MTV Phần Mềm Tốt</v>
      </c>
      <c r="E14" s="352" t="str">
        <f ca="1">IF(ROWS($1:1)&gt;COUNT(Dong11),"",IF(OFFSET(TH!L$1,SMALL(Dong11,ROWS($1:1)),)=$G$7,OFFSET(TH!M$1,SMALL(Dong11,ROWS($1:1)),),OFFSET(TH!L$1,SMALL(Dong11,ROWS($1:1)),)))</f>
        <v>1331</v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GBN</v>
      </c>
      <c r="C15" s="353">
        <f ca="1">IF(ROWS($1:2)&gt;COUNT(Dong11),"",OFFSET(TH!E$1,SMALL(Dong11,ROWS($1:2)),))</f>
        <v>42546</v>
      </c>
      <c r="D15" s="354">
        <f ca="1">IF(ROWS($1:2)&gt;COUNT(Dong11),"",OFFSET(TH!H$1,SMALL(Dong11,ROWS($1:2)),))</f>
        <v>0</v>
      </c>
      <c r="E15" s="352" t="str">
        <f ca="1">IF(ROWS($1:2)&gt;COUNT(Dong11),"",IF(OFFSET(TH!L$1,SMALL(Dong11,ROWS($1:2)),)=$G$7,OFFSET(TH!M$1,SMALL(Dong11,ROWS($1:2)),),OFFSET(TH!L$1,SMALL(Dong11,ROWS($1:2)),)))</f>
        <v>642</v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>
        <f ca="1">K13+G74-I74</f>
        <v>0</v>
      </c>
      <c r="L74" s="365">
        <f ca="1">L13+H74-J74</f>
        <v>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18 tháng 5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74" t="str">
        <f ca="1">"Ngày 31 tháng  12  năm  "&amp;YEAR($A$14)</f>
        <v>Ngày 31 tháng  12  năm  1900</v>
      </c>
      <c r="K77" s="1074"/>
      <c r="L77" s="1074"/>
      <c r="M77" s="1074"/>
      <c r="N77" s="346"/>
    </row>
    <row r="78" spans="1:14">
      <c r="C78" s="333"/>
      <c r="D78" s="553" t="s">
        <v>11</v>
      </c>
      <c r="E78" s="1074" t="s">
        <v>12</v>
      </c>
      <c r="F78" s="1074"/>
      <c r="G78" s="1074"/>
      <c r="H78" s="1074"/>
      <c r="I78" s="1074"/>
      <c r="J78" s="1074" t="s">
        <v>109</v>
      </c>
      <c r="K78" s="1074"/>
      <c r="L78" s="1074"/>
      <c r="M78" s="1074"/>
      <c r="N78" s="346"/>
    </row>
    <row r="79" spans="1:14">
      <c r="C79" s="333"/>
      <c r="D79" s="553" t="s">
        <v>13</v>
      </c>
      <c r="E79" s="1074" t="s">
        <v>13</v>
      </c>
      <c r="F79" s="1074"/>
      <c r="G79" s="1074"/>
      <c r="H79" s="1074" t="s">
        <v>136</v>
      </c>
      <c r="I79" s="1074"/>
      <c r="J79" s="1074" t="s">
        <v>136</v>
      </c>
      <c r="K79" s="1074"/>
      <c r="L79" s="1074"/>
      <c r="M79" s="1074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70" t="s">
        <v>103</v>
      </c>
      <c r="K88" s="1070"/>
      <c r="L88" s="1070"/>
      <c r="M88" s="1070"/>
      <c r="N88" s="582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88" t="s">
        <v>226</v>
      </c>
      <c r="G1" s="1088"/>
      <c r="H1" s="1088"/>
      <c r="I1" s="1088"/>
      <c r="J1" s="1088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8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87"/>
      <c r="H2" s="1087"/>
      <c r="I2" s="1087"/>
      <c r="J2" s="1087"/>
      <c r="K2" s="376"/>
    </row>
    <row r="3" spans="1:12" ht="15">
      <c r="A3" s="378"/>
      <c r="B3" s="378"/>
      <c r="C3" s="378"/>
      <c r="D3" s="378"/>
      <c r="E3" s="379"/>
      <c r="F3" s="1087"/>
      <c r="G3" s="1087"/>
      <c r="H3" s="1087"/>
      <c r="I3" s="1087"/>
      <c r="J3" s="1087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354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VLOOKUP($E$7,NXT!$C$12:$L$285,2,0)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89" t="s">
        <v>231</v>
      </c>
      <c r="B9" s="1090"/>
      <c r="C9" s="1090"/>
      <c r="D9" s="1090"/>
      <c r="E9" s="386"/>
      <c r="F9" s="380"/>
      <c r="G9" s="387"/>
      <c r="H9" s="387"/>
      <c r="I9" s="387"/>
      <c r="J9" s="388"/>
      <c r="K9" s="388"/>
    </row>
    <row r="10" spans="1:12" ht="19.5" customHeight="1">
      <c r="A10" s="1091" t="s">
        <v>232</v>
      </c>
      <c r="B10" s="1092" t="s">
        <v>233</v>
      </c>
      <c r="C10" s="1094" t="s">
        <v>15</v>
      </c>
      <c r="D10" s="1079"/>
      <c r="E10" s="1095" t="s">
        <v>0</v>
      </c>
      <c r="F10" s="1085" t="s">
        <v>234</v>
      </c>
      <c r="G10" s="1078" t="s">
        <v>203</v>
      </c>
      <c r="H10" s="1078"/>
      <c r="I10" s="1079"/>
      <c r="J10" s="1080" t="s">
        <v>235</v>
      </c>
      <c r="K10" s="389"/>
      <c r="L10" s="390" t="s">
        <v>220</v>
      </c>
    </row>
    <row r="11" spans="1:12" ht="19.5" customHeight="1">
      <c r="A11" s="1091"/>
      <c r="B11" s="1093"/>
      <c r="C11" s="391" t="s">
        <v>217</v>
      </c>
      <c r="D11" s="391" t="s">
        <v>218</v>
      </c>
      <c r="E11" s="1096"/>
      <c r="F11" s="1086"/>
      <c r="G11" s="392" t="s">
        <v>217</v>
      </c>
      <c r="H11" s="392" t="s">
        <v>218</v>
      </c>
      <c r="I11" s="392" t="s">
        <v>219</v>
      </c>
      <c r="J11" s="1081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VLOOKUP($E$7,NXT!$C$12:$L$285,3,0)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8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83"/>
      <c r="C35" s="1083"/>
      <c r="D35" s="1083"/>
      <c r="E35" s="1083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84" t="s">
        <v>12</v>
      </c>
      <c r="F37" s="1084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7" t="s">
        <v>13</v>
      </c>
      <c r="F38" s="1077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23"/>
  <sheetViews>
    <sheetView topLeftCell="A2" workbookViewId="0">
      <selection activeCell="K383" sqref="K383"/>
    </sheetView>
  </sheetViews>
  <sheetFormatPr defaultColWidth="10.28515625" defaultRowHeight="12.75"/>
  <cols>
    <col min="1" max="1" width="4.7109375" style="735" customWidth="1"/>
    <col min="2" max="2" width="27.140625" style="735" customWidth="1"/>
    <col min="3" max="3" width="10.140625" style="748" customWidth="1"/>
    <col min="4" max="4" width="9.5703125" style="749" customWidth="1"/>
    <col min="5" max="7" width="7.140625" style="784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4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471</v>
      </c>
      <c r="B2" s="737"/>
      <c r="C2" s="732"/>
      <c r="E2" s="831"/>
      <c r="F2" s="831"/>
      <c r="G2" s="831"/>
      <c r="H2" s="737"/>
      <c r="I2" s="737"/>
      <c r="J2" s="737"/>
      <c r="K2" s="737"/>
      <c r="M2" s="750"/>
      <c r="N2" s="292"/>
      <c r="O2" s="732"/>
    </row>
    <row r="3" spans="1:19" ht="12.75" customHeight="1">
      <c r="A3" s="778"/>
      <c r="B3" s="772"/>
      <c r="C3" s="778"/>
      <c r="D3" s="778"/>
      <c r="E3" s="832"/>
      <c r="F3" s="832"/>
      <c r="G3" s="832"/>
      <c r="H3" s="772"/>
      <c r="I3" s="752"/>
      <c r="J3" s="752"/>
      <c r="K3" s="772"/>
      <c r="M3" s="750"/>
      <c r="N3" s="745"/>
      <c r="O3" s="778"/>
      <c r="P3" s="785"/>
      <c r="Q3" s="753"/>
      <c r="R3" s="778"/>
      <c r="S3" s="745"/>
    </row>
    <row r="4" spans="1:19" s="442" customFormat="1" ht="21" customHeight="1">
      <c r="A4" s="1097" t="s">
        <v>35</v>
      </c>
      <c r="B4" s="1097" t="s">
        <v>239</v>
      </c>
      <c r="C4" s="1097" t="s">
        <v>426</v>
      </c>
      <c r="D4" s="1097" t="s">
        <v>427</v>
      </c>
      <c r="E4" s="1101" t="s">
        <v>428</v>
      </c>
      <c r="F4" s="1101"/>
      <c r="G4" s="1101"/>
      <c r="H4" s="1101"/>
      <c r="I4" s="1097" t="s">
        <v>240</v>
      </c>
      <c r="J4" s="1097" t="s">
        <v>438</v>
      </c>
      <c r="K4" s="1097" t="s">
        <v>432</v>
      </c>
      <c r="L4" s="441"/>
      <c r="M4" s="441"/>
      <c r="N4" s="1097" t="s">
        <v>239</v>
      </c>
      <c r="O4" s="1097" t="s">
        <v>433</v>
      </c>
      <c r="P4" s="1097" t="s">
        <v>198</v>
      </c>
      <c r="Q4" s="1097" t="s">
        <v>241</v>
      </c>
      <c r="R4" s="1097" t="s">
        <v>242</v>
      </c>
    </row>
    <row r="5" spans="1:19" s="442" customFormat="1" ht="21" customHeight="1">
      <c r="A5" s="1097"/>
      <c r="B5" s="1097"/>
      <c r="C5" s="1097"/>
      <c r="D5" s="1097"/>
      <c r="E5" s="786" t="s">
        <v>429</v>
      </c>
      <c r="F5" s="786" t="s">
        <v>430</v>
      </c>
      <c r="G5" s="786" t="s">
        <v>431</v>
      </c>
      <c r="H5" s="440" t="s">
        <v>436</v>
      </c>
      <c r="I5" s="1097"/>
      <c r="J5" s="1097"/>
      <c r="K5" s="1097"/>
      <c r="L5" s="441"/>
      <c r="M5" s="441"/>
      <c r="N5" s="1097"/>
      <c r="O5" s="1097"/>
      <c r="P5" s="1097"/>
      <c r="Q5" s="1097"/>
      <c r="R5" s="1097"/>
    </row>
    <row r="6" spans="1:19" ht="16.5" customHeight="1">
      <c r="A6" s="739">
        <f>IF(B6&lt;&gt;"",ROW()-(ROW()-1),"")</f>
        <v>1</v>
      </c>
      <c r="B6" s="294" t="s">
        <v>552</v>
      </c>
      <c r="C6" s="755">
        <v>42566</v>
      </c>
      <c r="D6" s="756" t="s">
        <v>761</v>
      </c>
      <c r="E6" s="833">
        <v>85.5</v>
      </c>
      <c r="F6" s="833">
        <v>100.5</v>
      </c>
      <c r="G6" s="833">
        <v>35</v>
      </c>
      <c r="H6" s="829">
        <f>IF(G6&lt;&gt;"",ROUND(((E6+F6)*2+5)*(F6+G6+3)/10000,2),ROUND(E6*F6/10000,2))</f>
        <v>5.22</v>
      </c>
      <c r="I6" s="926">
        <v>73</v>
      </c>
      <c r="J6" s="740">
        <f t="shared" ref="J6" si="0">H6*I6</f>
        <v>381.06</v>
      </c>
      <c r="K6" s="740">
        <f>H6*$R$40</f>
        <v>40711.068607582471</v>
      </c>
      <c r="L6" s="657">
        <v>21849</v>
      </c>
      <c r="M6" s="754"/>
      <c r="N6" s="443" t="s">
        <v>463</v>
      </c>
      <c r="O6" s="755">
        <v>42529</v>
      </c>
      <c r="P6" s="304">
        <v>10288</v>
      </c>
      <c r="Q6" s="774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556</v>
      </c>
      <c r="C7" s="757">
        <v>42566</v>
      </c>
      <c r="D7" s="758" t="s">
        <v>762</v>
      </c>
      <c r="E7" s="834">
        <v>117</v>
      </c>
      <c r="F7" s="833">
        <v>87</v>
      </c>
      <c r="G7" s="833">
        <v>5</v>
      </c>
      <c r="H7" s="925">
        <f t="shared" ref="H7:H70" si="2">IF(G7&lt;&gt;"",ROUND(((E7+F7)*2+5)*(F7+G7+3)/10000,2),ROUND(E7*F7/10000,2))</f>
        <v>3.92</v>
      </c>
      <c r="I7" s="872">
        <v>100</v>
      </c>
      <c r="J7" s="256">
        <f t="shared" ref="J7:J70" si="3">H7*I7</f>
        <v>392</v>
      </c>
      <c r="K7" s="256">
        <f t="shared" ref="K7:K70" si="4">H7*$R$40</f>
        <v>30572.296732130897</v>
      </c>
      <c r="L7" s="657">
        <v>10000</v>
      </c>
      <c r="M7" s="754"/>
      <c r="N7" s="444" t="s">
        <v>463</v>
      </c>
      <c r="O7" s="755">
        <v>42542</v>
      </c>
      <c r="P7" s="787">
        <v>4094</v>
      </c>
      <c r="Q7" s="773">
        <v>7600</v>
      </c>
      <c r="R7" s="8">
        <f t="shared" si="1"/>
        <v>31114400</v>
      </c>
    </row>
    <row r="8" spans="1:19" ht="16.5" customHeight="1">
      <c r="A8" s="739">
        <f t="shared" ref="A8:A120" si="5">IF(B8&lt;&gt;"",A7+1,"")</f>
        <v>3</v>
      </c>
      <c r="B8" s="296" t="s">
        <v>557</v>
      </c>
      <c r="C8" s="757">
        <v>42566</v>
      </c>
      <c r="D8" s="758" t="s">
        <v>762</v>
      </c>
      <c r="E8" s="834">
        <v>103</v>
      </c>
      <c r="F8" s="833">
        <v>54</v>
      </c>
      <c r="G8" s="833">
        <v>180</v>
      </c>
      <c r="H8" s="925">
        <f t="shared" si="2"/>
        <v>7.56</v>
      </c>
      <c r="I8" s="872">
        <v>116</v>
      </c>
      <c r="J8" s="256">
        <f t="shared" si="3"/>
        <v>876.95999999999992</v>
      </c>
      <c r="K8" s="256">
        <f t="shared" si="4"/>
        <v>58960.857983395297</v>
      </c>
      <c r="L8" s="657">
        <v>73100</v>
      </c>
      <c r="M8" s="754"/>
      <c r="N8" s="444" t="s">
        <v>465</v>
      </c>
      <c r="O8" s="755">
        <v>42542</v>
      </c>
      <c r="P8" s="787">
        <v>4522</v>
      </c>
      <c r="Q8" s="773">
        <v>8500</v>
      </c>
      <c r="R8" s="8">
        <f t="shared" ref="R8:R12" si="6">ROUND(P8*Q8,0)</f>
        <v>38437000</v>
      </c>
    </row>
    <row r="9" spans="1:19" ht="16.5" customHeight="1">
      <c r="A9" s="739">
        <f t="shared" si="5"/>
        <v>4</v>
      </c>
      <c r="B9" s="296" t="s">
        <v>558</v>
      </c>
      <c r="C9" s="757">
        <v>42566</v>
      </c>
      <c r="D9" s="758" t="s">
        <v>763</v>
      </c>
      <c r="E9" s="834">
        <v>88</v>
      </c>
      <c r="F9" s="833">
        <v>68</v>
      </c>
      <c r="G9" s="833">
        <v>15</v>
      </c>
      <c r="H9" s="925">
        <f t="shared" si="2"/>
        <v>2.73</v>
      </c>
      <c r="I9" s="872">
        <v>220</v>
      </c>
      <c r="J9" s="256">
        <f t="shared" si="3"/>
        <v>600.6</v>
      </c>
      <c r="K9" s="256">
        <f t="shared" si="4"/>
        <v>21291.420938448304</v>
      </c>
      <c r="L9" s="657">
        <v>28000</v>
      </c>
      <c r="M9" s="754"/>
      <c r="N9" s="444" t="s">
        <v>509</v>
      </c>
      <c r="O9" s="755">
        <v>42542</v>
      </c>
      <c r="P9" s="787">
        <v>2633</v>
      </c>
      <c r="Q9" s="773">
        <v>8500</v>
      </c>
      <c r="R9" s="8">
        <f t="shared" si="6"/>
        <v>22380500</v>
      </c>
    </row>
    <row r="10" spans="1:19" ht="16.5" customHeight="1">
      <c r="A10" s="739">
        <f t="shared" si="5"/>
        <v>5</v>
      </c>
      <c r="B10" s="296" t="s">
        <v>559</v>
      </c>
      <c r="C10" s="757">
        <v>42566</v>
      </c>
      <c r="D10" s="758" t="s">
        <v>763</v>
      </c>
      <c r="E10" s="834">
        <v>47</v>
      </c>
      <c r="F10" s="833">
        <v>42</v>
      </c>
      <c r="G10" s="833">
        <v>25</v>
      </c>
      <c r="H10" s="925">
        <f t="shared" si="2"/>
        <v>1.28</v>
      </c>
      <c r="I10" s="872">
        <v>357</v>
      </c>
      <c r="J10" s="256">
        <f t="shared" si="3"/>
        <v>456.96000000000004</v>
      </c>
      <c r="K10" s="256">
        <f t="shared" si="4"/>
        <v>9982.7907696753955</v>
      </c>
      <c r="L10" s="657">
        <v>9600</v>
      </c>
      <c r="M10" s="754"/>
      <c r="N10" s="444" t="s">
        <v>463</v>
      </c>
      <c r="O10" s="755">
        <v>42551</v>
      </c>
      <c r="P10" s="787">
        <v>6226</v>
      </c>
      <c r="Q10" s="773">
        <v>7600</v>
      </c>
      <c r="R10" s="8">
        <f t="shared" si="6"/>
        <v>47317600</v>
      </c>
    </row>
    <row r="11" spans="1:19" ht="16.5" customHeight="1">
      <c r="A11" s="739">
        <f t="shared" si="5"/>
        <v>6</v>
      </c>
      <c r="B11" s="296" t="s">
        <v>560</v>
      </c>
      <c r="C11" s="757">
        <v>42566</v>
      </c>
      <c r="D11" s="758" t="s">
        <v>763</v>
      </c>
      <c r="E11" s="834">
        <v>48</v>
      </c>
      <c r="F11" s="833">
        <v>41</v>
      </c>
      <c r="G11" s="833">
        <v>29</v>
      </c>
      <c r="H11" s="925">
        <f t="shared" si="2"/>
        <v>1.34</v>
      </c>
      <c r="I11" s="872">
        <v>70</v>
      </c>
      <c r="J11" s="256">
        <f t="shared" si="3"/>
        <v>93.800000000000011</v>
      </c>
      <c r="K11" s="256">
        <f t="shared" si="4"/>
        <v>10450.73408700393</v>
      </c>
      <c r="L11" s="657">
        <v>14400</v>
      </c>
      <c r="M11" s="754"/>
      <c r="N11" s="444" t="s">
        <v>465</v>
      </c>
      <c r="O11" s="755">
        <v>42551</v>
      </c>
      <c r="P11" s="787">
        <v>8730</v>
      </c>
      <c r="Q11" s="773">
        <v>8500</v>
      </c>
      <c r="R11" s="8">
        <f t="shared" si="6"/>
        <v>74205000</v>
      </c>
    </row>
    <row r="12" spans="1:19" ht="16.5" customHeight="1">
      <c r="A12" s="739">
        <f t="shared" si="5"/>
        <v>7</v>
      </c>
      <c r="B12" s="296" t="s">
        <v>561</v>
      </c>
      <c r="C12" s="757">
        <v>42567</v>
      </c>
      <c r="D12" s="758" t="s">
        <v>764</v>
      </c>
      <c r="E12" s="834">
        <v>45</v>
      </c>
      <c r="F12" s="833">
        <v>37</v>
      </c>
      <c r="G12" s="833">
        <v>27.5</v>
      </c>
      <c r="H12" s="925">
        <f t="shared" si="2"/>
        <v>1.1399999999999999</v>
      </c>
      <c r="I12" s="872">
        <v>300</v>
      </c>
      <c r="J12" s="256">
        <f t="shared" si="3"/>
        <v>341.99999999999994</v>
      </c>
      <c r="K12" s="256">
        <f t="shared" si="4"/>
        <v>8890.9230292421471</v>
      </c>
      <c r="L12" s="657">
        <v>13400</v>
      </c>
      <c r="M12" s="754"/>
      <c r="N12" s="444" t="s">
        <v>509</v>
      </c>
      <c r="O12" s="755">
        <v>42551</v>
      </c>
      <c r="P12" s="787">
        <v>8191</v>
      </c>
      <c r="Q12" s="773">
        <v>8500</v>
      </c>
      <c r="R12" s="8">
        <f t="shared" si="6"/>
        <v>69623500</v>
      </c>
    </row>
    <row r="13" spans="1:19" ht="16.5" customHeight="1">
      <c r="A13" s="739">
        <f t="shared" si="5"/>
        <v>8</v>
      </c>
      <c r="B13" s="296" t="s">
        <v>561</v>
      </c>
      <c r="C13" s="757">
        <v>42567</v>
      </c>
      <c r="D13" s="758" t="s">
        <v>764</v>
      </c>
      <c r="E13" s="834">
        <v>45</v>
      </c>
      <c r="F13" s="833">
        <v>37</v>
      </c>
      <c r="G13" s="833">
        <v>27.5</v>
      </c>
      <c r="H13" s="925">
        <f t="shared" si="2"/>
        <v>1.1399999999999999</v>
      </c>
      <c r="I13" s="872">
        <v>500</v>
      </c>
      <c r="J13" s="256">
        <f t="shared" si="3"/>
        <v>570</v>
      </c>
      <c r="K13" s="256">
        <f t="shared" si="4"/>
        <v>8890.9230292421471</v>
      </c>
      <c r="L13" s="657">
        <v>13800</v>
      </c>
      <c r="M13" s="754"/>
      <c r="N13" s="444" t="s">
        <v>463</v>
      </c>
      <c r="O13" s="755">
        <v>42563</v>
      </c>
      <c r="P13" s="787">
        <v>11536</v>
      </c>
      <c r="Q13" s="773">
        <v>7600</v>
      </c>
      <c r="R13" s="8">
        <f t="shared" ref="R13" si="7">ROUND(P13*Q13,0)</f>
        <v>87673600</v>
      </c>
    </row>
    <row r="14" spans="1:19" ht="16.5" customHeight="1">
      <c r="A14" s="739">
        <f t="shared" si="5"/>
        <v>9</v>
      </c>
      <c r="B14" s="296" t="s">
        <v>418</v>
      </c>
      <c r="C14" s="757">
        <v>42567</v>
      </c>
      <c r="D14" s="758" t="s">
        <v>764</v>
      </c>
      <c r="E14" s="834">
        <v>44</v>
      </c>
      <c r="F14" s="833">
        <v>20</v>
      </c>
      <c r="G14" s="833"/>
      <c r="H14" s="925">
        <f t="shared" si="2"/>
        <v>0.09</v>
      </c>
      <c r="I14" s="872">
        <v>1600</v>
      </c>
      <c r="J14" s="256">
        <f t="shared" si="3"/>
        <v>144</v>
      </c>
      <c r="K14" s="256">
        <f t="shared" si="4"/>
        <v>701.91497599280115</v>
      </c>
      <c r="L14" s="657">
        <v>1300</v>
      </c>
      <c r="M14" s="754"/>
      <c r="N14" s="444"/>
      <c r="O14" s="755"/>
      <c r="P14" s="787"/>
      <c r="Q14" s="773"/>
      <c r="R14" s="8">
        <f t="shared" ref="R14:R21" si="8">ROUND(P14*Q14,0)</f>
        <v>0</v>
      </c>
    </row>
    <row r="15" spans="1:19" ht="16.5" customHeight="1">
      <c r="A15" s="739">
        <f t="shared" si="5"/>
        <v>10</v>
      </c>
      <c r="B15" s="296" t="s">
        <v>562</v>
      </c>
      <c r="C15" s="757">
        <v>42567</v>
      </c>
      <c r="D15" s="758" t="s">
        <v>765</v>
      </c>
      <c r="E15" s="834">
        <v>55</v>
      </c>
      <c r="F15" s="833">
        <v>28</v>
      </c>
      <c r="G15" s="833">
        <v>23.5</v>
      </c>
      <c r="H15" s="925">
        <f t="shared" si="2"/>
        <v>0.93</v>
      </c>
      <c r="I15" s="872">
        <v>1005</v>
      </c>
      <c r="J15" s="256">
        <f t="shared" si="3"/>
        <v>934.65000000000009</v>
      </c>
      <c r="K15" s="256">
        <f t="shared" si="4"/>
        <v>7253.12141859228</v>
      </c>
      <c r="L15" s="657">
        <v>11000</v>
      </c>
      <c r="M15" s="754"/>
      <c r="N15" s="444"/>
      <c r="O15" s="755"/>
      <c r="P15" s="787"/>
      <c r="Q15" s="773"/>
      <c r="R15" s="8">
        <f t="shared" si="8"/>
        <v>0</v>
      </c>
    </row>
    <row r="16" spans="1:19" ht="16.5" customHeight="1">
      <c r="A16" s="739">
        <f t="shared" si="5"/>
        <v>11</v>
      </c>
      <c r="B16" s="296" t="s">
        <v>563</v>
      </c>
      <c r="C16" s="757">
        <v>42569</v>
      </c>
      <c r="D16" s="758" t="s">
        <v>766</v>
      </c>
      <c r="E16" s="834">
        <v>37.5</v>
      </c>
      <c r="F16" s="833">
        <v>23.5</v>
      </c>
      <c r="G16" s="833">
        <v>69.5</v>
      </c>
      <c r="H16" s="925">
        <f t="shared" si="2"/>
        <v>1.22</v>
      </c>
      <c r="I16" s="872">
        <v>254</v>
      </c>
      <c r="J16" s="256">
        <f t="shared" si="3"/>
        <v>309.88</v>
      </c>
      <c r="K16" s="256">
        <f t="shared" si="4"/>
        <v>9514.8474523468612</v>
      </c>
      <c r="L16" s="657">
        <v>10300</v>
      </c>
      <c r="M16" s="754"/>
      <c r="N16" s="444"/>
      <c r="O16" s="755"/>
      <c r="P16" s="787"/>
      <c r="Q16" s="773"/>
      <c r="R16" s="8">
        <f t="shared" si="8"/>
        <v>0</v>
      </c>
    </row>
    <row r="17" spans="1:18" ht="16.5" customHeight="1">
      <c r="A17" s="739">
        <f t="shared" si="5"/>
        <v>12</v>
      </c>
      <c r="B17" s="296" t="s">
        <v>564</v>
      </c>
      <c r="C17" s="757">
        <v>42569</v>
      </c>
      <c r="D17" s="758" t="s">
        <v>767</v>
      </c>
      <c r="E17" s="834">
        <v>40</v>
      </c>
      <c r="F17" s="833">
        <v>25</v>
      </c>
      <c r="G17" s="833">
        <v>72</v>
      </c>
      <c r="H17" s="925">
        <f t="shared" si="2"/>
        <v>1.35</v>
      </c>
      <c r="I17" s="872">
        <v>75</v>
      </c>
      <c r="J17" s="256">
        <f t="shared" si="3"/>
        <v>101.25</v>
      </c>
      <c r="K17" s="256">
        <f t="shared" si="4"/>
        <v>10528.72463989202</v>
      </c>
      <c r="L17" s="657">
        <v>10800</v>
      </c>
      <c r="M17" s="754"/>
      <c r="N17" s="444"/>
      <c r="O17" s="755"/>
      <c r="P17" s="787"/>
      <c r="Q17" s="773"/>
      <c r="R17" s="8">
        <f t="shared" si="8"/>
        <v>0</v>
      </c>
    </row>
    <row r="18" spans="1:18" ht="16.5" customHeight="1">
      <c r="A18" s="739">
        <f t="shared" si="5"/>
        <v>13</v>
      </c>
      <c r="B18" s="296" t="s">
        <v>567</v>
      </c>
      <c r="C18" s="757">
        <v>42571</v>
      </c>
      <c r="D18" s="758" t="s">
        <v>768</v>
      </c>
      <c r="E18" s="834">
        <v>70</v>
      </c>
      <c r="F18" s="833">
        <v>45</v>
      </c>
      <c r="G18" s="833"/>
      <c r="H18" s="925">
        <f t="shared" si="2"/>
        <v>0.32</v>
      </c>
      <c r="I18" s="872">
        <v>500</v>
      </c>
      <c r="J18" s="256">
        <f t="shared" si="3"/>
        <v>160</v>
      </c>
      <c r="K18" s="256">
        <f t="shared" si="4"/>
        <v>2495.6976924188489</v>
      </c>
      <c r="L18" s="657">
        <v>3200</v>
      </c>
      <c r="M18" s="754"/>
      <c r="N18" s="444"/>
      <c r="O18" s="755"/>
      <c r="P18" s="787"/>
      <c r="Q18" s="773"/>
      <c r="R18" s="8">
        <f t="shared" si="8"/>
        <v>0</v>
      </c>
    </row>
    <row r="19" spans="1:18" ht="16.5" customHeight="1">
      <c r="A19" s="739">
        <f t="shared" si="5"/>
        <v>14</v>
      </c>
      <c r="B19" s="296" t="s">
        <v>568</v>
      </c>
      <c r="C19" s="757">
        <v>42571</v>
      </c>
      <c r="D19" s="758" t="s">
        <v>768</v>
      </c>
      <c r="E19" s="834">
        <v>50</v>
      </c>
      <c r="F19" s="833">
        <v>40</v>
      </c>
      <c r="G19" s="833"/>
      <c r="H19" s="925">
        <f t="shared" si="2"/>
        <v>0.2</v>
      </c>
      <c r="I19" s="872">
        <v>300</v>
      </c>
      <c r="J19" s="256">
        <f t="shared" si="3"/>
        <v>60</v>
      </c>
      <c r="K19" s="256">
        <f t="shared" si="4"/>
        <v>1559.8110577617806</v>
      </c>
      <c r="L19" s="657">
        <v>2200</v>
      </c>
      <c r="M19" s="754"/>
      <c r="N19" s="444"/>
      <c r="O19" s="755"/>
      <c r="P19" s="787"/>
      <c r="Q19" s="773"/>
      <c r="R19" s="8">
        <f t="shared" si="8"/>
        <v>0</v>
      </c>
    </row>
    <row r="20" spans="1:18" ht="16.5" customHeight="1">
      <c r="A20" s="739">
        <f t="shared" si="5"/>
        <v>15</v>
      </c>
      <c r="B20" s="296" t="s">
        <v>569</v>
      </c>
      <c r="C20" s="757">
        <v>42571</v>
      </c>
      <c r="D20" s="758" t="s">
        <v>769</v>
      </c>
      <c r="E20" s="834">
        <v>37.5</v>
      </c>
      <c r="F20" s="833">
        <v>25.5</v>
      </c>
      <c r="G20" s="833">
        <v>23.9</v>
      </c>
      <c r="H20" s="925">
        <f t="shared" si="2"/>
        <v>0.69</v>
      </c>
      <c r="I20" s="872">
        <v>1559</v>
      </c>
      <c r="J20" s="256">
        <f t="shared" si="3"/>
        <v>1075.7099999999998</v>
      </c>
      <c r="K20" s="256">
        <f t="shared" si="4"/>
        <v>5381.348149278142</v>
      </c>
      <c r="L20" s="657">
        <v>5900</v>
      </c>
      <c r="M20" s="754"/>
      <c r="N20" s="444"/>
      <c r="O20" s="755"/>
      <c r="P20" s="787"/>
      <c r="Q20" s="773"/>
      <c r="R20" s="8">
        <f t="shared" si="8"/>
        <v>0</v>
      </c>
    </row>
    <row r="21" spans="1:18" ht="16.5" customHeight="1">
      <c r="A21" s="739">
        <f t="shared" si="5"/>
        <v>16</v>
      </c>
      <c r="B21" s="296" t="s">
        <v>571</v>
      </c>
      <c r="C21" s="757">
        <v>42572</v>
      </c>
      <c r="D21" s="758" t="s">
        <v>770</v>
      </c>
      <c r="E21" s="834">
        <v>72</v>
      </c>
      <c r="F21" s="833">
        <v>51.5</v>
      </c>
      <c r="G21" s="833">
        <v>40</v>
      </c>
      <c r="H21" s="925">
        <f t="shared" si="2"/>
        <v>2.38</v>
      </c>
      <c r="I21" s="872">
        <v>102</v>
      </c>
      <c r="J21" s="256">
        <f t="shared" si="3"/>
        <v>242.76</v>
      </c>
      <c r="K21" s="256">
        <f t="shared" si="4"/>
        <v>18561.751587365186</v>
      </c>
      <c r="L21" s="657">
        <v>7900</v>
      </c>
      <c r="M21" s="754"/>
      <c r="N21" s="444"/>
      <c r="O21" s="755"/>
      <c r="P21" s="787"/>
      <c r="Q21" s="773"/>
      <c r="R21" s="8">
        <f t="shared" si="8"/>
        <v>0</v>
      </c>
    </row>
    <row r="22" spans="1:18" ht="16.5" customHeight="1">
      <c r="A22" s="739">
        <f t="shared" si="5"/>
        <v>17</v>
      </c>
      <c r="B22" s="296" t="s">
        <v>570</v>
      </c>
      <c r="C22" s="757">
        <v>42572</v>
      </c>
      <c r="D22" s="758" t="s">
        <v>770</v>
      </c>
      <c r="E22" s="834">
        <v>49.5</v>
      </c>
      <c r="F22" s="833">
        <v>38.5</v>
      </c>
      <c r="G22" s="833">
        <v>32.5</v>
      </c>
      <c r="H22" s="925">
        <f t="shared" si="2"/>
        <v>1.34</v>
      </c>
      <c r="I22" s="872">
        <v>103</v>
      </c>
      <c r="J22" s="256">
        <f t="shared" si="3"/>
        <v>138.02000000000001</v>
      </c>
      <c r="K22" s="256">
        <f t="shared" si="4"/>
        <v>10450.73408700393</v>
      </c>
      <c r="L22" s="657">
        <v>12900</v>
      </c>
      <c r="M22" s="754"/>
      <c r="N22" s="444"/>
      <c r="O22" s="755"/>
      <c r="P22" s="787"/>
      <c r="Q22" s="773"/>
      <c r="R22" s="8"/>
    </row>
    <row r="23" spans="1:18" ht="16.5" customHeight="1">
      <c r="A23" s="739">
        <f t="shared" si="5"/>
        <v>18</v>
      </c>
      <c r="B23" s="296" t="s">
        <v>708</v>
      </c>
      <c r="C23" s="757">
        <v>42573</v>
      </c>
      <c r="D23" s="758" t="s">
        <v>771</v>
      </c>
      <c r="E23" s="834">
        <v>43</v>
      </c>
      <c r="F23" s="833">
        <v>42</v>
      </c>
      <c r="G23" s="833">
        <v>26</v>
      </c>
      <c r="H23" s="925">
        <f t="shared" si="2"/>
        <v>1.24</v>
      </c>
      <c r="I23" s="872">
        <v>250</v>
      </c>
      <c r="J23" s="256">
        <f t="shared" si="3"/>
        <v>310</v>
      </c>
      <c r="K23" s="256">
        <f t="shared" si="4"/>
        <v>9670.8285581230393</v>
      </c>
      <c r="L23" s="657">
        <v>12400</v>
      </c>
      <c r="M23" s="754"/>
      <c r="N23" s="825" t="s">
        <v>420</v>
      </c>
      <c r="O23" s="826"/>
      <c r="P23" s="827"/>
      <c r="Q23" s="529"/>
      <c r="R23" s="529">
        <f>SUM(R6:R22)</f>
        <v>447911600</v>
      </c>
    </row>
    <row r="24" spans="1:18" ht="16.5" customHeight="1">
      <c r="A24" s="739">
        <f t="shared" si="5"/>
        <v>19</v>
      </c>
      <c r="B24" s="296" t="s">
        <v>709</v>
      </c>
      <c r="C24" s="757">
        <v>42573</v>
      </c>
      <c r="D24" s="758" t="s">
        <v>771</v>
      </c>
      <c r="E24" s="834">
        <v>49</v>
      </c>
      <c r="F24" s="833">
        <v>47</v>
      </c>
      <c r="G24" s="833">
        <v>27</v>
      </c>
      <c r="H24" s="925">
        <f t="shared" si="2"/>
        <v>1.52</v>
      </c>
      <c r="I24" s="872">
        <v>200</v>
      </c>
      <c r="J24" s="256">
        <f t="shared" si="3"/>
        <v>304</v>
      </c>
      <c r="K24" s="256">
        <f t="shared" si="4"/>
        <v>11854.564038989532</v>
      </c>
      <c r="L24" s="657">
        <v>14200</v>
      </c>
      <c r="M24" s="754"/>
      <c r="N24" s="188" t="s">
        <v>503</v>
      </c>
      <c r="O24" s="757">
        <v>42595</v>
      </c>
      <c r="P24" s="773">
        <v>19810</v>
      </c>
      <c r="Q24" s="773">
        <v>780</v>
      </c>
      <c r="R24" s="8">
        <f t="shared" ref="R24" si="9">ROUND(P24*Q24,0)</f>
        <v>15451800</v>
      </c>
    </row>
    <row r="25" spans="1:18" ht="16.5" customHeight="1">
      <c r="A25" s="739">
        <f t="shared" si="5"/>
        <v>20</v>
      </c>
      <c r="B25" s="296" t="s">
        <v>710</v>
      </c>
      <c r="C25" s="757">
        <v>42573</v>
      </c>
      <c r="D25" s="758" t="s">
        <v>771</v>
      </c>
      <c r="E25" s="834">
        <v>40</v>
      </c>
      <c r="F25" s="833">
        <v>39</v>
      </c>
      <c r="G25" s="833">
        <v>32</v>
      </c>
      <c r="H25" s="925">
        <f t="shared" si="2"/>
        <v>1.21</v>
      </c>
      <c r="I25" s="872">
        <v>300</v>
      </c>
      <c r="J25" s="256">
        <f t="shared" si="3"/>
        <v>363</v>
      </c>
      <c r="K25" s="256">
        <f t="shared" si="4"/>
        <v>9436.8568994587713</v>
      </c>
      <c r="L25" s="657">
        <v>16500</v>
      </c>
      <c r="M25" s="754"/>
      <c r="N25" s="188"/>
      <c r="O25" s="190"/>
      <c r="P25" s="255"/>
      <c r="Q25" s="255"/>
      <c r="R25" s="8">
        <f t="shared" ref="R25:R26" si="10">ROUND(P25*Q25,0)</f>
        <v>0</v>
      </c>
    </row>
    <row r="26" spans="1:18" ht="16.5" customHeight="1">
      <c r="A26" s="739">
        <f t="shared" si="5"/>
        <v>21</v>
      </c>
      <c r="B26" s="296" t="s">
        <v>711</v>
      </c>
      <c r="C26" s="757">
        <v>42573</v>
      </c>
      <c r="D26" s="758" t="s">
        <v>771</v>
      </c>
      <c r="E26" s="834">
        <v>42</v>
      </c>
      <c r="F26" s="833">
        <v>41</v>
      </c>
      <c r="G26" s="833">
        <v>34</v>
      </c>
      <c r="H26" s="925">
        <f t="shared" si="2"/>
        <v>1.33</v>
      </c>
      <c r="I26" s="872">
        <v>300</v>
      </c>
      <c r="J26" s="256">
        <f t="shared" si="3"/>
        <v>399</v>
      </c>
      <c r="K26" s="256">
        <f t="shared" si="4"/>
        <v>10372.74353411584</v>
      </c>
      <c r="L26" s="657">
        <v>24500</v>
      </c>
      <c r="M26" s="754"/>
      <c r="N26" s="188"/>
      <c r="O26" s="757"/>
      <c r="P26" s="255"/>
      <c r="Q26" s="255"/>
      <c r="R26" s="8">
        <f t="shared" si="10"/>
        <v>0</v>
      </c>
    </row>
    <row r="27" spans="1:18" ht="16.5" customHeight="1">
      <c r="A27" s="739">
        <f t="shared" si="5"/>
        <v>22</v>
      </c>
      <c r="B27" s="296" t="s">
        <v>884</v>
      </c>
      <c r="C27" s="757">
        <v>42573</v>
      </c>
      <c r="D27" s="758" t="s">
        <v>771</v>
      </c>
      <c r="E27" s="834">
        <v>63</v>
      </c>
      <c r="F27" s="833">
        <v>53</v>
      </c>
      <c r="G27" s="833">
        <v>32</v>
      </c>
      <c r="H27" s="925">
        <f t="shared" si="2"/>
        <v>2.09</v>
      </c>
      <c r="I27" s="872">
        <v>200</v>
      </c>
      <c r="J27" s="256">
        <f t="shared" si="3"/>
        <v>418</v>
      </c>
      <c r="K27" s="256">
        <f t="shared" si="4"/>
        <v>16300.025553610605</v>
      </c>
      <c r="L27" s="657">
        <v>25500</v>
      </c>
      <c r="M27" s="754"/>
      <c r="N27" s="188"/>
      <c r="O27" s="757"/>
      <c r="P27" s="255"/>
      <c r="Q27" s="255"/>
      <c r="R27" s="8">
        <f t="shared" ref="R27" si="11">ROUND(P27*Q27,0)</f>
        <v>0</v>
      </c>
    </row>
    <row r="28" spans="1:18" ht="16.5" customHeight="1">
      <c r="A28" s="739">
        <f t="shared" si="5"/>
        <v>23</v>
      </c>
      <c r="B28" s="296" t="s">
        <v>717</v>
      </c>
      <c r="C28" s="757">
        <v>42574</v>
      </c>
      <c r="D28" s="758" t="s">
        <v>772</v>
      </c>
      <c r="E28" s="834">
        <v>63</v>
      </c>
      <c r="F28" s="833">
        <v>42</v>
      </c>
      <c r="G28" s="833">
        <v>27</v>
      </c>
      <c r="H28" s="925">
        <f t="shared" si="2"/>
        <v>1.55</v>
      </c>
      <c r="I28" s="872">
        <v>530</v>
      </c>
      <c r="J28" s="256">
        <f t="shared" si="3"/>
        <v>821.5</v>
      </c>
      <c r="K28" s="256">
        <f t="shared" si="4"/>
        <v>12088.535697653799</v>
      </c>
      <c r="L28" s="657">
        <v>17800</v>
      </c>
      <c r="M28" s="754"/>
      <c r="N28" s="444"/>
      <c r="O28" s="755"/>
      <c r="P28" s="787"/>
      <c r="Q28" s="773"/>
      <c r="R28" s="8"/>
    </row>
    <row r="29" spans="1:18" ht="16.5" customHeight="1">
      <c r="A29" s="739">
        <f t="shared" si="5"/>
        <v>24</v>
      </c>
      <c r="B29" s="296" t="s">
        <v>559</v>
      </c>
      <c r="C29" s="757">
        <v>42574</v>
      </c>
      <c r="D29" s="758" t="s">
        <v>772</v>
      </c>
      <c r="E29" s="834">
        <v>47</v>
      </c>
      <c r="F29" s="833">
        <v>42</v>
      </c>
      <c r="G29" s="833">
        <v>25</v>
      </c>
      <c r="H29" s="925">
        <f t="shared" si="2"/>
        <v>1.28</v>
      </c>
      <c r="I29" s="872">
        <v>33</v>
      </c>
      <c r="J29" s="256">
        <f t="shared" si="3"/>
        <v>42.24</v>
      </c>
      <c r="K29" s="256">
        <f t="shared" si="4"/>
        <v>9982.7907696753955</v>
      </c>
      <c r="L29" s="657">
        <v>9600</v>
      </c>
      <c r="M29" s="754"/>
      <c r="N29" s="825" t="s">
        <v>421</v>
      </c>
      <c r="O29" s="826"/>
      <c r="P29" s="827"/>
      <c r="Q29" s="529"/>
      <c r="R29" s="529">
        <f>SUM(R24:R28)</f>
        <v>15451800</v>
      </c>
    </row>
    <row r="30" spans="1:18" ht="16.5" customHeight="1">
      <c r="A30" s="739">
        <f t="shared" si="5"/>
        <v>25</v>
      </c>
      <c r="B30" s="296" t="s">
        <v>718</v>
      </c>
      <c r="C30" s="757">
        <v>42574</v>
      </c>
      <c r="D30" s="758" t="s">
        <v>772</v>
      </c>
      <c r="E30" s="834">
        <v>58</v>
      </c>
      <c r="F30" s="833">
        <v>31</v>
      </c>
      <c r="G30" s="833">
        <v>40</v>
      </c>
      <c r="H30" s="925">
        <f t="shared" si="2"/>
        <v>1.35</v>
      </c>
      <c r="I30" s="872">
        <v>630</v>
      </c>
      <c r="J30" s="256">
        <f t="shared" si="3"/>
        <v>850.5</v>
      </c>
      <c r="K30" s="256">
        <f t="shared" si="4"/>
        <v>10528.72463989202</v>
      </c>
      <c r="L30" s="657">
        <v>9700</v>
      </c>
      <c r="M30" s="754"/>
      <c r="N30" s="444" t="s">
        <v>422</v>
      </c>
      <c r="O30" s="755"/>
      <c r="P30" s="787"/>
      <c r="Q30" s="773"/>
      <c r="R30" s="8">
        <f>R23</f>
        <v>447911600</v>
      </c>
    </row>
    <row r="31" spans="1:18" ht="16.5" customHeight="1">
      <c r="A31" s="739">
        <f t="shared" si="5"/>
        <v>26</v>
      </c>
      <c r="B31" s="296" t="s">
        <v>724</v>
      </c>
      <c r="C31" s="757">
        <v>42574</v>
      </c>
      <c r="D31" s="758" t="s">
        <v>772</v>
      </c>
      <c r="E31" s="834">
        <v>45</v>
      </c>
      <c r="F31" s="833">
        <v>37</v>
      </c>
      <c r="G31" s="833">
        <v>27.5</v>
      </c>
      <c r="H31" s="925">
        <f>IF(G31&lt;&gt;"",ROUND(((E31+F31)*2+5)*(F31+G31+3)/10000,2),ROUND(E31*F31/10000,2))</f>
        <v>1.1399999999999999</v>
      </c>
      <c r="I31" s="872">
        <v>352</v>
      </c>
      <c r="J31" s="256">
        <f t="shared" si="3"/>
        <v>401.28</v>
      </c>
      <c r="K31" s="256">
        <f t="shared" si="4"/>
        <v>8890.9230292421471</v>
      </c>
      <c r="L31" s="657">
        <v>13700</v>
      </c>
      <c r="M31" s="754"/>
      <c r="N31" s="444" t="s">
        <v>423</v>
      </c>
      <c r="O31" s="755"/>
      <c r="P31" s="787"/>
      <c r="Q31" s="773"/>
      <c r="R31" s="8">
        <f>R29</f>
        <v>15451800</v>
      </c>
    </row>
    <row r="32" spans="1:18" ht="16.5" customHeight="1">
      <c r="A32" s="739">
        <f t="shared" si="5"/>
        <v>27</v>
      </c>
      <c r="B32" s="296" t="s">
        <v>572</v>
      </c>
      <c r="C32" s="757">
        <v>42574</v>
      </c>
      <c r="D32" s="758" t="s">
        <v>773</v>
      </c>
      <c r="E32" s="834">
        <v>48</v>
      </c>
      <c r="F32" s="833">
        <v>40</v>
      </c>
      <c r="G32" s="833">
        <v>18</v>
      </c>
      <c r="H32" s="925">
        <f t="shared" si="2"/>
        <v>1.1000000000000001</v>
      </c>
      <c r="I32" s="872">
        <v>350</v>
      </c>
      <c r="J32" s="256">
        <f t="shared" si="3"/>
        <v>385.00000000000006</v>
      </c>
      <c r="K32" s="256">
        <f t="shared" si="4"/>
        <v>8578.9608176897927</v>
      </c>
      <c r="L32" s="657">
        <v>13600</v>
      </c>
      <c r="M32" s="754"/>
      <c r="N32" s="444" t="s">
        <v>425</v>
      </c>
      <c r="O32" s="755"/>
      <c r="P32" s="787"/>
      <c r="Q32" s="773"/>
      <c r="R32" s="8">
        <v>8050000</v>
      </c>
    </row>
    <row r="33" spans="1:18" ht="16.5" customHeight="1">
      <c r="A33" s="739">
        <f t="shared" si="5"/>
        <v>28</v>
      </c>
      <c r="B33" s="296" t="s">
        <v>573</v>
      </c>
      <c r="C33" s="757">
        <v>42577</v>
      </c>
      <c r="D33" s="758" t="s">
        <v>774</v>
      </c>
      <c r="E33" s="834">
        <v>39.5</v>
      </c>
      <c r="F33" s="833">
        <v>26.5</v>
      </c>
      <c r="G33" s="833">
        <v>29.5</v>
      </c>
      <c r="H33" s="925">
        <f t="shared" si="2"/>
        <v>0.81</v>
      </c>
      <c r="I33" s="872">
        <v>473</v>
      </c>
      <c r="J33" s="256">
        <f t="shared" si="3"/>
        <v>383.13000000000005</v>
      </c>
      <c r="K33" s="256">
        <f t="shared" si="4"/>
        <v>6317.2347839352115</v>
      </c>
      <c r="L33" s="657">
        <v>13000</v>
      </c>
      <c r="M33" s="754"/>
      <c r="N33" s="444" t="s">
        <v>424</v>
      </c>
      <c r="O33" s="755"/>
      <c r="P33" s="787"/>
      <c r="Q33" s="773"/>
      <c r="R33" s="8">
        <v>13250000</v>
      </c>
    </row>
    <row r="34" spans="1:18" ht="16.5" customHeight="1">
      <c r="A34" s="739">
        <f t="shared" si="5"/>
        <v>29</v>
      </c>
      <c r="B34" s="296" t="s">
        <v>574</v>
      </c>
      <c r="C34" s="757">
        <v>42580</v>
      </c>
      <c r="D34" s="758" t="s">
        <v>775</v>
      </c>
      <c r="E34" s="834">
        <v>49</v>
      </c>
      <c r="F34" s="833">
        <v>38</v>
      </c>
      <c r="G34" s="833">
        <v>12</v>
      </c>
      <c r="H34" s="925">
        <f t="shared" si="2"/>
        <v>0.95</v>
      </c>
      <c r="I34" s="872">
        <v>302</v>
      </c>
      <c r="J34" s="256">
        <f t="shared" si="3"/>
        <v>286.89999999999998</v>
      </c>
      <c r="K34" s="256">
        <f t="shared" si="4"/>
        <v>7409.1025243684571</v>
      </c>
      <c r="L34" s="657">
        <v>10500</v>
      </c>
      <c r="M34" s="754"/>
      <c r="N34" s="444" t="s">
        <v>437</v>
      </c>
      <c r="O34" s="755"/>
      <c r="P34" s="787"/>
      <c r="Q34" s="773"/>
      <c r="R34" s="8"/>
    </row>
    <row r="35" spans="1:18" ht="16.5" customHeight="1">
      <c r="A35" s="739">
        <f t="shared" si="5"/>
        <v>30</v>
      </c>
      <c r="B35" s="296" t="s">
        <v>575</v>
      </c>
      <c r="C35" s="757">
        <v>42580</v>
      </c>
      <c r="D35" s="758" t="s">
        <v>775</v>
      </c>
      <c r="E35" s="834">
        <v>49</v>
      </c>
      <c r="F35" s="833">
        <v>38</v>
      </c>
      <c r="G35" s="833">
        <v>13</v>
      </c>
      <c r="H35" s="925">
        <f t="shared" si="2"/>
        <v>0.97</v>
      </c>
      <c r="I35" s="872">
        <v>527</v>
      </c>
      <c r="J35" s="256">
        <f t="shared" si="3"/>
        <v>511.19</v>
      </c>
      <c r="K35" s="256">
        <f t="shared" si="4"/>
        <v>7565.0836301446352</v>
      </c>
      <c r="L35" s="657">
        <v>10500</v>
      </c>
      <c r="M35" s="754"/>
      <c r="N35" s="191"/>
      <c r="O35" s="755"/>
      <c r="P35" s="787"/>
      <c r="Q35" s="773"/>
      <c r="R35" s="8"/>
    </row>
    <row r="36" spans="1:18" ht="16.5" customHeight="1">
      <c r="A36" s="739">
        <f t="shared" si="5"/>
        <v>31</v>
      </c>
      <c r="B36" s="296" t="s">
        <v>711</v>
      </c>
      <c r="C36" s="757">
        <v>42580</v>
      </c>
      <c r="D36" s="758" t="s">
        <v>776</v>
      </c>
      <c r="E36" s="834">
        <v>42</v>
      </c>
      <c r="F36" s="833">
        <v>41</v>
      </c>
      <c r="G36" s="833">
        <v>34</v>
      </c>
      <c r="H36" s="925">
        <f t="shared" si="2"/>
        <v>1.33</v>
      </c>
      <c r="I36" s="872">
        <v>100</v>
      </c>
      <c r="J36" s="256">
        <f t="shared" si="3"/>
        <v>133</v>
      </c>
      <c r="K36" s="256">
        <f t="shared" si="4"/>
        <v>10372.74353411584</v>
      </c>
      <c r="L36" s="657">
        <v>19700</v>
      </c>
      <c r="M36" s="754"/>
      <c r="N36" s="444"/>
      <c r="O36" s="755"/>
      <c r="P36" s="787"/>
      <c r="Q36" s="773"/>
      <c r="R36" s="8"/>
    </row>
    <row r="37" spans="1:18" ht="16.5" customHeight="1">
      <c r="A37" s="739">
        <f t="shared" si="5"/>
        <v>32</v>
      </c>
      <c r="B37" s="296" t="s">
        <v>884</v>
      </c>
      <c r="C37" s="757">
        <v>42580</v>
      </c>
      <c r="D37" s="758" t="s">
        <v>776</v>
      </c>
      <c r="E37" s="834">
        <v>63</v>
      </c>
      <c r="F37" s="833">
        <v>53</v>
      </c>
      <c r="G37" s="833">
        <v>32</v>
      </c>
      <c r="H37" s="925">
        <f t="shared" si="2"/>
        <v>2.09</v>
      </c>
      <c r="I37" s="872">
        <v>100</v>
      </c>
      <c r="J37" s="256">
        <f t="shared" si="3"/>
        <v>209</v>
      </c>
      <c r="K37" s="256">
        <f t="shared" si="4"/>
        <v>16300.025553610605</v>
      </c>
      <c r="L37" s="657">
        <v>20100</v>
      </c>
      <c r="M37" s="754"/>
      <c r="N37" s="825" t="s">
        <v>434</v>
      </c>
      <c r="O37" s="826"/>
      <c r="P37" s="827"/>
      <c r="Q37" s="529"/>
      <c r="R37" s="529">
        <f>SUM(R30:R36)</f>
        <v>484663400</v>
      </c>
    </row>
    <row r="38" spans="1:18" ht="16.5" customHeight="1">
      <c r="A38" s="739">
        <f t="shared" si="5"/>
        <v>33</v>
      </c>
      <c r="B38" s="296" t="s">
        <v>569</v>
      </c>
      <c r="C38" s="757">
        <v>42583</v>
      </c>
      <c r="D38" s="758" t="s">
        <v>777</v>
      </c>
      <c r="E38" s="834">
        <v>37.5</v>
      </c>
      <c r="F38" s="833">
        <v>25.5</v>
      </c>
      <c r="G38" s="833">
        <v>23.9</v>
      </c>
      <c r="H38" s="925">
        <f t="shared" si="2"/>
        <v>0.69</v>
      </c>
      <c r="I38" s="872">
        <v>500</v>
      </c>
      <c r="J38" s="256">
        <f t="shared" si="3"/>
        <v>345</v>
      </c>
      <c r="K38" s="256">
        <f t="shared" si="4"/>
        <v>5381.348149278142</v>
      </c>
      <c r="L38" s="657">
        <v>5900</v>
      </c>
      <c r="M38" s="754"/>
      <c r="N38" s="445"/>
      <c r="O38" s="763"/>
      <c r="P38" s="788"/>
      <c r="Q38" s="753"/>
      <c r="R38" s="765"/>
    </row>
    <row r="39" spans="1:18" ht="16.5" customHeight="1">
      <c r="A39" s="739">
        <f t="shared" si="5"/>
        <v>34</v>
      </c>
      <c r="B39" s="296" t="s">
        <v>576</v>
      </c>
      <c r="C39" s="757">
        <v>42584</v>
      </c>
      <c r="D39" s="758" t="s">
        <v>778</v>
      </c>
      <c r="E39" s="834">
        <v>42</v>
      </c>
      <c r="F39" s="833">
        <v>24</v>
      </c>
      <c r="G39" s="833">
        <v>25</v>
      </c>
      <c r="H39" s="925">
        <f t="shared" si="2"/>
        <v>0.71</v>
      </c>
      <c r="I39" s="872">
        <v>606</v>
      </c>
      <c r="J39" s="256">
        <f t="shared" si="3"/>
        <v>430.26</v>
      </c>
      <c r="K39" s="256">
        <f t="shared" si="4"/>
        <v>5537.3292550543201</v>
      </c>
      <c r="L39" s="657">
        <v>6000</v>
      </c>
      <c r="M39" s="754"/>
      <c r="N39" s="445"/>
      <c r="O39" s="763"/>
      <c r="P39" s="788"/>
      <c r="Q39" s="753"/>
      <c r="R39" s="765"/>
    </row>
    <row r="40" spans="1:18" ht="16.5" customHeight="1">
      <c r="A40" s="739">
        <f t="shared" si="5"/>
        <v>35</v>
      </c>
      <c r="B40" s="296" t="s">
        <v>577</v>
      </c>
      <c r="C40" s="757">
        <v>42584</v>
      </c>
      <c r="D40" s="758" t="s">
        <v>778</v>
      </c>
      <c r="E40" s="834">
        <v>50</v>
      </c>
      <c r="F40" s="833">
        <v>37</v>
      </c>
      <c r="G40" s="833">
        <v>21</v>
      </c>
      <c r="H40" s="925">
        <f t="shared" si="2"/>
        <v>1.0900000000000001</v>
      </c>
      <c r="I40" s="872">
        <v>404</v>
      </c>
      <c r="J40" s="256">
        <f t="shared" si="3"/>
        <v>440.36</v>
      </c>
      <c r="K40" s="256">
        <f t="shared" si="4"/>
        <v>8500.9702648017046</v>
      </c>
      <c r="L40" s="657">
        <v>8600</v>
      </c>
      <c r="M40" s="754"/>
      <c r="N40" s="1098" t="s">
        <v>435</v>
      </c>
      <c r="O40" s="1099"/>
      <c r="P40" s="1099"/>
      <c r="Q40" s="1100"/>
      <c r="R40" s="830">
        <f>R37/J126</f>
        <v>7799.0552888089023</v>
      </c>
    </row>
    <row r="41" spans="1:18" ht="16.5" customHeight="1">
      <c r="A41" s="739">
        <f t="shared" si="5"/>
        <v>36</v>
      </c>
      <c r="B41" s="296" t="s">
        <v>578</v>
      </c>
      <c r="C41" s="757">
        <v>42584</v>
      </c>
      <c r="D41" s="758" t="s">
        <v>778</v>
      </c>
      <c r="E41" s="834">
        <v>45</v>
      </c>
      <c r="F41" s="833">
        <v>33</v>
      </c>
      <c r="G41" s="833">
        <v>46</v>
      </c>
      <c r="H41" s="925">
        <f t="shared" si="2"/>
        <v>1.32</v>
      </c>
      <c r="I41" s="872">
        <v>304</v>
      </c>
      <c r="J41" s="256">
        <f t="shared" si="3"/>
        <v>401.28000000000003</v>
      </c>
      <c r="K41" s="256">
        <f t="shared" si="4"/>
        <v>10294.752981227752</v>
      </c>
      <c r="L41" s="657">
        <v>14200</v>
      </c>
      <c r="M41" s="754"/>
      <c r="N41" s="445"/>
      <c r="O41" s="763"/>
      <c r="P41" s="788"/>
      <c r="Q41" s="753"/>
      <c r="R41" s="765"/>
    </row>
    <row r="42" spans="1:18" ht="17.25" customHeight="1">
      <c r="A42" s="739">
        <f t="shared" si="5"/>
        <v>37</v>
      </c>
      <c r="B42" s="296" t="s">
        <v>579</v>
      </c>
      <c r="C42" s="757">
        <v>42584</v>
      </c>
      <c r="D42" s="758" t="s">
        <v>779</v>
      </c>
      <c r="E42" s="834">
        <v>52</v>
      </c>
      <c r="F42" s="833">
        <v>24.5</v>
      </c>
      <c r="G42" s="833">
        <v>24.5</v>
      </c>
      <c r="H42" s="925">
        <f t="shared" si="2"/>
        <v>0.82</v>
      </c>
      <c r="I42" s="872">
        <v>1335</v>
      </c>
      <c r="J42" s="256">
        <f t="shared" si="3"/>
        <v>1094.7</v>
      </c>
      <c r="K42" s="256">
        <f t="shared" si="4"/>
        <v>6395.2253368232996</v>
      </c>
      <c r="L42" s="657">
        <v>5000</v>
      </c>
      <c r="M42" s="754"/>
      <c r="N42" s="445"/>
      <c r="O42" s="763"/>
      <c r="P42" s="788"/>
      <c r="Q42" s="753"/>
      <c r="R42" s="765"/>
    </row>
    <row r="43" spans="1:18" ht="17.25" customHeight="1">
      <c r="A43" s="739">
        <f t="shared" si="5"/>
        <v>38</v>
      </c>
      <c r="B43" s="296" t="s">
        <v>580</v>
      </c>
      <c r="C43" s="757">
        <v>42584</v>
      </c>
      <c r="D43" s="758" t="s">
        <v>779</v>
      </c>
      <c r="E43" s="834">
        <v>22.5</v>
      </c>
      <c r="F43" s="833">
        <v>22.5</v>
      </c>
      <c r="G43" s="833">
        <v>52</v>
      </c>
      <c r="H43" s="925">
        <f t="shared" si="2"/>
        <v>0.74</v>
      </c>
      <c r="I43" s="872">
        <v>302</v>
      </c>
      <c r="J43" s="256">
        <f t="shared" si="3"/>
        <v>223.48</v>
      </c>
      <c r="K43" s="256">
        <f t="shared" si="4"/>
        <v>5771.3009137185873</v>
      </c>
      <c r="L43" s="657">
        <v>5100</v>
      </c>
      <c r="M43" s="754"/>
      <c r="N43" s="445"/>
      <c r="O43" s="763"/>
      <c r="P43" s="788"/>
      <c r="Q43" s="753"/>
      <c r="R43" s="765"/>
    </row>
    <row r="44" spans="1:18" ht="17.25" customHeight="1">
      <c r="A44" s="739">
        <f t="shared" si="5"/>
        <v>39</v>
      </c>
      <c r="B44" s="296" t="s">
        <v>581</v>
      </c>
      <c r="C44" s="757">
        <v>42584</v>
      </c>
      <c r="D44" s="758" t="s">
        <v>779</v>
      </c>
      <c r="E44" s="834">
        <v>55</v>
      </c>
      <c r="F44" s="833">
        <v>45</v>
      </c>
      <c r="G44" s="833">
        <v>29</v>
      </c>
      <c r="H44" s="925">
        <f t="shared" si="2"/>
        <v>1.58</v>
      </c>
      <c r="I44" s="872">
        <v>420</v>
      </c>
      <c r="J44" s="256">
        <f t="shared" si="3"/>
        <v>663.6</v>
      </c>
      <c r="K44" s="256">
        <f t="shared" si="4"/>
        <v>12322.507356318067</v>
      </c>
      <c r="L44" s="657">
        <v>9700</v>
      </c>
      <c r="M44" s="754"/>
      <c r="N44" s="445"/>
      <c r="O44" s="763"/>
      <c r="P44" s="788"/>
      <c r="Q44" s="753"/>
      <c r="R44" s="765"/>
    </row>
    <row r="45" spans="1:18" ht="17.25" customHeight="1">
      <c r="A45" s="739">
        <f t="shared" si="5"/>
        <v>40</v>
      </c>
      <c r="B45" s="296" t="s">
        <v>582</v>
      </c>
      <c r="C45" s="757">
        <v>42585</v>
      </c>
      <c r="D45" s="758" t="s">
        <v>780</v>
      </c>
      <c r="E45" s="834">
        <v>49</v>
      </c>
      <c r="F45" s="833">
        <v>38</v>
      </c>
      <c r="G45" s="833">
        <v>12.5</v>
      </c>
      <c r="H45" s="925">
        <f t="shared" si="2"/>
        <v>0.96</v>
      </c>
      <c r="I45" s="872">
        <v>427</v>
      </c>
      <c r="J45" s="256">
        <f t="shared" si="3"/>
        <v>409.91999999999996</v>
      </c>
      <c r="K45" s="256">
        <f t="shared" si="4"/>
        <v>7487.0930772565462</v>
      </c>
      <c r="L45" s="657">
        <v>10200</v>
      </c>
      <c r="M45" s="754"/>
      <c r="N45" s="445"/>
      <c r="O45" s="763"/>
      <c r="P45" s="788"/>
      <c r="Q45" s="753"/>
      <c r="R45" s="765"/>
    </row>
    <row r="46" spans="1:18" ht="17.25" customHeight="1">
      <c r="A46" s="739">
        <f t="shared" si="5"/>
        <v>41</v>
      </c>
      <c r="B46" s="296" t="s">
        <v>597</v>
      </c>
      <c r="C46" s="757">
        <v>42588</v>
      </c>
      <c r="D46" s="758" t="s">
        <v>781</v>
      </c>
      <c r="E46" s="834">
        <v>43</v>
      </c>
      <c r="F46" s="833">
        <v>27.5</v>
      </c>
      <c r="G46" s="833">
        <v>23</v>
      </c>
      <c r="H46" s="925">
        <f t="shared" si="2"/>
        <v>0.78</v>
      </c>
      <c r="I46" s="872">
        <v>108</v>
      </c>
      <c r="J46" s="256">
        <f t="shared" si="3"/>
        <v>84.240000000000009</v>
      </c>
      <c r="K46" s="256">
        <f t="shared" si="4"/>
        <v>6083.2631252709443</v>
      </c>
      <c r="L46" s="657">
        <v>6400</v>
      </c>
      <c r="M46" s="754"/>
      <c r="N46" s="445"/>
      <c r="O46" s="763"/>
      <c r="P46" s="788"/>
      <c r="Q46" s="753"/>
      <c r="R46" s="765"/>
    </row>
    <row r="47" spans="1:18" ht="17.25" customHeight="1">
      <c r="A47" s="739">
        <f t="shared" si="5"/>
        <v>42</v>
      </c>
      <c r="B47" s="296" t="s">
        <v>726</v>
      </c>
      <c r="C47" s="757">
        <v>42588</v>
      </c>
      <c r="D47" s="758" t="s">
        <v>781</v>
      </c>
      <c r="E47" s="834">
        <v>39.5</v>
      </c>
      <c r="F47" s="833">
        <v>32.299999999999997</v>
      </c>
      <c r="G47" s="833">
        <v>27.7</v>
      </c>
      <c r="H47" s="925">
        <f t="shared" si="2"/>
        <v>0.94</v>
      </c>
      <c r="I47" s="872">
        <v>103</v>
      </c>
      <c r="J47" s="256">
        <f t="shared" si="3"/>
        <v>96.82</v>
      </c>
      <c r="K47" s="256">
        <f t="shared" si="4"/>
        <v>7331.1119714803681</v>
      </c>
      <c r="L47" s="657">
        <v>9400</v>
      </c>
      <c r="M47" s="754"/>
      <c r="N47" s="445"/>
      <c r="O47" s="763"/>
      <c r="P47" s="788"/>
      <c r="Q47" s="753"/>
      <c r="R47" s="765"/>
    </row>
    <row r="48" spans="1:18" ht="17.25" customHeight="1">
      <c r="A48" s="739">
        <f t="shared" si="5"/>
        <v>43</v>
      </c>
      <c r="B48" s="296" t="s">
        <v>583</v>
      </c>
      <c r="C48" s="757">
        <v>42591</v>
      </c>
      <c r="D48" s="758" t="s">
        <v>782</v>
      </c>
      <c r="E48" s="834">
        <v>36.5</v>
      </c>
      <c r="F48" s="833">
        <v>26.5</v>
      </c>
      <c r="G48" s="833">
        <v>26</v>
      </c>
      <c r="H48" s="925">
        <f t="shared" si="2"/>
        <v>0.73</v>
      </c>
      <c r="I48" s="872">
        <v>490</v>
      </c>
      <c r="J48" s="256">
        <f t="shared" si="3"/>
        <v>357.7</v>
      </c>
      <c r="K48" s="256">
        <f t="shared" si="4"/>
        <v>5693.3103608304982</v>
      </c>
      <c r="L48" s="657">
        <v>11000</v>
      </c>
      <c r="M48" s="754"/>
      <c r="N48" s="445"/>
      <c r="O48" s="763"/>
      <c r="P48" s="788"/>
      <c r="Q48" s="753"/>
      <c r="R48" s="765"/>
    </row>
    <row r="49" spans="1:18" ht="17.25" customHeight="1">
      <c r="A49" s="739">
        <f t="shared" si="5"/>
        <v>44</v>
      </c>
      <c r="B49" s="296" t="s">
        <v>585</v>
      </c>
      <c r="C49" s="757">
        <v>42592</v>
      </c>
      <c r="D49" s="758" t="s">
        <v>783</v>
      </c>
      <c r="E49" s="834">
        <v>62</v>
      </c>
      <c r="F49" s="833">
        <v>42.5</v>
      </c>
      <c r="G49" s="833">
        <v>42.5</v>
      </c>
      <c r="H49" s="925">
        <f t="shared" si="2"/>
        <v>1.88</v>
      </c>
      <c r="I49" s="872">
        <v>403</v>
      </c>
      <c r="J49" s="256">
        <f t="shared" si="3"/>
        <v>757.64</v>
      </c>
      <c r="K49" s="256">
        <f t="shared" si="4"/>
        <v>14662.223942960736</v>
      </c>
      <c r="L49" s="657">
        <v>20000</v>
      </c>
      <c r="M49" s="754"/>
      <c r="N49" s="445"/>
      <c r="O49" s="763"/>
      <c r="P49" s="788"/>
      <c r="Q49" s="753"/>
      <c r="R49" s="765"/>
    </row>
    <row r="50" spans="1:18" ht="17.25" customHeight="1">
      <c r="A50" s="739">
        <f t="shared" si="5"/>
        <v>45</v>
      </c>
      <c r="B50" s="296" t="s">
        <v>709</v>
      </c>
      <c r="C50" s="757">
        <v>42592</v>
      </c>
      <c r="D50" s="758" t="s">
        <v>784</v>
      </c>
      <c r="E50" s="834">
        <v>49</v>
      </c>
      <c r="F50" s="833">
        <v>47</v>
      </c>
      <c r="G50" s="833">
        <v>27</v>
      </c>
      <c r="H50" s="925">
        <f t="shared" si="2"/>
        <v>1.52</v>
      </c>
      <c r="I50" s="872">
        <v>30</v>
      </c>
      <c r="J50" s="256">
        <f t="shared" si="3"/>
        <v>45.6</v>
      </c>
      <c r="K50" s="256">
        <f t="shared" si="4"/>
        <v>11854.564038989532</v>
      </c>
      <c r="L50" s="657">
        <v>14200</v>
      </c>
      <c r="M50" s="754"/>
      <c r="N50" s="445"/>
      <c r="O50" s="763"/>
      <c r="P50" s="788"/>
      <c r="Q50" s="753"/>
      <c r="R50" s="765"/>
    </row>
    <row r="51" spans="1:18" ht="17.25" customHeight="1">
      <c r="A51" s="739">
        <f t="shared" si="5"/>
        <v>46</v>
      </c>
      <c r="B51" s="296" t="s">
        <v>712</v>
      </c>
      <c r="C51" s="757">
        <v>42592</v>
      </c>
      <c r="D51" s="758" t="s">
        <v>784</v>
      </c>
      <c r="E51" s="834">
        <v>38</v>
      </c>
      <c r="F51" s="833">
        <v>37</v>
      </c>
      <c r="G51" s="833">
        <v>30</v>
      </c>
      <c r="H51" s="925">
        <f t="shared" si="2"/>
        <v>1.0900000000000001</v>
      </c>
      <c r="I51" s="872">
        <v>30</v>
      </c>
      <c r="J51" s="256">
        <f t="shared" si="3"/>
        <v>32.700000000000003</v>
      </c>
      <c r="K51" s="256">
        <f t="shared" si="4"/>
        <v>8500.9702648017046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5"/>
        <v>47</v>
      </c>
      <c r="B52" s="296" t="s">
        <v>710</v>
      </c>
      <c r="C52" s="757">
        <v>42592</v>
      </c>
      <c r="D52" s="758" t="s">
        <v>784</v>
      </c>
      <c r="E52" s="834">
        <v>40</v>
      </c>
      <c r="F52" s="833">
        <v>39</v>
      </c>
      <c r="G52" s="833">
        <v>32</v>
      </c>
      <c r="H52" s="925">
        <f t="shared" si="2"/>
        <v>1.21</v>
      </c>
      <c r="I52" s="872">
        <v>30</v>
      </c>
      <c r="J52" s="256">
        <f t="shared" si="3"/>
        <v>36.299999999999997</v>
      </c>
      <c r="K52" s="256">
        <f t="shared" si="4"/>
        <v>9436.8568994587713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5"/>
        <v>48</v>
      </c>
      <c r="B53" s="296" t="s">
        <v>711</v>
      </c>
      <c r="C53" s="757">
        <v>42592</v>
      </c>
      <c r="D53" s="758" t="s">
        <v>784</v>
      </c>
      <c r="E53" s="834">
        <v>42</v>
      </c>
      <c r="F53" s="833">
        <v>41</v>
      </c>
      <c r="G53" s="833">
        <v>34</v>
      </c>
      <c r="H53" s="925">
        <f t="shared" si="2"/>
        <v>1.33</v>
      </c>
      <c r="I53" s="872">
        <v>100</v>
      </c>
      <c r="J53" s="256">
        <f t="shared" si="3"/>
        <v>133</v>
      </c>
      <c r="K53" s="256">
        <f t="shared" si="4"/>
        <v>10372.74353411584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5"/>
        <v>49</v>
      </c>
      <c r="B54" s="296" t="s">
        <v>884</v>
      </c>
      <c r="C54" s="757">
        <v>42592</v>
      </c>
      <c r="D54" s="758" t="s">
        <v>784</v>
      </c>
      <c r="E54" s="834">
        <v>63</v>
      </c>
      <c r="F54" s="833">
        <v>53</v>
      </c>
      <c r="G54" s="833">
        <v>32</v>
      </c>
      <c r="H54" s="925">
        <f t="shared" si="2"/>
        <v>2.09</v>
      </c>
      <c r="I54" s="872">
        <v>60</v>
      </c>
      <c r="J54" s="256">
        <f t="shared" si="3"/>
        <v>125.39999999999999</v>
      </c>
      <c r="K54" s="256">
        <f t="shared" si="4"/>
        <v>16300.025553610605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5"/>
        <v>50</v>
      </c>
      <c r="B55" s="296" t="s">
        <v>585</v>
      </c>
      <c r="C55" s="757">
        <v>42592</v>
      </c>
      <c r="D55" s="758" t="s">
        <v>785</v>
      </c>
      <c r="E55" s="834">
        <v>62</v>
      </c>
      <c r="F55" s="833">
        <v>42.5</v>
      </c>
      <c r="G55" s="833">
        <v>42.5</v>
      </c>
      <c r="H55" s="925">
        <f t="shared" si="2"/>
        <v>1.88</v>
      </c>
      <c r="I55" s="872">
        <v>403</v>
      </c>
      <c r="J55" s="256">
        <f t="shared" si="3"/>
        <v>757.64</v>
      </c>
      <c r="K55" s="256">
        <f t="shared" si="4"/>
        <v>14662.223942960736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5"/>
        <v>51</v>
      </c>
      <c r="B56" s="296" t="s">
        <v>719</v>
      </c>
      <c r="C56" s="757">
        <v>42594</v>
      </c>
      <c r="D56" s="758" t="s">
        <v>786</v>
      </c>
      <c r="E56" s="834">
        <v>47</v>
      </c>
      <c r="F56" s="833">
        <v>42</v>
      </c>
      <c r="G56" s="833">
        <v>24.5</v>
      </c>
      <c r="H56" s="925">
        <f t="shared" si="2"/>
        <v>1.27</v>
      </c>
      <c r="I56" s="872">
        <v>1330</v>
      </c>
      <c r="J56" s="256">
        <f t="shared" si="3"/>
        <v>1689.1000000000001</v>
      </c>
      <c r="K56" s="256">
        <f t="shared" si="4"/>
        <v>9904.8002167873055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5"/>
        <v>52</v>
      </c>
      <c r="B57" s="296" t="s">
        <v>719</v>
      </c>
      <c r="C57" s="757">
        <v>42594</v>
      </c>
      <c r="D57" s="758" t="s">
        <v>786</v>
      </c>
      <c r="E57" s="834">
        <v>47</v>
      </c>
      <c r="F57" s="833">
        <v>42</v>
      </c>
      <c r="G57" s="833">
        <v>24.5</v>
      </c>
      <c r="H57" s="925">
        <f t="shared" si="2"/>
        <v>1.27</v>
      </c>
      <c r="I57" s="872">
        <v>80</v>
      </c>
      <c r="J57" s="256">
        <f t="shared" si="3"/>
        <v>101.6</v>
      </c>
      <c r="K57" s="256">
        <f t="shared" si="4"/>
        <v>9904.8002167873055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5"/>
        <v>53</v>
      </c>
      <c r="B58" s="296" t="s">
        <v>720</v>
      </c>
      <c r="C58" s="757">
        <v>42594</v>
      </c>
      <c r="D58" s="758" t="s">
        <v>786</v>
      </c>
      <c r="E58" s="834">
        <v>46</v>
      </c>
      <c r="F58" s="833">
        <v>42</v>
      </c>
      <c r="G58" s="833">
        <v>26</v>
      </c>
      <c r="H58" s="925">
        <f t="shared" si="2"/>
        <v>1.29</v>
      </c>
      <c r="I58" s="872">
        <v>35</v>
      </c>
      <c r="J58" s="256">
        <f t="shared" si="3"/>
        <v>45.15</v>
      </c>
      <c r="K58" s="256">
        <f t="shared" si="4"/>
        <v>10060.781322563484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5"/>
        <v>54</v>
      </c>
      <c r="B59" s="296" t="s">
        <v>721</v>
      </c>
      <c r="C59" s="757">
        <v>42594</v>
      </c>
      <c r="D59" s="758" t="s">
        <v>786</v>
      </c>
      <c r="E59" s="834">
        <v>47</v>
      </c>
      <c r="F59" s="833">
        <v>42</v>
      </c>
      <c r="G59" s="833">
        <v>13</v>
      </c>
      <c r="H59" s="925">
        <f t="shared" si="2"/>
        <v>1.06</v>
      </c>
      <c r="I59" s="872">
        <v>90</v>
      </c>
      <c r="J59" s="256">
        <f t="shared" si="3"/>
        <v>95.4</v>
      </c>
      <c r="K59" s="256">
        <f t="shared" si="4"/>
        <v>8266.9986061374366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5"/>
        <v>55</v>
      </c>
      <c r="B60" s="296" t="s">
        <v>722</v>
      </c>
      <c r="C60" s="757">
        <v>42594</v>
      </c>
      <c r="D60" s="758" t="s">
        <v>786</v>
      </c>
      <c r="E60" s="834">
        <v>39</v>
      </c>
      <c r="F60" s="833">
        <v>29</v>
      </c>
      <c r="G60" s="833">
        <v>27</v>
      </c>
      <c r="H60" s="925">
        <f t="shared" si="2"/>
        <v>0.83</v>
      </c>
      <c r="I60" s="872">
        <v>650</v>
      </c>
      <c r="J60" s="256">
        <f t="shared" si="3"/>
        <v>539.5</v>
      </c>
      <c r="K60" s="256">
        <f t="shared" si="4"/>
        <v>6473.2158897113886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5"/>
        <v>56</v>
      </c>
      <c r="B61" s="296" t="s">
        <v>723</v>
      </c>
      <c r="C61" s="757">
        <v>42594</v>
      </c>
      <c r="D61" s="758" t="s">
        <v>786</v>
      </c>
      <c r="E61" s="834">
        <v>47</v>
      </c>
      <c r="F61" s="833">
        <v>42</v>
      </c>
      <c r="G61" s="833">
        <v>27</v>
      </c>
      <c r="H61" s="925">
        <f t="shared" si="2"/>
        <v>1.32</v>
      </c>
      <c r="I61" s="872">
        <v>210</v>
      </c>
      <c r="J61" s="256">
        <f t="shared" si="3"/>
        <v>277.2</v>
      </c>
      <c r="K61" s="256">
        <f t="shared" si="4"/>
        <v>10294.752981227752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5"/>
        <v>57</v>
      </c>
      <c r="B62" s="296" t="s">
        <v>586</v>
      </c>
      <c r="C62" s="757">
        <v>42597</v>
      </c>
      <c r="D62" s="758" t="s">
        <v>787</v>
      </c>
      <c r="E62" s="834">
        <v>52</v>
      </c>
      <c r="F62" s="833">
        <v>24</v>
      </c>
      <c r="G62" s="833">
        <v>24</v>
      </c>
      <c r="H62" s="925">
        <f t="shared" si="2"/>
        <v>0.8</v>
      </c>
      <c r="I62" s="872">
        <v>429</v>
      </c>
      <c r="J62" s="256">
        <f t="shared" si="3"/>
        <v>343.20000000000005</v>
      </c>
      <c r="K62" s="256">
        <f t="shared" si="4"/>
        <v>6239.2442310471224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5"/>
        <v>58</v>
      </c>
      <c r="B63" s="296" t="s">
        <v>587</v>
      </c>
      <c r="C63" s="757">
        <v>42597</v>
      </c>
      <c r="D63" s="758" t="s">
        <v>787</v>
      </c>
      <c r="E63" s="834">
        <v>52</v>
      </c>
      <c r="F63" s="833">
        <v>27</v>
      </c>
      <c r="G63" s="833">
        <v>27</v>
      </c>
      <c r="H63" s="925">
        <f t="shared" si="2"/>
        <v>0.93</v>
      </c>
      <c r="I63" s="872">
        <v>370</v>
      </c>
      <c r="J63" s="256">
        <f t="shared" si="3"/>
        <v>344.1</v>
      </c>
      <c r="K63" s="256">
        <f t="shared" si="4"/>
        <v>7253.12141859228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5"/>
        <v>59</v>
      </c>
      <c r="B64" s="296" t="s">
        <v>588</v>
      </c>
      <c r="C64" s="757">
        <v>42597</v>
      </c>
      <c r="D64" s="758" t="s">
        <v>788</v>
      </c>
      <c r="E64" s="834">
        <v>103</v>
      </c>
      <c r="F64" s="833">
        <v>50</v>
      </c>
      <c r="G64" s="833">
        <v>180</v>
      </c>
      <c r="H64" s="925">
        <f t="shared" si="2"/>
        <v>7.25</v>
      </c>
      <c r="I64" s="872">
        <v>130</v>
      </c>
      <c r="J64" s="256">
        <f t="shared" si="3"/>
        <v>942.5</v>
      </c>
      <c r="K64" s="256">
        <f t="shared" si="4"/>
        <v>56543.15084386454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5"/>
        <v>60</v>
      </c>
      <c r="B65" s="296" t="s">
        <v>589</v>
      </c>
      <c r="C65" s="757">
        <v>42599</v>
      </c>
      <c r="D65" s="758" t="s">
        <v>789</v>
      </c>
      <c r="E65" s="834">
        <v>40</v>
      </c>
      <c r="F65" s="833">
        <v>29.5</v>
      </c>
      <c r="G65" s="833">
        <v>19</v>
      </c>
      <c r="H65" s="925">
        <f t="shared" si="2"/>
        <v>0.74</v>
      </c>
      <c r="I65" s="872">
        <v>309</v>
      </c>
      <c r="J65" s="256">
        <f t="shared" si="3"/>
        <v>228.66</v>
      </c>
      <c r="K65" s="256">
        <f t="shared" si="4"/>
        <v>5771.3009137185873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5"/>
        <v>61</v>
      </c>
      <c r="B66" s="296" t="s">
        <v>590</v>
      </c>
      <c r="C66" s="757">
        <v>42599</v>
      </c>
      <c r="D66" s="758" t="s">
        <v>790</v>
      </c>
      <c r="E66" s="834">
        <v>40</v>
      </c>
      <c r="F66" s="833">
        <v>25.5</v>
      </c>
      <c r="G66" s="833">
        <v>72</v>
      </c>
      <c r="H66" s="925">
        <f t="shared" si="2"/>
        <v>1.37</v>
      </c>
      <c r="I66" s="872">
        <v>19</v>
      </c>
      <c r="J66" s="256">
        <f t="shared" si="3"/>
        <v>26.03</v>
      </c>
      <c r="K66" s="256">
        <f t="shared" si="4"/>
        <v>10684.705745668198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5"/>
        <v>62</v>
      </c>
      <c r="B67" s="296" t="s">
        <v>569</v>
      </c>
      <c r="C67" s="757">
        <v>42602</v>
      </c>
      <c r="D67" s="758" t="s">
        <v>792</v>
      </c>
      <c r="E67" s="834">
        <v>37.5</v>
      </c>
      <c r="F67" s="833">
        <v>25.5</v>
      </c>
      <c r="G67" s="833">
        <v>23.9</v>
      </c>
      <c r="H67" s="925">
        <f t="shared" si="2"/>
        <v>0.69</v>
      </c>
      <c r="I67" s="872">
        <v>940</v>
      </c>
      <c r="J67" s="256">
        <f t="shared" si="3"/>
        <v>648.59999999999991</v>
      </c>
      <c r="K67" s="256">
        <f t="shared" si="4"/>
        <v>5381.348149278142</v>
      </c>
      <c r="L67" s="657">
        <v>5900</v>
      </c>
      <c r="M67" s="754"/>
      <c r="O67" s="735"/>
      <c r="P67" s="735"/>
      <c r="Q67" s="735"/>
    </row>
    <row r="68" spans="1:17" ht="17.25" customHeight="1">
      <c r="A68" s="739">
        <f t="shared" si="5"/>
        <v>63</v>
      </c>
      <c r="B68" s="296" t="s">
        <v>747</v>
      </c>
      <c r="C68" s="757">
        <v>42605</v>
      </c>
      <c r="D68" s="758" t="s">
        <v>793</v>
      </c>
      <c r="E68" s="834">
        <v>47</v>
      </c>
      <c r="F68" s="833">
        <v>47</v>
      </c>
      <c r="G68" s="833">
        <v>52</v>
      </c>
      <c r="H68" s="925">
        <f t="shared" si="2"/>
        <v>1.97</v>
      </c>
      <c r="I68" s="872">
        <v>58</v>
      </c>
      <c r="J68" s="256">
        <f t="shared" si="3"/>
        <v>114.26</v>
      </c>
      <c r="K68" s="256">
        <f t="shared" si="4"/>
        <v>15364.138918953537</v>
      </c>
      <c r="L68" s="657">
        <v>16070</v>
      </c>
      <c r="M68" s="754"/>
      <c r="O68" s="735"/>
      <c r="P68" s="735"/>
      <c r="Q68" s="735"/>
    </row>
    <row r="69" spans="1:17" ht="17.25" customHeight="1">
      <c r="A69" s="739">
        <f t="shared" si="5"/>
        <v>64</v>
      </c>
      <c r="B69" s="296" t="s">
        <v>557</v>
      </c>
      <c r="C69" s="757">
        <v>42605</v>
      </c>
      <c r="D69" s="758" t="s">
        <v>793</v>
      </c>
      <c r="E69" s="834">
        <v>10.3</v>
      </c>
      <c r="F69" s="833">
        <v>5.4</v>
      </c>
      <c r="G69" s="833">
        <v>18</v>
      </c>
      <c r="H69" s="925">
        <f t="shared" si="2"/>
        <v>0.1</v>
      </c>
      <c r="I69" s="872">
        <v>56</v>
      </c>
      <c r="J69" s="256">
        <f t="shared" si="3"/>
        <v>5.6000000000000005</v>
      </c>
      <c r="K69" s="256">
        <f t="shared" si="4"/>
        <v>779.9055288808903</v>
      </c>
      <c r="L69" s="657">
        <v>73100</v>
      </c>
      <c r="M69" s="754"/>
      <c r="O69" s="735"/>
      <c r="P69" s="735"/>
      <c r="Q69" s="735"/>
    </row>
    <row r="70" spans="1:17" ht="17.25" customHeight="1">
      <c r="A70" s="739">
        <f t="shared" si="5"/>
        <v>65</v>
      </c>
      <c r="B70" s="296" t="s">
        <v>715</v>
      </c>
      <c r="C70" s="757">
        <v>42607</v>
      </c>
      <c r="D70" s="758" t="s">
        <v>794</v>
      </c>
      <c r="E70" s="834">
        <v>53</v>
      </c>
      <c r="F70" s="833">
        <v>42</v>
      </c>
      <c r="G70" s="833">
        <v>29</v>
      </c>
      <c r="H70" s="925">
        <f t="shared" si="2"/>
        <v>1.44</v>
      </c>
      <c r="I70" s="872">
        <v>1040</v>
      </c>
      <c r="J70" s="256">
        <f t="shared" si="3"/>
        <v>1497.6</v>
      </c>
      <c r="K70" s="256">
        <f t="shared" si="4"/>
        <v>11230.639615884818</v>
      </c>
      <c r="L70" s="657">
        <v>15100</v>
      </c>
      <c r="M70" s="754"/>
      <c r="O70" s="735"/>
      <c r="P70" s="735"/>
      <c r="Q70" s="735"/>
    </row>
    <row r="71" spans="1:17" ht="17.25" customHeight="1">
      <c r="A71" s="739">
        <f t="shared" si="5"/>
        <v>66</v>
      </c>
      <c r="B71" s="296" t="s">
        <v>715</v>
      </c>
      <c r="C71" s="757">
        <v>42607</v>
      </c>
      <c r="D71" s="758" t="s">
        <v>795</v>
      </c>
      <c r="E71" s="834">
        <v>53</v>
      </c>
      <c r="F71" s="833">
        <v>42</v>
      </c>
      <c r="G71" s="833">
        <v>29</v>
      </c>
      <c r="H71" s="925">
        <f t="shared" ref="H71:H124" si="12">IF(G71&lt;&gt;"",ROUND(((E71+F71)*2+5)*(F71+G71+3)/10000,2),ROUND(E71*F71/10000,2))</f>
        <v>1.44</v>
      </c>
      <c r="I71" s="872">
        <v>110</v>
      </c>
      <c r="J71" s="256">
        <f t="shared" ref="J71:J124" si="13">H71*I71</f>
        <v>158.4</v>
      </c>
      <c r="K71" s="256">
        <f t="shared" ref="K71:K124" si="14">H71*$R$40</f>
        <v>11230.639615884818</v>
      </c>
      <c r="L71" s="657">
        <v>15100</v>
      </c>
      <c r="M71" s="754"/>
      <c r="O71" s="735"/>
      <c r="P71" s="735"/>
      <c r="Q71" s="735"/>
    </row>
    <row r="72" spans="1:17" ht="17.25" customHeight="1">
      <c r="A72" s="739">
        <f t="shared" si="5"/>
        <v>67</v>
      </c>
      <c r="B72" s="296" t="s">
        <v>593</v>
      </c>
      <c r="C72" s="757">
        <v>42608</v>
      </c>
      <c r="D72" s="758" t="s">
        <v>796</v>
      </c>
      <c r="E72" s="834">
        <v>51.5</v>
      </c>
      <c r="F72" s="833">
        <v>39.5</v>
      </c>
      <c r="G72" s="833">
        <v>39.5</v>
      </c>
      <c r="H72" s="925">
        <f t="shared" si="12"/>
        <v>1.53</v>
      </c>
      <c r="I72" s="872">
        <v>120</v>
      </c>
      <c r="J72" s="256">
        <f t="shared" si="13"/>
        <v>183.6</v>
      </c>
      <c r="K72" s="256">
        <f t="shared" si="14"/>
        <v>11932.554591877621</v>
      </c>
      <c r="L72" s="657">
        <v>19000</v>
      </c>
      <c r="M72" s="754"/>
      <c r="O72" s="735"/>
      <c r="P72" s="735"/>
      <c r="Q72" s="735"/>
    </row>
    <row r="73" spans="1:17" ht="17.25" customHeight="1">
      <c r="A73" s="739">
        <f t="shared" si="5"/>
        <v>68</v>
      </c>
      <c r="B73" s="296" t="s">
        <v>594</v>
      </c>
      <c r="C73" s="757">
        <v>42608</v>
      </c>
      <c r="D73" s="758" t="s">
        <v>796</v>
      </c>
      <c r="E73" s="834">
        <v>50</v>
      </c>
      <c r="F73" s="833">
        <v>38</v>
      </c>
      <c r="G73" s="833"/>
      <c r="H73" s="925">
        <f t="shared" si="12"/>
        <v>0.19</v>
      </c>
      <c r="I73" s="872">
        <v>240</v>
      </c>
      <c r="J73" s="256">
        <f t="shared" si="13"/>
        <v>45.6</v>
      </c>
      <c r="K73" s="256">
        <f t="shared" si="14"/>
        <v>1481.8205048736916</v>
      </c>
      <c r="L73" s="657">
        <v>1750</v>
      </c>
      <c r="M73" s="754"/>
      <c r="O73" s="735"/>
      <c r="P73" s="735"/>
      <c r="Q73" s="735"/>
    </row>
    <row r="74" spans="1:17" ht="17.25" customHeight="1">
      <c r="A74" s="739">
        <f t="shared" si="5"/>
        <v>69</v>
      </c>
      <c r="B74" s="296" t="s">
        <v>574</v>
      </c>
      <c r="C74" s="757">
        <v>42608</v>
      </c>
      <c r="D74" s="758" t="s">
        <v>797</v>
      </c>
      <c r="E74" s="834">
        <v>49</v>
      </c>
      <c r="F74" s="833">
        <v>38</v>
      </c>
      <c r="G74" s="833">
        <v>12</v>
      </c>
      <c r="H74" s="925">
        <f t="shared" si="12"/>
        <v>0.95</v>
      </c>
      <c r="I74" s="872">
        <v>513</v>
      </c>
      <c r="J74" s="256">
        <f t="shared" si="13"/>
        <v>487.34999999999997</v>
      </c>
      <c r="K74" s="256">
        <f t="shared" si="14"/>
        <v>7409.1025243684571</v>
      </c>
      <c r="L74" s="657">
        <v>10500</v>
      </c>
      <c r="M74" s="754"/>
      <c r="O74" s="735"/>
      <c r="P74" s="735"/>
      <c r="Q74" s="735"/>
    </row>
    <row r="75" spans="1:17" ht="17.25" customHeight="1">
      <c r="A75" s="739">
        <f t="shared" si="5"/>
        <v>70</v>
      </c>
      <c r="B75" s="296" t="s">
        <v>595</v>
      </c>
      <c r="C75" s="757">
        <v>42608</v>
      </c>
      <c r="D75" s="758" t="s">
        <v>798</v>
      </c>
      <c r="E75" s="834">
        <v>52.5</v>
      </c>
      <c r="F75" s="833">
        <v>30.5</v>
      </c>
      <c r="G75" s="833">
        <v>8.5</v>
      </c>
      <c r="H75" s="925">
        <f t="shared" si="12"/>
        <v>0.72</v>
      </c>
      <c r="I75" s="872">
        <v>1000</v>
      </c>
      <c r="J75" s="256">
        <f t="shared" si="13"/>
        <v>720</v>
      </c>
      <c r="K75" s="256">
        <f t="shared" si="14"/>
        <v>5615.3198079424092</v>
      </c>
      <c r="L75" s="657">
        <v>7700</v>
      </c>
      <c r="M75" s="754"/>
      <c r="O75" s="735"/>
      <c r="P75" s="735"/>
      <c r="Q75" s="735"/>
    </row>
    <row r="76" spans="1:17" ht="17.25" customHeight="1">
      <c r="A76" s="739">
        <f t="shared" si="5"/>
        <v>71</v>
      </c>
      <c r="B76" s="296" t="s">
        <v>596</v>
      </c>
      <c r="C76" s="757">
        <v>42608</v>
      </c>
      <c r="D76" s="758" t="s">
        <v>798</v>
      </c>
      <c r="E76" s="834">
        <v>53</v>
      </c>
      <c r="F76" s="833">
        <v>31</v>
      </c>
      <c r="G76" s="833">
        <v>9.1999999999999993</v>
      </c>
      <c r="H76" s="925">
        <f t="shared" si="12"/>
        <v>0.75</v>
      </c>
      <c r="I76" s="872">
        <v>970</v>
      </c>
      <c r="J76" s="256">
        <f t="shared" si="13"/>
        <v>727.5</v>
      </c>
      <c r="K76" s="256">
        <f t="shared" si="14"/>
        <v>5849.2914666066772</v>
      </c>
      <c r="L76" s="657">
        <v>6400</v>
      </c>
      <c r="M76" s="754"/>
      <c r="O76" s="735"/>
      <c r="P76" s="735"/>
      <c r="Q76" s="735"/>
    </row>
    <row r="77" spans="1:17" ht="17.25" customHeight="1">
      <c r="A77" s="739">
        <f t="shared" si="5"/>
        <v>72</v>
      </c>
      <c r="B77" s="296" t="s">
        <v>597</v>
      </c>
      <c r="C77" s="757">
        <v>42609</v>
      </c>
      <c r="D77" s="758" t="s">
        <v>799</v>
      </c>
      <c r="E77" s="834">
        <v>43</v>
      </c>
      <c r="F77" s="833">
        <v>27.5</v>
      </c>
      <c r="G77" s="833">
        <v>23</v>
      </c>
      <c r="H77" s="925">
        <f t="shared" si="12"/>
        <v>0.78</v>
      </c>
      <c r="I77" s="872">
        <v>203</v>
      </c>
      <c r="J77" s="256">
        <f t="shared" si="13"/>
        <v>158.34</v>
      </c>
      <c r="K77" s="256">
        <f t="shared" si="14"/>
        <v>6083.2631252709443</v>
      </c>
      <c r="L77" s="657">
        <v>6400</v>
      </c>
      <c r="M77" s="754"/>
      <c r="O77" s="735"/>
      <c r="P77" s="735"/>
      <c r="Q77" s="735"/>
    </row>
    <row r="78" spans="1:17" ht="17.25" customHeight="1">
      <c r="A78" s="739">
        <f t="shared" si="5"/>
        <v>73</v>
      </c>
      <c r="B78" s="296" t="s">
        <v>588</v>
      </c>
      <c r="C78" s="757">
        <v>42611</v>
      </c>
      <c r="D78" s="758" t="s">
        <v>800</v>
      </c>
      <c r="E78" s="834">
        <v>103</v>
      </c>
      <c r="F78" s="833">
        <v>50</v>
      </c>
      <c r="G78" s="833">
        <v>180</v>
      </c>
      <c r="H78" s="925">
        <f t="shared" si="12"/>
        <v>7.25</v>
      </c>
      <c r="I78" s="872">
        <v>160</v>
      </c>
      <c r="J78" s="256">
        <f t="shared" si="13"/>
        <v>1160</v>
      </c>
      <c r="K78" s="256">
        <f t="shared" si="14"/>
        <v>56543.15084386454</v>
      </c>
      <c r="L78" s="657">
        <v>47449</v>
      </c>
      <c r="M78" s="754"/>
      <c r="O78" s="735"/>
      <c r="P78" s="735"/>
      <c r="Q78" s="735"/>
    </row>
    <row r="79" spans="1:17" ht="17.25" customHeight="1">
      <c r="A79" s="739">
        <f t="shared" si="5"/>
        <v>74</v>
      </c>
      <c r="B79" s="296" t="s">
        <v>411</v>
      </c>
      <c r="C79" s="757">
        <v>42612</v>
      </c>
      <c r="D79" s="758" t="s">
        <v>801</v>
      </c>
      <c r="E79" s="834">
        <v>125</v>
      </c>
      <c r="F79" s="833">
        <v>185</v>
      </c>
      <c r="G79" s="833"/>
      <c r="H79" s="925">
        <f t="shared" si="12"/>
        <v>2.31</v>
      </c>
      <c r="I79" s="872">
        <v>500</v>
      </c>
      <c r="J79" s="256">
        <f t="shared" si="13"/>
        <v>1155</v>
      </c>
      <c r="K79" s="256">
        <f t="shared" si="14"/>
        <v>18015.817717148566</v>
      </c>
      <c r="L79" s="657">
        <v>12950</v>
      </c>
      <c r="M79" s="754"/>
      <c r="O79" s="735"/>
      <c r="P79" s="735"/>
      <c r="Q79" s="735"/>
    </row>
    <row r="80" spans="1:17" ht="17.25" customHeight="1">
      <c r="A80" s="739">
        <f t="shared" si="5"/>
        <v>75</v>
      </c>
      <c r="B80" s="296" t="s">
        <v>561</v>
      </c>
      <c r="C80" s="757">
        <v>42613</v>
      </c>
      <c r="D80" s="758" t="s">
        <v>802</v>
      </c>
      <c r="E80" s="834">
        <v>45</v>
      </c>
      <c r="F80" s="833">
        <v>37</v>
      </c>
      <c r="G80" s="833">
        <v>27.5</v>
      </c>
      <c r="H80" s="925">
        <f t="shared" si="12"/>
        <v>1.1399999999999999</v>
      </c>
      <c r="I80" s="872">
        <v>1500</v>
      </c>
      <c r="J80" s="256">
        <f t="shared" si="13"/>
        <v>1709.9999999999998</v>
      </c>
      <c r="K80" s="256">
        <f t="shared" si="14"/>
        <v>8890.9230292421471</v>
      </c>
      <c r="L80" s="657">
        <v>13800</v>
      </c>
      <c r="M80" s="754"/>
      <c r="O80" s="735"/>
      <c r="P80" s="735"/>
      <c r="Q80" s="735"/>
    </row>
    <row r="81" spans="1:17" ht="17.25" customHeight="1">
      <c r="A81" s="739">
        <f t="shared" si="5"/>
        <v>76</v>
      </c>
      <c r="B81" s="296" t="s">
        <v>561</v>
      </c>
      <c r="C81" s="757">
        <v>42613</v>
      </c>
      <c r="D81" s="758" t="s">
        <v>802</v>
      </c>
      <c r="E81" s="834">
        <v>45</v>
      </c>
      <c r="F81" s="833">
        <v>37</v>
      </c>
      <c r="G81" s="833">
        <v>27.5</v>
      </c>
      <c r="H81" s="925">
        <f t="shared" si="12"/>
        <v>1.1399999999999999</v>
      </c>
      <c r="I81" s="872">
        <v>400</v>
      </c>
      <c r="J81" s="256">
        <f t="shared" si="13"/>
        <v>455.99999999999994</v>
      </c>
      <c r="K81" s="256">
        <f t="shared" si="14"/>
        <v>8890.9230292421471</v>
      </c>
      <c r="L81" s="657">
        <v>13400</v>
      </c>
      <c r="M81" s="754"/>
      <c r="O81" s="735"/>
      <c r="P81" s="735"/>
      <c r="Q81" s="735"/>
    </row>
    <row r="82" spans="1:17" ht="17.25" customHeight="1">
      <c r="A82" s="739">
        <f t="shared" si="5"/>
        <v>77</v>
      </c>
      <c r="B82" s="296" t="s">
        <v>418</v>
      </c>
      <c r="C82" s="757">
        <v>42613</v>
      </c>
      <c r="D82" s="758" t="s">
        <v>802</v>
      </c>
      <c r="E82" s="834">
        <v>44</v>
      </c>
      <c r="F82" s="833">
        <v>20</v>
      </c>
      <c r="G82" s="833"/>
      <c r="H82" s="925">
        <f t="shared" si="12"/>
        <v>0.09</v>
      </c>
      <c r="I82" s="872">
        <v>3800</v>
      </c>
      <c r="J82" s="256">
        <f t="shared" si="13"/>
        <v>342</v>
      </c>
      <c r="K82" s="256">
        <f t="shared" si="14"/>
        <v>701.91497599280115</v>
      </c>
      <c r="L82" s="657">
        <v>1300</v>
      </c>
      <c r="M82" s="754"/>
      <c r="O82" s="735"/>
      <c r="P82" s="735"/>
      <c r="Q82" s="735"/>
    </row>
    <row r="83" spans="1:17" ht="17.25" customHeight="1">
      <c r="A83" s="739">
        <f t="shared" si="5"/>
        <v>78</v>
      </c>
      <c r="B83" s="296" t="s">
        <v>579</v>
      </c>
      <c r="C83" s="757">
        <v>42613</v>
      </c>
      <c r="D83" s="758" t="s">
        <v>803</v>
      </c>
      <c r="E83" s="834">
        <v>52</v>
      </c>
      <c r="F83" s="833">
        <v>24.5</v>
      </c>
      <c r="G83" s="833">
        <v>24.5</v>
      </c>
      <c r="H83" s="925">
        <f t="shared" si="12"/>
        <v>0.82</v>
      </c>
      <c r="I83" s="872">
        <v>819</v>
      </c>
      <c r="J83" s="256">
        <f t="shared" si="13"/>
        <v>671.57999999999993</v>
      </c>
      <c r="K83" s="256">
        <f t="shared" si="14"/>
        <v>6395.2253368232996</v>
      </c>
      <c r="L83" s="657">
        <v>5000</v>
      </c>
      <c r="M83" s="754"/>
      <c r="O83" s="735"/>
      <c r="P83" s="735"/>
      <c r="Q83" s="735"/>
    </row>
    <row r="84" spans="1:17" ht="17.25" customHeight="1">
      <c r="A84" s="739">
        <f t="shared" si="5"/>
        <v>79</v>
      </c>
      <c r="B84" s="296" t="s">
        <v>605</v>
      </c>
      <c r="C84" s="757">
        <v>42613</v>
      </c>
      <c r="D84" s="758" t="s">
        <v>803</v>
      </c>
      <c r="E84" s="834">
        <v>52</v>
      </c>
      <c r="F84" s="833">
        <v>26.5</v>
      </c>
      <c r="G84" s="833">
        <v>26.5</v>
      </c>
      <c r="H84" s="925">
        <f t="shared" si="12"/>
        <v>0.91</v>
      </c>
      <c r="I84" s="872">
        <v>610</v>
      </c>
      <c r="J84" s="256">
        <f t="shared" si="13"/>
        <v>555.1</v>
      </c>
      <c r="K84" s="256">
        <f t="shared" si="14"/>
        <v>7097.140312816101</v>
      </c>
      <c r="L84" s="657">
        <v>5550</v>
      </c>
      <c r="M84" s="754"/>
      <c r="O84" s="735"/>
      <c r="P84" s="735"/>
      <c r="Q84" s="735"/>
    </row>
    <row r="85" spans="1:17" ht="17.25" customHeight="1">
      <c r="A85" s="739">
        <f t="shared" si="5"/>
        <v>80</v>
      </c>
      <c r="B85" s="296" t="s">
        <v>581</v>
      </c>
      <c r="C85" s="757">
        <v>42613</v>
      </c>
      <c r="D85" s="758" t="s">
        <v>803</v>
      </c>
      <c r="E85" s="834">
        <v>55</v>
      </c>
      <c r="F85" s="833">
        <v>45</v>
      </c>
      <c r="G85" s="833">
        <v>29</v>
      </c>
      <c r="H85" s="925">
        <f t="shared" si="12"/>
        <v>1.58</v>
      </c>
      <c r="I85" s="872">
        <v>599</v>
      </c>
      <c r="J85" s="256">
        <f t="shared" si="13"/>
        <v>946.42000000000007</v>
      </c>
      <c r="K85" s="256">
        <f t="shared" si="14"/>
        <v>12322.507356318067</v>
      </c>
      <c r="L85" s="657">
        <v>9700</v>
      </c>
      <c r="M85" s="754"/>
      <c r="O85" s="735"/>
      <c r="P85" s="735"/>
      <c r="Q85" s="735"/>
    </row>
    <row r="86" spans="1:17" ht="17.25" customHeight="1">
      <c r="A86" s="739">
        <f t="shared" si="5"/>
        <v>81</v>
      </c>
      <c r="B86" s="296" t="s">
        <v>686</v>
      </c>
      <c r="C86" s="757">
        <v>42613</v>
      </c>
      <c r="D86" s="758" t="s">
        <v>803</v>
      </c>
      <c r="E86" s="834">
        <v>61</v>
      </c>
      <c r="F86" s="833">
        <v>51</v>
      </c>
      <c r="G86" s="833">
        <v>30</v>
      </c>
      <c r="H86" s="925">
        <f t="shared" si="12"/>
        <v>1.92</v>
      </c>
      <c r="I86" s="872">
        <v>305</v>
      </c>
      <c r="J86" s="256">
        <f t="shared" si="13"/>
        <v>585.6</v>
      </c>
      <c r="K86" s="256">
        <f t="shared" si="14"/>
        <v>14974.186154513092</v>
      </c>
      <c r="L86" s="657">
        <v>10670</v>
      </c>
      <c r="M86" s="754"/>
      <c r="O86" s="735"/>
      <c r="P86" s="735"/>
      <c r="Q86" s="735"/>
    </row>
    <row r="87" spans="1:17" ht="17.25" customHeight="1">
      <c r="A87" s="739">
        <f t="shared" si="5"/>
        <v>82</v>
      </c>
      <c r="B87" s="296" t="s">
        <v>599</v>
      </c>
      <c r="C87" s="757">
        <v>42614</v>
      </c>
      <c r="D87" s="758" t="s">
        <v>804</v>
      </c>
      <c r="E87" s="834">
        <v>52</v>
      </c>
      <c r="F87" s="833">
        <v>28</v>
      </c>
      <c r="G87" s="833">
        <v>28</v>
      </c>
      <c r="H87" s="925">
        <f t="shared" si="12"/>
        <v>0.97</v>
      </c>
      <c r="I87" s="872">
        <v>504</v>
      </c>
      <c r="J87" s="256">
        <f t="shared" si="13"/>
        <v>488.88</v>
      </c>
      <c r="K87" s="256">
        <f t="shared" si="14"/>
        <v>7565.0836301446352</v>
      </c>
      <c r="L87" s="657">
        <v>6400</v>
      </c>
      <c r="M87" s="754"/>
      <c r="O87" s="735"/>
      <c r="P87" s="735"/>
      <c r="Q87" s="735"/>
    </row>
    <row r="88" spans="1:17" ht="17.25" customHeight="1">
      <c r="A88" s="739">
        <f t="shared" si="5"/>
        <v>83</v>
      </c>
      <c r="B88" s="296" t="s">
        <v>600</v>
      </c>
      <c r="C88" s="757">
        <v>42614</v>
      </c>
      <c r="D88" s="758" t="s">
        <v>805</v>
      </c>
      <c r="E88" s="834">
        <v>32</v>
      </c>
      <c r="F88" s="833">
        <v>26</v>
      </c>
      <c r="G88" s="833">
        <v>25</v>
      </c>
      <c r="H88" s="925">
        <f t="shared" si="12"/>
        <v>0.65</v>
      </c>
      <c r="I88" s="872">
        <v>2660</v>
      </c>
      <c r="J88" s="256">
        <f t="shared" si="13"/>
        <v>1729</v>
      </c>
      <c r="K88" s="256">
        <f t="shared" si="14"/>
        <v>5069.3859377257868</v>
      </c>
      <c r="L88" s="657">
        <v>7350</v>
      </c>
      <c r="M88" s="754"/>
      <c r="O88" s="735"/>
      <c r="P88" s="735"/>
      <c r="Q88" s="735"/>
    </row>
    <row r="89" spans="1:17" ht="17.25" customHeight="1">
      <c r="A89" s="739">
        <f t="shared" si="5"/>
        <v>84</v>
      </c>
      <c r="B89" s="296" t="s">
        <v>713</v>
      </c>
      <c r="C89" s="757">
        <v>42618</v>
      </c>
      <c r="D89" s="758" t="s">
        <v>806</v>
      </c>
      <c r="E89" s="834">
        <v>36</v>
      </c>
      <c r="F89" s="833">
        <v>30.5</v>
      </c>
      <c r="G89" s="833">
        <v>42</v>
      </c>
      <c r="H89" s="925">
        <f t="shared" si="12"/>
        <v>1.04</v>
      </c>
      <c r="I89" s="872">
        <v>412</v>
      </c>
      <c r="J89" s="256">
        <f t="shared" si="13"/>
        <v>428.48</v>
      </c>
      <c r="K89" s="256">
        <f t="shared" si="14"/>
        <v>8111.0175003612585</v>
      </c>
      <c r="L89" s="657">
        <v>11800</v>
      </c>
      <c r="M89" s="754"/>
      <c r="O89" s="735"/>
      <c r="P89" s="735"/>
      <c r="Q89" s="735"/>
    </row>
    <row r="90" spans="1:17" ht="17.25" customHeight="1">
      <c r="A90" s="739">
        <f t="shared" si="5"/>
        <v>85</v>
      </c>
      <c r="B90" s="296" t="s">
        <v>559</v>
      </c>
      <c r="C90" s="757">
        <v>42618</v>
      </c>
      <c r="D90" s="758" t="s">
        <v>806</v>
      </c>
      <c r="E90" s="834">
        <v>47</v>
      </c>
      <c r="F90" s="833">
        <v>42</v>
      </c>
      <c r="G90" s="833">
        <v>25</v>
      </c>
      <c r="H90" s="925">
        <f t="shared" si="12"/>
        <v>1.28</v>
      </c>
      <c r="I90" s="872">
        <v>382</v>
      </c>
      <c r="J90" s="256">
        <f t="shared" si="13"/>
        <v>488.96000000000004</v>
      </c>
      <c r="K90" s="256">
        <f t="shared" si="14"/>
        <v>9982.7907696753955</v>
      </c>
      <c r="L90" s="657">
        <v>9400</v>
      </c>
      <c r="M90" s="754"/>
      <c r="O90" s="735"/>
      <c r="P90" s="735"/>
      <c r="Q90" s="735"/>
    </row>
    <row r="91" spans="1:17" ht="17.25" customHeight="1">
      <c r="A91" s="739">
        <f t="shared" si="5"/>
        <v>86</v>
      </c>
      <c r="B91" s="296" t="s">
        <v>559</v>
      </c>
      <c r="C91" s="757">
        <v>42618</v>
      </c>
      <c r="D91" s="758" t="s">
        <v>806</v>
      </c>
      <c r="E91" s="834">
        <v>47</v>
      </c>
      <c r="F91" s="833">
        <v>42</v>
      </c>
      <c r="G91" s="833">
        <v>25</v>
      </c>
      <c r="H91" s="925">
        <f t="shared" si="12"/>
        <v>1.28</v>
      </c>
      <c r="I91" s="872">
        <v>110</v>
      </c>
      <c r="J91" s="256">
        <f t="shared" si="13"/>
        <v>140.80000000000001</v>
      </c>
      <c r="K91" s="256">
        <f t="shared" si="14"/>
        <v>9982.7907696753955</v>
      </c>
      <c r="L91" s="657">
        <v>16700</v>
      </c>
      <c r="M91" s="754"/>
      <c r="O91" s="735"/>
      <c r="P91" s="735"/>
      <c r="Q91" s="735"/>
    </row>
    <row r="92" spans="1:17" ht="17.25" customHeight="1">
      <c r="A92" s="739">
        <f t="shared" si="5"/>
        <v>87</v>
      </c>
      <c r="B92" s="296" t="s">
        <v>714</v>
      </c>
      <c r="C92" s="757">
        <v>42618</v>
      </c>
      <c r="D92" s="758" t="s">
        <v>806</v>
      </c>
      <c r="E92" s="834">
        <v>28</v>
      </c>
      <c r="F92" s="833">
        <v>28</v>
      </c>
      <c r="G92" s="833">
        <v>42</v>
      </c>
      <c r="H92" s="925">
        <f t="shared" si="12"/>
        <v>0.85</v>
      </c>
      <c r="I92" s="872">
        <v>110</v>
      </c>
      <c r="J92" s="256">
        <f t="shared" si="13"/>
        <v>93.5</v>
      </c>
      <c r="K92" s="256">
        <f t="shared" si="14"/>
        <v>6629.1969954875667</v>
      </c>
      <c r="L92" s="657">
        <v>6300</v>
      </c>
      <c r="M92" s="754"/>
      <c r="O92" s="735"/>
      <c r="P92" s="735"/>
      <c r="Q92" s="735"/>
    </row>
    <row r="93" spans="1:17" ht="17.25" customHeight="1">
      <c r="A93" s="739">
        <f t="shared" si="5"/>
        <v>88</v>
      </c>
      <c r="B93" s="296" t="s">
        <v>715</v>
      </c>
      <c r="C93" s="757">
        <v>42618</v>
      </c>
      <c r="D93" s="758" t="s">
        <v>807</v>
      </c>
      <c r="E93" s="834">
        <v>53</v>
      </c>
      <c r="F93" s="833">
        <v>42</v>
      </c>
      <c r="G93" s="833">
        <v>29</v>
      </c>
      <c r="H93" s="925">
        <f t="shared" si="12"/>
        <v>1.44</v>
      </c>
      <c r="I93" s="872">
        <v>65</v>
      </c>
      <c r="J93" s="256">
        <f t="shared" si="13"/>
        <v>93.6</v>
      </c>
      <c r="K93" s="256">
        <f t="shared" si="14"/>
        <v>11230.639615884818</v>
      </c>
      <c r="L93" s="657">
        <v>15600</v>
      </c>
      <c r="M93" s="754"/>
      <c r="O93" s="735"/>
      <c r="P93" s="735"/>
      <c r="Q93" s="735"/>
    </row>
    <row r="94" spans="1:17" ht="17.25" customHeight="1">
      <c r="A94" s="739">
        <f t="shared" si="5"/>
        <v>89</v>
      </c>
      <c r="B94" s="296" t="s">
        <v>716</v>
      </c>
      <c r="C94" s="757">
        <v>42618</v>
      </c>
      <c r="D94" s="758" t="s">
        <v>807</v>
      </c>
      <c r="E94" s="834">
        <v>47</v>
      </c>
      <c r="F94" s="833">
        <v>42</v>
      </c>
      <c r="G94" s="833">
        <v>13.5</v>
      </c>
      <c r="H94" s="925">
        <f t="shared" si="12"/>
        <v>1.07</v>
      </c>
      <c r="I94" s="872">
        <v>917</v>
      </c>
      <c r="J94" s="256">
        <f t="shared" si="13"/>
        <v>981.19</v>
      </c>
      <c r="K94" s="256">
        <f t="shared" si="14"/>
        <v>8344.9891590255265</v>
      </c>
      <c r="L94" s="657">
        <v>7900</v>
      </c>
      <c r="M94" s="754"/>
      <c r="O94" s="735"/>
      <c r="P94" s="735"/>
      <c r="Q94" s="735"/>
    </row>
    <row r="95" spans="1:17" ht="17.25" customHeight="1">
      <c r="A95" s="739">
        <f t="shared" si="5"/>
        <v>90</v>
      </c>
      <c r="B95" s="296" t="s">
        <v>559</v>
      </c>
      <c r="C95" s="757">
        <v>42618</v>
      </c>
      <c r="D95" s="758" t="s">
        <v>807</v>
      </c>
      <c r="E95" s="834">
        <v>47</v>
      </c>
      <c r="F95" s="833">
        <v>42</v>
      </c>
      <c r="G95" s="833">
        <v>25</v>
      </c>
      <c r="H95" s="925">
        <f t="shared" si="12"/>
        <v>1.28</v>
      </c>
      <c r="I95" s="872">
        <v>72</v>
      </c>
      <c r="J95" s="256">
        <f t="shared" si="13"/>
        <v>92.16</v>
      </c>
      <c r="K95" s="256">
        <f t="shared" si="14"/>
        <v>9982.7907696753955</v>
      </c>
      <c r="L95" s="657">
        <v>9400</v>
      </c>
      <c r="M95" s="754"/>
      <c r="O95" s="735"/>
      <c r="P95" s="735"/>
      <c r="Q95" s="735"/>
    </row>
    <row r="96" spans="1:17" ht="17.25" customHeight="1">
      <c r="A96" s="739">
        <f t="shared" si="5"/>
        <v>91</v>
      </c>
      <c r="B96" s="296" t="s">
        <v>569</v>
      </c>
      <c r="C96" s="757">
        <v>42619</v>
      </c>
      <c r="D96" s="758" t="s">
        <v>808</v>
      </c>
      <c r="E96" s="834">
        <v>37.5</v>
      </c>
      <c r="F96" s="833">
        <v>25.5</v>
      </c>
      <c r="G96" s="833">
        <v>23.9</v>
      </c>
      <c r="H96" s="925">
        <f t="shared" si="12"/>
        <v>0.69</v>
      </c>
      <c r="I96" s="872">
        <v>1036</v>
      </c>
      <c r="J96" s="256">
        <f t="shared" si="13"/>
        <v>714.83999999999992</v>
      </c>
      <c r="K96" s="256">
        <f t="shared" si="14"/>
        <v>5381.348149278142</v>
      </c>
      <c r="L96" s="657">
        <v>5900</v>
      </c>
      <c r="M96" s="754"/>
      <c r="O96" s="735"/>
      <c r="P96" s="735"/>
      <c r="Q96" s="735"/>
    </row>
    <row r="97" spans="1:17" ht="17.25" customHeight="1">
      <c r="A97" s="739">
        <f t="shared" si="5"/>
        <v>92</v>
      </c>
      <c r="B97" s="296" t="s">
        <v>726</v>
      </c>
      <c r="C97" s="757">
        <v>42619</v>
      </c>
      <c r="D97" s="758" t="s">
        <v>810</v>
      </c>
      <c r="E97" s="834">
        <v>39.5</v>
      </c>
      <c r="F97" s="833">
        <v>32.299999999999997</v>
      </c>
      <c r="G97" s="833">
        <v>27.7</v>
      </c>
      <c r="H97" s="925">
        <f t="shared" si="12"/>
        <v>0.94</v>
      </c>
      <c r="I97" s="872">
        <v>212</v>
      </c>
      <c r="J97" s="256">
        <f t="shared" si="13"/>
        <v>199.28</v>
      </c>
      <c r="K97" s="256">
        <f t="shared" si="14"/>
        <v>7331.1119714803681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5"/>
        <v>93</v>
      </c>
      <c r="B98" s="296" t="s">
        <v>588</v>
      </c>
      <c r="C98" s="757">
        <v>42620</v>
      </c>
      <c r="D98" s="758" t="s">
        <v>812</v>
      </c>
      <c r="E98" s="834">
        <v>103</v>
      </c>
      <c r="F98" s="833">
        <v>50</v>
      </c>
      <c r="G98" s="833">
        <v>180</v>
      </c>
      <c r="H98" s="925">
        <f t="shared" si="12"/>
        <v>7.25</v>
      </c>
      <c r="I98" s="872">
        <v>60</v>
      </c>
      <c r="J98" s="256">
        <f t="shared" si="13"/>
        <v>435</v>
      </c>
      <c r="K98" s="256">
        <f t="shared" si="14"/>
        <v>56543.15084386454</v>
      </c>
      <c r="L98" s="657">
        <v>47449</v>
      </c>
      <c r="M98" s="754"/>
      <c r="O98" s="735"/>
      <c r="P98" s="735"/>
      <c r="Q98" s="735"/>
    </row>
    <row r="99" spans="1:17" ht="17.25" customHeight="1">
      <c r="A99" s="739">
        <f t="shared" si="5"/>
        <v>94</v>
      </c>
      <c r="B99" s="296" t="s">
        <v>728</v>
      </c>
      <c r="C99" s="757">
        <v>42620</v>
      </c>
      <c r="D99" s="758" t="s">
        <v>812</v>
      </c>
      <c r="E99" s="834">
        <v>122</v>
      </c>
      <c r="F99" s="833">
        <v>54</v>
      </c>
      <c r="G99" s="833">
        <v>180</v>
      </c>
      <c r="H99" s="925">
        <f t="shared" si="12"/>
        <v>8.4600000000000009</v>
      </c>
      <c r="I99" s="872">
        <v>20</v>
      </c>
      <c r="J99" s="256">
        <f t="shared" si="13"/>
        <v>169.20000000000002</v>
      </c>
      <c r="K99" s="256">
        <f t="shared" si="14"/>
        <v>65980.007743323324</v>
      </c>
      <c r="L99" s="657">
        <v>54530</v>
      </c>
      <c r="M99" s="754"/>
      <c r="O99" s="735"/>
      <c r="P99" s="735"/>
      <c r="Q99" s="735"/>
    </row>
    <row r="100" spans="1:17" ht="17.25" customHeight="1">
      <c r="A100" s="739">
        <f t="shared" si="5"/>
        <v>95</v>
      </c>
      <c r="B100" s="296" t="s">
        <v>602</v>
      </c>
      <c r="C100" s="757">
        <v>42621</v>
      </c>
      <c r="D100" s="758" t="s">
        <v>813</v>
      </c>
      <c r="E100" s="834">
        <v>23.5</v>
      </c>
      <c r="F100" s="833">
        <v>23.5</v>
      </c>
      <c r="G100" s="833">
        <v>30</v>
      </c>
      <c r="H100" s="925">
        <f t="shared" si="12"/>
        <v>0.56000000000000005</v>
      </c>
      <c r="I100" s="872">
        <v>1027</v>
      </c>
      <c r="J100" s="256">
        <f t="shared" si="13"/>
        <v>575.12</v>
      </c>
      <c r="K100" s="256">
        <f t="shared" si="14"/>
        <v>4367.4709617329854</v>
      </c>
      <c r="L100" s="657">
        <v>6700</v>
      </c>
      <c r="M100" s="754"/>
      <c r="O100" s="735"/>
      <c r="P100" s="735"/>
      <c r="Q100" s="735"/>
    </row>
    <row r="101" spans="1:17" ht="17.25" customHeight="1">
      <c r="A101" s="739">
        <f t="shared" si="5"/>
        <v>96</v>
      </c>
      <c r="B101" s="296" t="s">
        <v>708</v>
      </c>
      <c r="C101" s="757">
        <v>42621</v>
      </c>
      <c r="D101" s="758" t="s">
        <v>814</v>
      </c>
      <c r="E101" s="834">
        <v>43</v>
      </c>
      <c r="F101" s="833">
        <v>42</v>
      </c>
      <c r="G101" s="833">
        <v>26</v>
      </c>
      <c r="H101" s="925">
        <f t="shared" si="12"/>
        <v>1.24</v>
      </c>
      <c r="I101" s="872">
        <v>300</v>
      </c>
      <c r="J101" s="256">
        <f t="shared" si="13"/>
        <v>372</v>
      </c>
      <c r="K101" s="256">
        <f t="shared" si="14"/>
        <v>9670.8285581230393</v>
      </c>
      <c r="L101" s="657">
        <v>12400</v>
      </c>
      <c r="M101" s="754"/>
      <c r="O101" s="735"/>
      <c r="P101" s="735"/>
      <c r="Q101" s="735"/>
    </row>
    <row r="102" spans="1:17" ht="17.25" customHeight="1">
      <c r="A102" s="739">
        <f t="shared" si="5"/>
        <v>97</v>
      </c>
      <c r="B102" s="296" t="s">
        <v>709</v>
      </c>
      <c r="C102" s="757">
        <v>42621</v>
      </c>
      <c r="D102" s="758" t="s">
        <v>814</v>
      </c>
      <c r="E102" s="834">
        <v>49</v>
      </c>
      <c r="F102" s="833">
        <v>47</v>
      </c>
      <c r="G102" s="833">
        <v>27</v>
      </c>
      <c r="H102" s="925">
        <f t="shared" si="12"/>
        <v>1.52</v>
      </c>
      <c r="I102" s="872">
        <v>300</v>
      </c>
      <c r="J102" s="256">
        <f t="shared" si="13"/>
        <v>456</v>
      </c>
      <c r="K102" s="256">
        <f t="shared" si="14"/>
        <v>11854.564038989532</v>
      </c>
      <c r="L102" s="657">
        <v>14200</v>
      </c>
      <c r="M102" s="754"/>
      <c r="O102" s="735"/>
      <c r="P102" s="735"/>
      <c r="Q102" s="735"/>
    </row>
    <row r="103" spans="1:17" ht="17.25" customHeight="1">
      <c r="A103" s="739">
        <f t="shared" si="5"/>
        <v>98</v>
      </c>
      <c r="B103" s="296" t="s">
        <v>712</v>
      </c>
      <c r="C103" s="757">
        <v>42621</v>
      </c>
      <c r="D103" s="758" t="s">
        <v>814</v>
      </c>
      <c r="E103" s="834">
        <v>38</v>
      </c>
      <c r="F103" s="833">
        <v>37</v>
      </c>
      <c r="G103" s="833">
        <v>30</v>
      </c>
      <c r="H103" s="925">
        <f t="shared" si="12"/>
        <v>1.0900000000000001</v>
      </c>
      <c r="I103" s="872">
        <v>300</v>
      </c>
      <c r="J103" s="256">
        <f t="shared" si="13"/>
        <v>327</v>
      </c>
      <c r="K103" s="256">
        <f t="shared" si="14"/>
        <v>8500.9702648017046</v>
      </c>
      <c r="L103" s="657">
        <v>15300</v>
      </c>
      <c r="M103" s="754"/>
      <c r="O103" s="735"/>
      <c r="P103" s="735"/>
      <c r="Q103" s="735"/>
    </row>
    <row r="104" spans="1:17" ht="17.25" customHeight="1">
      <c r="A104" s="739">
        <f t="shared" si="5"/>
        <v>99</v>
      </c>
      <c r="B104" s="296" t="s">
        <v>710</v>
      </c>
      <c r="C104" s="757">
        <v>42621</v>
      </c>
      <c r="D104" s="758" t="s">
        <v>814</v>
      </c>
      <c r="E104" s="834">
        <v>40</v>
      </c>
      <c r="F104" s="833">
        <v>39</v>
      </c>
      <c r="G104" s="833">
        <v>32</v>
      </c>
      <c r="H104" s="925">
        <f t="shared" si="12"/>
        <v>1.21</v>
      </c>
      <c r="I104" s="872">
        <v>300</v>
      </c>
      <c r="J104" s="256">
        <f t="shared" si="13"/>
        <v>363</v>
      </c>
      <c r="K104" s="256">
        <f t="shared" si="14"/>
        <v>9436.8568994587713</v>
      </c>
      <c r="L104" s="657">
        <v>16500</v>
      </c>
      <c r="M104" s="754"/>
      <c r="O104" s="735"/>
      <c r="P104" s="735"/>
      <c r="Q104" s="735"/>
    </row>
    <row r="105" spans="1:17" ht="17.25" customHeight="1">
      <c r="A105" s="739">
        <f t="shared" si="5"/>
        <v>100</v>
      </c>
      <c r="B105" s="296" t="s">
        <v>711</v>
      </c>
      <c r="C105" s="757">
        <v>42621</v>
      </c>
      <c r="D105" s="758" t="s">
        <v>814</v>
      </c>
      <c r="E105" s="834">
        <v>42</v>
      </c>
      <c r="F105" s="833">
        <v>41</v>
      </c>
      <c r="G105" s="833">
        <v>34</v>
      </c>
      <c r="H105" s="925">
        <f t="shared" si="12"/>
        <v>1.33</v>
      </c>
      <c r="I105" s="872">
        <v>300</v>
      </c>
      <c r="J105" s="256">
        <f t="shared" si="13"/>
        <v>399</v>
      </c>
      <c r="K105" s="256">
        <f t="shared" si="14"/>
        <v>10372.74353411584</v>
      </c>
      <c r="L105" s="657">
        <v>19700</v>
      </c>
      <c r="M105" s="754"/>
      <c r="O105" s="735"/>
      <c r="P105" s="735"/>
      <c r="Q105" s="735"/>
    </row>
    <row r="106" spans="1:17" ht="17.25" customHeight="1">
      <c r="A106" s="739">
        <f t="shared" si="5"/>
        <v>101</v>
      </c>
      <c r="B106" s="296" t="s">
        <v>604</v>
      </c>
      <c r="C106" s="757">
        <v>42624</v>
      </c>
      <c r="D106" s="758" t="s">
        <v>815</v>
      </c>
      <c r="E106" s="834">
        <v>44.5</v>
      </c>
      <c r="F106" s="833">
        <v>28.5</v>
      </c>
      <c r="G106" s="833">
        <v>22.5</v>
      </c>
      <c r="H106" s="925">
        <f t="shared" si="12"/>
        <v>0.82</v>
      </c>
      <c r="I106" s="872">
        <v>10520</v>
      </c>
      <c r="J106" s="256">
        <f t="shared" si="13"/>
        <v>8626.4</v>
      </c>
      <c r="K106" s="256">
        <f t="shared" si="14"/>
        <v>6395.2253368232996</v>
      </c>
      <c r="L106" s="657">
        <v>9000</v>
      </c>
      <c r="M106" s="754"/>
      <c r="O106" s="735"/>
      <c r="P106" s="735"/>
      <c r="Q106" s="735"/>
    </row>
    <row r="107" spans="1:17" ht="17.25" customHeight="1">
      <c r="A107" s="739">
        <f t="shared" si="5"/>
        <v>102</v>
      </c>
      <c r="B107" s="296" t="s">
        <v>726</v>
      </c>
      <c r="C107" s="757">
        <v>42626</v>
      </c>
      <c r="D107" s="758" t="s">
        <v>816</v>
      </c>
      <c r="E107" s="834">
        <v>39.5</v>
      </c>
      <c r="F107" s="833">
        <v>32.299999999999997</v>
      </c>
      <c r="G107" s="833">
        <v>27.7</v>
      </c>
      <c r="H107" s="925">
        <f t="shared" si="12"/>
        <v>0.94</v>
      </c>
      <c r="I107" s="872">
        <v>210</v>
      </c>
      <c r="J107" s="256">
        <f t="shared" si="13"/>
        <v>197.39999999999998</v>
      </c>
      <c r="K107" s="256">
        <f t="shared" si="14"/>
        <v>7331.1119714803681</v>
      </c>
      <c r="L107" s="657">
        <v>9400</v>
      </c>
      <c r="M107" s="754"/>
      <c r="O107" s="735"/>
      <c r="P107" s="735"/>
      <c r="Q107" s="735"/>
    </row>
    <row r="108" spans="1:17" ht="17.25" customHeight="1">
      <c r="A108" s="739">
        <f t="shared" si="5"/>
        <v>103</v>
      </c>
      <c r="B108" s="296" t="s">
        <v>727</v>
      </c>
      <c r="C108" s="757">
        <v>42626</v>
      </c>
      <c r="D108" s="758" t="s">
        <v>816</v>
      </c>
      <c r="E108" s="834">
        <v>35</v>
      </c>
      <c r="F108" s="833">
        <v>35</v>
      </c>
      <c r="G108" s="833">
        <v>21</v>
      </c>
      <c r="H108" s="925">
        <f t="shared" si="12"/>
        <v>0.86</v>
      </c>
      <c r="I108" s="872">
        <v>200</v>
      </c>
      <c r="J108" s="256">
        <f t="shared" si="13"/>
        <v>172</v>
      </c>
      <c r="K108" s="256">
        <f t="shared" si="14"/>
        <v>6707.1875483756558</v>
      </c>
      <c r="L108" s="657">
        <v>9800</v>
      </c>
      <c r="M108" s="754"/>
      <c r="O108" s="735"/>
      <c r="P108" s="735"/>
      <c r="Q108" s="735"/>
    </row>
    <row r="109" spans="1:17" ht="17.25" customHeight="1">
      <c r="A109" s="739">
        <f t="shared" si="5"/>
        <v>104</v>
      </c>
      <c r="B109" s="296" t="s">
        <v>725</v>
      </c>
      <c r="C109" s="757">
        <v>42626</v>
      </c>
      <c r="D109" s="758" t="s">
        <v>816</v>
      </c>
      <c r="E109" s="834">
        <v>45</v>
      </c>
      <c r="F109" s="833">
        <v>35</v>
      </c>
      <c r="G109" s="833">
        <v>28</v>
      </c>
      <c r="H109" s="925">
        <f t="shared" si="12"/>
        <v>1.0900000000000001</v>
      </c>
      <c r="I109" s="872">
        <v>171</v>
      </c>
      <c r="J109" s="256">
        <f t="shared" si="13"/>
        <v>186.39000000000001</v>
      </c>
      <c r="K109" s="256">
        <f t="shared" si="14"/>
        <v>8500.9702648017046</v>
      </c>
      <c r="L109" s="657">
        <v>11250</v>
      </c>
      <c r="M109" s="754"/>
      <c r="O109" s="735"/>
      <c r="P109" s="735"/>
      <c r="Q109" s="735"/>
    </row>
    <row r="110" spans="1:17" ht="17.25" customHeight="1">
      <c r="A110" s="739">
        <f t="shared" si="5"/>
        <v>105</v>
      </c>
      <c r="B110" s="296" t="s">
        <v>882</v>
      </c>
      <c r="C110" s="757">
        <v>42627</v>
      </c>
      <c r="D110" s="758" t="s">
        <v>817</v>
      </c>
      <c r="E110" s="834">
        <v>29</v>
      </c>
      <c r="F110" s="833">
        <v>18</v>
      </c>
      <c r="G110" s="833">
        <v>18.8</v>
      </c>
      <c r="H110" s="925">
        <f t="shared" si="12"/>
        <v>0.39</v>
      </c>
      <c r="I110" s="872">
        <v>2400</v>
      </c>
      <c r="J110" s="256">
        <f t="shared" si="13"/>
        <v>936</v>
      </c>
      <c r="K110" s="256">
        <f t="shared" si="14"/>
        <v>3041.6315626354722</v>
      </c>
      <c r="L110" s="657">
        <v>5200</v>
      </c>
      <c r="M110" s="754"/>
      <c r="O110" s="735"/>
      <c r="P110" s="735"/>
      <c r="Q110" s="735"/>
    </row>
    <row r="111" spans="1:17" ht="17.25" customHeight="1">
      <c r="A111" s="739">
        <f t="shared" si="5"/>
        <v>106</v>
      </c>
      <c r="B111" s="296" t="s">
        <v>883</v>
      </c>
      <c r="C111" s="757">
        <v>42627</v>
      </c>
      <c r="D111" s="758" t="s">
        <v>817</v>
      </c>
      <c r="E111" s="834">
        <v>42.5</v>
      </c>
      <c r="F111" s="833">
        <v>28.5</v>
      </c>
      <c r="G111" s="833">
        <v>23</v>
      </c>
      <c r="H111" s="925">
        <f t="shared" si="12"/>
        <v>0.8</v>
      </c>
      <c r="I111" s="872">
        <v>500</v>
      </c>
      <c r="J111" s="256">
        <f t="shared" si="13"/>
        <v>400</v>
      </c>
      <c r="K111" s="256">
        <f t="shared" si="14"/>
        <v>6239.2442310471224</v>
      </c>
      <c r="L111" s="657">
        <v>10200</v>
      </c>
      <c r="M111" s="754"/>
      <c r="O111" s="735"/>
      <c r="P111" s="735"/>
      <c r="Q111" s="735"/>
    </row>
    <row r="112" spans="1:17" ht="17.25" customHeight="1">
      <c r="A112" s="739">
        <f t="shared" si="5"/>
        <v>107</v>
      </c>
      <c r="B112" s="296" t="s">
        <v>579</v>
      </c>
      <c r="C112" s="757">
        <v>42628</v>
      </c>
      <c r="D112" s="758" t="s">
        <v>818</v>
      </c>
      <c r="E112" s="834">
        <v>52</v>
      </c>
      <c r="F112" s="833">
        <v>24.5</v>
      </c>
      <c r="G112" s="833">
        <v>24.5</v>
      </c>
      <c r="H112" s="925">
        <f t="shared" si="12"/>
        <v>0.82</v>
      </c>
      <c r="I112" s="872">
        <v>1820</v>
      </c>
      <c r="J112" s="256">
        <f t="shared" si="13"/>
        <v>1492.3999999999999</v>
      </c>
      <c r="K112" s="256">
        <f t="shared" si="14"/>
        <v>6395.2253368232996</v>
      </c>
      <c r="L112" s="657">
        <v>5000</v>
      </c>
      <c r="M112" s="754"/>
      <c r="O112" s="735"/>
      <c r="P112" s="735"/>
      <c r="Q112" s="735"/>
    </row>
    <row r="113" spans="1:19" ht="17.25" customHeight="1">
      <c r="A113" s="739">
        <f t="shared" si="5"/>
        <v>108</v>
      </c>
      <c r="B113" s="296" t="s">
        <v>605</v>
      </c>
      <c r="C113" s="757">
        <v>42628</v>
      </c>
      <c r="D113" s="758" t="s">
        <v>818</v>
      </c>
      <c r="E113" s="834">
        <v>52</v>
      </c>
      <c r="F113" s="833">
        <v>26.5</v>
      </c>
      <c r="G113" s="833">
        <v>26.5</v>
      </c>
      <c r="H113" s="925">
        <f t="shared" si="12"/>
        <v>0.91</v>
      </c>
      <c r="I113" s="872">
        <v>620</v>
      </c>
      <c r="J113" s="256">
        <f t="shared" si="13"/>
        <v>564.20000000000005</v>
      </c>
      <c r="K113" s="256">
        <f t="shared" si="14"/>
        <v>7097.140312816101</v>
      </c>
      <c r="L113" s="657">
        <v>5550</v>
      </c>
      <c r="M113" s="754"/>
      <c r="O113" s="735"/>
      <c r="P113" s="735"/>
      <c r="Q113" s="735"/>
    </row>
    <row r="114" spans="1:19" ht="17.25" customHeight="1">
      <c r="A114" s="739">
        <f t="shared" si="5"/>
        <v>109</v>
      </c>
      <c r="B114" s="296" t="s">
        <v>606</v>
      </c>
      <c r="C114" s="757">
        <v>42628</v>
      </c>
      <c r="D114" s="758" t="s">
        <v>818</v>
      </c>
      <c r="E114" s="834">
        <v>52</v>
      </c>
      <c r="F114" s="833">
        <v>32</v>
      </c>
      <c r="G114" s="833">
        <v>12</v>
      </c>
      <c r="H114" s="925">
        <f t="shared" si="12"/>
        <v>0.81</v>
      </c>
      <c r="I114" s="872">
        <v>304</v>
      </c>
      <c r="J114" s="256">
        <f t="shared" si="13"/>
        <v>246.24</v>
      </c>
      <c r="K114" s="256">
        <f t="shared" si="14"/>
        <v>6317.2347839352115</v>
      </c>
      <c r="L114" s="657">
        <v>5800</v>
      </c>
      <c r="M114" s="754"/>
      <c r="O114" s="735"/>
      <c r="P114" s="735"/>
      <c r="Q114" s="735"/>
    </row>
    <row r="115" spans="1:19" ht="17.25" customHeight="1">
      <c r="A115" s="739">
        <f t="shared" si="5"/>
        <v>110</v>
      </c>
      <c r="B115" s="296" t="s">
        <v>607</v>
      </c>
      <c r="C115" s="757">
        <v>42628</v>
      </c>
      <c r="D115" s="758" t="s">
        <v>818</v>
      </c>
      <c r="E115" s="834">
        <v>50</v>
      </c>
      <c r="F115" s="833">
        <v>25</v>
      </c>
      <c r="G115" s="833">
        <v>30</v>
      </c>
      <c r="H115" s="925">
        <f t="shared" si="12"/>
        <v>0.9</v>
      </c>
      <c r="I115" s="872">
        <v>316</v>
      </c>
      <c r="J115" s="256">
        <f t="shared" si="13"/>
        <v>284.40000000000003</v>
      </c>
      <c r="K115" s="256">
        <f t="shared" si="14"/>
        <v>7019.1497599280119</v>
      </c>
      <c r="L115" s="657">
        <v>5600</v>
      </c>
      <c r="M115" s="754"/>
      <c r="O115" s="735"/>
      <c r="P115" s="735"/>
      <c r="Q115" s="735"/>
    </row>
    <row r="116" spans="1:19" ht="17.25" customHeight="1">
      <c r="A116" s="739">
        <f t="shared" si="5"/>
        <v>111</v>
      </c>
      <c r="B116" s="296" t="s">
        <v>574</v>
      </c>
      <c r="C116" s="757">
        <v>42635</v>
      </c>
      <c r="D116" s="758" t="s">
        <v>819</v>
      </c>
      <c r="E116" s="834">
        <v>49</v>
      </c>
      <c r="F116" s="833">
        <v>38</v>
      </c>
      <c r="G116" s="833">
        <v>12</v>
      </c>
      <c r="H116" s="925">
        <f t="shared" si="12"/>
        <v>0.95</v>
      </c>
      <c r="I116" s="872">
        <v>300</v>
      </c>
      <c r="J116" s="256">
        <f t="shared" si="13"/>
        <v>285</v>
      </c>
      <c r="K116" s="256">
        <f t="shared" si="14"/>
        <v>7409.1025243684571</v>
      </c>
      <c r="L116" s="657">
        <v>10500</v>
      </c>
      <c r="M116" s="754"/>
      <c r="O116" s="735"/>
      <c r="P116" s="735"/>
      <c r="Q116" s="735"/>
    </row>
    <row r="117" spans="1:19" ht="17.25" customHeight="1">
      <c r="A117" s="739">
        <f t="shared" si="5"/>
        <v>112</v>
      </c>
      <c r="B117" s="296" t="s">
        <v>608</v>
      </c>
      <c r="C117" s="757">
        <v>42639</v>
      </c>
      <c r="D117" s="758" t="s">
        <v>820</v>
      </c>
      <c r="E117" s="834">
        <v>41.5</v>
      </c>
      <c r="F117" s="833">
        <v>24.5</v>
      </c>
      <c r="G117" s="833">
        <v>11.6</v>
      </c>
      <c r="H117" s="925">
        <f t="shared" si="12"/>
        <v>0.54</v>
      </c>
      <c r="I117" s="872">
        <v>109</v>
      </c>
      <c r="J117" s="256">
        <f t="shared" si="13"/>
        <v>58.860000000000007</v>
      </c>
      <c r="K117" s="256">
        <f t="shared" si="14"/>
        <v>4211.4898559568073</v>
      </c>
      <c r="L117" s="657">
        <v>6400</v>
      </c>
      <c r="M117" s="754"/>
      <c r="O117" s="735"/>
      <c r="P117" s="735"/>
      <c r="Q117" s="735"/>
    </row>
    <row r="118" spans="1:19" ht="17.25" customHeight="1">
      <c r="A118" s="739">
        <f t="shared" si="5"/>
        <v>113</v>
      </c>
      <c r="B118" s="296" t="s">
        <v>609</v>
      </c>
      <c r="C118" s="757">
        <v>42639</v>
      </c>
      <c r="D118" s="758" t="s">
        <v>820</v>
      </c>
      <c r="E118" s="834">
        <v>46.5</v>
      </c>
      <c r="F118" s="833">
        <v>26.5</v>
      </c>
      <c r="G118" s="833">
        <v>11.5</v>
      </c>
      <c r="H118" s="925">
        <f t="shared" si="12"/>
        <v>0.62</v>
      </c>
      <c r="I118" s="872">
        <v>102</v>
      </c>
      <c r="J118" s="256">
        <f t="shared" si="13"/>
        <v>63.24</v>
      </c>
      <c r="K118" s="256">
        <f t="shared" si="14"/>
        <v>4835.4142790615197</v>
      </c>
      <c r="L118" s="657">
        <v>7300</v>
      </c>
      <c r="M118" s="754"/>
      <c r="O118" s="735"/>
      <c r="P118" s="735"/>
      <c r="Q118" s="735"/>
    </row>
    <row r="119" spans="1:19" ht="17.25" customHeight="1">
      <c r="A119" s="739">
        <f t="shared" si="5"/>
        <v>114</v>
      </c>
      <c r="B119" s="296" t="s">
        <v>725</v>
      </c>
      <c r="C119" s="757">
        <v>42639</v>
      </c>
      <c r="D119" s="758" t="s">
        <v>820</v>
      </c>
      <c r="E119" s="834">
        <v>45</v>
      </c>
      <c r="F119" s="833">
        <v>35</v>
      </c>
      <c r="G119" s="833">
        <v>28</v>
      </c>
      <c r="H119" s="925">
        <f t="shared" si="12"/>
        <v>1.0900000000000001</v>
      </c>
      <c r="I119" s="872">
        <v>56</v>
      </c>
      <c r="J119" s="256">
        <f t="shared" si="13"/>
        <v>61.040000000000006</v>
      </c>
      <c r="K119" s="256">
        <f t="shared" si="14"/>
        <v>8500.9702648017046</v>
      </c>
      <c r="L119" s="657">
        <v>11250</v>
      </c>
      <c r="M119" s="754"/>
      <c r="O119" s="735"/>
      <c r="P119" s="735"/>
      <c r="Q119" s="735"/>
    </row>
    <row r="120" spans="1:19" ht="17.25" customHeight="1">
      <c r="A120" s="739">
        <f t="shared" si="5"/>
        <v>115</v>
      </c>
      <c r="B120" s="296" t="s">
        <v>559</v>
      </c>
      <c r="C120" s="757">
        <v>42640</v>
      </c>
      <c r="D120" s="758" t="s">
        <v>821</v>
      </c>
      <c r="E120" s="834">
        <v>47</v>
      </c>
      <c r="F120" s="833">
        <v>42</v>
      </c>
      <c r="G120" s="833">
        <v>25</v>
      </c>
      <c r="H120" s="925">
        <f t="shared" si="12"/>
        <v>1.28</v>
      </c>
      <c r="I120" s="872">
        <v>533</v>
      </c>
      <c r="J120" s="256">
        <f t="shared" si="13"/>
        <v>682.24</v>
      </c>
      <c r="K120" s="256">
        <f t="shared" si="14"/>
        <v>9982.7907696753955</v>
      </c>
      <c r="L120" s="657">
        <v>9400</v>
      </c>
      <c r="M120" s="754"/>
      <c r="O120" s="735"/>
      <c r="P120" s="735"/>
      <c r="Q120" s="735"/>
    </row>
    <row r="121" spans="1:19" ht="17.25" customHeight="1">
      <c r="A121" s="739">
        <f t="shared" ref="A121:A124" si="15">IF(B121&lt;&gt;"",A120+1,"")</f>
        <v>116</v>
      </c>
      <c r="B121" s="296" t="s">
        <v>559</v>
      </c>
      <c r="C121" s="757">
        <v>42640</v>
      </c>
      <c r="D121" s="758" t="s">
        <v>822</v>
      </c>
      <c r="E121" s="834">
        <v>47</v>
      </c>
      <c r="F121" s="833">
        <v>42</v>
      </c>
      <c r="G121" s="833">
        <v>25</v>
      </c>
      <c r="H121" s="925">
        <f t="shared" si="12"/>
        <v>1.28</v>
      </c>
      <c r="I121" s="872">
        <v>156</v>
      </c>
      <c r="J121" s="256">
        <f t="shared" si="13"/>
        <v>199.68</v>
      </c>
      <c r="K121" s="256">
        <f t="shared" si="14"/>
        <v>9982.7907696753955</v>
      </c>
      <c r="L121" s="657">
        <v>9400</v>
      </c>
      <c r="M121" s="754"/>
      <c r="O121" s="735"/>
      <c r="P121" s="735"/>
      <c r="Q121" s="735"/>
    </row>
    <row r="122" spans="1:19" ht="17.25" customHeight="1">
      <c r="A122" s="739">
        <f t="shared" si="15"/>
        <v>117</v>
      </c>
      <c r="B122" s="296" t="s">
        <v>716</v>
      </c>
      <c r="C122" s="757">
        <v>42640</v>
      </c>
      <c r="D122" s="758" t="s">
        <v>822</v>
      </c>
      <c r="E122" s="834">
        <v>47</v>
      </c>
      <c r="F122" s="833">
        <v>42</v>
      </c>
      <c r="G122" s="833">
        <v>13.5</v>
      </c>
      <c r="H122" s="925">
        <f t="shared" si="12"/>
        <v>1.07</v>
      </c>
      <c r="I122" s="872">
        <v>2520</v>
      </c>
      <c r="J122" s="256">
        <f t="shared" si="13"/>
        <v>2696.4</v>
      </c>
      <c r="K122" s="256">
        <f t="shared" si="14"/>
        <v>8344.9891590255265</v>
      </c>
      <c r="L122" s="657">
        <v>7900</v>
      </c>
      <c r="M122" s="754"/>
      <c r="O122" s="735"/>
      <c r="P122" s="735"/>
      <c r="Q122" s="735"/>
    </row>
    <row r="123" spans="1:19" ht="17.25" customHeight="1">
      <c r="A123" s="739">
        <f t="shared" si="15"/>
        <v>118</v>
      </c>
      <c r="B123" s="296" t="s">
        <v>717</v>
      </c>
      <c r="C123" s="757">
        <v>42640</v>
      </c>
      <c r="D123" s="758" t="s">
        <v>822</v>
      </c>
      <c r="E123" s="834">
        <v>63</v>
      </c>
      <c r="F123" s="833">
        <v>42</v>
      </c>
      <c r="G123" s="833">
        <v>27</v>
      </c>
      <c r="H123" s="925">
        <f t="shared" si="12"/>
        <v>1.55</v>
      </c>
      <c r="I123" s="872">
        <v>44</v>
      </c>
      <c r="J123" s="256">
        <f t="shared" si="13"/>
        <v>68.2</v>
      </c>
      <c r="K123" s="256">
        <f t="shared" si="14"/>
        <v>12088.535697653799</v>
      </c>
      <c r="L123" s="657">
        <v>17600</v>
      </c>
      <c r="M123" s="754"/>
      <c r="O123" s="735"/>
      <c r="P123" s="735"/>
      <c r="Q123" s="735"/>
    </row>
    <row r="124" spans="1:19" ht="17.25" customHeight="1">
      <c r="A124" s="739">
        <f t="shared" si="15"/>
        <v>119</v>
      </c>
      <c r="B124" s="296" t="s">
        <v>570</v>
      </c>
      <c r="C124" s="757">
        <v>42641</v>
      </c>
      <c r="D124" s="758" t="s">
        <v>490</v>
      </c>
      <c r="E124" s="834">
        <v>49.5</v>
      </c>
      <c r="F124" s="833">
        <v>38.5</v>
      </c>
      <c r="G124" s="833">
        <v>32.5</v>
      </c>
      <c r="H124" s="925">
        <f t="shared" si="12"/>
        <v>1.34</v>
      </c>
      <c r="I124" s="872">
        <v>211</v>
      </c>
      <c r="J124" s="256">
        <f t="shared" si="13"/>
        <v>282.74</v>
      </c>
      <c r="K124" s="256">
        <f t="shared" si="14"/>
        <v>10450.73408700393</v>
      </c>
      <c r="L124" s="657">
        <v>12900</v>
      </c>
      <c r="M124" s="754"/>
      <c r="O124" s="735"/>
      <c r="P124" s="735"/>
      <c r="Q124" s="735"/>
    </row>
    <row r="125" spans="1:19" s="760" customFormat="1" ht="17.25" customHeight="1">
      <c r="A125" s="739"/>
      <c r="B125" s="296"/>
      <c r="C125" s="822"/>
      <c r="D125" s="759"/>
      <c r="E125" s="834"/>
      <c r="F125" s="833"/>
      <c r="G125" s="833"/>
      <c r="H125" s="740"/>
      <c r="I125" s="256"/>
      <c r="J125" s="740"/>
      <c r="K125" s="740"/>
      <c r="L125" s="657"/>
      <c r="M125" s="657"/>
    </row>
    <row r="126" spans="1:19" s="736" customFormat="1" ht="17.25" customHeight="1">
      <c r="A126" s="741"/>
      <c r="B126" s="742" t="s">
        <v>243</v>
      </c>
      <c r="C126" s="761"/>
      <c r="D126" s="762"/>
      <c r="E126" s="827"/>
      <c r="F126" s="827"/>
      <c r="G126" s="827"/>
      <c r="H126" s="830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50"/>
      <c r="M126" s="750"/>
      <c r="S126" s="529"/>
    </row>
    <row r="127" spans="1:19" s="736" customFormat="1">
      <c r="A127" s="743"/>
      <c r="B127" s="744"/>
      <c r="C127" s="763"/>
      <c r="D127" s="764"/>
      <c r="E127" s="831"/>
      <c r="F127" s="831"/>
      <c r="G127" s="831"/>
      <c r="H127" s="737"/>
      <c r="I127" s="737"/>
      <c r="J127" s="737"/>
      <c r="K127" s="737"/>
      <c r="L127" s="750"/>
      <c r="M127" s="750"/>
    </row>
    <row r="128" spans="1:19">
      <c r="C128" s="763"/>
      <c r="D128" s="764"/>
      <c r="E128" s="835"/>
      <c r="F128" s="835"/>
      <c r="G128" s="836"/>
      <c r="H128" s="746"/>
      <c r="I128" s="737"/>
      <c r="J128" s="737"/>
      <c r="O128" s="735"/>
      <c r="P128" s="735"/>
      <c r="Q128" s="735"/>
    </row>
    <row r="129" spans="1:18" ht="18" customHeight="1">
      <c r="A129" s="566" t="str">
        <f>TH!$A$1</f>
        <v>Đơn vị: CÔNG TY TNHH BAO BÌ GIẤY KIM DUNG PHÁT</v>
      </c>
      <c r="B129" s="736"/>
      <c r="C129" s="763"/>
      <c r="D129" s="764"/>
      <c r="H129" s="292"/>
      <c r="I129" s="594"/>
      <c r="J129" s="594"/>
      <c r="K129" s="292"/>
      <c r="M129" s="750"/>
      <c r="N129" s="745"/>
      <c r="O129" s="735"/>
      <c r="P129" s="735"/>
      <c r="Q129" s="735"/>
    </row>
    <row r="130" spans="1:18" ht="18.75" customHeight="1">
      <c r="A130" s="737" t="s">
        <v>472</v>
      </c>
      <c r="B130" s="737"/>
      <c r="C130" s="763"/>
      <c r="D130" s="764"/>
      <c r="E130" s="831"/>
      <c r="F130" s="831"/>
      <c r="G130" s="831"/>
      <c r="H130" s="737"/>
      <c r="I130" s="737"/>
      <c r="J130" s="737"/>
      <c r="K130" s="737"/>
      <c r="M130" s="750"/>
      <c r="O130" s="735"/>
      <c r="P130" s="735"/>
      <c r="Q130" s="735"/>
    </row>
    <row r="131" spans="1:18" ht="18.75" customHeight="1">
      <c r="A131" s="737"/>
      <c r="B131" s="738"/>
      <c r="C131" s="763"/>
      <c r="D131" s="764"/>
      <c r="E131" s="828"/>
      <c r="F131" s="828"/>
      <c r="G131" s="828"/>
      <c r="H131" s="738"/>
      <c r="I131" s="751"/>
      <c r="J131" s="751"/>
      <c r="K131" s="738"/>
      <c r="M131" s="750"/>
      <c r="O131" s="735"/>
      <c r="P131" s="735"/>
      <c r="Q131" s="735"/>
    </row>
    <row r="132" spans="1:18" s="442" customFormat="1" ht="21" customHeight="1">
      <c r="A132" s="1097" t="s">
        <v>35</v>
      </c>
      <c r="B132" s="1097" t="s">
        <v>239</v>
      </c>
      <c r="C132" s="1097" t="s">
        <v>426</v>
      </c>
      <c r="D132" s="1097" t="s">
        <v>427</v>
      </c>
      <c r="E132" s="1102" t="s">
        <v>428</v>
      </c>
      <c r="F132" s="1103"/>
      <c r="G132" s="1103"/>
      <c r="H132" s="1104"/>
      <c r="I132" s="1097" t="s">
        <v>240</v>
      </c>
      <c r="J132" s="1105" t="s">
        <v>438</v>
      </c>
      <c r="K132" s="1097" t="s">
        <v>432</v>
      </c>
      <c r="L132" s="441"/>
      <c r="M132" s="441"/>
      <c r="N132" s="1097" t="s">
        <v>239</v>
      </c>
      <c r="O132" s="1097" t="s">
        <v>433</v>
      </c>
      <c r="P132" s="1097" t="s">
        <v>198</v>
      </c>
      <c r="Q132" s="1097" t="s">
        <v>241</v>
      </c>
      <c r="R132" s="1097" t="s">
        <v>242</v>
      </c>
    </row>
    <row r="133" spans="1:18" s="442" customFormat="1" ht="21" customHeight="1">
      <c r="A133" s="1097"/>
      <c r="B133" s="1097"/>
      <c r="C133" s="1097"/>
      <c r="D133" s="1097"/>
      <c r="E133" s="786" t="s">
        <v>429</v>
      </c>
      <c r="F133" s="786" t="s">
        <v>430</v>
      </c>
      <c r="G133" s="786" t="s">
        <v>431</v>
      </c>
      <c r="H133" s="440" t="s">
        <v>436</v>
      </c>
      <c r="I133" s="1097"/>
      <c r="J133" s="1106"/>
      <c r="K133" s="1097"/>
      <c r="L133" s="441"/>
      <c r="M133" s="441"/>
      <c r="N133" s="1097"/>
      <c r="O133" s="1097"/>
      <c r="P133" s="1097"/>
      <c r="Q133" s="1097"/>
      <c r="R133" s="1097"/>
    </row>
    <row r="134" spans="1:18" ht="16.5" customHeight="1">
      <c r="A134" s="790">
        <f>IF(B134&lt;&gt;"",ROW()-133,"")</f>
        <v>1</v>
      </c>
      <c r="B134" s="823" t="s">
        <v>552</v>
      </c>
      <c r="C134" s="755">
        <v>42566</v>
      </c>
      <c r="D134" s="756" t="s">
        <v>761</v>
      </c>
      <c r="E134" s="837">
        <v>85.5</v>
      </c>
      <c r="F134" s="837">
        <v>100</v>
      </c>
      <c r="G134" s="837">
        <v>35</v>
      </c>
      <c r="H134" s="925">
        <f t="shared" ref="H134" si="16">IF(G134&lt;&gt;"",ROUND(((E134+F134)*2+5)*(F134+G134+3)/10000,2),ROUND(E134*F134/10000,2))</f>
        <v>5.19</v>
      </c>
      <c r="I134" s="872">
        <v>73</v>
      </c>
      <c r="J134" s="256">
        <f t="shared" ref="J134" si="17">H134*I134</f>
        <v>378.87</v>
      </c>
      <c r="K134" s="256">
        <f>H134*$R$202</f>
        <v>384.04051219028105</v>
      </c>
      <c r="L134" s="657">
        <v>21849</v>
      </c>
      <c r="M134" s="657"/>
      <c r="N134" s="296"/>
      <c r="O134" s="757"/>
      <c r="P134" s="304"/>
      <c r="Q134" s="774"/>
      <c r="R134" s="8">
        <f t="shared" ref="R134:R184" si="18">ROUND(P134*Q134,0)</f>
        <v>0</v>
      </c>
    </row>
    <row r="135" spans="1:18" ht="16.5" customHeight="1">
      <c r="A135" s="770">
        <f t="shared" ref="A135:A198" si="19">IF(B135&lt;&gt;"",ROW()-133,"")</f>
        <v>2</v>
      </c>
      <c r="B135" s="296" t="s">
        <v>556</v>
      </c>
      <c r="C135" s="755">
        <v>42566</v>
      </c>
      <c r="D135" s="756" t="s">
        <v>762</v>
      </c>
      <c r="E135" s="838">
        <v>117</v>
      </c>
      <c r="F135" s="839">
        <v>87</v>
      </c>
      <c r="G135" s="839">
        <v>5</v>
      </c>
      <c r="H135" s="925">
        <f t="shared" ref="H135:H198" si="20">IF(G135&lt;&gt;"",ROUND(((E135+F135)*2+5)*(F135+G135+3)/10000,2),ROUND(E135*F135/10000,2))</f>
        <v>3.92</v>
      </c>
      <c r="I135" s="872">
        <v>100</v>
      </c>
      <c r="J135" s="256">
        <f t="shared" ref="J135:J198" si="21">H135*I135</f>
        <v>392</v>
      </c>
      <c r="K135" s="256">
        <f t="shared" ref="K135:K198" si="22">H135*$R$202</f>
        <v>290.06528088360341</v>
      </c>
      <c r="L135" s="657">
        <v>10000</v>
      </c>
      <c r="M135" s="657"/>
      <c r="N135" s="296"/>
      <c r="O135" s="190"/>
      <c r="P135" s="787"/>
      <c r="Q135" s="773"/>
      <c r="R135" s="8">
        <f t="shared" si="18"/>
        <v>0</v>
      </c>
    </row>
    <row r="136" spans="1:18" ht="16.5" customHeight="1">
      <c r="A136" s="770">
        <f t="shared" si="19"/>
        <v>3</v>
      </c>
      <c r="B136" s="296" t="s">
        <v>557</v>
      </c>
      <c r="C136" s="755">
        <v>42566</v>
      </c>
      <c r="D136" s="756" t="s">
        <v>762</v>
      </c>
      <c r="E136" s="838">
        <v>103</v>
      </c>
      <c r="F136" s="839">
        <v>54</v>
      </c>
      <c r="G136" s="839">
        <v>180</v>
      </c>
      <c r="H136" s="925">
        <f t="shared" si="20"/>
        <v>7.56</v>
      </c>
      <c r="I136" s="872">
        <v>116</v>
      </c>
      <c r="J136" s="256">
        <f t="shared" si="21"/>
        <v>876.95999999999992</v>
      </c>
      <c r="K136" s="256">
        <f t="shared" si="22"/>
        <v>559.41161313266366</v>
      </c>
      <c r="L136" s="657">
        <v>73100</v>
      </c>
      <c r="M136" s="657"/>
      <c r="N136" s="296"/>
      <c r="O136" s="190"/>
      <c r="P136" s="787"/>
      <c r="Q136" s="773"/>
      <c r="R136" s="8">
        <f t="shared" si="18"/>
        <v>0</v>
      </c>
    </row>
    <row r="137" spans="1:18" ht="16.5" customHeight="1">
      <c r="A137" s="770">
        <f t="shared" si="19"/>
        <v>4</v>
      </c>
      <c r="B137" s="296" t="s">
        <v>558</v>
      </c>
      <c r="C137" s="755">
        <v>42566</v>
      </c>
      <c r="D137" s="756" t="s">
        <v>763</v>
      </c>
      <c r="E137" s="838">
        <v>88</v>
      </c>
      <c r="F137" s="839">
        <v>68</v>
      </c>
      <c r="G137" s="839">
        <v>15</v>
      </c>
      <c r="H137" s="925">
        <f t="shared" si="20"/>
        <v>2.73</v>
      </c>
      <c r="I137" s="872">
        <v>220</v>
      </c>
      <c r="J137" s="256">
        <f t="shared" si="21"/>
        <v>600.6</v>
      </c>
      <c r="K137" s="256">
        <f t="shared" si="22"/>
        <v>202.0097491867952</v>
      </c>
      <c r="L137" s="657">
        <v>28000</v>
      </c>
      <c r="M137" s="657"/>
      <c r="N137" s="191"/>
      <c r="O137" s="190"/>
      <c r="P137" s="787"/>
      <c r="Q137" s="773"/>
      <c r="R137" s="8">
        <f t="shared" si="18"/>
        <v>0</v>
      </c>
    </row>
    <row r="138" spans="1:18" ht="16.5" customHeight="1">
      <c r="A138" s="770">
        <f t="shared" si="19"/>
        <v>5</v>
      </c>
      <c r="B138" s="296" t="s">
        <v>559</v>
      </c>
      <c r="C138" s="755">
        <v>42566</v>
      </c>
      <c r="D138" s="756" t="s">
        <v>763</v>
      </c>
      <c r="E138" s="838">
        <v>47</v>
      </c>
      <c r="F138" s="839">
        <v>42</v>
      </c>
      <c r="G138" s="839">
        <v>25</v>
      </c>
      <c r="H138" s="925">
        <f t="shared" si="20"/>
        <v>1.28</v>
      </c>
      <c r="I138" s="872">
        <v>357</v>
      </c>
      <c r="J138" s="256">
        <f t="shared" si="21"/>
        <v>456.96000000000004</v>
      </c>
      <c r="K138" s="256">
        <f t="shared" si="22"/>
        <v>94.715193757911308</v>
      </c>
      <c r="L138" s="657">
        <v>9600</v>
      </c>
      <c r="M138" s="657"/>
      <c r="N138" s="191"/>
      <c r="O138" s="190"/>
      <c r="P138" s="787"/>
      <c r="Q138" s="773"/>
      <c r="R138" s="8">
        <f t="shared" si="18"/>
        <v>0</v>
      </c>
    </row>
    <row r="139" spans="1:18" ht="16.5" customHeight="1">
      <c r="A139" s="770">
        <f t="shared" si="19"/>
        <v>6</v>
      </c>
      <c r="B139" s="296" t="s">
        <v>560</v>
      </c>
      <c r="C139" s="755">
        <v>42566</v>
      </c>
      <c r="D139" s="756" t="s">
        <v>763</v>
      </c>
      <c r="E139" s="838">
        <v>48</v>
      </c>
      <c r="F139" s="839">
        <v>41</v>
      </c>
      <c r="G139" s="839">
        <v>29</v>
      </c>
      <c r="H139" s="925">
        <f t="shared" si="20"/>
        <v>1.34</v>
      </c>
      <c r="I139" s="872">
        <v>70</v>
      </c>
      <c r="J139" s="256">
        <f t="shared" si="21"/>
        <v>93.800000000000011</v>
      </c>
      <c r="K139" s="256">
        <f t="shared" si="22"/>
        <v>99.154968465313416</v>
      </c>
      <c r="L139" s="657">
        <v>14400</v>
      </c>
      <c r="M139" s="657"/>
      <c r="N139" s="296"/>
      <c r="O139" s="190"/>
      <c r="P139" s="787"/>
      <c r="Q139" s="773"/>
      <c r="R139" s="8">
        <f t="shared" si="18"/>
        <v>0</v>
      </c>
    </row>
    <row r="140" spans="1:18" ht="16.5" customHeight="1">
      <c r="A140" s="770">
        <f t="shared" si="19"/>
        <v>7</v>
      </c>
      <c r="B140" s="296" t="s">
        <v>561</v>
      </c>
      <c r="C140" s="755">
        <v>42567</v>
      </c>
      <c r="D140" s="756" t="s">
        <v>764</v>
      </c>
      <c r="E140" s="838">
        <v>45</v>
      </c>
      <c r="F140" s="839">
        <v>37</v>
      </c>
      <c r="G140" s="839">
        <v>27.5</v>
      </c>
      <c r="H140" s="925">
        <f t="shared" si="20"/>
        <v>1.1399999999999999</v>
      </c>
      <c r="I140" s="872">
        <v>300</v>
      </c>
      <c r="J140" s="256">
        <f t="shared" si="21"/>
        <v>341.99999999999994</v>
      </c>
      <c r="K140" s="256">
        <f t="shared" si="22"/>
        <v>84.35571944063976</v>
      </c>
      <c r="L140" s="657">
        <v>13400</v>
      </c>
      <c r="M140" s="657"/>
      <c r="N140" s="296"/>
      <c r="O140" s="190"/>
      <c r="P140" s="787"/>
      <c r="Q140" s="773"/>
      <c r="R140" s="8">
        <f t="shared" si="18"/>
        <v>0</v>
      </c>
    </row>
    <row r="141" spans="1:18" ht="16.5" customHeight="1">
      <c r="A141" s="770">
        <f t="shared" si="19"/>
        <v>8</v>
      </c>
      <c r="B141" s="296" t="s">
        <v>561</v>
      </c>
      <c r="C141" s="755">
        <v>42567</v>
      </c>
      <c r="D141" s="756" t="s">
        <v>764</v>
      </c>
      <c r="E141" s="838">
        <v>45</v>
      </c>
      <c r="F141" s="839">
        <v>37</v>
      </c>
      <c r="G141" s="839">
        <v>27.5</v>
      </c>
      <c r="H141" s="925">
        <f t="shared" si="20"/>
        <v>1.1399999999999999</v>
      </c>
      <c r="I141" s="872">
        <v>500</v>
      </c>
      <c r="J141" s="256">
        <f t="shared" si="21"/>
        <v>570</v>
      </c>
      <c r="K141" s="256">
        <f t="shared" si="22"/>
        <v>84.35571944063976</v>
      </c>
      <c r="L141" s="657">
        <v>13800</v>
      </c>
      <c r="M141" s="657"/>
      <c r="N141" s="296"/>
      <c r="O141" s="190"/>
      <c r="P141" s="787"/>
      <c r="Q141" s="773"/>
      <c r="R141" s="8">
        <f t="shared" si="18"/>
        <v>0</v>
      </c>
    </row>
    <row r="142" spans="1:18" ht="16.5" customHeight="1">
      <c r="A142" s="770">
        <f t="shared" si="19"/>
        <v>9</v>
      </c>
      <c r="B142" s="296" t="s">
        <v>418</v>
      </c>
      <c r="C142" s="755">
        <v>42567</v>
      </c>
      <c r="D142" s="756" t="s">
        <v>764</v>
      </c>
      <c r="E142" s="838">
        <v>44</v>
      </c>
      <c r="F142" s="839">
        <v>20</v>
      </c>
      <c r="G142" s="839"/>
      <c r="H142" s="925">
        <f t="shared" si="20"/>
        <v>0.09</v>
      </c>
      <c r="I142" s="872">
        <v>1600</v>
      </c>
      <c r="J142" s="256">
        <f t="shared" si="21"/>
        <v>144</v>
      </c>
      <c r="K142" s="256">
        <f t="shared" si="22"/>
        <v>6.6596620611031385</v>
      </c>
      <c r="L142" s="657">
        <v>1300</v>
      </c>
      <c r="M142" s="657"/>
      <c r="N142" s="191"/>
      <c r="O142" s="190"/>
      <c r="P142" s="787"/>
      <c r="Q142" s="773"/>
      <c r="R142" s="8">
        <f t="shared" si="18"/>
        <v>0</v>
      </c>
    </row>
    <row r="143" spans="1:18" ht="16.5" customHeight="1">
      <c r="A143" s="770">
        <f t="shared" si="19"/>
        <v>10</v>
      </c>
      <c r="B143" s="296" t="s">
        <v>562</v>
      </c>
      <c r="C143" s="755">
        <v>42567</v>
      </c>
      <c r="D143" s="756" t="s">
        <v>765</v>
      </c>
      <c r="E143" s="838">
        <v>55</v>
      </c>
      <c r="F143" s="839">
        <v>28</v>
      </c>
      <c r="G143" s="839">
        <v>23.5</v>
      </c>
      <c r="H143" s="925">
        <f t="shared" si="20"/>
        <v>0.93</v>
      </c>
      <c r="I143" s="872">
        <v>1005</v>
      </c>
      <c r="J143" s="256">
        <f t="shared" si="21"/>
        <v>934.65000000000009</v>
      </c>
      <c r="K143" s="256">
        <f t="shared" si="22"/>
        <v>68.816507964732438</v>
      </c>
      <c r="L143" s="657">
        <v>11000</v>
      </c>
      <c r="M143" s="657"/>
      <c r="N143" s="296"/>
      <c r="O143" s="190"/>
      <c r="P143" s="787"/>
      <c r="Q143" s="773"/>
      <c r="R143" s="8">
        <f t="shared" si="18"/>
        <v>0</v>
      </c>
    </row>
    <row r="144" spans="1:18" ht="16.5" customHeight="1">
      <c r="A144" s="770">
        <f t="shared" si="19"/>
        <v>11</v>
      </c>
      <c r="B144" s="296" t="s">
        <v>563</v>
      </c>
      <c r="C144" s="755">
        <v>42569</v>
      </c>
      <c r="D144" s="756" t="s">
        <v>766</v>
      </c>
      <c r="E144" s="838">
        <v>37.5</v>
      </c>
      <c r="F144" s="839">
        <v>23.5</v>
      </c>
      <c r="G144" s="839">
        <v>69.5</v>
      </c>
      <c r="H144" s="925">
        <f t="shared" si="20"/>
        <v>1.22</v>
      </c>
      <c r="I144" s="872">
        <v>254</v>
      </c>
      <c r="J144" s="256">
        <f t="shared" si="21"/>
        <v>309.88</v>
      </c>
      <c r="K144" s="256">
        <f t="shared" si="22"/>
        <v>90.275419050509214</v>
      </c>
      <c r="L144" s="657">
        <v>10300</v>
      </c>
      <c r="M144" s="657"/>
      <c r="N144" s="191"/>
      <c r="O144" s="190"/>
      <c r="P144" s="787"/>
      <c r="Q144" s="773"/>
      <c r="R144" s="8">
        <f t="shared" si="18"/>
        <v>0</v>
      </c>
    </row>
    <row r="145" spans="1:18" ht="16.5" customHeight="1">
      <c r="A145" s="770">
        <f t="shared" si="19"/>
        <v>12</v>
      </c>
      <c r="B145" s="296" t="s">
        <v>564</v>
      </c>
      <c r="C145" s="755">
        <v>42569</v>
      </c>
      <c r="D145" s="756" t="s">
        <v>767</v>
      </c>
      <c r="E145" s="838">
        <v>40</v>
      </c>
      <c r="F145" s="839">
        <v>25</v>
      </c>
      <c r="G145" s="839">
        <v>72</v>
      </c>
      <c r="H145" s="925">
        <f t="shared" si="20"/>
        <v>1.35</v>
      </c>
      <c r="I145" s="872">
        <v>75</v>
      </c>
      <c r="J145" s="256">
        <f t="shared" si="21"/>
        <v>101.25</v>
      </c>
      <c r="K145" s="256">
        <f t="shared" si="22"/>
        <v>99.894930916547096</v>
      </c>
      <c r="L145" s="657">
        <v>10800</v>
      </c>
      <c r="M145" s="657"/>
      <c r="N145" s="191"/>
      <c r="O145" s="190"/>
      <c r="P145" s="787"/>
      <c r="Q145" s="773"/>
      <c r="R145" s="8">
        <f t="shared" si="18"/>
        <v>0</v>
      </c>
    </row>
    <row r="146" spans="1:18" ht="16.5" customHeight="1">
      <c r="A146" s="770">
        <f t="shared" si="19"/>
        <v>13</v>
      </c>
      <c r="B146" s="296" t="s">
        <v>567</v>
      </c>
      <c r="C146" s="755">
        <v>42571</v>
      </c>
      <c r="D146" s="756" t="s">
        <v>768</v>
      </c>
      <c r="E146" s="838">
        <v>70</v>
      </c>
      <c r="F146" s="839">
        <v>45</v>
      </c>
      <c r="G146" s="839"/>
      <c r="H146" s="925">
        <f t="shared" si="20"/>
        <v>0.32</v>
      </c>
      <c r="I146" s="872">
        <v>500</v>
      </c>
      <c r="J146" s="256">
        <f t="shared" si="21"/>
        <v>160</v>
      </c>
      <c r="K146" s="256">
        <f t="shared" si="22"/>
        <v>23.678798439477827</v>
      </c>
      <c r="L146" s="657">
        <v>3200</v>
      </c>
      <c r="M146" s="657"/>
      <c r="N146" s="296"/>
      <c r="O146" s="757"/>
      <c r="P146" s="787"/>
      <c r="Q146" s="773"/>
      <c r="R146" s="8">
        <f t="shared" si="18"/>
        <v>0</v>
      </c>
    </row>
    <row r="147" spans="1:18" ht="16.5" customHeight="1">
      <c r="A147" s="770">
        <f t="shared" si="19"/>
        <v>14</v>
      </c>
      <c r="B147" s="296" t="s">
        <v>568</v>
      </c>
      <c r="C147" s="755">
        <v>42571</v>
      </c>
      <c r="D147" s="756" t="s">
        <v>768</v>
      </c>
      <c r="E147" s="838">
        <v>50</v>
      </c>
      <c r="F147" s="839">
        <v>40</v>
      </c>
      <c r="G147" s="839"/>
      <c r="H147" s="925">
        <f t="shared" si="20"/>
        <v>0.2</v>
      </c>
      <c r="I147" s="872">
        <v>300</v>
      </c>
      <c r="J147" s="256">
        <f t="shared" si="21"/>
        <v>60</v>
      </c>
      <c r="K147" s="256">
        <f t="shared" si="22"/>
        <v>14.799249024673642</v>
      </c>
      <c r="L147" s="657">
        <v>2200</v>
      </c>
      <c r="M147" s="657"/>
      <c r="N147" s="296"/>
      <c r="O147" s="757"/>
      <c r="P147" s="787"/>
      <c r="Q147" s="773"/>
      <c r="R147" s="8">
        <f t="shared" si="18"/>
        <v>0</v>
      </c>
    </row>
    <row r="148" spans="1:18" ht="16.5" customHeight="1">
      <c r="A148" s="770">
        <f t="shared" si="19"/>
        <v>15</v>
      </c>
      <c r="B148" s="296" t="s">
        <v>569</v>
      </c>
      <c r="C148" s="755">
        <v>42571</v>
      </c>
      <c r="D148" s="756" t="s">
        <v>769</v>
      </c>
      <c r="E148" s="838">
        <v>37.5</v>
      </c>
      <c r="F148" s="839">
        <v>25.5</v>
      </c>
      <c r="G148" s="839">
        <v>23.9</v>
      </c>
      <c r="H148" s="925">
        <f t="shared" si="20"/>
        <v>0.69</v>
      </c>
      <c r="I148" s="872">
        <v>1559</v>
      </c>
      <c r="J148" s="256">
        <f t="shared" si="21"/>
        <v>1075.7099999999998</v>
      </c>
      <c r="K148" s="256">
        <f t="shared" si="22"/>
        <v>51.057409135124061</v>
      </c>
      <c r="L148" s="657">
        <v>5900</v>
      </c>
      <c r="M148" s="657"/>
      <c r="N148" s="191"/>
      <c r="O148" s="757"/>
      <c r="P148" s="787"/>
      <c r="Q148" s="773"/>
      <c r="R148" s="8">
        <f t="shared" si="18"/>
        <v>0</v>
      </c>
    </row>
    <row r="149" spans="1:18" ht="16.5" customHeight="1">
      <c r="A149" s="770">
        <f t="shared" si="19"/>
        <v>16</v>
      </c>
      <c r="B149" s="296" t="s">
        <v>571</v>
      </c>
      <c r="C149" s="755">
        <v>42572</v>
      </c>
      <c r="D149" s="756" t="s">
        <v>770</v>
      </c>
      <c r="E149" s="838">
        <v>72</v>
      </c>
      <c r="F149" s="789">
        <v>51.5</v>
      </c>
      <c r="G149" s="789">
        <v>40</v>
      </c>
      <c r="H149" s="925">
        <f t="shared" si="20"/>
        <v>2.38</v>
      </c>
      <c r="I149" s="872">
        <v>102</v>
      </c>
      <c r="J149" s="256">
        <f t="shared" si="21"/>
        <v>242.76</v>
      </c>
      <c r="K149" s="256">
        <f t="shared" si="22"/>
        <v>176.11106339361635</v>
      </c>
      <c r="L149" s="657">
        <v>7900</v>
      </c>
      <c r="M149" s="657"/>
      <c r="N149" s="296"/>
      <c r="O149" s="757"/>
      <c r="P149" s="787"/>
      <c r="Q149" s="773"/>
      <c r="R149" s="8">
        <f t="shared" si="18"/>
        <v>0</v>
      </c>
    </row>
    <row r="150" spans="1:18" ht="16.5" customHeight="1">
      <c r="A150" s="770">
        <f t="shared" si="19"/>
        <v>17</v>
      </c>
      <c r="B150" s="296" t="s">
        <v>570</v>
      </c>
      <c r="C150" s="755">
        <v>42572</v>
      </c>
      <c r="D150" s="756" t="s">
        <v>770</v>
      </c>
      <c r="E150" s="838">
        <v>49.5</v>
      </c>
      <c r="F150" s="839">
        <v>38.5</v>
      </c>
      <c r="G150" s="839">
        <v>32.5</v>
      </c>
      <c r="H150" s="925">
        <f t="shared" si="20"/>
        <v>1.34</v>
      </c>
      <c r="I150" s="872">
        <v>103</v>
      </c>
      <c r="J150" s="256">
        <f t="shared" si="21"/>
        <v>138.02000000000001</v>
      </c>
      <c r="K150" s="256">
        <f t="shared" si="22"/>
        <v>99.154968465313416</v>
      </c>
      <c r="L150" s="657">
        <v>12900</v>
      </c>
      <c r="M150" s="657"/>
      <c r="N150" s="296"/>
      <c r="O150" s="757"/>
      <c r="P150" s="787"/>
      <c r="Q150" s="773"/>
      <c r="R150" s="8">
        <f t="shared" si="18"/>
        <v>0</v>
      </c>
    </row>
    <row r="151" spans="1:18" ht="16.5" customHeight="1">
      <c r="A151" s="770">
        <f t="shared" si="19"/>
        <v>18</v>
      </c>
      <c r="B151" s="296" t="s">
        <v>708</v>
      </c>
      <c r="C151" s="755">
        <v>42573</v>
      </c>
      <c r="D151" s="756" t="s">
        <v>771</v>
      </c>
      <c r="E151" s="838">
        <v>43</v>
      </c>
      <c r="F151" s="839">
        <v>42</v>
      </c>
      <c r="G151" s="839">
        <v>26</v>
      </c>
      <c r="H151" s="925">
        <f t="shared" si="20"/>
        <v>1.24</v>
      </c>
      <c r="I151" s="872">
        <v>250</v>
      </c>
      <c r="J151" s="256">
        <f t="shared" si="21"/>
        <v>310</v>
      </c>
      <c r="K151" s="256">
        <f t="shared" si="22"/>
        <v>91.755343952976588</v>
      </c>
      <c r="L151" s="657">
        <v>12400</v>
      </c>
      <c r="M151" s="657"/>
      <c r="N151" s="191"/>
      <c r="O151" s="757"/>
      <c r="P151" s="787"/>
      <c r="Q151" s="773"/>
      <c r="R151" s="8">
        <f t="shared" si="18"/>
        <v>0</v>
      </c>
    </row>
    <row r="152" spans="1:18" ht="16.5" customHeight="1">
      <c r="A152" s="770">
        <f t="shared" si="19"/>
        <v>19</v>
      </c>
      <c r="B152" s="296" t="s">
        <v>709</v>
      </c>
      <c r="C152" s="755">
        <v>42573</v>
      </c>
      <c r="D152" s="756" t="s">
        <v>771</v>
      </c>
      <c r="E152" s="838">
        <v>49</v>
      </c>
      <c r="F152" s="839">
        <v>47</v>
      </c>
      <c r="G152" s="839">
        <v>47</v>
      </c>
      <c r="H152" s="925">
        <f t="shared" si="20"/>
        <v>1.91</v>
      </c>
      <c r="I152" s="872">
        <v>200</v>
      </c>
      <c r="J152" s="256">
        <f t="shared" si="21"/>
        <v>382</v>
      </c>
      <c r="K152" s="256">
        <f t="shared" si="22"/>
        <v>141.33282818563328</v>
      </c>
      <c r="L152" s="657">
        <v>14200</v>
      </c>
      <c r="M152" s="657"/>
      <c r="N152" s="191"/>
      <c r="O152" s="757"/>
      <c r="P152" s="787"/>
      <c r="Q152" s="773"/>
      <c r="R152" s="8">
        <f t="shared" si="18"/>
        <v>0</v>
      </c>
    </row>
    <row r="153" spans="1:18" ht="16.5" customHeight="1">
      <c r="A153" s="770">
        <f t="shared" si="19"/>
        <v>20</v>
      </c>
      <c r="B153" s="296" t="s">
        <v>710</v>
      </c>
      <c r="C153" s="755">
        <v>42573</v>
      </c>
      <c r="D153" s="756" t="s">
        <v>771</v>
      </c>
      <c r="E153" s="838">
        <v>40</v>
      </c>
      <c r="F153" s="839">
        <v>39</v>
      </c>
      <c r="G153" s="839">
        <v>32</v>
      </c>
      <c r="H153" s="925">
        <f t="shared" si="20"/>
        <v>1.21</v>
      </c>
      <c r="I153" s="872">
        <v>300</v>
      </c>
      <c r="J153" s="256">
        <f t="shared" si="21"/>
        <v>363</v>
      </c>
      <c r="K153" s="256">
        <f t="shared" si="22"/>
        <v>89.535456599275534</v>
      </c>
      <c r="L153" s="657">
        <v>16500</v>
      </c>
      <c r="M153" s="657"/>
      <c r="N153" s="296"/>
      <c r="O153" s="757"/>
      <c r="P153" s="787"/>
      <c r="Q153" s="773"/>
      <c r="R153" s="8">
        <f t="shared" si="18"/>
        <v>0</v>
      </c>
    </row>
    <row r="154" spans="1:18" ht="16.5" customHeight="1">
      <c r="A154" s="770">
        <f t="shared" si="19"/>
        <v>21</v>
      </c>
      <c r="B154" s="296" t="s">
        <v>711</v>
      </c>
      <c r="C154" s="755">
        <v>42573</v>
      </c>
      <c r="D154" s="756" t="s">
        <v>771</v>
      </c>
      <c r="E154" s="838">
        <v>42</v>
      </c>
      <c r="F154" s="839">
        <v>41</v>
      </c>
      <c r="G154" s="839">
        <v>34</v>
      </c>
      <c r="H154" s="925">
        <f t="shared" si="20"/>
        <v>1.33</v>
      </c>
      <c r="I154" s="872">
        <v>300</v>
      </c>
      <c r="J154" s="256">
        <f t="shared" si="21"/>
        <v>399</v>
      </c>
      <c r="K154" s="256">
        <f t="shared" si="22"/>
        <v>98.415006014079722</v>
      </c>
      <c r="L154" s="657">
        <v>24500</v>
      </c>
      <c r="M154" s="657"/>
      <c r="N154" s="296"/>
      <c r="O154" s="755"/>
      <c r="P154" s="787"/>
      <c r="Q154" s="773"/>
      <c r="R154" s="8">
        <f t="shared" si="18"/>
        <v>0</v>
      </c>
    </row>
    <row r="155" spans="1:18" ht="16.5" customHeight="1">
      <c r="A155" s="770">
        <f t="shared" si="19"/>
        <v>22</v>
      </c>
      <c r="B155" s="296" t="s">
        <v>884</v>
      </c>
      <c r="C155" s="755">
        <v>42573</v>
      </c>
      <c r="D155" s="756" t="s">
        <v>771</v>
      </c>
      <c r="E155" s="838">
        <v>63</v>
      </c>
      <c r="F155" s="839">
        <v>53</v>
      </c>
      <c r="G155" s="839">
        <v>32</v>
      </c>
      <c r="H155" s="925">
        <f t="shared" si="20"/>
        <v>2.09</v>
      </c>
      <c r="I155" s="872">
        <v>200</v>
      </c>
      <c r="J155" s="256">
        <f t="shared" si="21"/>
        <v>418</v>
      </c>
      <c r="K155" s="256">
        <f t="shared" si="22"/>
        <v>154.65215230783954</v>
      </c>
      <c r="L155" s="657">
        <v>25500</v>
      </c>
      <c r="M155" s="657"/>
      <c r="N155" s="296"/>
      <c r="O155" s="755"/>
      <c r="P155" s="787"/>
      <c r="Q155" s="773"/>
      <c r="R155" s="8">
        <f t="shared" si="18"/>
        <v>0</v>
      </c>
    </row>
    <row r="156" spans="1:18" ht="16.5" customHeight="1">
      <c r="A156" s="770">
        <f t="shared" si="19"/>
        <v>23</v>
      </c>
      <c r="B156" s="296" t="s">
        <v>717</v>
      </c>
      <c r="C156" s="755">
        <v>42574</v>
      </c>
      <c r="D156" s="756" t="s">
        <v>772</v>
      </c>
      <c r="E156" s="838">
        <v>63</v>
      </c>
      <c r="F156" s="839">
        <v>42</v>
      </c>
      <c r="G156" s="839">
        <v>27</v>
      </c>
      <c r="H156" s="925">
        <f t="shared" si="20"/>
        <v>1.55</v>
      </c>
      <c r="I156" s="872">
        <v>530</v>
      </c>
      <c r="J156" s="256">
        <f t="shared" si="21"/>
        <v>821.5</v>
      </c>
      <c r="K156" s="256">
        <f t="shared" si="22"/>
        <v>114.69417994122072</v>
      </c>
      <c r="L156" s="657">
        <v>17800</v>
      </c>
      <c r="M156" s="657"/>
      <c r="N156" s="296"/>
      <c r="O156" s="757"/>
      <c r="P156" s="787"/>
      <c r="Q156" s="773"/>
      <c r="R156" s="8">
        <f t="shared" si="18"/>
        <v>0</v>
      </c>
    </row>
    <row r="157" spans="1:18" ht="16.5" customHeight="1">
      <c r="A157" s="770">
        <f t="shared" si="19"/>
        <v>24</v>
      </c>
      <c r="B157" s="296" t="s">
        <v>559</v>
      </c>
      <c r="C157" s="755">
        <v>42574</v>
      </c>
      <c r="D157" s="756" t="s">
        <v>772</v>
      </c>
      <c r="E157" s="838">
        <v>47</v>
      </c>
      <c r="F157" s="839">
        <v>42</v>
      </c>
      <c r="G157" s="839">
        <v>25</v>
      </c>
      <c r="H157" s="925">
        <f t="shared" si="20"/>
        <v>1.28</v>
      </c>
      <c r="I157" s="872">
        <v>33</v>
      </c>
      <c r="J157" s="256">
        <f t="shared" si="21"/>
        <v>42.24</v>
      </c>
      <c r="K157" s="256">
        <f t="shared" si="22"/>
        <v>94.715193757911308</v>
      </c>
      <c r="L157" s="657">
        <v>9600</v>
      </c>
      <c r="M157" s="657"/>
      <c r="N157" s="296"/>
      <c r="O157" s="757"/>
      <c r="P157" s="787"/>
      <c r="Q157" s="773"/>
      <c r="R157" s="8">
        <f t="shared" si="18"/>
        <v>0</v>
      </c>
    </row>
    <row r="158" spans="1:18" ht="16.5" customHeight="1">
      <c r="A158" s="770">
        <f t="shared" si="19"/>
        <v>25</v>
      </c>
      <c r="B158" s="296" t="s">
        <v>718</v>
      </c>
      <c r="C158" s="755">
        <v>42574</v>
      </c>
      <c r="D158" s="756" t="s">
        <v>772</v>
      </c>
      <c r="E158" s="838">
        <v>58</v>
      </c>
      <c r="F158" s="839">
        <v>31</v>
      </c>
      <c r="G158" s="839">
        <v>40</v>
      </c>
      <c r="H158" s="925">
        <f t="shared" si="20"/>
        <v>1.35</v>
      </c>
      <c r="I158" s="872">
        <v>630</v>
      </c>
      <c r="J158" s="256">
        <f t="shared" si="21"/>
        <v>850.5</v>
      </c>
      <c r="K158" s="256">
        <f t="shared" si="22"/>
        <v>99.894930916547096</v>
      </c>
      <c r="L158" s="657">
        <v>9700</v>
      </c>
      <c r="M158" s="657"/>
      <c r="N158" s="191"/>
      <c r="O158" s="757"/>
      <c r="P158" s="787"/>
      <c r="Q158" s="773"/>
      <c r="R158" s="8">
        <f t="shared" si="18"/>
        <v>0</v>
      </c>
    </row>
    <row r="159" spans="1:18" ht="16.5" customHeight="1">
      <c r="A159" s="770">
        <f t="shared" si="19"/>
        <v>26</v>
      </c>
      <c r="B159" s="296" t="s">
        <v>724</v>
      </c>
      <c r="C159" s="755">
        <v>42574</v>
      </c>
      <c r="D159" s="756" t="s">
        <v>772</v>
      </c>
      <c r="E159" s="838">
        <v>45</v>
      </c>
      <c r="F159" s="839">
        <v>37</v>
      </c>
      <c r="G159" s="839">
        <v>27.5</v>
      </c>
      <c r="H159" s="925">
        <f t="shared" si="20"/>
        <v>1.1399999999999999</v>
      </c>
      <c r="I159" s="872">
        <v>352</v>
      </c>
      <c r="J159" s="256">
        <f t="shared" si="21"/>
        <v>401.28</v>
      </c>
      <c r="K159" s="256">
        <f t="shared" si="22"/>
        <v>84.35571944063976</v>
      </c>
      <c r="L159" s="657">
        <v>13700</v>
      </c>
      <c r="M159" s="657"/>
      <c r="N159" s="191"/>
      <c r="O159" s="757"/>
      <c r="P159" s="787"/>
      <c r="Q159" s="773"/>
      <c r="R159" s="8">
        <f t="shared" si="18"/>
        <v>0</v>
      </c>
    </row>
    <row r="160" spans="1:18" ht="16.5" customHeight="1">
      <c r="A160" s="770">
        <f t="shared" si="19"/>
        <v>27</v>
      </c>
      <c r="B160" s="296" t="s">
        <v>572</v>
      </c>
      <c r="C160" s="755">
        <v>42574</v>
      </c>
      <c r="D160" s="756" t="s">
        <v>773</v>
      </c>
      <c r="E160" s="838">
        <v>48</v>
      </c>
      <c r="F160" s="839">
        <v>40</v>
      </c>
      <c r="G160" s="839">
        <v>18</v>
      </c>
      <c r="H160" s="925">
        <f t="shared" si="20"/>
        <v>1.1000000000000001</v>
      </c>
      <c r="I160" s="872">
        <v>350</v>
      </c>
      <c r="J160" s="256">
        <f t="shared" si="21"/>
        <v>385.00000000000006</v>
      </c>
      <c r="K160" s="256">
        <f t="shared" si="22"/>
        <v>81.39586963570504</v>
      </c>
      <c r="L160" s="657">
        <v>13600</v>
      </c>
      <c r="M160" s="657"/>
      <c r="N160" s="191"/>
      <c r="O160" s="757"/>
      <c r="P160" s="787"/>
      <c r="Q160" s="773"/>
      <c r="R160" s="8">
        <f t="shared" si="18"/>
        <v>0</v>
      </c>
    </row>
    <row r="161" spans="1:18" ht="16.5" customHeight="1">
      <c r="A161" s="770">
        <f t="shared" si="19"/>
        <v>28</v>
      </c>
      <c r="B161" s="296" t="s">
        <v>573</v>
      </c>
      <c r="C161" s="755">
        <v>42577</v>
      </c>
      <c r="D161" s="756" t="s">
        <v>774</v>
      </c>
      <c r="E161" s="838">
        <v>39.5</v>
      </c>
      <c r="F161" s="839">
        <v>26.5</v>
      </c>
      <c r="G161" s="839">
        <v>29.5</v>
      </c>
      <c r="H161" s="925">
        <f t="shared" si="20"/>
        <v>0.81</v>
      </c>
      <c r="I161" s="872">
        <v>473</v>
      </c>
      <c r="J161" s="256">
        <f t="shared" si="21"/>
        <v>383.13000000000005</v>
      </c>
      <c r="K161" s="256">
        <f t="shared" si="22"/>
        <v>59.936958549928256</v>
      </c>
      <c r="L161" s="657">
        <v>13000</v>
      </c>
      <c r="M161" s="657"/>
      <c r="N161" s="296"/>
      <c r="O161" s="757"/>
      <c r="P161" s="787"/>
      <c r="Q161" s="773"/>
      <c r="R161" s="8">
        <f t="shared" si="18"/>
        <v>0</v>
      </c>
    </row>
    <row r="162" spans="1:18" ht="16.5" customHeight="1">
      <c r="A162" s="770">
        <f t="shared" si="19"/>
        <v>29</v>
      </c>
      <c r="B162" s="296" t="s">
        <v>574</v>
      </c>
      <c r="C162" s="755">
        <v>42580</v>
      </c>
      <c r="D162" s="756" t="s">
        <v>775</v>
      </c>
      <c r="E162" s="838">
        <v>49</v>
      </c>
      <c r="F162" s="839">
        <v>38</v>
      </c>
      <c r="G162" s="839">
        <v>12</v>
      </c>
      <c r="H162" s="925">
        <f t="shared" si="20"/>
        <v>0.95</v>
      </c>
      <c r="I162" s="872">
        <v>302</v>
      </c>
      <c r="J162" s="256">
        <f t="shared" si="21"/>
        <v>286.89999999999998</v>
      </c>
      <c r="K162" s="256">
        <f t="shared" si="22"/>
        <v>70.296432867199798</v>
      </c>
      <c r="L162" s="657">
        <v>10500</v>
      </c>
      <c r="M162" s="657"/>
      <c r="N162" s="191"/>
      <c r="O162" s="757"/>
      <c r="P162" s="787"/>
      <c r="Q162" s="773"/>
      <c r="R162" s="8">
        <f t="shared" si="18"/>
        <v>0</v>
      </c>
    </row>
    <row r="163" spans="1:18" ht="16.5" customHeight="1">
      <c r="A163" s="770">
        <f t="shared" si="19"/>
        <v>30</v>
      </c>
      <c r="B163" s="296" t="s">
        <v>575</v>
      </c>
      <c r="C163" s="755">
        <v>42580</v>
      </c>
      <c r="D163" s="756" t="s">
        <v>775</v>
      </c>
      <c r="E163" s="838">
        <v>49</v>
      </c>
      <c r="F163" s="839">
        <v>38</v>
      </c>
      <c r="G163" s="839">
        <v>13</v>
      </c>
      <c r="H163" s="925">
        <f t="shared" si="20"/>
        <v>0.97</v>
      </c>
      <c r="I163" s="872">
        <v>527</v>
      </c>
      <c r="J163" s="256">
        <f t="shared" si="21"/>
        <v>511.19</v>
      </c>
      <c r="K163" s="256">
        <f t="shared" si="22"/>
        <v>71.776357769667158</v>
      </c>
      <c r="L163" s="657">
        <v>10500</v>
      </c>
      <c r="M163" s="657"/>
      <c r="N163" s="191"/>
      <c r="O163" s="757"/>
      <c r="P163" s="787"/>
      <c r="Q163" s="773"/>
      <c r="R163" s="8">
        <f t="shared" si="18"/>
        <v>0</v>
      </c>
    </row>
    <row r="164" spans="1:18" ht="16.5" customHeight="1">
      <c r="A164" s="770">
        <f t="shared" si="19"/>
        <v>31</v>
      </c>
      <c r="B164" s="296" t="s">
        <v>711</v>
      </c>
      <c r="C164" s="755">
        <v>42580</v>
      </c>
      <c r="D164" s="756" t="s">
        <v>776</v>
      </c>
      <c r="E164" s="838">
        <v>42</v>
      </c>
      <c r="F164" s="839">
        <v>41</v>
      </c>
      <c r="G164" s="839">
        <v>34</v>
      </c>
      <c r="H164" s="925">
        <f t="shared" si="20"/>
        <v>1.33</v>
      </c>
      <c r="I164" s="872">
        <v>100</v>
      </c>
      <c r="J164" s="256">
        <f t="shared" si="21"/>
        <v>133</v>
      </c>
      <c r="K164" s="256">
        <f t="shared" si="22"/>
        <v>98.415006014079722</v>
      </c>
      <c r="L164" s="657">
        <v>19700</v>
      </c>
      <c r="M164" s="657"/>
      <c r="N164" s="296"/>
      <c r="O164" s="757"/>
      <c r="P164" s="787"/>
      <c r="Q164" s="773"/>
      <c r="R164" s="8">
        <f t="shared" si="18"/>
        <v>0</v>
      </c>
    </row>
    <row r="165" spans="1:18" ht="16.5" customHeight="1">
      <c r="A165" s="770">
        <f t="shared" si="19"/>
        <v>32</v>
      </c>
      <c r="B165" s="296" t="s">
        <v>884</v>
      </c>
      <c r="C165" s="755">
        <v>42580</v>
      </c>
      <c r="D165" s="756" t="s">
        <v>776</v>
      </c>
      <c r="E165" s="838">
        <v>63</v>
      </c>
      <c r="F165" s="789">
        <v>53</v>
      </c>
      <c r="G165" s="789">
        <v>32</v>
      </c>
      <c r="H165" s="925">
        <f t="shared" si="20"/>
        <v>2.09</v>
      </c>
      <c r="I165" s="872">
        <v>100</v>
      </c>
      <c r="J165" s="256">
        <f t="shared" si="21"/>
        <v>209</v>
      </c>
      <c r="K165" s="256">
        <f t="shared" si="22"/>
        <v>154.65215230783954</v>
      </c>
      <c r="L165" s="746">
        <v>20100</v>
      </c>
      <c r="M165" s="657"/>
      <c r="N165" s="296"/>
      <c r="O165" s="757"/>
      <c r="P165" s="787"/>
      <c r="Q165" s="773"/>
      <c r="R165" s="8">
        <f t="shared" si="18"/>
        <v>0</v>
      </c>
    </row>
    <row r="166" spans="1:18" ht="16.5" customHeight="1">
      <c r="A166" s="770">
        <f t="shared" si="19"/>
        <v>33</v>
      </c>
      <c r="B166" s="296" t="s">
        <v>569</v>
      </c>
      <c r="C166" s="755">
        <v>42583</v>
      </c>
      <c r="D166" s="756" t="s">
        <v>777</v>
      </c>
      <c r="E166" s="838">
        <v>37.5</v>
      </c>
      <c r="F166" s="839">
        <v>25.5</v>
      </c>
      <c r="G166" s="839">
        <v>23.9</v>
      </c>
      <c r="H166" s="925">
        <f t="shared" si="20"/>
        <v>0.69</v>
      </c>
      <c r="I166" s="872">
        <v>500</v>
      </c>
      <c r="J166" s="256">
        <f t="shared" si="21"/>
        <v>345</v>
      </c>
      <c r="K166" s="256">
        <f t="shared" si="22"/>
        <v>51.057409135124061</v>
      </c>
      <c r="L166" s="657">
        <v>5900</v>
      </c>
      <c r="M166" s="657"/>
      <c r="N166" s="296"/>
      <c r="O166" s="757"/>
      <c r="P166" s="787"/>
      <c r="Q166" s="773"/>
      <c r="R166" s="8">
        <f t="shared" si="18"/>
        <v>0</v>
      </c>
    </row>
    <row r="167" spans="1:18" ht="16.5" customHeight="1">
      <c r="A167" s="770">
        <f t="shared" si="19"/>
        <v>34</v>
      </c>
      <c r="B167" s="296" t="s">
        <v>576</v>
      </c>
      <c r="C167" s="755">
        <v>42584</v>
      </c>
      <c r="D167" s="756" t="s">
        <v>778</v>
      </c>
      <c r="E167" s="838">
        <v>42</v>
      </c>
      <c r="F167" s="839">
        <v>42</v>
      </c>
      <c r="G167" s="839">
        <v>25</v>
      </c>
      <c r="H167" s="925">
        <f t="shared" si="20"/>
        <v>1.21</v>
      </c>
      <c r="I167" s="872">
        <v>606</v>
      </c>
      <c r="J167" s="256">
        <f t="shared" si="21"/>
        <v>733.26</v>
      </c>
      <c r="K167" s="256">
        <f t="shared" si="22"/>
        <v>89.535456599275534</v>
      </c>
      <c r="L167" s="657">
        <v>6000</v>
      </c>
      <c r="M167" s="657"/>
      <c r="N167" s="296"/>
      <c r="O167" s="757"/>
      <c r="P167" s="787"/>
      <c r="Q167" s="773"/>
      <c r="R167" s="8">
        <f t="shared" si="18"/>
        <v>0</v>
      </c>
    </row>
    <row r="168" spans="1:18" ht="16.5" customHeight="1">
      <c r="A168" s="770">
        <f t="shared" si="19"/>
        <v>35</v>
      </c>
      <c r="B168" s="296" t="s">
        <v>577</v>
      </c>
      <c r="C168" s="755">
        <v>42584</v>
      </c>
      <c r="D168" s="756" t="s">
        <v>778</v>
      </c>
      <c r="E168" s="838">
        <v>50</v>
      </c>
      <c r="F168" s="789">
        <v>24</v>
      </c>
      <c r="G168" s="789">
        <v>25</v>
      </c>
      <c r="H168" s="925">
        <f t="shared" si="20"/>
        <v>0.8</v>
      </c>
      <c r="I168" s="872">
        <v>404</v>
      </c>
      <c r="J168" s="256">
        <f t="shared" si="21"/>
        <v>323.20000000000005</v>
      </c>
      <c r="K168" s="256">
        <f t="shared" si="22"/>
        <v>59.196996098694569</v>
      </c>
      <c r="L168" s="746">
        <v>8600</v>
      </c>
      <c r="M168" s="657"/>
      <c r="N168" s="296"/>
      <c r="O168" s="757"/>
      <c r="P168" s="787"/>
      <c r="Q168" s="773"/>
      <c r="R168" s="8">
        <f t="shared" si="18"/>
        <v>0</v>
      </c>
    </row>
    <row r="169" spans="1:18" ht="16.5" customHeight="1">
      <c r="A169" s="770">
        <f t="shared" si="19"/>
        <v>36</v>
      </c>
      <c r="B169" s="296" t="s">
        <v>578</v>
      </c>
      <c r="C169" s="755">
        <v>42584</v>
      </c>
      <c r="D169" s="756" t="s">
        <v>778</v>
      </c>
      <c r="E169" s="838">
        <v>45</v>
      </c>
      <c r="F169" s="789">
        <v>33</v>
      </c>
      <c r="G169" s="789">
        <v>46</v>
      </c>
      <c r="H169" s="925">
        <f t="shared" si="20"/>
        <v>1.32</v>
      </c>
      <c r="I169" s="872">
        <v>304</v>
      </c>
      <c r="J169" s="256">
        <f t="shared" si="21"/>
        <v>401.28000000000003</v>
      </c>
      <c r="K169" s="256">
        <f t="shared" si="22"/>
        <v>97.675043562846042</v>
      </c>
      <c r="L169" s="746">
        <v>14200</v>
      </c>
      <c r="M169" s="657"/>
      <c r="N169" s="296"/>
      <c r="O169" s="757"/>
      <c r="P169" s="787"/>
      <c r="Q169" s="773"/>
      <c r="R169" s="8">
        <f t="shared" si="18"/>
        <v>0</v>
      </c>
    </row>
    <row r="170" spans="1:18" ht="16.5" customHeight="1">
      <c r="A170" s="770">
        <f t="shared" si="19"/>
        <v>37</v>
      </c>
      <c r="B170" s="296" t="s">
        <v>579</v>
      </c>
      <c r="C170" s="755">
        <v>42584</v>
      </c>
      <c r="D170" s="756" t="s">
        <v>779</v>
      </c>
      <c r="E170" s="838">
        <v>52</v>
      </c>
      <c r="F170" s="789">
        <v>24.5</v>
      </c>
      <c r="G170" s="789">
        <v>24.5</v>
      </c>
      <c r="H170" s="925">
        <f t="shared" si="20"/>
        <v>0.82</v>
      </c>
      <c r="I170" s="872">
        <v>1335</v>
      </c>
      <c r="J170" s="256">
        <f t="shared" si="21"/>
        <v>1094.7</v>
      </c>
      <c r="K170" s="256">
        <f t="shared" si="22"/>
        <v>60.676921001161929</v>
      </c>
      <c r="L170" s="746">
        <v>5000</v>
      </c>
      <c r="M170" s="657"/>
      <c r="N170" s="296"/>
      <c r="O170" s="757"/>
      <c r="P170" s="787"/>
      <c r="Q170" s="773"/>
      <c r="R170" s="8">
        <f t="shared" si="18"/>
        <v>0</v>
      </c>
    </row>
    <row r="171" spans="1:18" ht="16.5" customHeight="1">
      <c r="A171" s="770">
        <f t="shared" si="19"/>
        <v>38</v>
      </c>
      <c r="B171" s="296" t="s">
        <v>580</v>
      </c>
      <c r="C171" s="755">
        <v>42584</v>
      </c>
      <c r="D171" s="756" t="s">
        <v>779</v>
      </c>
      <c r="E171" s="838">
        <v>22.5</v>
      </c>
      <c r="F171" s="839">
        <v>22.5</v>
      </c>
      <c r="G171" s="839">
        <v>52</v>
      </c>
      <c r="H171" s="925">
        <f t="shared" si="20"/>
        <v>0.74</v>
      </c>
      <c r="I171" s="872">
        <v>302</v>
      </c>
      <c r="J171" s="256">
        <f t="shared" si="21"/>
        <v>223.48</v>
      </c>
      <c r="K171" s="256">
        <f t="shared" si="22"/>
        <v>54.757221391292475</v>
      </c>
      <c r="L171" s="657">
        <v>5100</v>
      </c>
      <c r="M171" s="657"/>
      <c r="N171" s="296"/>
      <c r="O171" s="757"/>
      <c r="P171" s="787"/>
      <c r="Q171" s="773"/>
      <c r="R171" s="8">
        <f t="shared" si="18"/>
        <v>0</v>
      </c>
    </row>
    <row r="172" spans="1:18" ht="16.5" customHeight="1">
      <c r="A172" s="770">
        <f t="shared" si="19"/>
        <v>39</v>
      </c>
      <c r="B172" s="296" t="s">
        <v>581</v>
      </c>
      <c r="C172" s="755">
        <v>42584</v>
      </c>
      <c r="D172" s="756" t="s">
        <v>779</v>
      </c>
      <c r="E172" s="838">
        <v>55</v>
      </c>
      <c r="F172" s="839">
        <v>45</v>
      </c>
      <c r="G172" s="839">
        <v>29</v>
      </c>
      <c r="H172" s="925">
        <f t="shared" si="20"/>
        <v>1.58</v>
      </c>
      <c r="I172" s="872">
        <v>420</v>
      </c>
      <c r="J172" s="256">
        <f t="shared" si="21"/>
        <v>663.6</v>
      </c>
      <c r="K172" s="256">
        <f t="shared" si="22"/>
        <v>116.91406729492178</v>
      </c>
      <c r="L172" s="657">
        <v>9700</v>
      </c>
      <c r="M172" s="657"/>
      <c r="N172" s="296"/>
      <c r="O172" s="757"/>
      <c r="P172" s="787"/>
      <c r="Q172" s="773"/>
      <c r="R172" s="8">
        <f t="shared" si="18"/>
        <v>0</v>
      </c>
    </row>
    <row r="173" spans="1:18" ht="16.5" customHeight="1">
      <c r="A173" s="770">
        <f t="shared" si="19"/>
        <v>40</v>
      </c>
      <c r="B173" s="296" t="s">
        <v>582</v>
      </c>
      <c r="C173" s="755">
        <v>42585</v>
      </c>
      <c r="D173" s="756" t="s">
        <v>780</v>
      </c>
      <c r="E173" s="838">
        <v>49</v>
      </c>
      <c r="F173" s="839">
        <v>38</v>
      </c>
      <c r="G173" s="839">
        <v>12.5</v>
      </c>
      <c r="H173" s="925">
        <f t="shared" si="20"/>
        <v>0.96</v>
      </c>
      <c r="I173" s="872">
        <v>427</v>
      </c>
      <c r="J173" s="256">
        <f t="shared" si="21"/>
        <v>409.91999999999996</v>
      </c>
      <c r="K173" s="256">
        <f t="shared" si="22"/>
        <v>71.036395318433478</v>
      </c>
      <c r="L173" s="657">
        <v>10200</v>
      </c>
      <c r="M173" s="657"/>
      <c r="N173" s="296"/>
      <c r="O173" s="757"/>
      <c r="P173" s="787"/>
      <c r="Q173" s="773"/>
      <c r="R173" s="8">
        <f t="shared" si="18"/>
        <v>0</v>
      </c>
    </row>
    <row r="174" spans="1:18" ht="16.5" customHeight="1">
      <c r="A174" s="770">
        <f t="shared" si="19"/>
        <v>41</v>
      </c>
      <c r="B174" s="296" t="s">
        <v>597</v>
      </c>
      <c r="C174" s="755">
        <v>42588</v>
      </c>
      <c r="D174" s="756" t="s">
        <v>781</v>
      </c>
      <c r="E174" s="838">
        <v>43</v>
      </c>
      <c r="F174" s="839">
        <v>27.5</v>
      </c>
      <c r="G174" s="839">
        <v>23</v>
      </c>
      <c r="H174" s="925">
        <f t="shared" si="20"/>
        <v>0.78</v>
      </c>
      <c r="I174" s="872">
        <v>108</v>
      </c>
      <c r="J174" s="256">
        <f t="shared" si="21"/>
        <v>84.240000000000009</v>
      </c>
      <c r="K174" s="256">
        <f t="shared" si="22"/>
        <v>57.717071196227209</v>
      </c>
      <c r="L174" s="657">
        <v>6400</v>
      </c>
      <c r="M174" s="657"/>
      <c r="N174" s="191"/>
      <c r="O174" s="757"/>
      <c r="P174" s="787"/>
      <c r="Q174" s="773"/>
      <c r="R174" s="8">
        <f t="shared" si="18"/>
        <v>0</v>
      </c>
    </row>
    <row r="175" spans="1:18" ht="16.5" customHeight="1">
      <c r="A175" s="770">
        <f t="shared" si="19"/>
        <v>42</v>
      </c>
      <c r="B175" s="296" t="s">
        <v>726</v>
      </c>
      <c r="C175" s="755">
        <v>42588</v>
      </c>
      <c r="D175" s="756" t="s">
        <v>781</v>
      </c>
      <c r="E175" s="838">
        <v>39.5</v>
      </c>
      <c r="F175" s="839">
        <v>32.299999999999997</v>
      </c>
      <c r="G175" s="839">
        <v>27.7</v>
      </c>
      <c r="H175" s="925">
        <f t="shared" si="20"/>
        <v>0.94</v>
      </c>
      <c r="I175" s="872">
        <v>103</v>
      </c>
      <c r="J175" s="256">
        <f t="shared" si="21"/>
        <v>96.82</v>
      </c>
      <c r="K175" s="256">
        <f t="shared" si="22"/>
        <v>69.556470415966118</v>
      </c>
      <c r="L175" s="657">
        <v>9400</v>
      </c>
      <c r="M175" s="657"/>
      <c r="N175" s="191"/>
      <c r="O175" s="757"/>
      <c r="P175" s="787"/>
      <c r="Q175" s="773"/>
      <c r="R175" s="8">
        <f t="shared" si="18"/>
        <v>0</v>
      </c>
    </row>
    <row r="176" spans="1:18" ht="16.5" customHeight="1">
      <c r="A176" s="770">
        <f t="shared" si="19"/>
        <v>43</v>
      </c>
      <c r="B176" s="296" t="s">
        <v>583</v>
      </c>
      <c r="C176" s="755">
        <v>42591</v>
      </c>
      <c r="D176" s="756" t="s">
        <v>782</v>
      </c>
      <c r="E176" s="838">
        <v>36.5</v>
      </c>
      <c r="F176" s="839">
        <v>26.5</v>
      </c>
      <c r="G176" s="839">
        <v>26</v>
      </c>
      <c r="H176" s="925">
        <f t="shared" si="20"/>
        <v>0.73</v>
      </c>
      <c r="I176" s="872">
        <v>490</v>
      </c>
      <c r="J176" s="256">
        <f t="shared" si="21"/>
        <v>357.7</v>
      </c>
      <c r="K176" s="256">
        <f t="shared" si="22"/>
        <v>54.017258940058795</v>
      </c>
      <c r="L176" s="657">
        <v>11000</v>
      </c>
      <c r="M176" s="657"/>
      <c r="N176" s="191"/>
      <c r="O176" s="757"/>
      <c r="P176" s="787"/>
      <c r="Q176" s="773"/>
      <c r="R176" s="8">
        <f t="shared" si="18"/>
        <v>0</v>
      </c>
    </row>
    <row r="177" spans="1:18" ht="16.5" customHeight="1">
      <c r="A177" s="770">
        <f t="shared" si="19"/>
        <v>44</v>
      </c>
      <c r="B177" s="296" t="s">
        <v>585</v>
      </c>
      <c r="C177" s="755">
        <v>42592</v>
      </c>
      <c r="D177" s="756" t="s">
        <v>783</v>
      </c>
      <c r="E177" s="838">
        <v>62</v>
      </c>
      <c r="F177" s="839">
        <v>42.5</v>
      </c>
      <c r="G177" s="839">
        <v>42.5</v>
      </c>
      <c r="H177" s="925">
        <f t="shared" si="20"/>
        <v>1.88</v>
      </c>
      <c r="I177" s="872">
        <v>403</v>
      </c>
      <c r="J177" s="256">
        <f t="shared" si="21"/>
        <v>757.64</v>
      </c>
      <c r="K177" s="256">
        <f t="shared" si="22"/>
        <v>139.11294083193224</v>
      </c>
      <c r="L177" s="657">
        <v>20000</v>
      </c>
      <c r="M177" s="657"/>
      <c r="N177" s="191"/>
      <c r="O177" s="757"/>
      <c r="P177" s="787"/>
      <c r="Q177" s="773"/>
      <c r="R177" s="8">
        <f t="shared" si="18"/>
        <v>0</v>
      </c>
    </row>
    <row r="178" spans="1:18" ht="16.5" customHeight="1">
      <c r="A178" s="770">
        <f t="shared" si="19"/>
        <v>45</v>
      </c>
      <c r="B178" s="296" t="s">
        <v>709</v>
      </c>
      <c r="C178" s="755">
        <v>42592</v>
      </c>
      <c r="D178" s="756" t="s">
        <v>784</v>
      </c>
      <c r="E178" s="838">
        <v>49</v>
      </c>
      <c r="F178" s="839">
        <v>47</v>
      </c>
      <c r="G178" s="839">
        <v>27</v>
      </c>
      <c r="H178" s="925">
        <f t="shared" si="20"/>
        <v>1.52</v>
      </c>
      <c r="I178" s="872">
        <v>30</v>
      </c>
      <c r="J178" s="256">
        <f t="shared" si="21"/>
        <v>45.6</v>
      </c>
      <c r="K178" s="256">
        <f t="shared" si="22"/>
        <v>112.47429258751968</v>
      </c>
      <c r="L178" s="657">
        <v>14200</v>
      </c>
      <c r="M178" s="657"/>
      <c r="N178" s="296"/>
      <c r="O178" s="757"/>
      <c r="P178" s="787"/>
      <c r="Q178" s="773"/>
      <c r="R178" s="8">
        <f t="shared" si="18"/>
        <v>0</v>
      </c>
    </row>
    <row r="179" spans="1:18" ht="16.5" customHeight="1">
      <c r="A179" s="770">
        <f t="shared" si="19"/>
        <v>46</v>
      </c>
      <c r="B179" s="296" t="s">
        <v>712</v>
      </c>
      <c r="C179" s="755">
        <v>42592</v>
      </c>
      <c r="D179" s="756" t="s">
        <v>784</v>
      </c>
      <c r="E179" s="838">
        <v>38</v>
      </c>
      <c r="F179" s="839">
        <v>37</v>
      </c>
      <c r="G179" s="839">
        <v>30</v>
      </c>
      <c r="H179" s="925">
        <f t="shared" si="20"/>
        <v>1.0900000000000001</v>
      </c>
      <c r="I179" s="872">
        <v>30</v>
      </c>
      <c r="J179" s="256">
        <f t="shared" si="21"/>
        <v>32.700000000000003</v>
      </c>
      <c r="K179" s="256">
        <f t="shared" si="22"/>
        <v>80.65590718447136</v>
      </c>
      <c r="L179" s="657">
        <v>15300</v>
      </c>
      <c r="M179" s="657"/>
      <c r="N179" s="191"/>
      <c r="O179" s="757"/>
      <c r="P179" s="787"/>
      <c r="Q179" s="773"/>
      <c r="R179" s="8">
        <f t="shared" si="18"/>
        <v>0</v>
      </c>
    </row>
    <row r="180" spans="1:18" ht="16.5" customHeight="1">
      <c r="A180" s="770">
        <f t="shared" si="19"/>
        <v>47</v>
      </c>
      <c r="B180" s="296" t="s">
        <v>710</v>
      </c>
      <c r="C180" s="755">
        <v>42592</v>
      </c>
      <c r="D180" s="756" t="s">
        <v>784</v>
      </c>
      <c r="E180" s="838">
        <v>40</v>
      </c>
      <c r="F180" s="839">
        <v>39</v>
      </c>
      <c r="G180" s="839">
        <v>32</v>
      </c>
      <c r="H180" s="925">
        <f t="shared" si="20"/>
        <v>1.21</v>
      </c>
      <c r="I180" s="872">
        <v>30</v>
      </c>
      <c r="J180" s="256">
        <f t="shared" si="21"/>
        <v>36.299999999999997</v>
      </c>
      <c r="K180" s="256">
        <f t="shared" si="22"/>
        <v>89.535456599275534</v>
      </c>
      <c r="L180" s="657">
        <v>16500</v>
      </c>
      <c r="M180" s="657"/>
      <c r="N180" s="191"/>
      <c r="O180" s="757"/>
      <c r="P180" s="787"/>
      <c r="Q180" s="773"/>
      <c r="R180" s="8">
        <f t="shared" si="18"/>
        <v>0</v>
      </c>
    </row>
    <row r="181" spans="1:18" ht="16.5" customHeight="1">
      <c r="A181" s="770">
        <f t="shared" si="19"/>
        <v>48</v>
      </c>
      <c r="B181" s="296" t="s">
        <v>711</v>
      </c>
      <c r="C181" s="755">
        <v>42592</v>
      </c>
      <c r="D181" s="756" t="s">
        <v>784</v>
      </c>
      <c r="E181" s="838">
        <v>42</v>
      </c>
      <c r="F181" s="839">
        <v>41</v>
      </c>
      <c r="G181" s="839">
        <v>34</v>
      </c>
      <c r="H181" s="925">
        <f t="shared" si="20"/>
        <v>1.33</v>
      </c>
      <c r="I181" s="872">
        <v>100</v>
      </c>
      <c r="J181" s="256">
        <f t="shared" si="21"/>
        <v>133</v>
      </c>
      <c r="K181" s="256">
        <f t="shared" si="22"/>
        <v>98.415006014079722</v>
      </c>
      <c r="L181" s="657">
        <v>19700</v>
      </c>
      <c r="M181" s="657"/>
      <c r="N181" s="191"/>
      <c r="O181" s="757"/>
      <c r="P181" s="787"/>
      <c r="Q181" s="773"/>
      <c r="R181" s="8">
        <f t="shared" si="18"/>
        <v>0</v>
      </c>
    </row>
    <row r="182" spans="1:18" ht="16.5" customHeight="1">
      <c r="A182" s="770">
        <f t="shared" si="19"/>
        <v>49</v>
      </c>
      <c r="B182" s="296" t="s">
        <v>884</v>
      </c>
      <c r="C182" s="755">
        <v>42592</v>
      </c>
      <c r="D182" s="756" t="s">
        <v>784</v>
      </c>
      <c r="E182" s="838">
        <v>63</v>
      </c>
      <c r="F182" s="839">
        <v>53</v>
      </c>
      <c r="G182" s="839">
        <v>32</v>
      </c>
      <c r="H182" s="925">
        <f t="shared" si="20"/>
        <v>2.09</v>
      </c>
      <c r="I182" s="872">
        <v>60</v>
      </c>
      <c r="J182" s="256">
        <f t="shared" si="21"/>
        <v>125.39999999999999</v>
      </c>
      <c r="K182" s="256">
        <f t="shared" si="22"/>
        <v>154.65215230783954</v>
      </c>
      <c r="L182" s="657">
        <v>20100</v>
      </c>
      <c r="M182" s="657"/>
      <c r="N182" s="191"/>
      <c r="O182" s="757"/>
      <c r="P182" s="787"/>
      <c r="Q182" s="773"/>
      <c r="R182" s="8">
        <f t="shared" si="18"/>
        <v>0</v>
      </c>
    </row>
    <row r="183" spans="1:18" ht="16.5" customHeight="1">
      <c r="A183" s="770">
        <f t="shared" si="19"/>
        <v>50</v>
      </c>
      <c r="B183" s="296" t="s">
        <v>585</v>
      </c>
      <c r="C183" s="755">
        <v>42592</v>
      </c>
      <c r="D183" s="756" t="s">
        <v>785</v>
      </c>
      <c r="E183" s="838">
        <v>62</v>
      </c>
      <c r="F183" s="839">
        <v>42.5</v>
      </c>
      <c r="G183" s="839">
        <v>42.5</v>
      </c>
      <c r="H183" s="925">
        <f t="shared" si="20"/>
        <v>1.88</v>
      </c>
      <c r="I183" s="872">
        <v>403</v>
      </c>
      <c r="J183" s="256">
        <f t="shared" si="21"/>
        <v>757.64</v>
      </c>
      <c r="K183" s="256">
        <f t="shared" si="22"/>
        <v>139.11294083193224</v>
      </c>
      <c r="L183" s="657">
        <v>20000</v>
      </c>
      <c r="M183" s="657"/>
      <c r="N183" s="296"/>
      <c r="O183" s="757"/>
      <c r="P183" s="787"/>
      <c r="Q183" s="773"/>
      <c r="R183" s="8">
        <f t="shared" si="18"/>
        <v>0</v>
      </c>
    </row>
    <row r="184" spans="1:18" ht="16.5" customHeight="1">
      <c r="A184" s="770">
        <f t="shared" si="19"/>
        <v>51</v>
      </c>
      <c r="B184" s="296" t="s">
        <v>719</v>
      </c>
      <c r="C184" s="755">
        <v>42594</v>
      </c>
      <c r="D184" s="756" t="s">
        <v>786</v>
      </c>
      <c r="E184" s="838">
        <v>47</v>
      </c>
      <c r="F184" s="839">
        <v>42</v>
      </c>
      <c r="G184" s="839">
        <v>24.5</v>
      </c>
      <c r="H184" s="925">
        <f t="shared" si="20"/>
        <v>1.27</v>
      </c>
      <c r="I184" s="872">
        <v>1330</v>
      </c>
      <c r="J184" s="256">
        <f t="shared" si="21"/>
        <v>1689.1000000000001</v>
      </c>
      <c r="K184" s="256">
        <f t="shared" si="22"/>
        <v>93.975231306677628</v>
      </c>
      <c r="L184" s="657">
        <v>9360</v>
      </c>
      <c r="M184" s="657"/>
      <c r="N184" s="444"/>
      <c r="O184" s="755"/>
      <c r="P184" s="787"/>
      <c r="Q184" s="773"/>
      <c r="R184" s="8">
        <f t="shared" si="18"/>
        <v>0</v>
      </c>
    </row>
    <row r="185" spans="1:18" ht="16.5" customHeight="1">
      <c r="A185" s="770">
        <f t="shared" si="19"/>
        <v>52</v>
      </c>
      <c r="B185" s="296" t="s">
        <v>719</v>
      </c>
      <c r="C185" s="755">
        <v>42594</v>
      </c>
      <c r="D185" s="756" t="s">
        <v>786</v>
      </c>
      <c r="E185" s="838">
        <v>47</v>
      </c>
      <c r="F185" s="839">
        <v>42</v>
      </c>
      <c r="G185" s="839">
        <v>24.5</v>
      </c>
      <c r="H185" s="925">
        <f t="shared" si="20"/>
        <v>1.27</v>
      </c>
      <c r="I185" s="872">
        <v>80</v>
      </c>
      <c r="J185" s="256">
        <f t="shared" si="21"/>
        <v>101.6</v>
      </c>
      <c r="K185" s="256">
        <f t="shared" si="22"/>
        <v>93.975231306677628</v>
      </c>
      <c r="L185" s="657">
        <v>9200</v>
      </c>
      <c r="M185" s="657"/>
      <c r="N185" s="444"/>
      <c r="O185" s="755"/>
      <c r="P185" s="787"/>
      <c r="Q185" s="773"/>
      <c r="R185" s="8"/>
    </row>
    <row r="186" spans="1:18" ht="16.5" customHeight="1">
      <c r="A186" s="770">
        <f t="shared" si="19"/>
        <v>53</v>
      </c>
      <c r="B186" s="296" t="s">
        <v>720</v>
      </c>
      <c r="C186" s="755">
        <v>42594</v>
      </c>
      <c r="D186" s="756" t="s">
        <v>786</v>
      </c>
      <c r="E186" s="838">
        <v>46</v>
      </c>
      <c r="F186" s="839">
        <v>42</v>
      </c>
      <c r="G186" s="839">
        <v>26</v>
      </c>
      <c r="H186" s="925">
        <f t="shared" si="20"/>
        <v>1.29</v>
      </c>
      <c r="I186" s="872">
        <v>35</v>
      </c>
      <c r="J186" s="256">
        <f t="shared" si="21"/>
        <v>45.15</v>
      </c>
      <c r="K186" s="256">
        <f t="shared" si="22"/>
        <v>95.455156209145002</v>
      </c>
      <c r="L186" s="657">
        <v>9300</v>
      </c>
      <c r="M186" s="657"/>
      <c r="N186" s="825" t="s">
        <v>420</v>
      </c>
      <c r="O186" s="826"/>
      <c r="P186" s="827"/>
      <c r="Q186" s="529"/>
      <c r="R186" s="529">
        <f>SUM(R134:R185)</f>
        <v>0</v>
      </c>
    </row>
    <row r="187" spans="1:18" ht="16.5" customHeight="1">
      <c r="A187" s="770">
        <f t="shared" si="19"/>
        <v>54</v>
      </c>
      <c r="B187" s="296" t="s">
        <v>721</v>
      </c>
      <c r="C187" s="755">
        <v>42594</v>
      </c>
      <c r="D187" s="756" t="s">
        <v>786</v>
      </c>
      <c r="E187" s="838">
        <v>47</v>
      </c>
      <c r="F187" s="839">
        <v>42</v>
      </c>
      <c r="G187" s="839">
        <v>13</v>
      </c>
      <c r="H187" s="925">
        <f t="shared" si="20"/>
        <v>1.06</v>
      </c>
      <c r="I187" s="872">
        <v>90</v>
      </c>
      <c r="J187" s="256">
        <f t="shared" si="21"/>
        <v>95.4</v>
      </c>
      <c r="K187" s="256">
        <f t="shared" si="22"/>
        <v>78.436019830770306</v>
      </c>
      <c r="L187" s="657">
        <v>7500</v>
      </c>
      <c r="M187" s="657"/>
      <c r="N187" s="444"/>
      <c r="O187" s="755"/>
      <c r="P187" s="787"/>
      <c r="Q187" s="773"/>
      <c r="R187" s="8">
        <f t="shared" ref="R187:R189" si="23">ROUND(P187*Q187,0)</f>
        <v>0</v>
      </c>
    </row>
    <row r="188" spans="1:18" ht="16.5" customHeight="1">
      <c r="A188" s="770">
        <f t="shared" si="19"/>
        <v>55</v>
      </c>
      <c r="B188" s="296" t="s">
        <v>722</v>
      </c>
      <c r="C188" s="755">
        <v>42594</v>
      </c>
      <c r="D188" s="756" t="s">
        <v>786</v>
      </c>
      <c r="E188" s="838">
        <v>39</v>
      </c>
      <c r="F188" s="839">
        <v>29</v>
      </c>
      <c r="G188" s="839">
        <v>27</v>
      </c>
      <c r="H188" s="925">
        <f t="shared" si="20"/>
        <v>0.83</v>
      </c>
      <c r="I188" s="872">
        <v>650</v>
      </c>
      <c r="J188" s="256">
        <f t="shared" si="21"/>
        <v>539.5</v>
      </c>
      <c r="K188" s="256">
        <f t="shared" si="22"/>
        <v>61.416883452395609</v>
      </c>
      <c r="L188" s="657">
        <v>6200</v>
      </c>
      <c r="M188" s="657"/>
      <c r="N188" s="444"/>
      <c r="O188" s="755"/>
      <c r="P188" s="787"/>
      <c r="Q188" s="773"/>
      <c r="R188" s="8">
        <f t="shared" si="23"/>
        <v>0</v>
      </c>
    </row>
    <row r="189" spans="1:18" ht="16.5" customHeight="1">
      <c r="A189" s="770">
        <f t="shared" si="19"/>
        <v>56</v>
      </c>
      <c r="B189" s="296" t="s">
        <v>723</v>
      </c>
      <c r="C189" s="755">
        <v>42594</v>
      </c>
      <c r="D189" s="756" t="s">
        <v>786</v>
      </c>
      <c r="E189" s="838">
        <v>47</v>
      </c>
      <c r="F189" s="839">
        <v>42</v>
      </c>
      <c r="G189" s="839">
        <v>27</v>
      </c>
      <c r="H189" s="925">
        <f t="shared" si="20"/>
        <v>1.32</v>
      </c>
      <c r="I189" s="872">
        <v>210</v>
      </c>
      <c r="J189" s="256">
        <f t="shared" si="21"/>
        <v>277.2</v>
      </c>
      <c r="K189" s="256">
        <f t="shared" si="22"/>
        <v>97.675043562846042</v>
      </c>
      <c r="L189" s="657">
        <v>9500</v>
      </c>
      <c r="M189" s="657"/>
      <c r="N189" s="444"/>
      <c r="O189" s="755"/>
      <c r="P189" s="787"/>
      <c r="Q189" s="773"/>
      <c r="R189" s="8">
        <f t="shared" si="23"/>
        <v>0</v>
      </c>
    </row>
    <row r="190" spans="1:18" ht="16.5" customHeight="1">
      <c r="A190" s="770">
        <f t="shared" si="19"/>
        <v>57</v>
      </c>
      <c r="B190" s="296" t="s">
        <v>586</v>
      </c>
      <c r="C190" s="755">
        <v>42597</v>
      </c>
      <c r="D190" s="756" t="s">
        <v>787</v>
      </c>
      <c r="E190" s="838">
        <v>52</v>
      </c>
      <c r="F190" s="839">
        <v>24</v>
      </c>
      <c r="G190" s="839">
        <v>24</v>
      </c>
      <c r="H190" s="925">
        <f t="shared" si="20"/>
        <v>0.8</v>
      </c>
      <c r="I190" s="872">
        <v>429</v>
      </c>
      <c r="J190" s="256">
        <f t="shared" si="21"/>
        <v>343.20000000000005</v>
      </c>
      <c r="K190" s="256">
        <f t="shared" si="22"/>
        <v>59.196996098694569</v>
      </c>
      <c r="L190" s="657">
        <v>6000</v>
      </c>
      <c r="M190" s="657"/>
      <c r="N190" s="444"/>
      <c r="O190" s="755"/>
      <c r="P190" s="787"/>
      <c r="Q190" s="773"/>
      <c r="R190" s="8"/>
    </row>
    <row r="191" spans="1:18" ht="16.5" customHeight="1">
      <c r="A191" s="770">
        <f t="shared" si="19"/>
        <v>58</v>
      </c>
      <c r="B191" s="296" t="s">
        <v>587</v>
      </c>
      <c r="C191" s="755">
        <v>42597</v>
      </c>
      <c r="D191" s="756" t="s">
        <v>787</v>
      </c>
      <c r="E191" s="838">
        <v>52</v>
      </c>
      <c r="F191" s="839">
        <v>27</v>
      </c>
      <c r="G191" s="839">
        <v>27</v>
      </c>
      <c r="H191" s="925">
        <f t="shared" si="20"/>
        <v>0.93</v>
      </c>
      <c r="I191" s="872">
        <v>370</v>
      </c>
      <c r="J191" s="256">
        <f t="shared" si="21"/>
        <v>344.1</v>
      </c>
      <c r="K191" s="256">
        <f t="shared" si="22"/>
        <v>68.816507964732438</v>
      </c>
      <c r="L191" s="657">
        <v>6600</v>
      </c>
      <c r="M191" s="657"/>
      <c r="N191" s="825" t="s">
        <v>421</v>
      </c>
      <c r="O191" s="826"/>
      <c r="P191" s="827"/>
      <c r="Q191" s="529"/>
      <c r="R191" s="529">
        <f>SUM(R187:R190)</f>
        <v>0</v>
      </c>
    </row>
    <row r="192" spans="1:18" ht="16.5" customHeight="1">
      <c r="A192" s="770">
        <f t="shared" si="19"/>
        <v>59</v>
      </c>
      <c r="B192" s="296" t="s">
        <v>588</v>
      </c>
      <c r="C192" s="755">
        <v>42597</v>
      </c>
      <c r="D192" s="756" t="s">
        <v>788</v>
      </c>
      <c r="E192" s="838">
        <v>103</v>
      </c>
      <c r="F192" s="839">
        <v>50</v>
      </c>
      <c r="G192" s="839">
        <v>180</v>
      </c>
      <c r="H192" s="925">
        <f t="shared" si="20"/>
        <v>7.25</v>
      </c>
      <c r="I192" s="872">
        <v>130</v>
      </c>
      <c r="J192" s="256">
        <f t="shared" si="21"/>
        <v>942.5</v>
      </c>
      <c r="K192" s="256">
        <f t="shared" si="22"/>
        <v>536.47277714441952</v>
      </c>
      <c r="L192" s="657">
        <v>47449</v>
      </c>
      <c r="M192" s="657"/>
      <c r="N192" s="444" t="s">
        <v>422</v>
      </c>
      <c r="O192" s="755"/>
      <c r="P192" s="787"/>
      <c r="Q192" s="773"/>
      <c r="R192" s="8">
        <f>R186</f>
        <v>0</v>
      </c>
    </row>
    <row r="193" spans="1:18" ht="16.5" customHeight="1">
      <c r="A193" s="770">
        <f t="shared" si="19"/>
        <v>60</v>
      </c>
      <c r="B193" s="296" t="s">
        <v>589</v>
      </c>
      <c r="C193" s="755">
        <v>42599</v>
      </c>
      <c r="D193" s="756" t="s">
        <v>789</v>
      </c>
      <c r="E193" s="838">
        <v>40</v>
      </c>
      <c r="F193" s="839">
        <v>29.5</v>
      </c>
      <c r="G193" s="839">
        <v>19</v>
      </c>
      <c r="H193" s="925">
        <f t="shared" si="20"/>
        <v>0.74</v>
      </c>
      <c r="I193" s="872">
        <v>309</v>
      </c>
      <c r="J193" s="256">
        <f t="shared" si="21"/>
        <v>228.66</v>
      </c>
      <c r="K193" s="256">
        <f t="shared" si="22"/>
        <v>54.757221391292475</v>
      </c>
      <c r="L193" s="657">
        <v>7500</v>
      </c>
      <c r="M193" s="657"/>
      <c r="N193" s="444" t="s">
        <v>423</v>
      </c>
      <c r="O193" s="755"/>
      <c r="P193" s="787"/>
      <c r="Q193" s="773"/>
      <c r="R193" s="8">
        <f>R191</f>
        <v>0</v>
      </c>
    </row>
    <row r="194" spans="1:18" ht="16.5" customHeight="1">
      <c r="A194" s="770">
        <f t="shared" si="19"/>
        <v>61</v>
      </c>
      <c r="B194" s="296" t="s">
        <v>590</v>
      </c>
      <c r="C194" s="755">
        <v>42599</v>
      </c>
      <c r="D194" s="756" t="s">
        <v>790</v>
      </c>
      <c r="E194" s="838">
        <v>40</v>
      </c>
      <c r="F194" s="839">
        <v>25.5</v>
      </c>
      <c r="G194" s="839">
        <v>72</v>
      </c>
      <c r="H194" s="925">
        <f t="shared" si="20"/>
        <v>1.37</v>
      </c>
      <c r="I194" s="872">
        <v>19</v>
      </c>
      <c r="J194" s="256">
        <f t="shared" si="21"/>
        <v>26.03</v>
      </c>
      <c r="K194" s="256">
        <f t="shared" si="22"/>
        <v>101.37485581901446</v>
      </c>
      <c r="L194" s="657">
        <v>10800</v>
      </c>
      <c r="M194" s="657"/>
      <c r="N194" s="444" t="s">
        <v>425</v>
      </c>
      <c r="O194" s="755"/>
      <c r="P194" s="787"/>
      <c r="Q194" s="773"/>
      <c r="R194" s="8"/>
    </row>
    <row r="195" spans="1:18" ht="16.5" customHeight="1">
      <c r="A195" s="770">
        <f t="shared" si="19"/>
        <v>62</v>
      </c>
      <c r="B195" s="296" t="s">
        <v>569</v>
      </c>
      <c r="C195" s="755">
        <v>42602</v>
      </c>
      <c r="D195" s="756" t="s">
        <v>792</v>
      </c>
      <c r="E195" s="838">
        <v>37.5</v>
      </c>
      <c r="F195" s="839">
        <v>25.5</v>
      </c>
      <c r="G195" s="839">
        <v>23.9</v>
      </c>
      <c r="H195" s="925">
        <f t="shared" si="20"/>
        <v>0.69</v>
      </c>
      <c r="I195" s="872">
        <v>940</v>
      </c>
      <c r="J195" s="256">
        <f t="shared" si="21"/>
        <v>648.59999999999991</v>
      </c>
      <c r="K195" s="256">
        <f t="shared" si="22"/>
        <v>51.057409135124061</v>
      </c>
      <c r="L195" s="657">
        <v>5900</v>
      </c>
      <c r="M195" s="657"/>
      <c r="N195" s="444" t="s">
        <v>424</v>
      </c>
      <c r="O195" s="755"/>
      <c r="P195" s="787"/>
      <c r="Q195" s="773"/>
      <c r="R195" s="8">
        <v>13250000</v>
      </c>
    </row>
    <row r="196" spans="1:18" ht="16.5" customHeight="1">
      <c r="A196" s="770">
        <f t="shared" si="19"/>
        <v>63</v>
      </c>
      <c r="B196" s="296" t="s">
        <v>747</v>
      </c>
      <c r="C196" s="755">
        <v>42605</v>
      </c>
      <c r="D196" s="756" t="s">
        <v>793</v>
      </c>
      <c r="E196" s="838">
        <v>47</v>
      </c>
      <c r="F196" s="839">
        <v>47</v>
      </c>
      <c r="G196" s="839">
        <v>52</v>
      </c>
      <c r="H196" s="925">
        <f t="shared" si="20"/>
        <v>1.97</v>
      </c>
      <c r="I196" s="872">
        <v>58</v>
      </c>
      <c r="J196" s="256">
        <f t="shared" si="21"/>
        <v>114.26</v>
      </c>
      <c r="K196" s="256">
        <f t="shared" si="22"/>
        <v>145.77260289303538</v>
      </c>
      <c r="L196" s="657">
        <v>16070</v>
      </c>
      <c r="M196" s="657"/>
      <c r="N196" s="444" t="s">
        <v>437</v>
      </c>
      <c r="O196" s="755"/>
      <c r="P196" s="787"/>
      <c r="Q196" s="773"/>
      <c r="R196" s="8"/>
    </row>
    <row r="197" spans="1:18" ht="16.5" customHeight="1">
      <c r="A197" s="770">
        <f t="shared" si="19"/>
        <v>64</v>
      </c>
      <c r="B197" s="296" t="s">
        <v>557</v>
      </c>
      <c r="C197" s="755">
        <v>42605</v>
      </c>
      <c r="D197" s="756" t="s">
        <v>793</v>
      </c>
      <c r="E197" s="838">
        <v>103</v>
      </c>
      <c r="F197" s="839">
        <v>54</v>
      </c>
      <c r="G197" s="839">
        <v>180</v>
      </c>
      <c r="H197" s="925">
        <f t="shared" si="20"/>
        <v>7.56</v>
      </c>
      <c r="I197" s="872">
        <v>56</v>
      </c>
      <c r="J197" s="256">
        <f t="shared" si="21"/>
        <v>423.35999999999996</v>
      </c>
      <c r="K197" s="256">
        <f t="shared" si="22"/>
        <v>559.41161313266366</v>
      </c>
      <c r="L197" s="657">
        <v>73100</v>
      </c>
      <c r="M197" s="657"/>
      <c r="N197" s="191"/>
      <c r="O197" s="755"/>
      <c r="P197" s="787"/>
      <c r="Q197" s="773"/>
      <c r="R197" s="8"/>
    </row>
    <row r="198" spans="1:18" ht="16.5" customHeight="1">
      <c r="A198" s="770">
        <f t="shared" si="19"/>
        <v>65</v>
      </c>
      <c r="B198" s="296" t="s">
        <v>715</v>
      </c>
      <c r="C198" s="755">
        <v>42607</v>
      </c>
      <c r="D198" s="756" t="s">
        <v>794</v>
      </c>
      <c r="E198" s="838">
        <v>53</v>
      </c>
      <c r="F198" s="839">
        <v>42</v>
      </c>
      <c r="G198" s="839">
        <v>29</v>
      </c>
      <c r="H198" s="925">
        <f t="shared" si="20"/>
        <v>1.44</v>
      </c>
      <c r="I198" s="872">
        <v>1040</v>
      </c>
      <c r="J198" s="256">
        <f t="shared" si="21"/>
        <v>1497.6</v>
      </c>
      <c r="K198" s="256">
        <f t="shared" si="22"/>
        <v>106.55459297765022</v>
      </c>
      <c r="L198" s="657">
        <v>15100</v>
      </c>
      <c r="M198" s="657"/>
      <c r="N198" s="444"/>
      <c r="O198" s="755"/>
      <c r="P198" s="787"/>
      <c r="Q198" s="773"/>
      <c r="R198" s="8"/>
    </row>
    <row r="199" spans="1:18" ht="16.5" customHeight="1">
      <c r="A199" s="770">
        <f t="shared" ref="A199:A262" si="24">IF(B199&lt;&gt;"",ROW()-133,"")</f>
        <v>66</v>
      </c>
      <c r="B199" s="296" t="s">
        <v>715</v>
      </c>
      <c r="C199" s="755">
        <v>42607</v>
      </c>
      <c r="D199" s="756" t="s">
        <v>795</v>
      </c>
      <c r="E199" s="838">
        <v>53</v>
      </c>
      <c r="F199" s="839">
        <v>42</v>
      </c>
      <c r="G199" s="839">
        <v>29</v>
      </c>
      <c r="H199" s="925">
        <f t="shared" ref="H199:H262" si="25">IF(G199&lt;&gt;"",ROUND(((E199+F199)*2+5)*(F199+G199+3)/10000,2),ROUND(E199*F199/10000,2))</f>
        <v>1.44</v>
      </c>
      <c r="I199" s="872">
        <v>110</v>
      </c>
      <c r="J199" s="256">
        <f t="shared" ref="J199:J262" si="26">H199*I199</f>
        <v>158.4</v>
      </c>
      <c r="K199" s="256">
        <f t="shared" ref="K199:K262" si="27">H199*$R$202</f>
        <v>106.55459297765022</v>
      </c>
      <c r="L199" s="657">
        <v>15100</v>
      </c>
      <c r="M199" s="657"/>
      <c r="N199" s="825" t="s">
        <v>434</v>
      </c>
      <c r="O199" s="826"/>
      <c r="P199" s="827"/>
      <c r="Q199" s="529"/>
      <c r="R199" s="529">
        <f>SUM(R192:R198)</f>
        <v>13250000</v>
      </c>
    </row>
    <row r="200" spans="1:18" ht="16.5" customHeight="1">
      <c r="A200" s="770">
        <f t="shared" si="24"/>
        <v>67</v>
      </c>
      <c r="B200" s="296" t="s">
        <v>593</v>
      </c>
      <c r="C200" s="755">
        <v>42608</v>
      </c>
      <c r="D200" s="756" t="s">
        <v>796</v>
      </c>
      <c r="E200" s="838">
        <v>51.5</v>
      </c>
      <c r="F200" s="839">
        <v>39.5</v>
      </c>
      <c r="G200" s="839">
        <v>39.5</v>
      </c>
      <c r="H200" s="925">
        <f t="shared" si="25"/>
        <v>1.53</v>
      </c>
      <c r="I200" s="872">
        <v>120</v>
      </c>
      <c r="J200" s="256">
        <f t="shared" si="26"/>
        <v>183.6</v>
      </c>
      <c r="K200" s="256">
        <f t="shared" si="27"/>
        <v>113.21425503875336</v>
      </c>
      <c r="L200" s="657">
        <v>19000</v>
      </c>
      <c r="M200" s="657"/>
      <c r="N200" s="445"/>
      <c r="O200" s="763"/>
      <c r="P200" s="788"/>
      <c r="Q200" s="753"/>
      <c r="R200" s="765"/>
    </row>
    <row r="201" spans="1:18" ht="16.5" customHeight="1">
      <c r="A201" s="770">
        <f t="shared" si="24"/>
        <v>68</v>
      </c>
      <c r="B201" s="296" t="s">
        <v>594</v>
      </c>
      <c r="C201" s="755">
        <v>42608</v>
      </c>
      <c r="D201" s="756" t="s">
        <v>796</v>
      </c>
      <c r="E201" s="838">
        <v>50</v>
      </c>
      <c r="F201" s="839">
        <v>38</v>
      </c>
      <c r="G201" s="839"/>
      <c r="H201" s="925">
        <f t="shared" si="25"/>
        <v>0.19</v>
      </c>
      <c r="I201" s="872">
        <v>240</v>
      </c>
      <c r="J201" s="256">
        <f t="shared" si="26"/>
        <v>45.6</v>
      </c>
      <c r="K201" s="256">
        <f t="shared" si="27"/>
        <v>14.059286573439961</v>
      </c>
      <c r="L201" s="657">
        <v>1750</v>
      </c>
      <c r="M201" s="657"/>
      <c r="N201" s="445"/>
      <c r="O201" s="763"/>
      <c r="P201" s="788"/>
      <c r="Q201" s="753"/>
      <c r="R201" s="765"/>
    </row>
    <row r="202" spans="1:18" ht="16.5" customHeight="1">
      <c r="A202" s="770">
        <f t="shared" si="24"/>
        <v>69</v>
      </c>
      <c r="B202" s="296" t="s">
        <v>574</v>
      </c>
      <c r="C202" s="755">
        <v>42608</v>
      </c>
      <c r="D202" s="756" t="s">
        <v>797</v>
      </c>
      <c r="E202" s="838">
        <v>49</v>
      </c>
      <c r="F202" s="839">
        <v>38</v>
      </c>
      <c r="G202" s="839">
        <v>12</v>
      </c>
      <c r="H202" s="925">
        <f t="shared" si="25"/>
        <v>0.95</v>
      </c>
      <c r="I202" s="872">
        <v>513</v>
      </c>
      <c r="J202" s="256">
        <f t="shared" si="26"/>
        <v>487.34999999999997</v>
      </c>
      <c r="K202" s="256">
        <f t="shared" si="27"/>
        <v>70.296432867199798</v>
      </c>
      <c r="L202" s="657">
        <v>10500</v>
      </c>
      <c r="M202" s="657"/>
      <c r="N202" s="1098" t="s">
        <v>435</v>
      </c>
      <c r="O202" s="1099"/>
      <c r="P202" s="1099"/>
      <c r="Q202" s="1100"/>
      <c r="R202" s="830">
        <f>R199/J385</f>
        <v>73.996245123368212</v>
      </c>
    </row>
    <row r="203" spans="1:18" ht="16.5" customHeight="1">
      <c r="A203" s="770">
        <f t="shared" si="24"/>
        <v>70</v>
      </c>
      <c r="B203" s="296" t="s">
        <v>595</v>
      </c>
      <c r="C203" s="755">
        <v>42608</v>
      </c>
      <c r="D203" s="756" t="s">
        <v>798</v>
      </c>
      <c r="E203" s="838">
        <v>52.5</v>
      </c>
      <c r="F203" s="839">
        <v>30.5</v>
      </c>
      <c r="G203" s="839">
        <v>8.5</v>
      </c>
      <c r="H203" s="925">
        <f t="shared" si="25"/>
        <v>0.72</v>
      </c>
      <c r="I203" s="872">
        <v>1000</v>
      </c>
      <c r="J203" s="256">
        <f t="shared" si="26"/>
        <v>720</v>
      </c>
      <c r="K203" s="256">
        <f t="shared" si="27"/>
        <v>53.277296488825108</v>
      </c>
      <c r="L203" s="657">
        <v>7700</v>
      </c>
      <c r="M203" s="657"/>
      <c r="O203" s="735"/>
      <c r="P203" s="735"/>
      <c r="Q203" s="735"/>
    </row>
    <row r="204" spans="1:18" ht="16.5" customHeight="1">
      <c r="A204" s="770">
        <f t="shared" si="24"/>
        <v>71</v>
      </c>
      <c r="B204" s="296" t="s">
        <v>596</v>
      </c>
      <c r="C204" s="755">
        <v>42608</v>
      </c>
      <c r="D204" s="756" t="s">
        <v>798</v>
      </c>
      <c r="E204" s="838">
        <v>53</v>
      </c>
      <c r="F204" s="839">
        <v>31</v>
      </c>
      <c r="G204" s="839">
        <v>9.1999999999999993</v>
      </c>
      <c r="H204" s="925">
        <f t="shared" si="25"/>
        <v>0.75</v>
      </c>
      <c r="I204" s="872">
        <v>970</v>
      </c>
      <c r="J204" s="256">
        <f t="shared" si="26"/>
        <v>727.5</v>
      </c>
      <c r="K204" s="256">
        <f t="shared" si="27"/>
        <v>55.497183842526155</v>
      </c>
      <c r="L204" s="657">
        <v>6400</v>
      </c>
      <c r="M204" s="657"/>
      <c r="O204" s="735"/>
      <c r="P204" s="735"/>
      <c r="Q204" s="735"/>
    </row>
    <row r="205" spans="1:18" ht="16.5" customHeight="1">
      <c r="A205" s="770">
        <f t="shared" si="24"/>
        <v>72</v>
      </c>
      <c r="B205" s="296" t="s">
        <v>597</v>
      </c>
      <c r="C205" s="755">
        <v>42609</v>
      </c>
      <c r="D205" s="756" t="s">
        <v>799</v>
      </c>
      <c r="E205" s="838">
        <v>43</v>
      </c>
      <c r="F205" s="839">
        <v>27.5</v>
      </c>
      <c r="G205" s="839">
        <v>23</v>
      </c>
      <c r="H205" s="925">
        <f t="shared" si="25"/>
        <v>0.78</v>
      </c>
      <c r="I205" s="872">
        <v>203</v>
      </c>
      <c r="J205" s="256">
        <f t="shared" si="26"/>
        <v>158.34</v>
      </c>
      <c r="K205" s="256">
        <f t="shared" si="27"/>
        <v>57.717071196227209</v>
      </c>
      <c r="L205" s="657">
        <v>6400</v>
      </c>
      <c r="M205" s="657"/>
      <c r="O205" s="735"/>
      <c r="P205" s="735"/>
      <c r="Q205" s="735"/>
    </row>
    <row r="206" spans="1:18" ht="16.5" customHeight="1">
      <c r="A206" s="770">
        <f t="shared" si="24"/>
        <v>73</v>
      </c>
      <c r="B206" s="296" t="s">
        <v>588</v>
      </c>
      <c r="C206" s="755">
        <v>42611</v>
      </c>
      <c r="D206" s="756" t="s">
        <v>800</v>
      </c>
      <c r="E206" s="838">
        <v>103</v>
      </c>
      <c r="F206" s="839">
        <v>50</v>
      </c>
      <c r="G206" s="839">
        <v>180</v>
      </c>
      <c r="H206" s="925">
        <f t="shared" si="25"/>
        <v>7.25</v>
      </c>
      <c r="I206" s="872">
        <v>160</v>
      </c>
      <c r="J206" s="256">
        <f t="shared" si="26"/>
        <v>1160</v>
      </c>
      <c r="K206" s="256">
        <f t="shared" si="27"/>
        <v>536.47277714441952</v>
      </c>
      <c r="L206" s="657">
        <v>47449</v>
      </c>
      <c r="M206" s="657"/>
      <c r="O206" s="735"/>
      <c r="P206" s="735"/>
      <c r="Q206" s="735"/>
    </row>
    <row r="207" spans="1:18" ht="16.5" customHeight="1">
      <c r="A207" s="770">
        <f t="shared" si="24"/>
        <v>74</v>
      </c>
      <c r="B207" s="296" t="s">
        <v>411</v>
      </c>
      <c r="C207" s="755">
        <v>42612</v>
      </c>
      <c r="D207" s="756" t="s">
        <v>801</v>
      </c>
      <c r="E207" s="838">
        <v>125</v>
      </c>
      <c r="F207" s="839">
        <v>185</v>
      </c>
      <c r="G207" s="839"/>
      <c r="H207" s="925">
        <f t="shared" si="25"/>
        <v>2.31</v>
      </c>
      <c r="I207" s="872">
        <v>500</v>
      </c>
      <c r="J207" s="256">
        <f t="shared" si="26"/>
        <v>1155</v>
      </c>
      <c r="K207" s="256">
        <f t="shared" si="27"/>
        <v>170.93132623498056</v>
      </c>
      <c r="L207" s="657">
        <v>12950</v>
      </c>
      <c r="M207" s="657"/>
      <c r="O207" s="735"/>
      <c r="P207" s="735"/>
      <c r="Q207" s="735"/>
    </row>
    <row r="208" spans="1:18" ht="16.5" customHeight="1">
      <c r="A208" s="770">
        <f t="shared" si="24"/>
        <v>75</v>
      </c>
      <c r="B208" s="296" t="s">
        <v>561</v>
      </c>
      <c r="C208" s="755">
        <v>42613</v>
      </c>
      <c r="D208" s="756" t="s">
        <v>802</v>
      </c>
      <c r="E208" s="838">
        <v>45</v>
      </c>
      <c r="F208" s="839">
        <v>37</v>
      </c>
      <c r="G208" s="839">
        <v>27.5</v>
      </c>
      <c r="H208" s="925">
        <f t="shared" si="25"/>
        <v>1.1399999999999999</v>
      </c>
      <c r="I208" s="872">
        <v>1500</v>
      </c>
      <c r="J208" s="256">
        <f t="shared" si="26"/>
        <v>1709.9999999999998</v>
      </c>
      <c r="K208" s="256">
        <f t="shared" si="27"/>
        <v>84.35571944063976</v>
      </c>
      <c r="L208" s="657">
        <v>13800</v>
      </c>
      <c r="M208" s="657"/>
      <c r="O208" s="735"/>
      <c r="P208" s="735"/>
      <c r="Q208" s="735"/>
    </row>
    <row r="209" spans="1:17" ht="16.5" customHeight="1">
      <c r="A209" s="770">
        <f t="shared" si="24"/>
        <v>76</v>
      </c>
      <c r="B209" s="296" t="s">
        <v>561</v>
      </c>
      <c r="C209" s="755">
        <v>42613</v>
      </c>
      <c r="D209" s="756" t="s">
        <v>802</v>
      </c>
      <c r="E209" s="838">
        <v>45</v>
      </c>
      <c r="F209" s="839">
        <v>37</v>
      </c>
      <c r="G209" s="839">
        <v>27.5</v>
      </c>
      <c r="H209" s="925">
        <f t="shared" si="25"/>
        <v>1.1399999999999999</v>
      </c>
      <c r="I209" s="872">
        <v>400</v>
      </c>
      <c r="J209" s="256">
        <f t="shared" si="26"/>
        <v>455.99999999999994</v>
      </c>
      <c r="K209" s="256">
        <f t="shared" si="27"/>
        <v>84.35571944063976</v>
      </c>
      <c r="L209" s="657">
        <v>13400</v>
      </c>
      <c r="M209" s="657"/>
      <c r="O209" s="735"/>
      <c r="P209" s="735"/>
      <c r="Q209" s="735"/>
    </row>
    <row r="210" spans="1:17" ht="16.5" customHeight="1">
      <c r="A210" s="770">
        <f t="shared" si="24"/>
        <v>77</v>
      </c>
      <c r="B210" s="296" t="s">
        <v>418</v>
      </c>
      <c r="C210" s="755">
        <v>42613</v>
      </c>
      <c r="D210" s="756" t="s">
        <v>802</v>
      </c>
      <c r="E210" s="838">
        <v>44</v>
      </c>
      <c r="F210" s="839">
        <v>20</v>
      </c>
      <c r="G210" s="839"/>
      <c r="H210" s="925">
        <f t="shared" si="25"/>
        <v>0.09</v>
      </c>
      <c r="I210" s="872">
        <v>3800</v>
      </c>
      <c r="J210" s="256">
        <f t="shared" si="26"/>
        <v>342</v>
      </c>
      <c r="K210" s="256">
        <f t="shared" si="27"/>
        <v>6.6596620611031385</v>
      </c>
      <c r="L210" s="657">
        <v>1300</v>
      </c>
      <c r="M210" s="657"/>
      <c r="O210" s="735"/>
      <c r="P210" s="735"/>
      <c r="Q210" s="735"/>
    </row>
    <row r="211" spans="1:17" ht="16.5" customHeight="1">
      <c r="A211" s="770">
        <f t="shared" si="24"/>
        <v>78</v>
      </c>
      <c r="B211" s="296" t="s">
        <v>579</v>
      </c>
      <c r="C211" s="755">
        <v>42613</v>
      </c>
      <c r="D211" s="756" t="s">
        <v>803</v>
      </c>
      <c r="E211" s="838">
        <v>52</v>
      </c>
      <c r="F211" s="839">
        <v>24.5</v>
      </c>
      <c r="G211" s="839">
        <v>24.5</v>
      </c>
      <c r="H211" s="925">
        <f t="shared" si="25"/>
        <v>0.82</v>
      </c>
      <c r="I211" s="872">
        <v>819</v>
      </c>
      <c r="J211" s="256">
        <f t="shared" si="26"/>
        <v>671.57999999999993</v>
      </c>
      <c r="K211" s="256">
        <f t="shared" si="27"/>
        <v>60.676921001161929</v>
      </c>
      <c r="L211" s="657">
        <v>5000</v>
      </c>
      <c r="M211" s="657"/>
      <c r="O211" s="735"/>
      <c r="P211" s="735"/>
      <c r="Q211" s="735"/>
    </row>
    <row r="212" spans="1:17" ht="16.5" customHeight="1">
      <c r="A212" s="770">
        <f t="shared" si="24"/>
        <v>79</v>
      </c>
      <c r="B212" s="296" t="s">
        <v>605</v>
      </c>
      <c r="C212" s="755">
        <v>42613</v>
      </c>
      <c r="D212" s="756" t="s">
        <v>803</v>
      </c>
      <c r="E212" s="838">
        <v>52</v>
      </c>
      <c r="F212" s="839">
        <v>26.5</v>
      </c>
      <c r="G212" s="839">
        <v>26.5</v>
      </c>
      <c r="H212" s="925">
        <f t="shared" si="25"/>
        <v>0.91</v>
      </c>
      <c r="I212" s="872">
        <v>610</v>
      </c>
      <c r="J212" s="256">
        <f t="shared" si="26"/>
        <v>555.1</v>
      </c>
      <c r="K212" s="256">
        <f t="shared" si="27"/>
        <v>67.336583062265078</v>
      </c>
      <c r="L212" s="657">
        <v>5550</v>
      </c>
      <c r="M212" s="657"/>
      <c r="O212" s="735"/>
      <c r="P212" s="735"/>
      <c r="Q212" s="735"/>
    </row>
    <row r="213" spans="1:17" ht="16.5" customHeight="1">
      <c r="A213" s="770">
        <f t="shared" si="24"/>
        <v>80</v>
      </c>
      <c r="B213" s="296" t="s">
        <v>581</v>
      </c>
      <c r="C213" s="755">
        <v>42613</v>
      </c>
      <c r="D213" s="756" t="s">
        <v>803</v>
      </c>
      <c r="E213" s="838">
        <v>55</v>
      </c>
      <c r="F213" s="839">
        <v>45</v>
      </c>
      <c r="G213" s="839">
        <v>29</v>
      </c>
      <c r="H213" s="925">
        <f t="shared" si="25"/>
        <v>1.58</v>
      </c>
      <c r="I213" s="872">
        <v>599</v>
      </c>
      <c r="J213" s="256">
        <f t="shared" si="26"/>
        <v>946.42000000000007</v>
      </c>
      <c r="K213" s="256">
        <f t="shared" si="27"/>
        <v>116.91406729492178</v>
      </c>
      <c r="L213" s="657">
        <v>9700</v>
      </c>
      <c r="M213" s="657"/>
      <c r="O213" s="735"/>
      <c r="P213" s="735"/>
      <c r="Q213" s="735"/>
    </row>
    <row r="214" spans="1:17" ht="16.5" customHeight="1">
      <c r="A214" s="770">
        <f t="shared" si="24"/>
        <v>81</v>
      </c>
      <c r="B214" s="296" t="s">
        <v>686</v>
      </c>
      <c r="C214" s="755">
        <v>42613</v>
      </c>
      <c r="D214" s="756" t="s">
        <v>803</v>
      </c>
      <c r="E214" s="838">
        <v>61</v>
      </c>
      <c r="F214" s="839">
        <v>51</v>
      </c>
      <c r="G214" s="839">
        <v>30</v>
      </c>
      <c r="H214" s="925">
        <f t="shared" si="25"/>
        <v>1.92</v>
      </c>
      <c r="I214" s="872">
        <v>305</v>
      </c>
      <c r="J214" s="256">
        <f t="shared" si="26"/>
        <v>585.6</v>
      </c>
      <c r="K214" s="256">
        <f t="shared" si="27"/>
        <v>142.07279063686696</v>
      </c>
      <c r="L214" s="657">
        <v>10670</v>
      </c>
      <c r="M214" s="657"/>
      <c r="O214" s="735"/>
      <c r="P214" s="735"/>
      <c r="Q214" s="735"/>
    </row>
    <row r="215" spans="1:17" ht="16.5" customHeight="1">
      <c r="A215" s="770">
        <f t="shared" si="24"/>
        <v>82</v>
      </c>
      <c r="B215" s="296" t="s">
        <v>599</v>
      </c>
      <c r="C215" s="755">
        <v>42614</v>
      </c>
      <c r="D215" s="756" t="s">
        <v>804</v>
      </c>
      <c r="E215" s="838">
        <v>52</v>
      </c>
      <c r="F215" s="839">
        <v>28</v>
      </c>
      <c r="G215" s="839">
        <v>28</v>
      </c>
      <c r="H215" s="925">
        <f t="shared" si="25"/>
        <v>0.97</v>
      </c>
      <c r="I215" s="872">
        <v>504</v>
      </c>
      <c r="J215" s="256">
        <f t="shared" si="26"/>
        <v>488.88</v>
      </c>
      <c r="K215" s="256">
        <f t="shared" si="27"/>
        <v>71.776357769667158</v>
      </c>
      <c r="L215" s="657">
        <v>6400</v>
      </c>
      <c r="M215" s="657"/>
      <c r="O215" s="735"/>
      <c r="P215" s="735"/>
      <c r="Q215" s="735"/>
    </row>
    <row r="216" spans="1:17" ht="16.5" customHeight="1">
      <c r="A216" s="770">
        <f t="shared" si="24"/>
        <v>83</v>
      </c>
      <c r="B216" s="296" t="s">
        <v>600</v>
      </c>
      <c r="C216" s="755">
        <v>42614</v>
      </c>
      <c r="D216" s="756" t="s">
        <v>805</v>
      </c>
      <c r="E216" s="838">
        <v>32</v>
      </c>
      <c r="F216" s="839">
        <v>26</v>
      </c>
      <c r="G216" s="839">
        <v>25</v>
      </c>
      <c r="H216" s="925">
        <f t="shared" si="25"/>
        <v>0.65</v>
      </c>
      <c r="I216" s="872">
        <v>2660</v>
      </c>
      <c r="J216" s="256">
        <f t="shared" si="26"/>
        <v>1729</v>
      </c>
      <c r="K216" s="256">
        <f t="shared" si="27"/>
        <v>48.097559330189341</v>
      </c>
      <c r="L216" s="657">
        <v>7350</v>
      </c>
      <c r="M216" s="657"/>
      <c r="O216" s="735"/>
      <c r="P216" s="735"/>
      <c r="Q216" s="735"/>
    </row>
    <row r="217" spans="1:17" ht="16.5" customHeight="1">
      <c r="A217" s="770">
        <f t="shared" si="24"/>
        <v>84</v>
      </c>
      <c r="B217" s="296" t="s">
        <v>713</v>
      </c>
      <c r="C217" s="755">
        <v>42618</v>
      </c>
      <c r="D217" s="756" t="s">
        <v>806</v>
      </c>
      <c r="E217" s="838">
        <v>36</v>
      </c>
      <c r="F217" s="839">
        <v>30.5</v>
      </c>
      <c r="G217" s="839">
        <v>42</v>
      </c>
      <c r="H217" s="925">
        <f t="shared" si="25"/>
        <v>1.04</v>
      </c>
      <c r="I217" s="872">
        <v>412</v>
      </c>
      <c r="J217" s="256">
        <f t="shared" si="26"/>
        <v>428.48</v>
      </c>
      <c r="K217" s="256">
        <f t="shared" si="27"/>
        <v>76.956094928302946</v>
      </c>
      <c r="L217" s="657">
        <v>11800</v>
      </c>
      <c r="M217" s="657"/>
      <c r="O217" s="735"/>
      <c r="P217" s="735"/>
      <c r="Q217" s="735"/>
    </row>
    <row r="218" spans="1:17" ht="16.5" customHeight="1">
      <c r="A218" s="770">
        <f t="shared" si="24"/>
        <v>85</v>
      </c>
      <c r="B218" s="296" t="s">
        <v>559</v>
      </c>
      <c r="C218" s="755">
        <v>42618</v>
      </c>
      <c r="D218" s="756" t="s">
        <v>806</v>
      </c>
      <c r="E218" s="838">
        <v>47</v>
      </c>
      <c r="F218" s="839">
        <v>42</v>
      </c>
      <c r="G218" s="839">
        <v>25</v>
      </c>
      <c r="H218" s="925">
        <f t="shared" si="25"/>
        <v>1.28</v>
      </c>
      <c r="I218" s="872">
        <v>382</v>
      </c>
      <c r="J218" s="256">
        <f t="shared" si="26"/>
        <v>488.96000000000004</v>
      </c>
      <c r="K218" s="256">
        <f t="shared" si="27"/>
        <v>94.715193757911308</v>
      </c>
      <c r="L218" s="657">
        <v>9400</v>
      </c>
      <c r="M218" s="657"/>
      <c r="O218" s="735"/>
      <c r="P218" s="735"/>
      <c r="Q218" s="735"/>
    </row>
    <row r="219" spans="1:17" ht="16.5" customHeight="1">
      <c r="A219" s="770">
        <f t="shared" si="24"/>
        <v>86</v>
      </c>
      <c r="B219" s="296" t="s">
        <v>559</v>
      </c>
      <c r="C219" s="755">
        <v>42618</v>
      </c>
      <c r="D219" s="756" t="s">
        <v>806</v>
      </c>
      <c r="E219" s="838">
        <v>47</v>
      </c>
      <c r="F219" s="839">
        <v>42</v>
      </c>
      <c r="G219" s="839">
        <v>25</v>
      </c>
      <c r="H219" s="925">
        <f t="shared" si="25"/>
        <v>1.28</v>
      </c>
      <c r="I219" s="872">
        <v>110</v>
      </c>
      <c r="J219" s="256">
        <f t="shared" si="26"/>
        <v>140.80000000000001</v>
      </c>
      <c r="K219" s="256">
        <f t="shared" si="27"/>
        <v>94.715193757911308</v>
      </c>
      <c r="L219" s="657">
        <v>16700</v>
      </c>
      <c r="M219" s="657"/>
      <c r="O219" s="735"/>
      <c r="P219" s="735"/>
      <c r="Q219" s="735"/>
    </row>
    <row r="220" spans="1:17" ht="16.5" customHeight="1">
      <c r="A220" s="770">
        <f t="shared" si="24"/>
        <v>87</v>
      </c>
      <c r="B220" s="296" t="s">
        <v>714</v>
      </c>
      <c r="C220" s="755">
        <v>42618</v>
      </c>
      <c r="D220" s="756" t="s">
        <v>806</v>
      </c>
      <c r="E220" s="838">
        <v>28</v>
      </c>
      <c r="F220" s="839">
        <v>28</v>
      </c>
      <c r="G220" s="839">
        <v>42</v>
      </c>
      <c r="H220" s="925">
        <f t="shared" si="25"/>
        <v>0.85</v>
      </c>
      <c r="I220" s="872">
        <v>110</v>
      </c>
      <c r="J220" s="256">
        <f t="shared" si="26"/>
        <v>93.5</v>
      </c>
      <c r="K220" s="256">
        <f t="shared" si="27"/>
        <v>62.896808354862976</v>
      </c>
      <c r="L220" s="657">
        <v>6300</v>
      </c>
      <c r="M220" s="657"/>
      <c r="O220" s="735"/>
      <c r="P220" s="735"/>
      <c r="Q220" s="735"/>
    </row>
    <row r="221" spans="1:17" ht="16.5" customHeight="1">
      <c r="A221" s="770">
        <f t="shared" si="24"/>
        <v>88</v>
      </c>
      <c r="B221" s="296" t="s">
        <v>715</v>
      </c>
      <c r="C221" s="755">
        <v>42618</v>
      </c>
      <c r="D221" s="756" t="s">
        <v>807</v>
      </c>
      <c r="E221" s="838">
        <v>53</v>
      </c>
      <c r="F221" s="839">
        <v>42</v>
      </c>
      <c r="G221" s="839">
        <v>29</v>
      </c>
      <c r="H221" s="925">
        <f t="shared" si="25"/>
        <v>1.44</v>
      </c>
      <c r="I221" s="872">
        <v>65</v>
      </c>
      <c r="J221" s="256">
        <f t="shared" si="26"/>
        <v>93.6</v>
      </c>
      <c r="K221" s="256">
        <f t="shared" si="27"/>
        <v>106.55459297765022</v>
      </c>
      <c r="L221" s="657">
        <v>15600</v>
      </c>
      <c r="M221" s="657"/>
      <c r="O221" s="735"/>
      <c r="P221" s="735"/>
      <c r="Q221" s="735"/>
    </row>
    <row r="222" spans="1:17" ht="16.5" customHeight="1">
      <c r="A222" s="770">
        <f t="shared" si="24"/>
        <v>89</v>
      </c>
      <c r="B222" s="296" t="s">
        <v>716</v>
      </c>
      <c r="C222" s="755">
        <v>42618</v>
      </c>
      <c r="D222" s="756" t="s">
        <v>807</v>
      </c>
      <c r="E222" s="838">
        <v>47</v>
      </c>
      <c r="F222" s="839">
        <v>42</v>
      </c>
      <c r="G222" s="839">
        <v>13.5</v>
      </c>
      <c r="H222" s="925">
        <f t="shared" si="25"/>
        <v>1.07</v>
      </c>
      <c r="I222" s="872">
        <v>917</v>
      </c>
      <c r="J222" s="256">
        <f t="shared" si="26"/>
        <v>981.19</v>
      </c>
      <c r="K222" s="256">
        <f t="shared" si="27"/>
        <v>79.175982282003986</v>
      </c>
      <c r="L222" s="657">
        <v>7900</v>
      </c>
      <c r="M222" s="657"/>
      <c r="O222" s="735"/>
      <c r="P222" s="735"/>
      <c r="Q222" s="735"/>
    </row>
    <row r="223" spans="1:17" ht="16.5" customHeight="1">
      <c r="A223" s="770">
        <f t="shared" si="24"/>
        <v>90</v>
      </c>
      <c r="B223" s="296" t="s">
        <v>559</v>
      </c>
      <c r="C223" s="755">
        <v>42618</v>
      </c>
      <c r="D223" s="756" t="s">
        <v>807</v>
      </c>
      <c r="E223" s="838">
        <v>47</v>
      </c>
      <c r="F223" s="839">
        <v>42</v>
      </c>
      <c r="G223" s="839">
        <v>25</v>
      </c>
      <c r="H223" s="925">
        <f t="shared" si="25"/>
        <v>1.28</v>
      </c>
      <c r="I223" s="872">
        <v>72</v>
      </c>
      <c r="J223" s="256">
        <f t="shared" si="26"/>
        <v>92.16</v>
      </c>
      <c r="K223" s="256">
        <f t="shared" si="27"/>
        <v>94.715193757911308</v>
      </c>
      <c r="L223" s="657">
        <v>9400</v>
      </c>
      <c r="M223" s="657"/>
      <c r="O223" s="735"/>
      <c r="P223" s="735"/>
      <c r="Q223" s="735"/>
    </row>
    <row r="224" spans="1:17" ht="16.5" customHeight="1">
      <c r="A224" s="770">
        <f t="shared" si="24"/>
        <v>91</v>
      </c>
      <c r="B224" s="296" t="s">
        <v>569</v>
      </c>
      <c r="C224" s="755">
        <v>42619</v>
      </c>
      <c r="D224" s="756" t="s">
        <v>808</v>
      </c>
      <c r="E224" s="838">
        <v>37.5</v>
      </c>
      <c r="F224" s="839">
        <v>25.5</v>
      </c>
      <c r="G224" s="839">
        <v>23.9</v>
      </c>
      <c r="H224" s="925">
        <f t="shared" si="25"/>
        <v>0.69</v>
      </c>
      <c r="I224" s="872">
        <v>1036</v>
      </c>
      <c r="J224" s="256">
        <f t="shared" si="26"/>
        <v>714.83999999999992</v>
      </c>
      <c r="K224" s="256">
        <f t="shared" si="27"/>
        <v>51.057409135124061</v>
      </c>
      <c r="L224" s="657">
        <v>5900</v>
      </c>
      <c r="M224" s="657"/>
      <c r="O224" s="735"/>
      <c r="P224" s="735"/>
      <c r="Q224" s="735"/>
    </row>
    <row r="225" spans="1:17" ht="16.5" customHeight="1">
      <c r="A225" s="770">
        <f t="shared" si="24"/>
        <v>92</v>
      </c>
      <c r="B225" s="296" t="s">
        <v>726</v>
      </c>
      <c r="C225" s="755">
        <v>42619</v>
      </c>
      <c r="D225" s="756" t="s">
        <v>810</v>
      </c>
      <c r="E225" s="838">
        <v>39.5</v>
      </c>
      <c r="F225" s="789">
        <v>32.299999999999997</v>
      </c>
      <c r="G225" s="789">
        <v>27.7</v>
      </c>
      <c r="H225" s="925">
        <f t="shared" si="25"/>
        <v>0.94</v>
      </c>
      <c r="I225" s="872">
        <v>212</v>
      </c>
      <c r="J225" s="256">
        <f t="shared" si="26"/>
        <v>199.28</v>
      </c>
      <c r="K225" s="256">
        <f t="shared" si="27"/>
        <v>69.556470415966118</v>
      </c>
      <c r="L225" s="657">
        <v>9400</v>
      </c>
      <c r="M225" s="657"/>
      <c r="O225" s="735"/>
      <c r="P225" s="735"/>
      <c r="Q225" s="735"/>
    </row>
    <row r="226" spans="1:17" ht="16.5" customHeight="1">
      <c r="A226" s="770">
        <f t="shared" si="24"/>
        <v>93</v>
      </c>
      <c r="B226" s="296" t="s">
        <v>588</v>
      </c>
      <c r="C226" s="755">
        <v>42620</v>
      </c>
      <c r="D226" s="756" t="s">
        <v>812</v>
      </c>
      <c r="E226" s="838">
        <v>103</v>
      </c>
      <c r="F226" s="839">
        <v>50</v>
      </c>
      <c r="G226" s="839">
        <v>180</v>
      </c>
      <c r="H226" s="925">
        <f t="shared" si="25"/>
        <v>7.25</v>
      </c>
      <c r="I226" s="872">
        <v>60</v>
      </c>
      <c r="J226" s="256">
        <f t="shared" si="26"/>
        <v>435</v>
      </c>
      <c r="K226" s="256">
        <f t="shared" si="27"/>
        <v>536.47277714441952</v>
      </c>
      <c r="L226" s="657">
        <v>47449</v>
      </c>
      <c r="M226" s="657"/>
      <c r="O226" s="735"/>
      <c r="P226" s="735"/>
      <c r="Q226" s="735"/>
    </row>
    <row r="227" spans="1:17" ht="16.5" customHeight="1">
      <c r="A227" s="770">
        <f t="shared" si="24"/>
        <v>94</v>
      </c>
      <c r="B227" s="296" t="s">
        <v>728</v>
      </c>
      <c r="C227" s="755">
        <v>42620</v>
      </c>
      <c r="D227" s="756" t="s">
        <v>812</v>
      </c>
      <c r="E227" s="838">
        <v>122</v>
      </c>
      <c r="F227" s="839">
        <v>54</v>
      </c>
      <c r="G227" s="839">
        <v>180</v>
      </c>
      <c r="H227" s="925">
        <f t="shared" si="25"/>
        <v>8.4600000000000009</v>
      </c>
      <c r="I227" s="872">
        <v>20</v>
      </c>
      <c r="J227" s="256">
        <f t="shared" si="26"/>
        <v>169.20000000000002</v>
      </c>
      <c r="K227" s="256">
        <f t="shared" si="27"/>
        <v>626.00823374369509</v>
      </c>
      <c r="L227" s="657">
        <v>54530</v>
      </c>
      <c r="M227" s="657"/>
      <c r="O227" s="735"/>
      <c r="P227" s="735"/>
      <c r="Q227" s="735"/>
    </row>
    <row r="228" spans="1:17" ht="16.5" customHeight="1">
      <c r="A228" s="770">
        <f t="shared" si="24"/>
        <v>95</v>
      </c>
      <c r="B228" s="296" t="s">
        <v>602</v>
      </c>
      <c r="C228" s="755">
        <v>42621</v>
      </c>
      <c r="D228" s="756" t="s">
        <v>813</v>
      </c>
      <c r="E228" s="838">
        <v>23.5</v>
      </c>
      <c r="F228" s="839">
        <v>23.5</v>
      </c>
      <c r="G228" s="839">
        <v>30</v>
      </c>
      <c r="H228" s="925">
        <f t="shared" si="25"/>
        <v>0.56000000000000005</v>
      </c>
      <c r="I228" s="872">
        <v>1027</v>
      </c>
      <c r="J228" s="256">
        <f t="shared" si="26"/>
        <v>575.12</v>
      </c>
      <c r="K228" s="256">
        <f t="shared" si="27"/>
        <v>41.4378972690862</v>
      </c>
      <c r="L228" s="657">
        <v>6700</v>
      </c>
      <c r="M228" s="657"/>
      <c r="O228" s="735"/>
      <c r="P228" s="735"/>
      <c r="Q228" s="735"/>
    </row>
    <row r="229" spans="1:17" ht="16.5" customHeight="1">
      <c r="A229" s="770">
        <f t="shared" si="24"/>
        <v>96</v>
      </c>
      <c r="B229" s="296" t="s">
        <v>708</v>
      </c>
      <c r="C229" s="755">
        <v>42621</v>
      </c>
      <c r="D229" s="756" t="s">
        <v>814</v>
      </c>
      <c r="E229" s="838">
        <v>43</v>
      </c>
      <c r="F229" s="839">
        <v>42</v>
      </c>
      <c r="G229" s="839">
        <v>26</v>
      </c>
      <c r="H229" s="925">
        <f t="shared" si="25"/>
        <v>1.24</v>
      </c>
      <c r="I229" s="872">
        <v>300</v>
      </c>
      <c r="J229" s="256">
        <f t="shared" si="26"/>
        <v>372</v>
      </c>
      <c r="K229" s="256">
        <f t="shared" si="27"/>
        <v>91.755343952976588</v>
      </c>
      <c r="L229" s="657">
        <v>12400</v>
      </c>
      <c r="M229" s="657"/>
      <c r="O229" s="735"/>
      <c r="P229" s="735"/>
      <c r="Q229" s="735"/>
    </row>
    <row r="230" spans="1:17" ht="16.5" customHeight="1">
      <c r="A230" s="770">
        <f t="shared" si="24"/>
        <v>97</v>
      </c>
      <c r="B230" s="296" t="s">
        <v>709</v>
      </c>
      <c r="C230" s="755">
        <v>42621</v>
      </c>
      <c r="D230" s="756" t="s">
        <v>814</v>
      </c>
      <c r="E230" s="838">
        <v>49</v>
      </c>
      <c r="F230" s="839">
        <v>47</v>
      </c>
      <c r="G230" s="839">
        <v>27</v>
      </c>
      <c r="H230" s="925">
        <f t="shared" si="25"/>
        <v>1.52</v>
      </c>
      <c r="I230" s="872">
        <v>300</v>
      </c>
      <c r="J230" s="256">
        <f t="shared" si="26"/>
        <v>456</v>
      </c>
      <c r="K230" s="256">
        <f t="shared" si="27"/>
        <v>112.47429258751968</v>
      </c>
      <c r="L230" s="657">
        <v>14200</v>
      </c>
      <c r="M230" s="657"/>
      <c r="O230" s="735"/>
      <c r="P230" s="735"/>
      <c r="Q230" s="735"/>
    </row>
    <row r="231" spans="1:17" ht="16.5" customHeight="1">
      <c r="A231" s="770">
        <f t="shared" si="24"/>
        <v>98</v>
      </c>
      <c r="B231" s="296" t="s">
        <v>712</v>
      </c>
      <c r="C231" s="755">
        <v>42621</v>
      </c>
      <c r="D231" s="756" t="s">
        <v>814</v>
      </c>
      <c r="E231" s="838">
        <v>38</v>
      </c>
      <c r="F231" s="839">
        <v>37</v>
      </c>
      <c r="G231" s="839">
        <v>30</v>
      </c>
      <c r="H231" s="925">
        <f t="shared" si="25"/>
        <v>1.0900000000000001</v>
      </c>
      <c r="I231" s="872">
        <v>300</v>
      </c>
      <c r="J231" s="256">
        <f t="shared" si="26"/>
        <v>327</v>
      </c>
      <c r="K231" s="256">
        <f t="shared" si="27"/>
        <v>80.65590718447136</v>
      </c>
      <c r="L231" s="657">
        <v>15300</v>
      </c>
      <c r="M231" s="657"/>
      <c r="O231" s="735"/>
      <c r="P231" s="735"/>
      <c r="Q231" s="735"/>
    </row>
    <row r="232" spans="1:17" ht="16.5" customHeight="1">
      <c r="A232" s="770">
        <f t="shared" si="24"/>
        <v>99</v>
      </c>
      <c r="B232" s="296" t="s">
        <v>710</v>
      </c>
      <c r="C232" s="755">
        <v>42621</v>
      </c>
      <c r="D232" s="756" t="s">
        <v>814</v>
      </c>
      <c r="E232" s="838">
        <v>40</v>
      </c>
      <c r="F232" s="839">
        <v>39</v>
      </c>
      <c r="G232" s="839">
        <v>32</v>
      </c>
      <c r="H232" s="925">
        <f t="shared" si="25"/>
        <v>1.21</v>
      </c>
      <c r="I232" s="872">
        <v>300</v>
      </c>
      <c r="J232" s="256">
        <f t="shared" si="26"/>
        <v>363</v>
      </c>
      <c r="K232" s="256">
        <f t="shared" si="27"/>
        <v>89.535456599275534</v>
      </c>
      <c r="L232" s="657">
        <v>16500</v>
      </c>
      <c r="M232" s="657"/>
      <c r="O232" s="735"/>
      <c r="P232" s="735"/>
      <c r="Q232" s="735"/>
    </row>
    <row r="233" spans="1:17" ht="16.5" customHeight="1">
      <c r="A233" s="770">
        <f t="shared" si="24"/>
        <v>100</v>
      </c>
      <c r="B233" s="296" t="s">
        <v>711</v>
      </c>
      <c r="C233" s="755">
        <v>42621</v>
      </c>
      <c r="D233" s="756" t="s">
        <v>814</v>
      </c>
      <c r="E233" s="838">
        <v>42</v>
      </c>
      <c r="F233" s="839">
        <v>41</v>
      </c>
      <c r="G233" s="839">
        <v>34</v>
      </c>
      <c r="H233" s="925">
        <f t="shared" si="25"/>
        <v>1.33</v>
      </c>
      <c r="I233" s="872">
        <v>300</v>
      </c>
      <c r="J233" s="256">
        <f t="shared" si="26"/>
        <v>399</v>
      </c>
      <c r="K233" s="256">
        <f t="shared" si="27"/>
        <v>98.415006014079722</v>
      </c>
      <c r="L233" s="657">
        <v>19700</v>
      </c>
      <c r="M233" s="657"/>
      <c r="O233" s="735"/>
      <c r="P233" s="735"/>
      <c r="Q233" s="735"/>
    </row>
    <row r="234" spans="1:17" ht="16.5" customHeight="1">
      <c r="A234" s="770">
        <f t="shared" si="24"/>
        <v>101</v>
      </c>
      <c r="B234" s="296" t="s">
        <v>604</v>
      </c>
      <c r="C234" s="755">
        <v>42624</v>
      </c>
      <c r="D234" s="756" t="s">
        <v>815</v>
      </c>
      <c r="E234" s="838">
        <v>44.5</v>
      </c>
      <c r="F234" s="839">
        <v>28.5</v>
      </c>
      <c r="G234" s="839">
        <v>22.5</v>
      </c>
      <c r="H234" s="925">
        <f t="shared" si="25"/>
        <v>0.82</v>
      </c>
      <c r="I234" s="872">
        <v>10520</v>
      </c>
      <c r="J234" s="256">
        <f t="shared" si="26"/>
        <v>8626.4</v>
      </c>
      <c r="K234" s="256">
        <f t="shared" si="27"/>
        <v>60.676921001161929</v>
      </c>
      <c r="L234" s="657">
        <v>9000</v>
      </c>
      <c r="M234" s="657"/>
      <c r="O234" s="735"/>
      <c r="P234" s="735"/>
      <c r="Q234" s="735"/>
    </row>
    <row r="235" spans="1:17" ht="16.5" customHeight="1">
      <c r="A235" s="770">
        <f t="shared" si="24"/>
        <v>102</v>
      </c>
      <c r="B235" s="296" t="s">
        <v>726</v>
      </c>
      <c r="C235" s="755">
        <v>42626</v>
      </c>
      <c r="D235" s="756" t="s">
        <v>816</v>
      </c>
      <c r="E235" s="838">
        <v>39.5</v>
      </c>
      <c r="F235" s="839">
        <v>32.299999999999997</v>
      </c>
      <c r="G235" s="839">
        <v>27.7</v>
      </c>
      <c r="H235" s="925">
        <f t="shared" si="25"/>
        <v>0.94</v>
      </c>
      <c r="I235" s="872">
        <v>210</v>
      </c>
      <c r="J235" s="256">
        <f t="shared" si="26"/>
        <v>197.39999999999998</v>
      </c>
      <c r="K235" s="256">
        <f t="shared" si="27"/>
        <v>69.556470415966118</v>
      </c>
      <c r="L235" s="657">
        <v>9400</v>
      </c>
      <c r="M235" s="657"/>
      <c r="O235" s="735"/>
      <c r="P235" s="735"/>
      <c r="Q235" s="735"/>
    </row>
    <row r="236" spans="1:17" ht="16.5" customHeight="1">
      <c r="A236" s="770">
        <f t="shared" si="24"/>
        <v>103</v>
      </c>
      <c r="B236" s="296" t="s">
        <v>727</v>
      </c>
      <c r="C236" s="755">
        <v>42626</v>
      </c>
      <c r="D236" s="756" t="s">
        <v>816</v>
      </c>
      <c r="E236" s="838">
        <v>35</v>
      </c>
      <c r="F236" s="839">
        <v>35</v>
      </c>
      <c r="G236" s="839">
        <v>21</v>
      </c>
      <c r="H236" s="925">
        <f t="shared" si="25"/>
        <v>0.86</v>
      </c>
      <c r="I236" s="872">
        <v>200</v>
      </c>
      <c r="J236" s="256">
        <f t="shared" si="26"/>
        <v>172</v>
      </c>
      <c r="K236" s="256">
        <f t="shared" si="27"/>
        <v>63.636770806096663</v>
      </c>
      <c r="L236" s="657">
        <v>9800</v>
      </c>
      <c r="M236" s="657"/>
      <c r="O236" s="735"/>
      <c r="P236" s="735"/>
      <c r="Q236" s="735"/>
    </row>
    <row r="237" spans="1:17" ht="16.5" customHeight="1">
      <c r="A237" s="770">
        <f t="shared" si="24"/>
        <v>104</v>
      </c>
      <c r="B237" s="296" t="s">
        <v>725</v>
      </c>
      <c r="C237" s="755">
        <v>42626</v>
      </c>
      <c r="D237" s="756" t="s">
        <v>816</v>
      </c>
      <c r="E237" s="838">
        <v>45</v>
      </c>
      <c r="F237" s="839">
        <v>35</v>
      </c>
      <c r="G237" s="839">
        <v>28</v>
      </c>
      <c r="H237" s="925">
        <f t="shared" si="25"/>
        <v>1.0900000000000001</v>
      </c>
      <c r="I237" s="872">
        <v>171</v>
      </c>
      <c r="J237" s="256">
        <f t="shared" si="26"/>
        <v>186.39000000000001</v>
      </c>
      <c r="K237" s="256">
        <f t="shared" si="27"/>
        <v>80.65590718447136</v>
      </c>
      <c r="L237" s="657">
        <v>11250</v>
      </c>
      <c r="M237" s="657"/>
      <c r="O237" s="735"/>
      <c r="P237" s="735"/>
      <c r="Q237" s="735"/>
    </row>
    <row r="238" spans="1:17" ht="16.5" customHeight="1">
      <c r="A238" s="770">
        <f t="shared" si="24"/>
        <v>105</v>
      </c>
      <c r="B238" s="296" t="s">
        <v>882</v>
      </c>
      <c r="C238" s="755">
        <v>42627</v>
      </c>
      <c r="D238" s="756" t="s">
        <v>817</v>
      </c>
      <c r="E238" s="838">
        <v>29</v>
      </c>
      <c r="F238" s="839">
        <v>18</v>
      </c>
      <c r="G238" s="839">
        <v>18.8</v>
      </c>
      <c r="H238" s="925">
        <f t="shared" si="25"/>
        <v>0.39</v>
      </c>
      <c r="I238" s="872">
        <v>2400</v>
      </c>
      <c r="J238" s="256">
        <f t="shared" si="26"/>
        <v>936</v>
      </c>
      <c r="K238" s="256">
        <f t="shared" si="27"/>
        <v>28.858535598113605</v>
      </c>
      <c r="L238" s="657">
        <v>5200</v>
      </c>
      <c r="M238" s="657"/>
      <c r="O238" s="735"/>
      <c r="P238" s="735"/>
      <c r="Q238" s="735"/>
    </row>
    <row r="239" spans="1:17" ht="16.5" customHeight="1">
      <c r="A239" s="770">
        <f t="shared" si="24"/>
        <v>106</v>
      </c>
      <c r="B239" s="296" t="s">
        <v>883</v>
      </c>
      <c r="C239" s="755">
        <v>42627</v>
      </c>
      <c r="D239" s="756" t="s">
        <v>817</v>
      </c>
      <c r="E239" s="838">
        <v>42.5</v>
      </c>
      <c r="F239" s="839">
        <v>28.5</v>
      </c>
      <c r="G239" s="839">
        <v>23</v>
      </c>
      <c r="H239" s="925">
        <f t="shared" si="25"/>
        <v>0.8</v>
      </c>
      <c r="I239" s="872">
        <v>500</v>
      </c>
      <c r="J239" s="256">
        <f t="shared" si="26"/>
        <v>400</v>
      </c>
      <c r="K239" s="256">
        <f t="shared" si="27"/>
        <v>59.196996098694569</v>
      </c>
      <c r="L239" s="657">
        <v>10200</v>
      </c>
      <c r="M239" s="657"/>
      <c r="O239" s="735"/>
      <c r="P239" s="735"/>
      <c r="Q239" s="735"/>
    </row>
    <row r="240" spans="1:17" ht="16.5" customHeight="1">
      <c r="A240" s="770">
        <f t="shared" si="24"/>
        <v>107</v>
      </c>
      <c r="B240" s="296" t="s">
        <v>579</v>
      </c>
      <c r="C240" s="755">
        <v>42628</v>
      </c>
      <c r="D240" s="756" t="s">
        <v>818</v>
      </c>
      <c r="E240" s="838">
        <v>52</v>
      </c>
      <c r="F240" s="839">
        <v>24.5</v>
      </c>
      <c r="G240" s="839">
        <v>24.5</v>
      </c>
      <c r="H240" s="925">
        <f t="shared" si="25"/>
        <v>0.82</v>
      </c>
      <c r="I240" s="872">
        <v>1820</v>
      </c>
      <c r="J240" s="256">
        <f t="shared" si="26"/>
        <v>1492.3999999999999</v>
      </c>
      <c r="K240" s="256">
        <f t="shared" si="27"/>
        <v>60.676921001161929</v>
      </c>
      <c r="L240" s="657">
        <v>5000</v>
      </c>
      <c r="M240" s="657"/>
      <c r="O240" s="735"/>
      <c r="P240" s="735"/>
      <c r="Q240" s="735"/>
    </row>
    <row r="241" spans="1:17" ht="16.5" customHeight="1">
      <c r="A241" s="770">
        <f t="shared" si="24"/>
        <v>108</v>
      </c>
      <c r="B241" s="296" t="s">
        <v>605</v>
      </c>
      <c r="C241" s="755">
        <v>42628</v>
      </c>
      <c r="D241" s="756" t="s">
        <v>818</v>
      </c>
      <c r="E241" s="838">
        <v>52</v>
      </c>
      <c r="F241" s="839">
        <v>26.5</v>
      </c>
      <c r="G241" s="839">
        <v>26.5</v>
      </c>
      <c r="H241" s="925">
        <f t="shared" si="25"/>
        <v>0.91</v>
      </c>
      <c r="I241" s="872">
        <v>620</v>
      </c>
      <c r="J241" s="256">
        <f t="shared" si="26"/>
        <v>564.20000000000005</v>
      </c>
      <c r="K241" s="256">
        <f t="shared" si="27"/>
        <v>67.336583062265078</v>
      </c>
      <c r="L241" s="657">
        <v>5550</v>
      </c>
      <c r="M241" s="657"/>
      <c r="O241" s="735"/>
      <c r="P241" s="735"/>
      <c r="Q241" s="735"/>
    </row>
    <row r="242" spans="1:17" ht="16.5" customHeight="1">
      <c r="A242" s="770">
        <f t="shared" si="24"/>
        <v>109</v>
      </c>
      <c r="B242" s="296" t="s">
        <v>606</v>
      </c>
      <c r="C242" s="755">
        <v>42628</v>
      </c>
      <c r="D242" s="756" t="s">
        <v>818</v>
      </c>
      <c r="E242" s="838">
        <v>52</v>
      </c>
      <c r="F242" s="839">
        <v>32</v>
      </c>
      <c r="G242" s="839">
        <v>21</v>
      </c>
      <c r="H242" s="925">
        <f t="shared" si="25"/>
        <v>0.97</v>
      </c>
      <c r="I242" s="872">
        <v>304</v>
      </c>
      <c r="J242" s="256">
        <f t="shared" si="26"/>
        <v>294.88</v>
      </c>
      <c r="K242" s="256">
        <f t="shared" si="27"/>
        <v>71.776357769667158</v>
      </c>
      <c r="L242" s="657">
        <v>5800</v>
      </c>
      <c r="M242" s="657"/>
      <c r="O242" s="735"/>
      <c r="P242" s="735"/>
      <c r="Q242" s="735"/>
    </row>
    <row r="243" spans="1:17" ht="16.5" customHeight="1">
      <c r="A243" s="770">
        <f t="shared" si="24"/>
        <v>110</v>
      </c>
      <c r="B243" s="296" t="s">
        <v>607</v>
      </c>
      <c r="C243" s="755">
        <v>42628</v>
      </c>
      <c r="D243" s="756" t="s">
        <v>818</v>
      </c>
      <c r="E243" s="838">
        <v>50</v>
      </c>
      <c r="F243" s="839">
        <v>25</v>
      </c>
      <c r="G243" s="839">
        <v>30</v>
      </c>
      <c r="H243" s="925">
        <f t="shared" si="25"/>
        <v>0.9</v>
      </c>
      <c r="I243" s="872">
        <v>316</v>
      </c>
      <c r="J243" s="256">
        <f t="shared" si="26"/>
        <v>284.40000000000003</v>
      </c>
      <c r="K243" s="256">
        <f t="shared" si="27"/>
        <v>66.596620611031398</v>
      </c>
      <c r="L243" s="657">
        <v>5600</v>
      </c>
      <c r="M243" s="657"/>
      <c r="O243" s="735"/>
      <c r="P243" s="735"/>
      <c r="Q243" s="735"/>
    </row>
    <row r="244" spans="1:17" ht="16.5" customHeight="1">
      <c r="A244" s="770">
        <f t="shared" si="24"/>
        <v>111</v>
      </c>
      <c r="B244" s="296" t="s">
        <v>574</v>
      </c>
      <c r="C244" s="755">
        <v>42635</v>
      </c>
      <c r="D244" s="756" t="s">
        <v>819</v>
      </c>
      <c r="E244" s="838">
        <v>49</v>
      </c>
      <c r="F244" s="839">
        <v>38</v>
      </c>
      <c r="G244" s="839">
        <v>12</v>
      </c>
      <c r="H244" s="925">
        <f t="shared" si="25"/>
        <v>0.95</v>
      </c>
      <c r="I244" s="872">
        <v>300</v>
      </c>
      <c r="J244" s="256">
        <f t="shared" si="26"/>
        <v>285</v>
      </c>
      <c r="K244" s="256">
        <f t="shared" si="27"/>
        <v>70.296432867199798</v>
      </c>
      <c r="L244" s="657">
        <v>10500</v>
      </c>
      <c r="M244" s="657"/>
      <c r="O244" s="735"/>
      <c r="P244" s="735"/>
      <c r="Q244" s="735"/>
    </row>
    <row r="245" spans="1:17" ht="16.5" customHeight="1">
      <c r="A245" s="770">
        <f t="shared" si="24"/>
        <v>112</v>
      </c>
      <c r="B245" s="296" t="s">
        <v>608</v>
      </c>
      <c r="C245" s="755">
        <v>42639</v>
      </c>
      <c r="D245" s="756" t="s">
        <v>820</v>
      </c>
      <c r="E245" s="838">
        <v>49</v>
      </c>
      <c r="F245" s="839">
        <v>24.5</v>
      </c>
      <c r="G245" s="839">
        <v>11.6</v>
      </c>
      <c r="H245" s="925">
        <f t="shared" si="25"/>
        <v>0.59</v>
      </c>
      <c r="I245" s="872">
        <v>109</v>
      </c>
      <c r="J245" s="256">
        <f t="shared" si="26"/>
        <v>64.31</v>
      </c>
      <c r="K245" s="256">
        <f t="shared" si="27"/>
        <v>43.65778462278724</v>
      </c>
      <c r="L245" s="657">
        <v>6400</v>
      </c>
      <c r="M245" s="657"/>
      <c r="O245" s="735"/>
      <c r="P245" s="735"/>
      <c r="Q245" s="735"/>
    </row>
    <row r="246" spans="1:17" ht="16.5" customHeight="1">
      <c r="A246" s="770">
        <f t="shared" si="24"/>
        <v>113</v>
      </c>
      <c r="B246" s="296" t="s">
        <v>609</v>
      </c>
      <c r="C246" s="755">
        <v>42639</v>
      </c>
      <c r="D246" s="756" t="s">
        <v>820</v>
      </c>
      <c r="E246" s="838">
        <v>46.5</v>
      </c>
      <c r="F246" s="839">
        <v>26.5</v>
      </c>
      <c r="G246" s="839">
        <v>11.5</v>
      </c>
      <c r="H246" s="925">
        <f t="shared" si="25"/>
        <v>0.62</v>
      </c>
      <c r="I246" s="872">
        <v>102</v>
      </c>
      <c r="J246" s="256">
        <f t="shared" si="26"/>
        <v>63.24</v>
      </c>
      <c r="K246" s="256">
        <f t="shared" si="27"/>
        <v>45.877671976488294</v>
      </c>
      <c r="L246" s="657">
        <v>7300</v>
      </c>
      <c r="M246" s="657"/>
      <c r="O246" s="735"/>
      <c r="P246" s="735"/>
      <c r="Q246" s="735"/>
    </row>
    <row r="247" spans="1:17" ht="16.5" customHeight="1">
      <c r="A247" s="770">
        <f t="shared" si="24"/>
        <v>114</v>
      </c>
      <c r="B247" s="296" t="s">
        <v>725</v>
      </c>
      <c r="C247" s="755">
        <v>42639</v>
      </c>
      <c r="D247" s="756" t="s">
        <v>820</v>
      </c>
      <c r="E247" s="838">
        <v>45</v>
      </c>
      <c r="F247" s="839">
        <v>35</v>
      </c>
      <c r="G247" s="839">
        <v>28</v>
      </c>
      <c r="H247" s="925">
        <f t="shared" si="25"/>
        <v>1.0900000000000001</v>
      </c>
      <c r="I247" s="872">
        <v>56</v>
      </c>
      <c r="J247" s="256">
        <f t="shared" si="26"/>
        <v>61.040000000000006</v>
      </c>
      <c r="K247" s="256">
        <f t="shared" si="27"/>
        <v>80.65590718447136</v>
      </c>
      <c r="L247" s="657">
        <v>11250</v>
      </c>
      <c r="M247" s="657"/>
      <c r="O247" s="735"/>
      <c r="P247" s="735"/>
      <c r="Q247" s="735"/>
    </row>
    <row r="248" spans="1:17" ht="16.5" customHeight="1">
      <c r="A248" s="770">
        <f t="shared" si="24"/>
        <v>115</v>
      </c>
      <c r="B248" s="296" t="s">
        <v>559</v>
      </c>
      <c r="C248" s="755">
        <v>42640</v>
      </c>
      <c r="D248" s="756" t="s">
        <v>821</v>
      </c>
      <c r="E248" s="838">
        <v>47</v>
      </c>
      <c r="F248" s="839">
        <v>42</v>
      </c>
      <c r="G248" s="839">
        <v>25</v>
      </c>
      <c r="H248" s="925">
        <f t="shared" si="25"/>
        <v>1.28</v>
      </c>
      <c r="I248" s="872">
        <v>533</v>
      </c>
      <c r="J248" s="256">
        <f t="shared" si="26"/>
        <v>682.24</v>
      </c>
      <c r="K248" s="256">
        <f t="shared" si="27"/>
        <v>94.715193757911308</v>
      </c>
      <c r="L248" s="657">
        <v>9400</v>
      </c>
      <c r="M248" s="657"/>
      <c r="O248" s="735"/>
      <c r="P248" s="735"/>
      <c r="Q248" s="735"/>
    </row>
    <row r="249" spans="1:17" ht="16.5" customHeight="1">
      <c r="A249" s="770">
        <f t="shared" si="24"/>
        <v>116</v>
      </c>
      <c r="B249" s="296" t="s">
        <v>559</v>
      </c>
      <c r="C249" s="755">
        <v>42640</v>
      </c>
      <c r="D249" s="756" t="s">
        <v>822</v>
      </c>
      <c r="E249" s="838">
        <v>47</v>
      </c>
      <c r="F249" s="839">
        <v>42</v>
      </c>
      <c r="G249" s="839">
        <v>25</v>
      </c>
      <c r="H249" s="925">
        <f t="shared" si="25"/>
        <v>1.28</v>
      </c>
      <c r="I249" s="872">
        <v>156</v>
      </c>
      <c r="J249" s="256">
        <f t="shared" si="26"/>
        <v>199.68</v>
      </c>
      <c r="K249" s="256">
        <f t="shared" si="27"/>
        <v>94.715193757911308</v>
      </c>
      <c r="L249" s="657">
        <v>9400</v>
      </c>
      <c r="M249" s="657"/>
      <c r="O249" s="735"/>
      <c r="P249" s="735"/>
      <c r="Q249" s="735"/>
    </row>
    <row r="250" spans="1:17" ht="16.5" customHeight="1">
      <c r="A250" s="770">
        <f t="shared" si="24"/>
        <v>117</v>
      </c>
      <c r="B250" s="296" t="s">
        <v>716</v>
      </c>
      <c r="C250" s="755">
        <v>42640</v>
      </c>
      <c r="D250" s="756" t="s">
        <v>822</v>
      </c>
      <c r="E250" s="838">
        <v>47</v>
      </c>
      <c r="F250" s="839">
        <v>42</v>
      </c>
      <c r="G250" s="839">
        <v>13.5</v>
      </c>
      <c r="H250" s="925">
        <f t="shared" si="25"/>
        <v>1.07</v>
      </c>
      <c r="I250" s="872">
        <v>2520</v>
      </c>
      <c r="J250" s="256">
        <f t="shared" si="26"/>
        <v>2696.4</v>
      </c>
      <c r="K250" s="256">
        <f t="shared" si="27"/>
        <v>79.175982282003986</v>
      </c>
      <c r="L250" s="657">
        <v>7900</v>
      </c>
      <c r="M250" s="657"/>
      <c r="O250" s="735"/>
      <c r="P250" s="735"/>
      <c r="Q250" s="735"/>
    </row>
    <row r="251" spans="1:17" ht="16.5" customHeight="1">
      <c r="A251" s="770">
        <f t="shared" si="24"/>
        <v>118</v>
      </c>
      <c r="B251" s="296" t="s">
        <v>717</v>
      </c>
      <c r="C251" s="755">
        <v>42640</v>
      </c>
      <c r="D251" s="756" t="s">
        <v>822</v>
      </c>
      <c r="E251" s="838">
        <v>63</v>
      </c>
      <c r="F251" s="839">
        <v>42</v>
      </c>
      <c r="G251" s="839">
        <v>27</v>
      </c>
      <c r="H251" s="925">
        <f t="shared" si="25"/>
        <v>1.55</v>
      </c>
      <c r="I251" s="872">
        <v>44</v>
      </c>
      <c r="J251" s="256">
        <f t="shared" si="26"/>
        <v>68.2</v>
      </c>
      <c r="K251" s="256">
        <f t="shared" si="27"/>
        <v>114.69417994122072</v>
      </c>
      <c r="L251" s="657">
        <v>17600</v>
      </c>
      <c r="M251" s="657"/>
      <c r="O251" s="735"/>
      <c r="P251" s="735"/>
      <c r="Q251" s="735"/>
    </row>
    <row r="252" spans="1:17" ht="16.5" customHeight="1">
      <c r="A252" s="770">
        <f t="shared" si="24"/>
        <v>119</v>
      </c>
      <c r="B252" s="296" t="s">
        <v>570</v>
      </c>
      <c r="C252" s="755">
        <v>42641</v>
      </c>
      <c r="D252" s="756" t="s">
        <v>490</v>
      </c>
      <c r="E252" s="838">
        <v>49.5</v>
      </c>
      <c r="F252" s="839">
        <v>38.5</v>
      </c>
      <c r="G252" s="839">
        <v>32.5</v>
      </c>
      <c r="H252" s="925">
        <f t="shared" si="25"/>
        <v>1.34</v>
      </c>
      <c r="I252" s="872">
        <v>211</v>
      </c>
      <c r="J252" s="256">
        <f t="shared" si="26"/>
        <v>282.74</v>
      </c>
      <c r="K252" s="256">
        <f t="shared" si="27"/>
        <v>99.154968465313416</v>
      </c>
      <c r="L252" s="657">
        <v>12900</v>
      </c>
      <c r="M252" s="657"/>
      <c r="O252" s="735"/>
      <c r="P252" s="735"/>
      <c r="Q252" s="735"/>
    </row>
    <row r="253" spans="1:17" ht="16.5" customHeight="1">
      <c r="A253" s="770">
        <f t="shared" si="24"/>
        <v>120</v>
      </c>
      <c r="B253" s="296" t="s">
        <v>867</v>
      </c>
      <c r="C253" s="755">
        <v>42647</v>
      </c>
      <c r="D253" s="756" t="s">
        <v>866</v>
      </c>
      <c r="E253" s="838">
        <v>40</v>
      </c>
      <c r="F253" s="839">
        <v>30</v>
      </c>
      <c r="G253" s="839">
        <v>18.5</v>
      </c>
      <c r="H253" s="925">
        <f t="shared" si="25"/>
        <v>0.75</v>
      </c>
      <c r="I253" s="872">
        <v>423</v>
      </c>
      <c r="J253" s="256">
        <f t="shared" si="26"/>
        <v>317.25</v>
      </c>
      <c r="K253" s="256">
        <f t="shared" si="27"/>
        <v>55.497183842526155</v>
      </c>
      <c r="L253" s="657">
        <v>8800</v>
      </c>
      <c r="M253" s="657"/>
      <c r="O253" s="735"/>
      <c r="P253" s="735"/>
      <c r="Q253" s="735"/>
    </row>
    <row r="254" spans="1:17" ht="16.5" customHeight="1">
      <c r="A254" s="770">
        <f t="shared" si="24"/>
        <v>121</v>
      </c>
      <c r="B254" s="296" t="s">
        <v>869</v>
      </c>
      <c r="C254" s="755">
        <v>42647</v>
      </c>
      <c r="D254" s="756" t="s">
        <v>868</v>
      </c>
      <c r="E254" s="838">
        <v>48</v>
      </c>
      <c r="F254" s="839">
        <v>23</v>
      </c>
      <c r="G254" s="839">
        <v>22</v>
      </c>
      <c r="H254" s="925">
        <f t="shared" si="25"/>
        <v>0.71</v>
      </c>
      <c r="I254" s="872">
        <v>943</v>
      </c>
      <c r="J254" s="256">
        <f t="shared" si="26"/>
        <v>669.53</v>
      </c>
      <c r="K254" s="256">
        <f t="shared" si="27"/>
        <v>52.537334037591428</v>
      </c>
      <c r="L254" s="657">
        <v>7135</v>
      </c>
      <c r="M254" s="657"/>
      <c r="O254" s="735"/>
      <c r="P254" s="735"/>
      <c r="Q254" s="735"/>
    </row>
    <row r="255" spans="1:17" ht="16.5" customHeight="1">
      <c r="A255" s="770">
        <f t="shared" si="24"/>
        <v>122</v>
      </c>
      <c r="B255" s="296" t="s">
        <v>870</v>
      </c>
      <c r="C255" s="755">
        <v>42647</v>
      </c>
      <c r="D255" s="756" t="s">
        <v>868</v>
      </c>
      <c r="E255" s="838">
        <v>49</v>
      </c>
      <c r="F255" s="789">
        <v>23.5</v>
      </c>
      <c r="G255" s="789">
        <v>30.5</v>
      </c>
      <c r="H255" s="925">
        <f t="shared" si="25"/>
        <v>0.86</v>
      </c>
      <c r="I255" s="872">
        <v>270</v>
      </c>
      <c r="J255" s="256">
        <f t="shared" si="26"/>
        <v>232.2</v>
      </c>
      <c r="K255" s="256">
        <f t="shared" si="27"/>
        <v>63.636770806096663</v>
      </c>
      <c r="L255" s="657">
        <v>8719</v>
      </c>
      <c r="M255" s="657"/>
      <c r="O255" s="735"/>
      <c r="P255" s="735"/>
      <c r="Q255" s="735"/>
    </row>
    <row r="256" spans="1:17" ht="16.5" customHeight="1">
      <c r="A256" s="770">
        <f t="shared" si="24"/>
        <v>123</v>
      </c>
      <c r="B256" s="296" t="s">
        <v>872</v>
      </c>
      <c r="C256" s="755">
        <v>42648</v>
      </c>
      <c r="D256" s="756" t="s">
        <v>871</v>
      </c>
      <c r="E256" s="838">
        <v>39.5</v>
      </c>
      <c r="F256" s="839">
        <v>32.299999999999997</v>
      </c>
      <c r="G256" s="839">
        <v>27</v>
      </c>
      <c r="H256" s="925">
        <f t="shared" si="25"/>
        <v>0.93</v>
      </c>
      <c r="I256" s="872">
        <v>305</v>
      </c>
      <c r="J256" s="256">
        <f t="shared" si="26"/>
        <v>283.65000000000003</v>
      </c>
      <c r="K256" s="256">
        <f t="shared" si="27"/>
        <v>68.816507964732438</v>
      </c>
      <c r="L256" s="657">
        <v>9400</v>
      </c>
      <c r="M256" s="657"/>
      <c r="O256" s="735"/>
      <c r="P256" s="735"/>
      <c r="Q256" s="735"/>
    </row>
    <row r="257" spans="1:17" ht="16.5" customHeight="1">
      <c r="A257" s="770">
        <f t="shared" si="24"/>
        <v>124</v>
      </c>
      <c r="B257" s="296" t="s">
        <v>873</v>
      </c>
      <c r="C257" s="755">
        <v>42648</v>
      </c>
      <c r="D257" s="756" t="s">
        <v>871</v>
      </c>
      <c r="E257" s="838">
        <v>32</v>
      </c>
      <c r="F257" s="839">
        <v>31</v>
      </c>
      <c r="G257" s="839">
        <v>35</v>
      </c>
      <c r="H257" s="925">
        <f t="shared" si="25"/>
        <v>0.9</v>
      </c>
      <c r="I257" s="872">
        <v>55</v>
      </c>
      <c r="J257" s="256">
        <f t="shared" si="26"/>
        <v>49.5</v>
      </c>
      <c r="K257" s="256">
        <f t="shared" si="27"/>
        <v>66.596620611031398</v>
      </c>
      <c r="L257" s="657">
        <v>12000</v>
      </c>
      <c r="M257" s="657"/>
      <c r="O257" s="735"/>
      <c r="P257" s="735"/>
      <c r="Q257" s="735"/>
    </row>
    <row r="258" spans="1:17" ht="16.5" customHeight="1">
      <c r="A258" s="770">
        <f t="shared" si="24"/>
        <v>125</v>
      </c>
      <c r="B258" s="296" t="s">
        <v>874</v>
      </c>
      <c r="C258" s="755">
        <v>42648</v>
      </c>
      <c r="D258" s="756" t="s">
        <v>871</v>
      </c>
      <c r="E258" s="838">
        <v>29.5</v>
      </c>
      <c r="F258" s="839">
        <v>15</v>
      </c>
      <c r="G258" s="839">
        <v>15.5</v>
      </c>
      <c r="H258" s="925">
        <f t="shared" si="25"/>
        <v>0.31</v>
      </c>
      <c r="I258" s="872">
        <v>205</v>
      </c>
      <c r="J258" s="256">
        <f t="shared" si="26"/>
        <v>63.55</v>
      </c>
      <c r="K258" s="256">
        <f t="shared" si="27"/>
        <v>22.938835988244147</v>
      </c>
      <c r="L258" s="657">
        <v>3200</v>
      </c>
      <c r="M258" s="657"/>
      <c r="O258" s="735"/>
      <c r="P258" s="735"/>
      <c r="Q258" s="735"/>
    </row>
    <row r="259" spans="1:17" ht="16.5" customHeight="1">
      <c r="A259" s="770">
        <f t="shared" si="24"/>
        <v>126</v>
      </c>
      <c r="B259" s="296" t="s">
        <v>579</v>
      </c>
      <c r="C259" s="755">
        <v>42648</v>
      </c>
      <c r="D259" s="756" t="s">
        <v>875</v>
      </c>
      <c r="E259" s="838">
        <v>52</v>
      </c>
      <c r="F259" s="839">
        <v>24.5</v>
      </c>
      <c r="G259" s="839">
        <v>24.5</v>
      </c>
      <c r="H259" s="925">
        <f t="shared" si="25"/>
        <v>0.82</v>
      </c>
      <c r="I259" s="872">
        <v>320</v>
      </c>
      <c r="J259" s="256">
        <f t="shared" si="26"/>
        <v>262.39999999999998</v>
      </c>
      <c r="K259" s="256">
        <f t="shared" si="27"/>
        <v>60.676921001161929</v>
      </c>
      <c r="L259" s="657">
        <v>5000</v>
      </c>
      <c r="M259" s="657"/>
      <c r="O259" s="735"/>
      <c r="P259" s="735"/>
      <c r="Q259" s="735"/>
    </row>
    <row r="260" spans="1:17" ht="16.5" customHeight="1">
      <c r="A260" s="770">
        <f t="shared" si="24"/>
        <v>127</v>
      </c>
      <c r="B260" s="296" t="s">
        <v>581</v>
      </c>
      <c r="C260" s="755">
        <v>42648</v>
      </c>
      <c r="D260" s="756" t="s">
        <v>875</v>
      </c>
      <c r="E260" s="838">
        <v>55</v>
      </c>
      <c r="F260" s="839">
        <v>45</v>
      </c>
      <c r="G260" s="839">
        <v>29</v>
      </c>
      <c r="H260" s="925">
        <f t="shared" si="25"/>
        <v>1.58</v>
      </c>
      <c r="I260" s="872">
        <v>659</v>
      </c>
      <c r="J260" s="256">
        <f t="shared" si="26"/>
        <v>1041.22</v>
      </c>
      <c r="K260" s="256">
        <f t="shared" si="27"/>
        <v>116.91406729492178</v>
      </c>
      <c r="L260" s="657">
        <v>9700</v>
      </c>
      <c r="M260" s="657"/>
      <c r="O260" s="735"/>
      <c r="P260" s="735"/>
      <c r="Q260" s="735"/>
    </row>
    <row r="261" spans="1:17" ht="16.5" customHeight="1">
      <c r="A261" s="770">
        <f t="shared" si="24"/>
        <v>128</v>
      </c>
      <c r="B261" s="296" t="s">
        <v>585</v>
      </c>
      <c r="C261" s="755">
        <v>42649</v>
      </c>
      <c r="D261" s="756" t="s">
        <v>495</v>
      </c>
      <c r="E261" s="838">
        <v>62</v>
      </c>
      <c r="F261" s="839">
        <v>42.5</v>
      </c>
      <c r="G261" s="839">
        <v>42.5</v>
      </c>
      <c r="H261" s="925">
        <f t="shared" si="25"/>
        <v>1.88</v>
      </c>
      <c r="I261" s="872">
        <v>400</v>
      </c>
      <c r="J261" s="256">
        <f t="shared" si="26"/>
        <v>752</v>
      </c>
      <c r="K261" s="256">
        <f t="shared" si="27"/>
        <v>139.11294083193224</v>
      </c>
      <c r="L261" s="657">
        <v>20000</v>
      </c>
      <c r="M261" s="657"/>
      <c r="O261" s="735"/>
      <c r="P261" s="735"/>
      <c r="Q261" s="735"/>
    </row>
    <row r="262" spans="1:17" ht="16.5" customHeight="1">
      <c r="A262" s="770">
        <f t="shared" si="24"/>
        <v>129</v>
      </c>
      <c r="B262" s="296" t="s">
        <v>736</v>
      </c>
      <c r="C262" s="755">
        <v>42660</v>
      </c>
      <c r="D262" s="756" t="s">
        <v>823</v>
      </c>
      <c r="E262" s="838">
        <v>48</v>
      </c>
      <c r="F262" s="839">
        <v>37</v>
      </c>
      <c r="G262" s="839">
        <v>29</v>
      </c>
      <c r="H262" s="925">
        <f t="shared" si="25"/>
        <v>1.21</v>
      </c>
      <c r="I262" s="872">
        <v>1800</v>
      </c>
      <c r="J262" s="256">
        <f t="shared" si="26"/>
        <v>2178</v>
      </c>
      <c r="K262" s="256">
        <f t="shared" si="27"/>
        <v>89.535456599275534</v>
      </c>
      <c r="L262" s="657">
        <v>9100</v>
      </c>
      <c r="M262" s="657"/>
      <c r="O262" s="735"/>
      <c r="P262" s="735"/>
      <c r="Q262" s="735"/>
    </row>
    <row r="263" spans="1:17" ht="16.5" customHeight="1">
      <c r="A263" s="770">
        <f t="shared" ref="A263:A326" si="28">IF(B263&lt;&gt;"",ROW()-133,"")</f>
        <v>130</v>
      </c>
      <c r="B263" s="296" t="s">
        <v>735</v>
      </c>
      <c r="C263" s="755">
        <v>42660</v>
      </c>
      <c r="D263" s="756" t="s">
        <v>823</v>
      </c>
      <c r="E263" s="838">
        <v>43</v>
      </c>
      <c r="F263" s="839">
        <v>33</v>
      </c>
      <c r="G263" s="839">
        <v>33</v>
      </c>
      <c r="H263" s="925">
        <f t="shared" ref="H263:H376" si="29">IF(G263&lt;&gt;"",ROUND(((E263+F263)*2+5)*(F263+G263+3)/10000,2),ROUND(E263*F263/10000,2))</f>
        <v>1.08</v>
      </c>
      <c r="I263" s="872">
        <v>26</v>
      </c>
      <c r="J263" s="256">
        <f t="shared" ref="J263:J376" si="30">H263*I263</f>
        <v>28.080000000000002</v>
      </c>
      <c r="K263" s="256">
        <f t="shared" ref="K263:K326" si="31">H263*$R$202</f>
        <v>79.91594473323768</v>
      </c>
      <c r="L263" s="657">
        <v>13000</v>
      </c>
      <c r="M263" s="657"/>
      <c r="O263" s="735"/>
      <c r="P263" s="735"/>
      <c r="Q263" s="735"/>
    </row>
    <row r="264" spans="1:17" ht="16.5" customHeight="1">
      <c r="A264" s="770">
        <f t="shared" si="28"/>
        <v>131</v>
      </c>
      <c r="B264" s="296" t="s">
        <v>729</v>
      </c>
      <c r="C264" s="755">
        <v>42662</v>
      </c>
      <c r="D264" s="756" t="s">
        <v>824</v>
      </c>
      <c r="E264" s="838">
        <v>110</v>
      </c>
      <c r="F264" s="839">
        <v>70</v>
      </c>
      <c r="G264" s="839"/>
      <c r="H264" s="925">
        <f t="shared" si="29"/>
        <v>0.77</v>
      </c>
      <c r="I264" s="872">
        <v>520</v>
      </c>
      <c r="J264" s="256">
        <f t="shared" si="30"/>
        <v>400.40000000000003</v>
      </c>
      <c r="K264" s="256">
        <f t="shared" si="31"/>
        <v>56.977108744993522</v>
      </c>
      <c r="L264" s="657">
        <v>3311</v>
      </c>
      <c r="M264" s="657"/>
      <c r="O264" s="735"/>
      <c r="P264" s="735"/>
      <c r="Q264" s="735"/>
    </row>
    <row r="265" spans="1:17" ht="16.5" customHeight="1">
      <c r="A265" s="770">
        <f t="shared" si="28"/>
        <v>132</v>
      </c>
      <c r="B265" s="296" t="s">
        <v>585</v>
      </c>
      <c r="C265" s="755">
        <v>42662</v>
      </c>
      <c r="D265" s="756" t="s">
        <v>824</v>
      </c>
      <c r="E265" s="838">
        <v>62</v>
      </c>
      <c r="F265" s="839">
        <v>42.5</v>
      </c>
      <c r="G265" s="839">
        <v>42.5</v>
      </c>
      <c r="H265" s="925">
        <f t="shared" si="29"/>
        <v>1.88</v>
      </c>
      <c r="I265" s="872">
        <v>100</v>
      </c>
      <c r="J265" s="256">
        <f t="shared" si="30"/>
        <v>188</v>
      </c>
      <c r="K265" s="256">
        <f t="shared" si="31"/>
        <v>139.11294083193224</v>
      </c>
      <c r="L265" s="657">
        <v>20000</v>
      </c>
      <c r="M265" s="657"/>
      <c r="O265" s="735"/>
      <c r="P265" s="735"/>
      <c r="Q265" s="735"/>
    </row>
    <row r="266" spans="1:17" ht="16.5" customHeight="1">
      <c r="A266" s="770">
        <f t="shared" si="28"/>
        <v>133</v>
      </c>
      <c r="B266" s="296" t="s">
        <v>730</v>
      </c>
      <c r="C266" s="755">
        <v>42672</v>
      </c>
      <c r="D266" s="756" t="s">
        <v>825</v>
      </c>
      <c r="E266" s="838">
        <v>52</v>
      </c>
      <c r="F266" s="839">
        <v>41</v>
      </c>
      <c r="G266" s="839">
        <v>27</v>
      </c>
      <c r="H266" s="925">
        <f t="shared" si="29"/>
        <v>1.36</v>
      </c>
      <c r="I266" s="872">
        <v>36</v>
      </c>
      <c r="J266" s="256">
        <f t="shared" si="30"/>
        <v>48.96</v>
      </c>
      <c r="K266" s="256">
        <f t="shared" si="31"/>
        <v>100.63489336778078</v>
      </c>
      <c r="L266" s="657">
        <v>15400</v>
      </c>
      <c r="M266" s="657"/>
      <c r="O266" s="735"/>
      <c r="P266" s="735"/>
      <c r="Q266" s="735"/>
    </row>
    <row r="267" spans="1:17" ht="16.5" customHeight="1">
      <c r="A267" s="770">
        <f t="shared" si="28"/>
        <v>134</v>
      </c>
      <c r="B267" s="296" t="s">
        <v>717</v>
      </c>
      <c r="C267" s="755">
        <v>42672</v>
      </c>
      <c r="D267" s="756" t="s">
        <v>825</v>
      </c>
      <c r="E267" s="838">
        <v>63</v>
      </c>
      <c r="F267" s="839">
        <v>42</v>
      </c>
      <c r="G267" s="839">
        <v>27</v>
      </c>
      <c r="H267" s="925">
        <f t="shared" si="29"/>
        <v>1.55</v>
      </c>
      <c r="I267" s="872">
        <v>110</v>
      </c>
      <c r="J267" s="256">
        <f t="shared" si="30"/>
        <v>170.5</v>
      </c>
      <c r="K267" s="256">
        <f t="shared" si="31"/>
        <v>114.69417994122072</v>
      </c>
      <c r="L267" s="657">
        <v>17500</v>
      </c>
      <c r="M267" s="657"/>
      <c r="O267" s="735"/>
      <c r="P267" s="735"/>
      <c r="Q267" s="735"/>
    </row>
    <row r="268" spans="1:17" ht="16.5" customHeight="1">
      <c r="A268" s="770">
        <f t="shared" si="28"/>
        <v>135</v>
      </c>
      <c r="B268" s="296" t="s">
        <v>731</v>
      </c>
      <c r="C268" s="755">
        <v>42672</v>
      </c>
      <c r="D268" s="756" t="s">
        <v>825</v>
      </c>
      <c r="E268" s="838">
        <v>43</v>
      </c>
      <c r="F268" s="839">
        <v>32</v>
      </c>
      <c r="G268" s="839">
        <v>32</v>
      </c>
      <c r="H268" s="925">
        <f t="shared" si="29"/>
        <v>1.04</v>
      </c>
      <c r="I268" s="872">
        <v>111</v>
      </c>
      <c r="J268" s="256">
        <f t="shared" si="30"/>
        <v>115.44</v>
      </c>
      <c r="K268" s="256">
        <f t="shared" si="31"/>
        <v>76.956094928302946</v>
      </c>
      <c r="L268" s="657">
        <v>11700</v>
      </c>
      <c r="M268" s="657"/>
      <c r="O268" s="735"/>
      <c r="P268" s="735"/>
      <c r="Q268" s="735"/>
    </row>
    <row r="269" spans="1:17" ht="16.5" customHeight="1">
      <c r="A269" s="770">
        <f t="shared" si="28"/>
        <v>136</v>
      </c>
      <c r="B269" s="296" t="s">
        <v>732</v>
      </c>
      <c r="C269" s="755">
        <v>42672</v>
      </c>
      <c r="D269" s="756" t="s">
        <v>825</v>
      </c>
      <c r="E269" s="838">
        <v>63</v>
      </c>
      <c r="F269" s="839">
        <v>42</v>
      </c>
      <c r="G269" s="839">
        <v>29</v>
      </c>
      <c r="H269" s="925">
        <f t="shared" si="29"/>
        <v>1.59</v>
      </c>
      <c r="I269" s="872">
        <v>18</v>
      </c>
      <c r="J269" s="256">
        <f t="shared" si="30"/>
        <v>28.62</v>
      </c>
      <c r="K269" s="256">
        <f t="shared" si="31"/>
        <v>117.65402974615546</v>
      </c>
      <c r="L269" s="657">
        <v>18000</v>
      </c>
      <c r="M269" s="657"/>
      <c r="O269" s="735"/>
      <c r="P269" s="735"/>
      <c r="Q269" s="735"/>
    </row>
    <row r="270" spans="1:17" ht="16.5" customHeight="1">
      <c r="A270" s="770">
        <f t="shared" si="28"/>
        <v>137</v>
      </c>
      <c r="B270" s="296" t="s">
        <v>559</v>
      </c>
      <c r="C270" s="755">
        <v>42672</v>
      </c>
      <c r="D270" s="756" t="s">
        <v>825</v>
      </c>
      <c r="E270" s="838">
        <v>47</v>
      </c>
      <c r="F270" s="839">
        <v>42</v>
      </c>
      <c r="G270" s="839">
        <v>25</v>
      </c>
      <c r="H270" s="925">
        <f t="shared" si="29"/>
        <v>1.28</v>
      </c>
      <c r="I270" s="872">
        <v>52</v>
      </c>
      <c r="J270" s="256">
        <f t="shared" si="30"/>
        <v>66.56</v>
      </c>
      <c r="K270" s="256">
        <f t="shared" si="31"/>
        <v>94.715193757911308</v>
      </c>
      <c r="L270" s="657">
        <v>9800</v>
      </c>
      <c r="M270" s="657"/>
      <c r="O270" s="735"/>
      <c r="P270" s="735"/>
      <c r="Q270" s="735"/>
    </row>
    <row r="271" spans="1:17" ht="16.5" customHeight="1">
      <c r="A271" s="770">
        <f t="shared" si="28"/>
        <v>138</v>
      </c>
      <c r="B271" s="296" t="s">
        <v>559</v>
      </c>
      <c r="C271" s="755">
        <v>42672</v>
      </c>
      <c r="D271" s="756" t="s">
        <v>826</v>
      </c>
      <c r="E271" s="838">
        <v>47</v>
      </c>
      <c r="F271" s="839">
        <v>42</v>
      </c>
      <c r="G271" s="839">
        <v>25</v>
      </c>
      <c r="H271" s="925">
        <f t="shared" si="29"/>
        <v>1.28</v>
      </c>
      <c r="I271" s="872">
        <v>206</v>
      </c>
      <c r="J271" s="256">
        <f t="shared" si="30"/>
        <v>263.68</v>
      </c>
      <c r="K271" s="256">
        <f t="shared" si="31"/>
        <v>94.715193757911308</v>
      </c>
      <c r="L271" s="657">
        <v>9800</v>
      </c>
      <c r="M271" s="657"/>
      <c r="O271" s="735"/>
      <c r="P271" s="735"/>
      <c r="Q271" s="735"/>
    </row>
    <row r="272" spans="1:17" ht="16.5" customHeight="1">
      <c r="A272" s="770">
        <f t="shared" si="28"/>
        <v>139</v>
      </c>
      <c r="B272" s="296" t="s">
        <v>733</v>
      </c>
      <c r="C272" s="755">
        <v>42672</v>
      </c>
      <c r="D272" s="756" t="s">
        <v>826</v>
      </c>
      <c r="E272" s="838">
        <v>40</v>
      </c>
      <c r="F272" s="839">
        <v>31</v>
      </c>
      <c r="G272" s="839">
        <v>28</v>
      </c>
      <c r="H272" s="925">
        <f t="shared" si="29"/>
        <v>0.91</v>
      </c>
      <c r="I272" s="872">
        <v>330</v>
      </c>
      <c r="J272" s="256">
        <f t="shared" si="30"/>
        <v>300.3</v>
      </c>
      <c r="K272" s="256">
        <f t="shared" si="31"/>
        <v>67.336583062265078</v>
      </c>
      <c r="L272" s="657">
        <v>7000</v>
      </c>
      <c r="M272" s="657"/>
      <c r="O272" s="735"/>
      <c r="P272" s="735"/>
      <c r="Q272" s="735"/>
    </row>
    <row r="273" spans="1:17" ht="16.5" customHeight="1">
      <c r="A273" s="770">
        <f t="shared" si="28"/>
        <v>140</v>
      </c>
      <c r="B273" s="296" t="s">
        <v>734</v>
      </c>
      <c r="C273" s="755">
        <v>42672</v>
      </c>
      <c r="D273" s="756" t="s">
        <v>826</v>
      </c>
      <c r="E273" s="838">
        <v>43</v>
      </c>
      <c r="F273" s="839">
        <v>39</v>
      </c>
      <c r="G273" s="839">
        <v>25</v>
      </c>
      <c r="H273" s="925">
        <f t="shared" si="29"/>
        <v>1.1299999999999999</v>
      </c>
      <c r="I273" s="872">
        <v>23</v>
      </c>
      <c r="J273" s="256">
        <f t="shared" si="30"/>
        <v>25.99</v>
      </c>
      <c r="K273" s="256">
        <f t="shared" si="31"/>
        <v>83.615756989406066</v>
      </c>
      <c r="L273" s="657">
        <v>8700</v>
      </c>
      <c r="M273" s="657"/>
      <c r="O273" s="735"/>
      <c r="P273" s="735"/>
      <c r="Q273" s="735"/>
    </row>
    <row r="274" spans="1:17" ht="16.5" customHeight="1">
      <c r="A274" s="770">
        <f t="shared" si="28"/>
        <v>141</v>
      </c>
      <c r="B274" s="296" t="s">
        <v>735</v>
      </c>
      <c r="C274" s="755">
        <v>42672</v>
      </c>
      <c r="D274" s="756" t="s">
        <v>826</v>
      </c>
      <c r="E274" s="838">
        <v>43</v>
      </c>
      <c r="F274" s="839">
        <v>33</v>
      </c>
      <c r="G274" s="839">
        <v>33</v>
      </c>
      <c r="H274" s="925">
        <f t="shared" si="29"/>
        <v>1.08</v>
      </c>
      <c r="I274" s="872">
        <v>55</v>
      </c>
      <c r="J274" s="256">
        <f t="shared" si="30"/>
        <v>59.400000000000006</v>
      </c>
      <c r="K274" s="256">
        <f t="shared" si="31"/>
        <v>79.91594473323768</v>
      </c>
      <c r="L274" s="657">
        <v>12300</v>
      </c>
      <c r="M274" s="657"/>
      <c r="O274" s="735"/>
      <c r="P274" s="735"/>
      <c r="Q274" s="735"/>
    </row>
    <row r="275" spans="1:17" ht="16.5" customHeight="1">
      <c r="A275" s="770">
        <f t="shared" si="28"/>
        <v>142</v>
      </c>
      <c r="B275" s="296" t="s">
        <v>736</v>
      </c>
      <c r="C275" s="755">
        <v>42672</v>
      </c>
      <c r="D275" s="756" t="s">
        <v>827</v>
      </c>
      <c r="E275" s="838">
        <v>48</v>
      </c>
      <c r="F275" s="839">
        <v>37</v>
      </c>
      <c r="G275" s="839">
        <v>29</v>
      </c>
      <c r="H275" s="925">
        <f t="shared" si="29"/>
        <v>1.21</v>
      </c>
      <c r="I275" s="872">
        <v>210</v>
      </c>
      <c r="J275" s="256">
        <f t="shared" si="30"/>
        <v>254.1</v>
      </c>
      <c r="K275" s="256">
        <f t="shared" si="31"/>
        <v>89.535456599275534</v>
      </c>
      <c r="L275" s="657">
        <v>9200</v>
      </c>
      <c r="M275" s="657"/>
      <c r="O275" s="735"/>
      <c r="P275" s="735"/>
      <c r="Q275" s="735"/>
    </row>
    <row r="276" spans="1:17" ht="16.5" customHeight="1">
      <c r="A276" s="770">
        <f t="shared" si="28"/>
        <v>143</v>
      </c>
      <c r="B276" s="296" t="s">
        <v>737</v>
      </c>
      <c r="C276" s="755">
        <v>42672</v>
      </c>
      <c r="D276" s="756" t="s">
        <v>827</v>
      </c>
      <c r="E276" s="838">
        <v>52</v>
      </c>
      <c r="F276" s="839">
        <v>52</v>
      </c>
      <c r="G276" s="839">
        <v>27</v>
      </c>
      <c r="H276" s="925">
        <f t="shared" si="29"/>
        <v>1.75</v>
      </c>
      <c r="I276" s="872">
        <v>160</v>
      </c>
      <c r="J276" s="256">
        <f t="shared" si="30"/>
        <v>280</v>
      </c>
      <c r="K276" s="256">
        <f t="shared" si="31"/>
        <v>129.49342896589437</v>
      </c>
      <c r="L276" s="657">
        <v>19700</v>
      </c>
      <c r="M276" s="657"/>
      <c r="O276" s="735"/>
      <c r="P276" s="735"/>
      <c r="Q276" s="735"/>
    </row>
    <row r="277" spans="1:17" ht="16.5" customHeight="1">
      <c r="A277" s="770">
        <f t="shared" si="28"/>
        <v>144</v>
      </c>
      <c r="B277" s="296" t="s">
        <v>559</v>
      </c>
      <c r="C277" s="755">
        <v>42672</v>
      </c>
      <c r="D277" s="756" t="s">
        <v>827</v>
      </c>
      <c r="E277" s="838">
        <v>47</v>
      </c>
      <c r="F277" s="839">
        <v>42</v>
      </c>
      <c r="G277" s="839">
        <v>25</v>
      </c>
      <c r="H277" s="925">
        <f t="shared" si="29"/>
        <v>1.28</v>
      </c>
      <c r="I277" s="872">
        <v>160</v>
      </c>
      <c r="J277" s="256">
        <f t="shared" si="30"/>
        <v>204.8</v>
      </c>
      <c r="K277" s="256">
        <f t="shared" si="31"/>
        <v>94.715193757911308</v>
      </c>
      <c r="L277" s="657">
        <v>9800</v>
      </c>
      <c r="M277" s="657"/>
      <c r="O277" s="735"/>
      <c r="P277" s="735"/>
      <c r="Q277" s="735"/>
    </row>
    <row r="278" spans="1:17" ht="16.5" customHeight="1">
      <c r="A278" s="770">
        <f t="shared" si="28"/>
        <v>145</v>
      </c>
      <c r="B278" s="296" t="s">
        <v>738</v>
      </c>
      <c r="C278" s="755">
        <v>42672</v>
      </c>
      <c r="D278" s="756" t="s">
        <v>827</v>
      </c>
      <c r="E278" s="838">
        <v>46</v>
      </c>
      <c r="F278" s="839">
        <v>36</v>
      </c>
      <c r="G278" s="839">
        <v>25</v>
      </c>
      <c r="H278" s="925">
        <f t="shared" si="29"/>
        <v>1.08</v>
      </c>
      <c r="I278" s="872">
        <v>160</v>
      </c>
      <c r="J278" s="256">
        <f t="shared" si="30"/>
        <v>172.8</v>
      </c>
      <c r="K278" s="256">
        <f t="shared" si="31"/>
        <v>79.91594473323768</v>
      </c>
      <c r="L278" s="657">
        <v>8200</v>
      </c>
      <c r="M278" s="657"/>
      <c r="O278" s="735"/>
      <c r="P278" s="735"/>
      <c r="Q278" s="735"/>
    </row>
    <row r="279" spans="1:17" ht="16.5" customHeight="1">
      <c r="A279" s="770">
        <f t="shared" si="28"/>
        <v>146</v>
      </c>
      <c r="B279" s="296" t="s">
        <v>739</v>
      </c>
      <c r="C279" s="755">
        <v>42672</v>
      </c>
      <c r="D279" s="756" t="s">
        <v>827</v>
      </c>
      <c r="E279" s="838">
        <v>45</v>
      </c>
      <c r="F279" s="839">
        <v>42</v>
      </c>
      <c r="G279" s="839">
        <v>25</v>
      </c>
      <c r="H279" s="925">
        <f t="shared" si="29"/>
        <v>1.25</v>
      </c>
      <c r="I279" s="872">
        <v>103</v>
      </c>
      <c r="J279" s="256">
        <f t="shared" si="30"/>
        <v>128.75</v>
      </c>
      <c r="K279" s="256">
        <f t="shared" si="31"/>
        <v>92.495306404210268</v>
      </c>
      <c r="L279" s="657">
        <v>9500</v>
      </c>
      <c r="M279" s="657"/>
      <c r="O279" s="735"/>
      <c r="P279" s="735"/>
      <c r="Q279" s="735"/>
    </row>
    <row r="280" spans="1:17" ht="16.5" customHeight="1">
      <c r="A280" s="770">
        <f t="shared" si="28"/>
        <v>147</v>
      </c>
      <c r="B280" s="296" t="s">
        <v>740</v>
      </c>
      <c r="C280" s="755">
        <v>42672</v>
      </c>
      <c r="D280" s="756" t="s">
        <v>827</v>
      </c>
      <c r="E280" s="838">
        <v>48</v>
      </c>
      <c r="F280" s="839">
        <v>42</v>
      </c>
      <c r="G280" s="839">
        <v>29</v>
      </c>
      <c r="H280" s="925">
        <f t="shared" si="29"/>
        <v>1.37</v>
      </c>
      <c r="I280" s="872">
        <v>7</v>
      </c>
      <c r="J280" s="256">
        <f t="shared" si="30"/>
        <v>9.59</v>
      </c>
      <c r="K280" s="256">
        <f t="shared" si="31"/>
        <v>101.37485581901446</v>
      </c>
      <c r="L280" s="657">
        <v>15400</v>
      </c>
      <c r="M280" s="657"/>
      <c r="O280" s="735"/>
      <c r="P280" s="735"/>
      <c r="Q280" s="735"/>
    </row>
    <row r="281" spans="1:17" ht="16.5" customHeight="1">
      <c r="A281" s="770">
        <f t="shared" si="28"/>
        <v>148</v>
      </c>
      <c r="B281" s="296" t="s">
        <v>741</v>
      </c>
      <c r="C281" s="755">
        <v>42672</v>
      </c>
      <c r="D281" s="756" t="s">
        <v>827</v>
      </c>
      <c r="E281" s="838">
        <v>38</v>
      </c>
      <c r="F281" s="839">
        <v>38</v>
      </c>
      <c r="G281" s="839">
        <v>26</v>
      </c>
      <c r="H281" s="925">
        <f t="shared" si="29"/>
        <v>1.05</v>
      </c>
      <c r="I281" s="872">
        <v>105</v>
      </c>
      <c r="J281" s="256">
        <f t="shared" si="30"/>
        <v>110.25</v>
      </c>
      <c r="K281" s="256">
        <f t="shared" si="31"/>
        <v>77.696057379536626</v>
      </c>
      <c r="L281" s="657">
        <v>8100</v>
      </c>
      <c r="M281" s="657"/>
      <c r="O281" s="735"/>
      <c r="P281" s="735"/>
      <c r="Q281" s="735"/>
    </row>
    <row r="282" spans="1:17" ht="16.5" customHeight="1">
      <c r="A282" s="770">
        <f t="shared" si="28"/>
        <v>149</v>
      </c>
      <c r="B282" s="296" t="s">
        <v>742</v>
      </c>
      <c r="C282" s="755">
        <v>42672</v>
      </c>
      <c r="D282" s="756" t="s">
        <v>827</v>
      </c>
      <c r="E282" s="838">
        <v>39</v>
      </c>
      <c r="F282" s="839">
        <v>39</v>
      </c>
      <c r="G282" s="839">
        <v>28</v>
      </c>
      <c r="H282" s="925">
        <f t="shared" si="29"/>
        <v>1.1299999999999999</v>
      </c>
      <c r="I282" s="872">
        <v>110</v>
      </c>
      <c r="J282" s="256">
        <f t="shared" si="30"/>
        <v>124.29999999999998</v>
      </c>
      <c r="K282" s="256">
        <f t="shared" si="31"/>
        <v>83.615756989406066</v>
      </c>
      <c r="L282" s="657">
        <v>6500</v>
      </c>
      <c r="M282" s="657"/>
      <c r="O282" s="735"/>
      <c r="P282" s="735"/>
      <c r="Q282" s="735"/>
    </row>
    <row r="283" spans="1:17" ht="16.5" customHeight="1">
      <c r="A283" s="770">
        <f t="shared" si="28"/>
        <v>150</v>
      </c>
      <c r="B283" s="296" t="s">
        <v>561</v>
      </c>
      <c r="C283" s="755">
        <v>42682</v>
      </c>
      <c r="D283" s="756" t="s">
        <v>828</v>
      </c>
      <c r="E283" s="838">
        <v>45</v>
      </c>
      <c r="F283" s="839">
        <v>37</v>
      </c>
      <c r="G283" s="839">
        <v>27.5</v>
      </c>
      <c r="H283" s="925">
        <f t="shared" si="29"/>
        <v>1.1399999999999999</v>
      </c>
      <c r="I283" s="872">
        <v>300</v>
      </c>
      <c r="J283" s="256">
        <f t="shared" si="30"/>
        <v>341.99999999999994</v>
      </c>
      <c r="K283" s="256">
        <f t="shared" si="31"/>
        <v>84.35571944063976</v>
      </c>
      <c r="L283" s="657">
        <v>13800</v>
      </c>
      <c r="M283" s="657"/>
      <c r="O283" s="735"/>
      <c r="P283" s="735"/>
      <c r="Q283" s="735"/>
    </row>
    <row r="284" spans="1:17" ht="16.5" customHeight="1">
      <c r="A284" s="770">
        <f t="shared" si="28"/>
        <v>151</v>
      </c>
      <c r="B284" s="296" t="s">
        <v>561</v>
      </c>
      <c r="C284" s="755">
        <v>42682</v>
      </c>
      <c r="D284" s="756" t="s">
        <v>828</v>
      </c>
      <c r="E284" s="838">
        <v>45</v>
      </c>
      <c r="F284" s="839">
        <v>37</v>
      </c>
      <c r="G284" s="839">
        <v>27.5</v>
      </c>
      <c r="H284" s="925">
        <f t="shared" si="29"/>
        <v>1.1399999999999999</v>
      </c>
      <c r="I284" s="872">
        <v>2000</v>
      </c>
      <c r="J284" s="256">
        <f t="shared" si="30"/>
        <v>2280</v>
      </c>
      <c r="K284" s="256">
        <f t="shared" si="31"/>
        <v>84.35571944063976</v>
      </c>
      <c r="L284" s="657">
        <v>13800</v>
      </c>
      <c r="M284" s="657"/>
      <c r="O284" s="735"/>
      <c r="P284" s="735"/>
      <c r="Q284" s="735"/>
    </row>
    <row r="285" spans="1:17" ht="16.5" customHeight="1">
      <c r="A285" s="770">
        <f t="shared" si="28"/>
        <v>152</v>
      </c>
      <c r="B285" s="296" t="s">
        <v>743</v>
      </c>
      <c r="C285" s="755">
        <v>42682</v>
      </c>
      <c r="D285" s="756" t="s">
        <v>828</v>
      </c>
      <c r="E285" s="838">
        <v>44</v>
      </c>
      <c r="F285" s="789">
        <v>20</v>
      </c>
      <c r="G285" s="789"/>
      <c r="H285" s="925">
        <f t="shared" si="29"/>
        <v>0.09</v>
      </c>
      <c r="I285" s="872">
        <v>4600</v>
      </c>
      <c r="J285" s="256">
        <f t="shared" si="30"/>
        <v>414</v>
      </c>
      <c r="K285" s="256">
        <f t="shared" si="31"/>
        <v>6.6596620611031385</v>
      </c>
      <c r="L285" s="657">
        <v>1300</v>
      </c>
      <c r="M285" s="657"/>
      <c r="O285" s="735"/>
      <c r="P285" s="735"/>
      <c r="Q285" s="735"/>
    </row>
    <row r="286" spans="1:17" ht="16.5" customHeight="1">
      <c r="A286" s="770">
        <f t="shared" si="28"/>
        <v>153</v>
      </c>
      <c r="B286" s="296" t="s">
        <v>744</v>
      </c>
      <c r="C286" s="755">
        <v>42682</v>
      </c>
      <c r="D286" s="756" t="s">
        <v>829</v>
      </c>
      <c r="E286" s="838">
        <v>60</v>
      </c>
      <c r="F286" s="839">
        <v>35</v>
      </c>
      <c r="G286" s="839">
        <v>30</v>
      </c>
      <c r="H286" s="925">
        <f t="shared" si="29"/>
        <v>1.33</v>
      </c>
      <c r="I286" s="872">
        <v>6030</v>
      </c>
      <c r="J286" s="256">
        <f t="shared" si="30"/>
        <v>8019.9000000000005</v>
      </c>
      <c r="K286" s="256">
        <f t="shared" si="31"/>
        <v>98.415006014079722</v>
      </c>
      <c r="L286" s="657">
        <v>13800</v>
      </c>
      <c r="M286" s="657"/>
      <c r="O286" s="735"/>
      <c r="P286" s="735"/>
      <c r="Q286" s="735"/>
    </row>
    <row r="287" spans="1:17" ht="16.5" customHeight="1">
      <c r="A287" s="770">
        <f t="shared" si="28"/>
        <v>154</v>
      </c>
      <c r="B287" s="296" t="s">
        <v>754</v>
      </c>
      <c r="C287" s="755">
        <v>42683</v>
      </c>
      <c r="D287" s="756" t="s">
        <v>830</v>
      </c>
      <c r="E287" s="838">
        <v>52</v>
      </c>
      <c r="F287" s="839">
        <v>25</v>
      </c>
      <c r="G287" s="839">
        <v>25</v>
      </c>
      <c r="H287" s="925">
        <f t="shared" si="29"/>
        <v>0.84</v>
      </c>
      <c r="I287" s="872">
        <v>318</v>
      </c>
      <c r="J287" s="256">
        <f t="shared" si="30"/>
        <v>267.12</v>
      </c>
      <c r="K287" s="256">
        <f t="shared" si="31"/>
        <v>62.156845903629296</v>
      </c>
      <c r="L287" s="657">
        <v>5800</v>
      </c>
      <c r="M287" s="657"/>
      <c r="O287" s="735"/>
      <c r="P287" s="735"/>
      <c r="Q287" s="735"/>
    </row>
    <row r="288" spans="1:17" ht="16.5" customHeight="1">
      <c r="A288" s="770">
        <f t="shared" si="28"/>
        <v>155</v>
      </c>
      <c r="B288" s="296" t="s">
        <v>599</v>
      </c>
      <c r="C288" s="755">
        <v>42683</v>
      </c>
      <c r="D288" s="756" t="s">
        <v>830</v>
      </c>
      <c r="E288" s="838">
        <v>52</v>
      </c>
      <c r="F288" s="839">
        <v>28</v>
      </c>
      <c r="G288" s="839">
        <v>28</v>
      </c>
      <c r="H288" s="925">
        <f t="shared" si="29"/>
        <v>0.97</v>
      </c>
      <c r="I288" s="872">
        <v>520</v>
      </c>
      <c r="J288" s="256">
        <f t="shared" si="30"/>
        <v>504.4</v>
      </c>
      <c r="K288" s="256">
        <f t="shared" si="31"/>
        <v>71.776357769667158</v>
      </c>
      <c r="L288" s="657">
        <v>6400</v>
      </c>
      <c r="M288" s="657"/>
      <c r="O288" s="735"/>
      <c r="P288" s="735"/>
      <c r="Q288" s="735"/>
    </row>
    <row r="289" spans="1:17" ht="16.5" customHeight="1">
      <c r="A289" s="770">
        <f t="shared" si="28"/>
        <v>156</v>
      </c>
      <c r="B289" s="296" t="s">
        <v>878</v>
      </c>
      <c r="C289" s="755">
        <v>42683</v>
      </c>
      <c r="D289" s="756" t="s">
        <v>876</v>
      </c>
      <c r="E289" s="838">
        <v>50</v>
      </c>
      <c r="F289" s="839">
        <v>29.5</v>
      </c>
      <c r="G289" s="839">
        <v>19</v>
      </c>
      <c r="H289" s="925">
        <f t="shared" si="29"/>
        <v>0.84</v>
      </c>
      <c r="I289" s="872">
        <v>4000</v>
      </c>
      <c r="J289" s="256">
        <f t="shared" si="30"/>
        <v>3360</v>
      </c>
      <c r="K289" s="256">
        <f t="shared" si="31"/>
        <v>62.156845903629296</v>
      </c>
      <c r="L289" s="657">
        <v>4500</v>
      </c>
      <c r="M289" s="657"/>
      <c r="O289" s="735"/>
      <c r="P289" s="735"/>
      <c r="Q289" s="735"/>
    </row>
    <row r="290" spans="1:17" ht="16.5" customHeight="1">
      <c r="A290" s="770">
        <f t="shared" si="28"/>
        <v>157</v>
      </c>
      <c r="B290" s="296" t="s">
        <v>878</v>
      </c>
      <c r="C290" s="755">
        <v>42684</v>
      </c>
      <c r="D290" s="756" t="s">
        <v>877</v>
      </c>
      <c r="E290" s="838">
        <v>50</v>
      </c>
      <c r="F290" s="839">
        <v>29.5</v>
      </c>
      <c r="G290" s="839">
        <v>19</v>
      </c>
      <c r="H290" s="925">
        <f t="shared" si="29"/>
        <v>0.84</v>
      </c>
      <c r="I290" s="872">
        <v>4000</v>
      </c>
      <c r="J290" s="256">
        <f t="shared" si="30"/>
        <v>3360</v>
      </c>
      <c r="K290" s="256">
        <f t="shared" si="31"/>
        <v>62.156845903629296</v>
      </c>
      <c r="L290" s="657">
        <v>4500</v>
      </c>
      <c r="M290" s="657"/>
      <c r="O290" s="735"/>
      <c r="P290" s="735"/>
      <c r="Q290" s="735"/>
    </row>
    <row r="291" spans="1:17" ht="16.5" customHeight="1">
      <c r="A291" s="770">
        <f t="shared" si="28"/>
        <v>158</v>
      </c>
      <c r="B291" s="296" t="s">
        <v>747</v>
      </c>
      <c r="C291" s="755">
        <v>42693</v>
      </c>
      <c r="D291" s="756" t="s">
        <v>831</v>
      </c>
      <c r="E291" s="838">
        <v>47</v>
      </c>
      <c r="F291" s="839">
        <v>47</v>
      </c>
      <c r="G291" s="839">
        <v>52</v>
      </c>
      <c r="H291" s="925">
        <f t="shared" si="29"/>
        <v>1.97</v>
      </c>
      <c r="I291" s="872">
        <v>23</v>
      </c>
      <c r="J291" s="256">
        <f t="shared" si="30"/>
        <v>45.31</v>
      </c>
      <c r="K291" s="256">
        <f t="shared" si="31"/>
        <v>145.77260289303538</v>
      </c>
      <c r="L291" s="657">
        <v>16070</v>
      </c>
      <c r="M291" s="657"/>
      <c r="O291" s="735"/>
      <c r="P291" s="735"/>
      <c r="Q291" s="735"/>
    </row>
    <row r="292" spans="1:17" ht="16.5" customHeight="1">
      <c r="A292" s="770">
        <f t="shared" si="28"/>
        <v>159</v>
      </c>
      <c r="B292" s="296" t="s">
        <v>557</v>
      </c>
      <c r="C292" s="755">
        <v>42693</v>
      </c>
      <c r="D292" s="756" t="s">
        <v>831</v>
      </c>
      <c r="E292" s="838">
        <v>103</v>
      </c>
      <c r="F292" s="839">
        <v>54</v>
      </c>
      <c r="G292" s="839">
        <v>180</v>
      </c>
      <c r="H292" s="925">
        <f t="shared" si="29"/>
        <v>7.56</v>
      </c>
      <c r="I292" s="872">
        <v>63</v>
      </c>
      <c r="J292" s="256">
        <f t="shared" si="30"/>
        <v>476.28</v>
      </c>
      <c r="K292" s="256">
        <f t="shared" si="31"/>
        <v>559.41161313266366</v>
      </c>
      <c r="L292" s="657">
        <v>75276</v>
      </c>
      <c r="M292" s="657"/>
      <c r="O292" s="735"/>
      <c r="P292" s="735"/>
      <c r="Q292" s="735"/>
    </row>
    <row r="293" spans="1:17" ht="16.5" customHeight="1">
      <c r="A293" s="770">
        <f t="shared" si="28"/>
        <v>160</v>
      </c>
      <c r="B293" s="296" t="s">
        <v>748</v>
      </c>
      <c r="C293" s="755">
        <v>42693</v>
      </c>
      <c r="D293" s="756" t="s">
        <v>831</v>
      </c>
      <c r="E293" s="838">
        <v>58</v>
      </c>
      <c r="F293" s="839">
        <v>57</v>
      </c>
      <c r="G293" s="839">
        <v>95</v>
      </c>
      <c r="H293" s="925">
        <f t="shared" si="29"/>
        <v>3.64</v>
      </c>
      <c r="I293" s="872">
        <v>27</v>
      </c>
      <c r="J293" s="256">
        <f t="shared" si="30"/>
        <v>98.28</v>
      </c>
      <c r="K293" s="256">
        <f t="shared" si="31"/>
        <v>269.34633224906031</v>
      </c>
      <c r="L293" s="657">
        <v>29954</v>
      </c>
      <c r="M293" s="657"/>
      <c r="O293" s="735"/>
      <c r="P293" s="735"/>
      <c r="Q293" s="735"/>
    </row>
    <row r="294" spans="1:17" ht="16.5" customHeight="1">
      <c r="A294" s="770">
        <f t="shared" si="28"/>
        <v>161</v>
      </c>
      <c r="B294" s="296" t="s">
        <v>749</v>
      </c>
      <c r="C294" s="755">
        <v>42693</v>
      </c>
      <c r="D294" s="756" t="s">
        <v>831</v>
      </c>
      <c r="E294" s="838">
        <v>58</v>
      </c>
      <c r="F294" s="839">
        <v>57</v>
      </c>
      <c r="G294" s="839">
        <v>81</v>
      </c>
      <c r="H294" s="925">
        <f t="shared" si="29"/>
        <v>3.31</v>
      </c>
      <c r="I294" s="872">
        <v>27</v>
      </c>
      <c r="J294" s="256">
        <f t="shared" si="30"/>
        <v>89.37</v>
      </c>
      <c r="K294" s="256">
        <f t="shared" si="31"/>
        <v>244.92757135834879</v>
      </c>
      <c r="L294" s="657">
        <v>27926</v>
      </c>
      <c r="M294" s="657"/>
      <c r="O294" s="735"/>
      <c r="P294" s="735"/>
      <c r="Q294" s="735"/>
    </row>
    <row r="295" spans="1:17" ht="16.5" customHeight="1">
      <c r="A295" s="770">
        <f t="shared" si="28"/>
        <v>162</v>
      </c>
      <c r="B295" s="296" t="s">
        <v>750</v>
      </c>
      <c r="C295" s="755">
        <v>42693</v>
      </c>
      <c r="D295" s="756" t="s">
        <v>831</v>
      </c>
      <c r="E295" s="838">
        <v>67</v>
      </c>
      <c r="F295" s="839">
        <v>62</v>
      </c>
      <c r="G295" s="839">
        <v>114</v>
      </c>
      <c r="H295" s="925">
        <f t="shared" si="29"/>
        <v>4.71</v>
      </c>
      <c r="I295" s="872">
        <v>26</v>
      </c>
      <c r="J295" s="256">
        <f t="shared" si="30"/>
        <v>122.46</v>
      </c>
      <c r="K295" s="256">
        <f t="shared" si="31"/>
        <v>348.5223145310643</v>
      </c>
      <c r="L295" s="657">
        <v>42230</v>
      </c>
      <c r="M295" s="657"/>
      <c r="O295" s="735"/>
      <c r="P295" s="735"/>
      <c r="Q295" s="735"/>
    </row>
    <row r="296" spans="1:17" ht="16.5" customHeight="1">
      <c r="A296" s="770">
        <f t="shared" si="28"/>
        <v>163</v>
      </c>
      <c r="B296" s="296" t="s">
        <v>751</v>
      </c>
      <c r="C296" s="755">
        <v>42693</v>
      </c>
      <c r="D296" s="756" t="s">
        <v>831</v>
      </c>
      <c r="E296" s="838">
        <v>58</v>
      </c>
      <c r="F296" s="839">
        <v>57</v>
      </c>
      <c r="G296" s="839">
        <v>62</v>
      </c>
      <c r="H296" s="925">
        <f t="shared" si="29"/>
        <v>2.87</v>
      </c>
      <c r="I296" s="872">
        <v>21</v>
      </c>
      <c r="J296" s="256">
        <f t="shared" si="30"/>
        <v>60.27</v>
      </c>
      <c r="K296" s="256">
        <f t="shared" si="31"/>
        <v>212.36922350406678</v>
      </c>
      <c r="L296" s="657">
        <v>21839</v>
      </c>
      <c r="M296" s="657"/>
      <c r="O296" s="735"/>
      <c r="P296" s="735"/>
      <c r="Q296" s="735"/>
    </row>
    <row r="297" spans="1:17" ht="16.5" customHeight="1">
      <c r="A297" s="770">
        <f t="shared" si="28"/>
        <v>164</v>
      </c>
      <c r="B297" s="296" t="s">
        <v>1024</v>
      </c>
      <c r="C297" s="755">
        <v>42694</v>
      </c>
      <c r="D297" s="756" t="s">
        <v>497</v>
      </c>
      <c r="E297" s="838">
        <v>82</v>
      </c>
      <c r="F297" s="839">
        <v>37.5</v>
      </c>
      <c r="G297" s="839">
        <v>11.2</v>
      </c>
      <c r="H297" s="925">
        <f t="shared" si="29"/>
        <v>1.26</v>
      </c>
      <c r="I297" s="872">
        <v>1560</v>
      </c>
      <c r="J297" s="256">
        <f t="shared" si="30"/>
        <v>1965.6</v>
      </c>
      <c r="K297" s="256">
        <f t="shared" si="31"/>
        <v>93.235268855443948</v>
      </c>
      <c r="L297" s="657">
        <v>8813</v>
      </c>
      <c r="M297" s="657"/>
      <c r="O297" s="735"/>
      <c r="P297" s="735"/>
      <c r="Q297" s="735"/>
    </row>
    <row r="298" spans="1:17" ht="16.5" customHeight="1">
      <c r="A298" s="770">
        <f t="shared" si="28"/>
        <v>165</v>
      </c>
      <c r="B298" s="296" t="s">
        <v>878</v>
      </c>
      <c r="C298" s="755">
        <v>42693</v>
      </c>
      <c r="D298" s="756" t="s">
        <v>880</v>
      </c>
      <c r="E298" s="838">
        <v>50</v>
      </c>
      <c r="F298" s="839">
        <v>29.5</v>
      </c>
      <c r="G298" s="839">
        <v>19</v>
      </c>
      <c r="H298" s="925">
        <f t="shared" si="29"/>
        <v>0.84</v>
      </c>
      <c r="I298" s="872">
        <v>4000</v>
      </c>
      <c r="J298" s="256">
        <f t="shared" si="30"/>
        <v>3360</v>
      </c>
      <c r="K298" s="256">
        <f t="shared" si="31"/>
        <v>62.156845903629296</v>
      </c>
      <c r="L298" s="657">
        <v>4500</v>
      </c>
      <c r="M298" s="657"/>
      <c r="O298" s="735"/>
      <c r="P298" s="735"/>
      <c r="Q298" s="735"/>
    </row>
    <row r="299" spans="1:17" ht="16.5" customHeight="1">
      <c r="A299" s="770">
        <f t="shared" si="28"/>
        <v>166</v>
      </c>
      <c r="B299" s="296" t="s">
        <v>746</v>
      </c>
      <c r="C299" s="755">
        <v>42696</v>
      </c>
      <c r="D299" s="756" t="s">
        <v>832</v>
      </c>
      <c r="E299" s="838">
        <v>51.5</v>
      </c>
      <c r="F299" s="839">
        <v>39.5</v>
      </c>
      <c r="G299" s="839">
        <v>38.5</v>
      </c>
      <c r="H299" s="925">
        <f t="shared" si="29"/>
        <v>1.51</v>
      </c>
      <c r="I299" s="872">
        <v>608</v>
      </c>
      <c r="J299" s="256">
        <f t="shared" si="30"/>
        <v>918.08</v>
      </c>
      <c r="K299" s="256">
        <f t="shared" si="31"/>
        <v>111.734330136286</v>
      </c>
      <c r="L299" s="657">
        <v>20750</v>
      </c>
      <c r="M299" s="657"/>
      <c r="O299" s="735"/>
      <c r="P299" s="735"/>
      <c r="Q299" s="735"/>
    </row>
    <row r="300" spans="1:17" ht="16.5" customHeight="1">
      <c r="A300" s="770">
        <f t="shared" si="28"/>
        <v>167</v>
      </c>
      <c r="B300" s="296" t="s">
        <v>878</v>
      </c>
      <c r="C300" s="755">
        <v>42697</v>
      </c>
      <c r="D300" s="756" t="s">
        <v>881</v>
      </c>
      <c r="E300" s="838">
        <v>50</v>
      </c>
      <c r="F300" s="839">
        <v>29.5</v>
      </c>
      <c r="G300" s="839">
        <v>19</v>
      </c>
      <c r="H300" s="925">
        <f t="shared" si="29"/>
        <v>0.84</v>
      </c>
      <c r="I300" s="872">
        <v>3353</v>
      </c>
      <c r="J300" s="256">
        <f t="shared" si="30"/>
        <v>2816.52</v>
      </c>
      <c r="K300" s="256">
        <f t="shared" si="31"/>
        <v>62.156845903629296</v>
      </c>
      <c r="L300" s="657">
        <v>4500</v>
      </c>
      <c r="M300" s="657"/>
      <c r="O300" s="735"/>
      <c r="P300" s="735"/>
      <c r="Q300" s="735"/>
    </row>
    <row r="301" spans="1:17" ht="16.5" customHeight="1">
      <c r="A301" s="770">
        <f t="shared" si="28"/>
        <v>168</v>
      </c>
      <c r="B301" s="296" t="s">
        <v>753</v>
      </c>
      <c r="C301" s="755">
        <v>42703</v>
      </c>
      <c r="D301" s="756" t="s">
        <v>833</v>
      </c>
      <c r="E301" s="838">
        <v>37.5</v>
      </c>
      <c r="F301" s="839">
        <v>25.3</v>
      </c>
      <c r="G301" s="839">
        <v>23.9</v>
      </c>
      <c r="H301" s="925">
        <f t="shared" si="29"/>
        <v>0.68</v>
      </c>
      <c r="I301" s="872">
        <v>1020</v>
      </c>
      <c r="J301" s="256">
        <f t="shared" si="30"/>
        <v>693.6</v>
      </c>
      <c r="K301" s="256">
        <f t="shared" si="31"/>
        <v>50.317446683890388</v>
      </c>
      <c r="L301" s="657">
        <v>5900</v>
      </c>
      <c r="M301" s="657"/>
      <c r="O301" s="735"/>
      <c r="P301" s="735"/>
      <c r="Q301" s="735"/>
    </row>
    <row r="302" spans="1:17" ht="16.5" customHeight="1">
      <c r="A302" s="770">
        <f t="shared" si="28"/>
        <v>169</v>
      </c>
      <c r="B302" s="296" t="s">
        <v>755</v>
      </c>
      <c r="C302" s="755">
        <v>42703</v>
      </c>
      <c r="D302" s="756" t="s">
        <v>834</v>
      </c>
      <c r="E302" s="838">
        <v>123</v>
      </c>
      <c r="F302" s="839">
        <v>63</v>
      </c>
      <c r="G302" s="839">
        <v>186</v>
      </c>
      <c r="H302" s="925">
        <f t="shared" si="29"/>
        <v>9.5</v>
      </c>
      <c r="I302" s="872">
        <v>25</v>
      </c>
      <c r="J302" s="256">
        <f t="shared" si="30"/>
        <v>237.5</v>
      </c>
      <c r="K302" s="256">
        <f t="shared" si="31"/>
        <v>702.96432867199803</v>
      </c>
      <c r="L302" s="657">
        <v>56000</v>
      </c>
      <c r="M302" s="657"/>
      <c r="O302" s="735"/>
      <c r="P302" s="735"/>
      <c r="Q302" s="735"/>
    </row>
    <row r="303" spans="1:17" ht="16.5" customHeight="1">
      <c r="A303" s="770">
        <f t="shared" si="28"/>
        <v>170</v>
      </c>
      <c r="B303" s="296" t="s">
        <v>756</v>
      </c>
      <c r="C303" s="755">
        <v>42703</v>
      </c>
      <c r="D303" s="756" t="s">
        <v>834</v>
      </c>
      <c r="E303" s="838">
        <v>123</v>
      </c>
      <c r="F303" s="839">
        <v>63</v>
      </c>
      <c r="G303" s="839">
        <v>138</v>
      </c>
      <c r="H303" s="925">
        <f t="shared" si="29"/>
        <v>7.69</v>
      </c>
      <c r="I303" s="872">
        <v>5</v>
      </c>
      <c r="J303" s="256">
        <f t="shared" si="30"/>
        <v>38.450000000000003</v>
      </c>
      <c r="K303" s="256">
        <f t="shared" si="31"/>
        <v>569.03112499870156</v>
      </c>
      <c r="L303" s="657">
        <v>53000</v>
      </c>
      <c r="M303" s="657"/>
      <c r="O303" s="735"/>
      <c r="P303" s="735"/>
      <c r="Q303" s="735"/>
    </row>
    <row r="304" spans="1:17" ht="16.5" customHeight="1">
      <c r="A304" s="770">
        <f t="shared" si="28"/>
        <v>171</v>
      </c>
      <c r="B304" s="296" t="s">
        <v>757</v>
      </c>
      <c r="C304" s="755">
        <v>42703</v>
      </c>
      <c r="D304" s="756" t="s">
        <v>834</v>
      </c>
      <c r="E304" s="838">
        <v>142</v>
      </c>
      <c r="F304" s="839">
        <v>72</v>
      </c>
      <c r="G304" s="839">
        <v>58</v>
      </c>
      <c r="H304" s="925">
        <f t="shared" si="29"/>
        <v>5.76</v>
      </c>
      <c r="I304" s="872">
        <v>100</v>
      </c>
      <c r="J304" s="256">
        <f t="shared" si="30"/>
        <v>576</v>
      </c>
      <c r="K304" s="256">
        <f t="shared" si="31"/>
        <v>426.21837191060087</v>
      </c>
      <c r="L304" s="657">
        <v>30237</v>
      </c>
      <c r="M304" s="657"/>
      <c r="O304" s="735"/>
      <c r="P304" s="735"/>
      <c r="Q304" s="735"/>
    </row>
    <row r="305" spans="1:17" ht="16.5" customHeight="1">
      <c r="A305" s="770">
        <f t="shared" si="28"/>
        <v>172</v>
      </c>
      <c r="B305" s="296" t="s">
        <v>758</v>
      </c>
      <c r="C305" s="755">
        <v>42703</v>
      </c>
      <c r="D305" s="756" t="s">
        <v>834</v>
      </c>
      <c r="E305" s="838">
        <v>162</v>
      </c>
      <c r="F305" s="839">
        <v>64</v>
      </c>
      <c r="G305" s="839">
        <v>178</v>
      </c>
      <c r="H305" s="925">
        <f t="shared" si="29"/>
        <v>11.2</v>
      </c>
      <c r="I305" s="872">
        <v>12</v>
      </c>
      <c r="J305" s="256">
        <f t="shared" si="30"/>
        <v>134.39999999999998</v>
      </c>
      <c r="K305" s="256">
        <f t="shared" si="31"/>
        <v>828.75794538172397</v>
      </c>
      <c r="L305" s="657">
        <v>75900</v>
      </c>
      <c r="M305" s="657"/>
      <c r="O305" s="735"/>
      <c r="P305" s="735"/>
      <c r="Q305" s="735"/>
    </row>
    <row r="306" spans="1:17" ht="16.5" customHeight="1">
      <c r="A306" s="770">
        <f t="shared" si="28"/>
        <v>173</v>
      </c>
      <c r="B306" s="296" t="s">
        <v>878</v>
      </c>
      <c r="C306" s="755">
        <v>42705</v>
      </c>
      <c r="D306" s="756" t="s">
        <v>838</v>
      </c>
      <c r="E306" s="838">
        <v>50</v>
      </c>
      <c r="F306" s="839">
        <v>29.5</v>
      </c>
      <c r="G306" s="839">
        <v>19</v>
      </c>
      <c r="H306" s="925">
        <f t="shared" si="29"/>
        <v>0.84</v>
      </c>
      <c r="I306" s="872">
        <v>2400</v>
      </c>
      <c r="J306" s="256">
        <f t="shared" si="30"/>
        <v>2016</v>
      </c>
      <c r="K306" s="256">
        <f t="shared" si="31"/>
        <v>62.156845903629296</v>
      </c>
      <c r="L306" s="657">
        <v>7500</v>
      </c>
      <c r="M306" s="657"/>
      <c r="O306" s="735"/>
      <c r="P306" s="735"/>
      <c r="Q306" s="735"/>
    </row>
    <row r="307" spans="1:17" ht="16.5" customHeight="1">
      <c r="A307" s="770">
        <f t="shared" si="28"/>
        <v>174</v>
      </c>
      <c r="B307" s="296" t="s">
        <v>878</v>
      </c>
      <c r="C307" s="755">
        <v>42706</v>
      </c>
      <c r="D307" s="756" t="s">
        <v>889</v>
      </c>
      <c r="E307" s="838">
        <v>50</v>
      </c>
      <c r="F307" s="839">
        <v>29.5</v>
      </c>
      <c r="G307" s="839">
        <v>19</v>
      </c>
      <c r="H307" s="925">
        <f t="shared" si="29"/>
        <v>0.84</v>
      </c>
      <c r="I307" s="872">
        <v>1600</v>
      </c>
      <c r="J307" s="256">
        <f t="shared" si="30"/>
        <v>1344</v>
      </c>
      <c r="K307" s="256">
        <f t="shared" si="31"/>
        <v>62.156845903629296</v>
      </c>
      <c r="L307" s="657">
        <v>7500</v>
      </c>
      <c r="M307" s="657"/>
      <c r="O307" s="735"/>
      <c r="P307" s="735"/>
      <c r="Q307" s="735"/>
    </row>
    <row r="308" spans="1:17" ht="16.5" customHeight="1">
      <c r="A308" s="770">
        <f t="shared" si="28"/>
        <v>175</v>
      </c>
      <c r="B308" s="296" t="s">
        <v>878</v>
      </c>
      <c r="C308" s="755">
        <v>42707</v>
      </c>
      <c r="D308" s="756" t="s">
        <v>890</v>
      </c>
      <c r="E308" s="838">
        <v>50</v>
      </c>
      <c r="F308" s="839">
        <v>29.5</v>
      </c>
      <c r="G308" s="839">
        <v>19</v>
      </c>
      <c r="H308" s="925">
        <f t="shared" si="29"/>
        <v>0.84</v>
      </c>
      <c r="I308" s="872">
        <v>4000</v>
      </c>
      <c r="J308" s="256">
        <f t="shared" si="30"/>
        <v>3360</v>
      </c>
      <c r="K308" s="256">
        <f t="shared" si="31"/>
        <v>62.156845903629296</v>
      </c>
      <c r="L308" s="657">
        <v>4500</v>
      </c>
      <c r="M308" s="657"/>
      <c r="O308" s="735"/>
      <c r="P308" s="735"/>
      <c r="Q308" s="735"/>
    </row>
    <row r="309" spans="1:17" ht="16.5" customHeight="1">
      <c r="A309" s="770">
        <f t="shared" si="28"/>
        <v>176</v>
      </c>
      <c r="B309" s="296" t="s">
        <v>892</v>
      </c>
      <c r="C309" s="755">
        <v>42708</v>
      </c>
      <c r="D309" s="756" t="s">
        <v>891</v>
      </c>
      <c r="E309" s="838">
        <v>54</v>
      </c>
      <c r="F309" s="839">
        <v>28</v>
      </c>
      <c r="G309" s="839">
        <v>27</v>
      </c>
      <c r="H309" s="925">
        <f t="shared" si="29"/>
        <v>0.98</v>
      </c>
      <c r="I309" s="872">
        <v>6154</v>
      </c>
      <c r="J309" s="256">
        <f t="shared" si="30"/>
        <v>6030.92</v>
      </c>
      <c r="K309" s="256">
        <f t="shared" si="31"/>
        <v>72.516320220900852</v>
      </c>
      <c r="L309" s="657">
        <v>16700</v>
      </c>
      <c r="M309" s="657"/>
      <c r="O309" s="735"/>
      <c r="P309" s="735"/>
      <c r="Q309" s="735"/>
    </row>
    <row r="310" spans="1:17" ht="16.5" customHeight="1">
      <c r="A310" s="770">
        <f t="shared" si="28"/>
        <v>177</v>
      </c>
      <c r="B310" s="296" t="s">
        <v>893</v>
      </c>
      <c r="C310" s="755">
        <v>42708</v>
      </c>
      <c r="D310" s="756" t="s">
        <v>891</v>
      </c>
      <c r="E310" s="838">
        <v>56</v>
      </c>
      <c r="F310" s="839">
        <v>32</v>
      </c>
      <c r="G310" s="839">
        <v>30</v>
      </c>
      <c r="H310" s="925">
        <f t="shared" si="29"/>
        <v>1.18</v>
      </c>
      <c r="I310" s="872">
        <v>878</v>
      </c>
      <c r="J310" s="256">
        <f t="shared" si="30"/>
        <v>1036.04</v>
      </c>
      <c r="K310" s="256">
        <f t="shared" si="31"/>
        <v>87.31556924557448</v>
      </c>
      <c r="L310" s="657">
        <v>19400</v>
      </c>
      <c r="M310" s="657"/>
      <c r="O310" s="735"/>
      <c r="P310" s="735"/>
      <c r="Q310" s="735"/>
    </row>
    <row r="311" spans="1:17" ht="16.5" customHeight="1">
      <c r="A311" s="770">
        <f t="shared" si="28"/>
        <v>178</v>
      </c>
      <c r="B311" s="296" t="s">
        <v>878</v>
      </c>
      <c r="C311" s="755">
        <v>42709</v>
      </c>
      <c r="D311" s="756" t="s">
        <v>894</v>
      </c>
      <c r="E311" s="838">
        <v>50</v>
      </c>
      <c r="F311" s="839">
        <v>29.5</v>
      </c>
      <c r="G311" s="839">
        <v>19</v>
      </c>
      <c r="H311" s="925">
        <f t="shared" si="29"/>
        <v>0.84</v>
      </c>
      <c r="I311" s="872">
        <v>2400</v>
      </c>
      <c r="J311" s="256">
        <f t="shared" si="30"/>
        <v>2016</v>
      </c>
      <c r="K311" s="256">
        <f t="shared" si="31"/>
        <v>62.156845903629296</v>
      </c>
      <c r="L311" s="657">
        <v>7500</v>
      </c>
      <c r="M311" s="657"/>
      <c r="O311" s="735"/>
      <c r="P311" s="735"/>
      <c r="Q311" s="735"/>
    </row>
    <row r="312" spans="1:17" ht="16.5" customHeight="1">
      <c r="A312" s="770">
        <f t="shared" si="28"/>
        <v>179</v>
      </c>
      <c r="B312" s="296" t="s">
        <v>878</v>
      </c>
      <c r="C312" s="755">
        <v>42710</v>
      </c>
      <c r="D312" s="756" t="s">
        <v>895</v>
      </c>
      <c r="E312" s="838">
        <v>50</v>
      </c>
      <c r="F312" s="839">
        <v>29.5</v>
      </c>
      <c r="G312" s="839">
        <v>19</v>
      </c>
      <c r="H312" s="925">
        <f t="shared" si="29"/>
        <v>0.84</v>
      </c>
      <c r="I312" s="872">
        <v>2400</v>
      </c>
      <c r="J312" s="256">
        <f t="shared" si="30"/>
        <v>2016</v>
      </c>
      <c r="K312" s="256">
        <f t="shared" si="31"/>
        <v>62.156845903629296</v>
      </c>
      <c r="L312" s="657">
        <v>7500</v>
      </c>
      <c r="M312" s="657"/>
      <c r="O312" s="735"/>
      <c r="P312" s="735"/>
      <c r="Q312" s="735"/>
    </row>
    <row r="313" spans="1:17" ht="16.5" customHeight="1">
      <c r="A313" s="770">
        <f t="shared" si="28"/>
        <v>180</v>
      </c>
      <c r="B313" s="296" t="s">
        <v>898</v>
      </c>
      <c r="C313" s="755">
        <v>42713</v>
      </c>
      <c r="D313" s="756" t="s">
        <v>897</v>
      </c>
      <c r="E313" s="838">
        <v>50</v>
      </c>
      <c r="F313" s="839">
        <v>39</v>
      </c>
      <c r="G313" s="839">
        <v>24.9</v>
      </c>
      <c r="H313" s="925">
        <f t="shared" si="29"/>
        <v>1.22</v>
      </c>
      <c r="I313" s="872">
        <v>400</v>
      </c>
      <c r="J313" s="256">
        <f t="shared" si="30"/>
        <v>488</v>
      </c>
      <c r="K313" s="256">
        <f t="shared" si="31"/>
        <v>90.275419050509214</v>
      </c>
      <c r="L313" s="657">
        <v>13400</v>
      </c>
      <c r="M313" s="657"/>
      <c r="O313" s="735"/>
      <c r="P313" s="735"/>
      <c r="Q313" s="735"/>
    </row>
    <row r="314" spans="1:17" ht="16.5" customHeight="1">
      <c r="A314" s="770">
        <f t="shared" si="28"/>
        <v>181</v>
      </c>
      <c r="B314" s="296" t="s">
        <v>899</v>
      </c>
      <c r="C314" s="755">
        <v>42713</v>
      </c>
      <c r="D314" s="756" t="s">
        <v>897</v>
      </c>
      <c r="E314" s="838">
        <v>19</v>
      </c>
      <c r="F314" s="839">
        <v>16</v>
      </c>
      <c r="G314" s="839">
        <v>11</v>
      </c>
      <c r="H314" s="925">
        <f t="shared" si="29"/>
        <v>0.23</v>
      </c>
      <c r="I314" s="872">
        <v>4000</v>
      </c>
      <c r="J314" s="256">
        <f t="shared" si="30"/>
        <v>920</v>
      </c>
      <c r="K314" s="256">
        <f t="shared" si="31"/>
        <v>17.019136378374689</v>
      </c>
      <c r="L314" s="657">
        <v>2200</v>
      </c>
      <c r="M314" s="657"/>
      <c r="O314" s="735"/>
      <c r="P314" s="735"/>
      <c r="Q314" s="735"/>
    </row>
    <row r="315" spans="1:17" ht="16.5" customHeight="1">
      <c r="A315" s="770">
        <f t="shared" si="28"/>
        <v>182</v>
      </c>
      <c r="B315" s="296" t="s">
        <v>893</v>
      </c>
      <c r="C315" s="755">
        <v>42713</v>
      </c>
      <c r="D315" s="756" t="s">
        <v>500</v>
      </c>
      <c r="E315" s="838">
        <v>56</v>
      </c>
      <c r="F315" s="789">
        <v>32</v>
      </c>
      <c r="G315" s="789">
        <v>30</v>
      </c>
      <c r="H315" s="925">
        <f t="shared" si="29"/>
        <v>1.18</v>
      </c>
      <c r="I315" s="872">
        <v>5240</v>
      </c>
      <c r="J315" s="256">
        <f t="shared" si="30"/>
        <v>6183.2</v>
      </c>
      <c r="K315" s="256">
        <f t="shared" si="31"/>
        <v>87.31556924557448</v>
      </c>
      <c r="L315" s="657">
        <v>13800</v>
      </c>
      <c r="M315" s="657"/>
      <c r="O315" s="735"/>
      <c r="P315" s="735"/>
      <c r="Q315" s="735"/>
    </row>
    <row r="316" spans="1:17" ht="16.5" customHeight="1">
      <c r="A316" s="770">
        <f t="shared" si="28"/>
        <v>183</v>
      </c>
      <c r="B316" s="296" t="s">
        <v>902</v>
      </c>
      <c r="C316" s="755">
        <v>42713</v>
      </c>
      <c r="D316" s="756" t="s">
        <v>901</v>
      </c>
      <c r="E316" s="838">
        <v>67</v>
      </c>
      <c r="F316" s="839">
        <v>49</v>
      </c>
      <c r="G316" s="839">
        <v>43</v>
      </c>
      <c r="H316" s="925">
        <f t="shared" si="29"/>
        <v>2.25</v>
      </c>
      <c r="I316" s="872">
        <v>91</v>
      </c>
      <c r="J316" s="256">
        <f t="shared" si="30"/>
        <v>204.75</v>
      </c>
      <c r="K316" s="256">
        <f t="shared" si="31"/>
        <v>166.49155152757848</v>
      </c>
      <c r="L316" s="657">
        <v>27000</v>
      </c>
      <c r="M316" s="657"/>
      <c r="O316" s="735"/>
      <c r="P316" s="735"/>
      <c r="Q316" s="735"/>
    </row>
    <row r="317" spans="1:17" ht="16.5" customHeight="1">
      <c r="A317" s="770">
        <f t="shared" si="28"/>
        <v>184</v>
      </c>
      <c r="B317" s="296" t="s">
        <v>903</v>
      </c>
      <c r="C317" s="755">
        <v>42713</v>
      </c>
      <c r="D317" s="756" t="s">
        <v>901</v>
      </c>
      <c r="E317" s="838">
        <v>48</v>
      </c>
      <c r="F317" s="839">
        <v>22</v>
      </c>
      <c r="G317" s="839">
        <v>33</v>
      </c>
      <c r="H317" s="925">
        <f t="shared" si="29"/>
        <v>0.84</v>
      </c>
      <c r="I317" s="872">
        <v>300</v>
      </c>
      <c r="J317" s="256">
        <f t="shared" si="30"/>
        <v>252</v>
      </c>
      <c r="K317" s="256">
        <f t="shared" si="31"/>
        <v>62.156845903629296</v>
      </c>
      <c r="L317" s="657">
        <v>6700</v>
      </c>
      <c r="M317" s="657"/>
      <c r="O317" s="735"/>
      <c r="P317" s="735"/>
      <c r="Q317" s="735"/>
    </row>
    <row r="318" spans="1:17" ht="16.5" customHeight="1">
      <c r="A318" s="770">
        <f t="shared" si="28"/>
        <v>185</v>
      </c>
      <c r="B318" s="296" t="s">
        <v>878</v>
      </c>
      <c r="C318" s="755">
        <v>42713</v>
      </c>
      <c r="D318" s="756" t="s">
        <v>904</v>
      </c>
      <c r="E318" s="838">
        <v>50</v>
      </c>
      <c r="F318" s="839">
        <v>29.5</v>
      </c>
      <c r="G318" s="839">
        <v>19</v>
      </c>
      <c r="H318" s="925">
        <f t="shared" si="29"/>
        <v>0.84</v>
      </c>
      <c r="I318" s="872">
        <v>2400</v>
      </c>
      <c r="J318" s="256">
        <f t="shared" si="30"/>
        <v>2016</v>
      </c>
      <c r="K318" s="256">
        <f t="shared" si="31"/>
        <v>62.156845903629296</v>
      </c>
      <c r="L318" s="657">
        <v>7500</v>
      </c>
      <c r="M318" s="657"/>
      <c r="O318" s="735"/>
      <c r="P318" s="735"/>
      <c r="Q318" s="735"/>
    </row>
    <row r="319" spans="1:17" ht="16.5" customHeight="1">
      <c r="A319" s="770">
        <f t="shared" si="28"/>
        <v>186</v>
      </c>
      <c r="B319" s="296" t="s">
        <v>878</v>
      </c>
      <c r="C319" s="755">
        <v>42714</v>
      </c>
      <c r="D319" s="756" t="s">
        <v>905</v>
      </c>
      <c r="E319" s="838">
        <v>50</v>
      </c>
      <c r="F319" s="839">
        <v>29.5</v>
      </c>
      <c r="G319" s="839">
        <v>19</v>
      </c>
      <c r="H319" s="925">
        <f t="shared" si="29"/>
        <v>0.84</v>
      </c>
      <c r="I319" s="872">
        <v>2400</v>
      </c>
      <c r="J319" s="256">
        <f t="shared" si="30"/>
        <v>2016</v>
      </c>
      <c r="K319" s="256">
        <f t="shared" si="31"/>
        <v>62.156845903629296</v>
      </c>
      <c r="L319" s="657">
        <v>7500</v>
      </c>
      <c r="M319" s="657"/>
      <c r="O319" s="735"/>
      <c r="P319" s="735"/>
      <c r="Q319" s="735"/>
    </row>
    <row r="320" spans="1:17" ht="16.5" customHeight="1">
      <c r="A320" s="770">
        <f t="shared" si="28"/>
        <v>187</v>
      </c>
      <c r="B320" s="296" t="s">
        <v>878</v>
      </c>
      <c r="C320" s="755">
        <v>42715</v>
      </c>
      <c r="D320" s="756" t="s">
        <v>906</v>
      </c>
      <c r="E320" s="838">
        <v>50</v>
      </c>
      <c r="F320" s="839">
        <v>29.5</v>
      </c>
      <c r="G320" s="839">
        <v>19</v>
      </c>
      <c r="H320" s="925">
        <f t="shared" si="29"/>
        <v>0.84</v>
      </c>
      <c r="I320" s="872">
        <v>2400</v>
      </c>
      <c r="J320" s="256">
        <f t="shared" si="30"/>
        <v>2016</v>
      </c>
      <c r="K320" s="256">
        <f t="shared" si="31"/>
        <v>62.156845903629296</v>
      </c>
      <c r="L320" s="657">
        <v>7500</v>
      </c>
      <c r="M320" s="657"/>
      <c r="O320" s="735"/>
      <c r="P320" s="735"/>
      <c r="Q320" s="735"/>
    </row>
    <row r="321" spans="1:17" ht="16.5" customHeight="1">
      <c r="A321" s="770">
        <f t="shared" si="28"/>
        <v>188</v>
      </c>
      <c r="B321" s="296" t="s">
        <v>878</v>
      </c>
      <c r="C321" s="755">
        <v>42716</v>
      </c>
      <c r="D321" s="756" t="s">
        <v>907</v>
      </c>
      <c r="E321" s="838">
        <v>50</v>
      </c>
      <c r="F321" s="839">
        <v>29.5</v>
      </c>
      <c r="G321" s="839">
        <v>19</v>
      </c>
      <c r="H321" s="925">
        <f t="shared" si="29"/>
        <v>0.84</v>
      </c>
      <c r="I321" s="872">
        <v>2400</v>
      </c>
      <c r="J321" s="256">
        <f t="shared" si="30"/>
        <v>2016</v>
      </c>
      <c r="K321" s="256">
        <f t="shared" si="31"/>
        <v>62.156845903629296</v>
      </c>
      <c r="L321" s="657">
        <v>7500</v>
      </c>
      <c r="M321" s="657"/>
      <c r="O321" s="735"/>
      <c r="P321" s="735"/>
      <c r="Q321" s="735"/>
    </row>
    <row r="322" spans="1:17" ht="16.5" customHeight="1">
      <c r="A322" s="770">
        <f t="shared" si="28"/>
        <v>189</v>
      </c>
      <c r="B322" s="296" t="s">
        <v>726</v>
      </c>
      <c r="C322" s="755">
        <v>42716</v>
      </c>
      <c r="D322" s="756" t="s">
        <v>947</v>
      </c>
      <c r="E322" s="838">
        <v>39.5</v>
      </c>
      <c r="F322" s="839">
        <v>32.299999999999997</v>
      </c>
      <c r="G322" s="839">
        <v>27.7</v>
      </c>
      <c r="H322" s="925">
        <f t="shared" si="29"/>
        <v>0.94</v>
      </c>
      <c r="I322" s="872">
        <v>332</v>
      </c>
      <c r="J322" s="256">
        <f t="shared" si="30"/>
        <v>312.08</v>
      </c>
      <c r="K322" s="256">
        <f t="shared" si="31"/>
        <v>69.556470415966118</v>
      </c>
      <c r="L322" s="657">
        <v>9400</v>
      </c>
      <c r="M322" s="657"/>
      <c r="O322" s="735"/>
      <c r="P322" s="735"/>
      <c r="Q322" s="735"/>
    </row>
    <row r="323" spans="1:17" ht="16.5" customHeight="1">
      <c r="A323" s="770">
        <f t="shared" si="28"/>
        <v>190</v>
      </c>
      <c r="B323" s="296" t="s">
        <v>570</v>
      </c>
      <c r="C323" s="755">
        <v>42716</v>
      </c>
      <c r="D323" s="756" t="s">
        <v>947</v>
      </c>
      <c r="E323" s="838">
        <v>49.5</v>
      </c>
      <c r="F323" s="839">
        <v>38.5</v>
      </c>
      <c r="G323" s="839">
        <v>32.5</v>
      </c>
      <c r="H323" s="925">
        <f t="shared" si="29"/>
        <v>1.34</v>
      </c>
      <c r="I323" s="872">
        <v>104</v>
      </c>
      <c r="J323" s="256">
        <f t="shared" si="30"/>
        <v>139.36000000000001</v>
      </c>
      <c r="K323" s="256">
        <f t="shared" si="31"/>
        <v>99.154968465313416</v>
      </c>
      <c r="L323" s="657">
        <v>12900</v>
      </c>
      <c r="M323" s="657"/>
      <c r="O323" s="735"/>
      <c r="P323" s="735"/>
      <c r="Q323" s="735"/>
    </row>
    <row r="324" spans="1:17" ht="16.5" customHeight="1">
      <c r="A324" s="770">
        <f t="shared" si="28"/>
        <v>191</v>
      </c>
      <c r="B324" s="296" t="s">
        <v>588</v>
      </c>
      <c r="C324" s="755">
        <v>42717</v>
      </c>
      <c r="D324" s="756" t="s">
        <v>948</v>
      </c>
      <c r="E324" s="838">
        <v>103</v>
      </c>
      <c r="F324" s="839">
        <v>50</v>
      </c>
      <c r="G324" s="839">
        <v>180</v>
      </c>
      <c r="H324" s="925">
        <f t="shared" si="29"/>
        <v>7.25</v>
      </c>
      <c r="I324" s="872">
        <v>60</v>
      </c>
      <c r="J324" s="256">
        <f t="shared" si="30"/>
        <v>435</v>
      </c>
      <c r="K324" s="256">
        <f t="shared" si="31"/>
        <v>536.47277714441952</v>
      </c>
      <c r="L324" s="657">
        <v>47449</v>
      </c>
      <c r="M324" s="657"/>
      <c r="O324" s="735"/>
      <c r="P324" s="735"/>
      <c r="Q324" s="735"/>
    </row>
    <row r="325" spans="1:17" ht="16.5" customHeight="1">
      <c r="A325" s="770">
        <f t="shared" si="28"/>
        <v>192</v>
      </c>
      <c r="B325" s="296" t="s">
        <v>728</v>
      </c>
      <c r="C325" s="755">
        <v>42717</v>
      </c>
      <c r="D325" s="756" t="s">
        <v>948</v>
      </c>
      <c r="E325" s="838">
        <v>122</v>
      </c>
      <c r="F325" s="839">
        <v>54</v>
      </c>
      <c r="G325" s="839">
        <v>180</v>
      </c>
      <c r="H325" s="925">
        <f t="shared" si="29"/>
        <v>8.4600000000000009</v>
      </c>
      <c r="I325" s="872">
        <v>22</v>
      </c>
      <c r="J325" s="256">
        <f t="shared" si="30"/>
        <v>186.12</v>
      </c>
      <c r="K325" s="256">
        <f t="shared" si="31"/>
        <v>626.00823374369509</v>
      </c>
      <c r="L325" s="657">
        <v>54530</v>
      </c>
      <c r="M325" s="657"/>
      <c r="O325" s="735"/>
      <c r="P325" s="735"/>
      <c r="Q325" s="735"/>
    </row>
    <row r="326" spans="1:17" ht="16.5" customHeight="1">
      <c r="A326" s="770">
        <f t="shared" si="28"/>
        <v>193</v>
      </c>
      <c r="B326" s="296" t="s">
        <v>909</v>
      </c>
      <c r="C326" s="755">
        <v>42719</v>
      </c>
      <c r="D326" s="756" t="s">
        <v>908</v>
      </c>
      <c r="E326" s="838">
        <v>78</v>
      </c>
      <c r="F326" s="839">
        <v>52</v>
      </c>
      <c r="G326" s="839">
        <v>4.5</v>
      </c>
      <c r="H326" s="925">
        <f t="shared" si="29"/>
        <v>1.58</v>
      </c>
      <c r="I326" s="872">
        <v>103</v>
      </c>
      <c r="J326" s="256">
        <f t="shared" si="30"/>
        <v>162.74</v>
      </c>
      <c r="K326" s="256">
        <f t="shared" si="31"/>
        <v>116.91406729492178</v>
      </c>
      <c r="L326" s="657">
        <v>14000</v>
      </c>
      <c r="M326" s="657"/>
      <c r="O326" s="735"/>
      <c r="P326" s="735"/>
      <c r="Q326" s="735"/>
    </row>
    <row r="327" spans="1:17" ht="16.5" customHeight="1">
      <c r="A327" s="770">
        <f t="shared" ref="A327:A383" si="32">IF(B327&lt;&gt;"",ROW()-133,"")</f>
        <v>194</v>
      </c>
      <c r="B327" s="296" t="s">
        <v>910</v>
      </c>
      <c r="C327" s="755">
        <v>42719</v>
      </c>
      <c r="D327" s="756" t="s">
        <v>908</v>
      </c>
      <c r="E327" s="838">
        <v>98</v>
      </c>
      <c r="F327" s="839">
        <v>65</v>
      </c>
      <c r="G327" s="839">
        <v>4.5</v>
      </c>
      <c r="H327" s="925">
        <f t="shared" si="29"/>
        <v>2.4</v>
      </c>
      <c r="I327" s="872">
        <v>273</v>
      </c>
      <c r="J327" s="256">
        <f t="shared" si="30"/>
        <v>655.19999999999993</v>
      </c>
      <c r="K327" s="256">
        <f t="shared" ref="K327:K383" si="33">H327*$R$202</f>
        <v>177.59098829608371</v>
      </c>
      <c r="L327" s="657">
        <v>20000</v>
      </c>
      <c r="M327" s="657"/>
      <c r="O327" s="735"/>
      <c r="P327" s="735"/>
      <c r="Q327" s="735"/>
    </row>
    <row r="328" spans="1:17" ht="16.5" customHeight="1">
      <c r="A328" s="770">
        <f t="shared" si="32"/>
        <v>195</v>
      </c>
      <c r="B328" s="296" t="s">
        <v>878</v>
      </c>
      <c r="C328" s="755">
        <v>42719</v>
      </c>
      <c r="D328" s="756" t="s">
        <v>949</v>
      </c>
      <c r="E328" s="838">
        <v>50</v>
      </c>
      <c r="F328" s="839">
        <v>29.5</v>
      </c>
      <c r="G328" s="839">
        <v>19</v>
      </c>
      <c r="H328" s="925">
        <f t="shared" si="29"/>
        <v>0.84</v>
      </c>
      <c r="I328" s="872">
        <v>2400</v>
      </c>
      <c r="J328" s="256">
        <f t="shared" si="30"/>
        <v>2016</v>
      </c>
      <c r="K328" s="256">
        <f t="shared" si="33"/>
        <v>62.156845903629296</v>
      </c>
      <c r="L328" s="657">
        <v>7500</v>
      </c>
      <c r="M328" s="657"/>
      <c r="O328" s="735"/>
      <c r="P328" s="735"/>
      <c r="Q328" s="735"/>
    </row>
    <row r="329" spans="1:17" ht="16.5" customHeight="1">
      <c r="A329" s="770">
        <f t="shared" si="32"/>
        <v>196</v>
      </c>
      <c r="B329" s="296" t="s">
        <v>878</v>
      </c>
      <c r="C329" s="755">
        <v>42720</v>
      </c>
      <c r="D329" s="756" t="s">
        <v>950</v>
      </c>
      <c r="E329" s="838">
        <v>50</v>
      </c>
      <c r="F329" s="839">
        <v>29.5</v>
      </c>
      <c r="G329" s="839">
        <v>19</v>
      </c>
      <c r="H329" s="925">
        <f t="shared" si="29"/>
        <v>0.84</v>
      </c>
      <c r="I329" s="872">
        <v>2400</v>
      </c>
      <c r="J329" s="256">
        <f t="shared" si="30"/>
        <v>2016</v>
      </c>
      <c r="K329" s="256">
        <f t="shared" si="33"/>
        <v>62.156845903629296</v>
      </c>
      <c r="L329" s="657">
        <v>7500</v>
      </c>
      <c r="M329" s="657"/>
      <c r="O329" s="735"/>
      <c r="P329" s="735"/>
      <c r="Q329" s="735"/>
    </row>
    <row r="330" spans="1:17" ht="16.5" customHeight="1">
      <c r="A330" s="770">
        <f t="shared" si="32"/>
        <v>197</v>
      </c>
      <c r="B330" s="296" t="s">
        <v>913</v>
      </c>
      <c r="C330" s="755">
        <v>42721</v>
      </c>
      <c r="D330" s="756" t="s">
        <v>912</v>
      </c>
      <c r="E330" s="838">
        <v>36</v>
      </c>
      <c r="F330" s="839">
        <v>28</v>
      </c>
      <c r="G330" s="839">
        <v>20</v>
      </c>
      <c r="H330" s="925">
        <f t="shared" si="29"/>
        <v>0.68</v>
      </c>
      <c r="I330" s="872">
        <v>205</v>
      </c>
      <c r="J330" s="256">
        <f t="shared" si="30"/>
        <v>139.4</v>
      </c>
      <c r="K330" s="256">
        <f t="shared" si="33"/>
        <v>50.317446683890388</v>
      </c>
      <c r="L330" s="657">
        <v>4950</v>
      </c>
      <c r="M330" s="657"/>
      <c r="O330" s="735"/>
      <c r="P330" s="735"/>
      <c r="Q330" s="735"/>
    </row>
    <row r="331" spans="1:17" ht="16.5" customHeight="1">
      <c r="A331" s="770">
        <f t="shared" si="32"/>
        <v>198</v>
      </c>
      <c r="B331" s="296" t="s">
        <v>914</v>
      </c>
      <c r="C331" s="755">
        <v>42721</v>
      </c>
      <c r="D331" s="756" t="s">
        <v>912</v>
      </c>
      <c r="E331" s="838">
        <v>42</v>
      </c>
      <c r="F331" s="839">
        <v>28</v>
      </c>
      <c r="G331" s="839">
        <v>30</v>
      </c>
      <c r="H331" s="925">
        <f t="shared" si="29"/>
        <v>0.88</v>
      </c>
      <c r="I331" s="872">
        <v>1160</v>
      </c>
      <c r="J331" s="256">
        <f t="shared" si="30"/>
        <v>1020.8</v>
      </c>
      <c r="K331" s="256">
        <f t="shared" si="33"/>
        <v>65.116695708564023</v>
      </c>
      <c r="L331" s="657">
        <v>9936</v>
      </c>
      <c r="M331" s="657"/>
      <c r="O331" s="735"/>
      <c r="P331" s="735"/>
      <c r="Q331" s="735"/>
    </row>
    <row r="332" spans="1:17" ht="16.5" customHeight="1">
      <c r="A332" s="770">
        <f t="shared" si="32"/>
        <v>199</v>
      </c>
      <c r="B332" s="296" t="s">
        <v>916</v>
      </c>
      <c r="C332" s="755">
        <v>42721</v>
      </c>
      <c r="D332" s="756" t="s">
        <v>915</v>
      </c>
      <c r="E332" s="838">
        <v>38</v>
      </c>
      <c r="F332" s="839">
        <v>28</v>
      </c>
      <c r="G332" s="839">
        <v>33</v>
      </c>
      <c r="H332" s="925">
        <f t="shared" si="29"/>
        <v>0.88</v>
      </c>
      <c r="I332" s="872">
        <v>292</v>
      </c>
      <c r="J332" s="256">
        <f t="shared" si="30"/>
        <v>256.95999999999998</v>
      </c>
      <c r="K332" s="256">
        <f t="shared" si="33"/>
        <v>65.116695708564023</v>
      </c>
      <c r="L332" s="657">
        <v>9853</v>
      </c>
      <c r="M332" s="657"/>
      <c r="O332" s="735"/>
      <c r="P332" s="735"/>
      <c r="Q332" s="735"/>
    </row>
    <row r="333" spans="1:17" ht="16.5" customHeight="1">
      <c r="A333" s="770">
        <f t="shared" si="32"/>
        <v>200</v>
      </c>
      <c r="B333" s="296" t="s">
        <v>917</v>
      </c>
      <c r="C333" s="755">
        <v>42721</v>
      </c>
      <c r="D333" s="756" t="s">
        <v>915</v>
      </c>
      <c r="E333" s="838">
        <v>38</v>
      </c>
      <c r="F333" s="839">
        <v>24</v>
      </c>
      <c r="G333" s="839">
        <v>30</v>
      </c>
      <c r="H333" s="925">
        <f t="shared" si="29"/>
        <v>0.74</v>
      </c>
      <c r="I333" s="872">
        <v>180</v>
      </c>
      <c r="J333" s="256">
        <f t="shared" si="30"/>
        <v>133.19999999999999</v>
      </c>
      <c r="K333" s="256">
        <f t="shared" si="33"/>
        <v>54.757221391292475</v>
      </c>
      <c r="L333" s="657">
        <v>8243</v>
      </c>
      <c r="M333" s="657"/>
      <c r="O333" s="735"/>
      <c r="P333" s="735"/>
      <c r="Q333" s="735"/>
    </row>
    <row r="334" spans="1:17" ht="16.5" customHeight="1">
      <c r="A334" s="770">
        <f t="shared" si="32"/>
        <v>201</v>
      </c>
      <c r="B334" s="296" t="s">
        <v>918</v>
      </c>
      <c r="C334" s="755">
        <v>42721</v>
      </c>
      <c r="D334" s="756" t="s">
        <v>915</v>
      </c>
      <c r="E334" s="838">
        <v>38</v>
      </c>
      <c r="F334" s="839">
        <v>18</v>
      </c>
      <c r="G334" s="839">
        <v>30</v>
      </c>
      <c r="H334" s="925">
        <f t="shared" si="29"/>
        <v>0.6</v>
      </c>
      <c r="I334" s="872">
        <v>50</v>
      </c>
      <c r="J334" s="256">
        <f t="shared" si="30"/>
        <v>30</v>
      </c>
      <c r="K334" s="256">
        <f t="shared" si="33"/>
        <v>44.397747074020927</v>
      </c>
      <c r="L334" s="657">
        <v>6670</v>
      </c>
      <c r="M334" s="657"/>
      <c r="O334" s="735"/>
      <c r="P334" s="735"/>
      <c r="Q334" s="735"/>
    </row>
    <row r="335" spans="1:17" ht="16.5" customHeight="1">
      <c r="A335" s="770">
        <f t="shared" si="32"/>
        <v>202</v>
      </c>
      <c r="B335" s="296" t="s">
        <v>919</v>
      </c>
      <c r="C335" s="755">
        <v>42721</v>
      </c>
      <c r="D335" s="756" t="s">
        <v>915</v>
      </c>
      <c r="E335" s="838">
        <v>38</v>
      </c>
      <c r="F335" s="839">
        <v>38</v>
      </c>
      <c r="G335" s="839">
        <v>34</v>
      </c>
      <c r="H335" s="925">
        <f t="shared" si="29"/>
        <v>1.18</v>
      </c>
      <c r="I335" s="872">
        <v>554</v>
      </c>
      <c r="J335" s="256">
        <f t="shared" si="30"/>
        <v>653.71999999999991</v>
      </c>
      <c r="K335" s="256">
        <f t="shared" si="33"/>
        <v>87.31556924557448</v>
      </c>
      <c r="L335" s="657">
        <v>13276</v>
      </c>
      <c r="M335" s="657"/>
      <c r="O335" s="735"/>
      <c r="P335" s="735"/>
      <c r="Q335" s="735"/>
    </row>
    <row r="336" spans="1:17" ht="16.5" customHeight="1">
      <c r="A336" s="770">
        <f t="shared" si="32"/>
        <v>203</v>
      </c>
      <c r="B336" s="296" t="s">
        <v>922</v>
      </c>
      <c r="C336" s="755">
        <v>42721</v>
      </c>
      <c r="D336" s="756" t="s">
        <v>920</v>
      </c>
      <c r="E336" s="838">
        <v>36</v>
      </c>
      <c r="F336" s="839">
        <v>26</v>
      </c>
      <c r="G336" s="839"/>
      <c r="H336" s="925">
        <f t="shared" si="29"/>
        <v>0.09</v>
      </c>
      <c r="I336" s="872">
        <v>584</v>
      </c>
      <c r="J336" s="256">
        <f t="shared" si="30"/>
        <v>52.559999999999995</v>
      </c>
      <c r="K336" s="256">
        <f t="shared" si="33"/>
        <v>6.6596620611031385</v>
      </c>
      <c r="L336" s="657">
        <v>562</v>
      </c>
      <c r="M336" s="657"/>
      <c r="O336" s="735"/>
      <c r="P336" s="735"/>
      <c r="Q336" s="735"/>
    </row>
    <row r="337" spans="1:17" ht="16.5" customHeight="1">
      <c r="A337" s="770">
        <f t="shared" si="32"/>
        <v>204</v>
      </c>
      <c r="B337" s="296" t="s">
        <v>923</v>
      </c>
      <c r="C337" s="755">
        <v>42721</v>
      </c>
      <c r="D337" s="756" t="s">
        <v>920</v>
      </c>
      <c r="E337" s="838">
        <v>36</v>
      </c>
      <c r="F337" s="839">
        <v>22</v>
      </c>
      <c r="G337" s="839"/>
      <c r="H337" s="925">
        <f t="shared" si="29"/>
        <v>0.08</v>
      </c>
      <c r="I337" s="872">
        <v>360</v>
      </c>
      <c r="J337" s="256">
        <f t="shared" si="30"/>
        <v>28.8</v>
      </c>
      <c r="K337" s="256">
        <f t="shared" si="33"/>
        <v>5.9196996098694568</v>
      </c>
      <c r="L337" s="657">
        <v>475</v>
      </c>
      <c r="M337" s="657"/>
      <c r="O337" s="735"/>
      <c r="P337" s="735"/>
      <c r="Q337" s="735"/>
    </row>
    <row r="338" spans="1:17" ht="16.5" customHeight="1">
      <c r="A338" s="770">
        <f t="shared" si="32"/>
        <v>205</v>
      </c>
      <c r="B338" s="296" t="s">
        <v>924</v>
      </c>
      <c r="C338" s="755">
        <v>42721</v>
      </c>
      <c r="D338" s="756" t="s">
        <v>920</v>
      </c>
      <c r="E338" s="838">
        <v>36</v>
      </c>
      <c r="F338" s="839">
        <v>18</v>
      </c>
      <c r="G338" s="839"/>
      <c r="H338" s="925">
        <f t="shared" si="29"/>
        <v>0.06</v>
      </c>
      <c r="I338" s="872">
        <v>100</v>
      </c>
      <c r="J338" s="256">
        <f t="shared" si="30"/>
        <v>6</v>
      </c>
      <c r="K338" s="256">
        <f t="shared" si="33"/>
        <v>4.4397747074020923</v>
      </c>
      <c r="L338" s="657">
        <v>389</v>
      </c>
      <c r="M338" s="657"/>
      <c r="O338" s="735"/>
      <c r="P338" s="735"/>
      <c r="Q338" s="735"/>
    </row>
    <row r="339" spans="1:17" ht="16.5" customHeight="1">
      <c r="A339" s="770">
        <f t="shared" si="32"/>
        <v>206</v>
      </c>
      <c r="B339" s="296" t="s">
        <v>925</v>
      </c>
      <c r="C339" s="755">
        <v>42721</v>
      </c>
      <c r="D339" s="756" t="s">
        <v>920</v>
      </c>
      <c r="E339" s="838">
        <v>36</v>
      </c>
      <c r="F339" s="839">
        <v>36</v>
      </c>
      <c r="G339" s="839"/>
      <c r="H339" s="925">
        <f t="shared" si="29"/>
        <v>0.13</v>
      </c>
      <c r="I339" s="872">
        <v>1108</v>
      </c>
      <c r="J339" s="256">
        <f t="shared" si="30"/>
        <v>144.04</v>
      </c>
      <c r="K339" s="256">
        <f t="shared" si="33"/>
        <v>9.6195118660378682</v>
      </c>
      <c r="L339" s="657">
        <v>778</v>
      </c>
      <c r="M339" s="657"/>
      <c r="O339" s="735"/>
      <c r="P339" s="735"/>
      <c r="Q339" s="735"/>
    </row>
    <row r="340" spans="1:17" ht="16.5" customHeight="1">
      <c r="A340" s="770">
        <f t="shared" si="32"/>
        <v>207</v>
      </c>
      <c r="B340" s="296" t="s">
        <v>878</v>
      </c>
      <c r="C340" s="755">
        <v>42721</v>
      </c>
      <c r="D340" s="756" t="s">
        <v>951</v>
      </c>
      <c r="E340" s="838">
        <v>50</v>
      </c>
      <c r="F340" s="839">
        <v>29.5</v>
      </c>
      <c r="G340" s="839">
        <v>19</v>
      </c>
      <c r="H340" s="925">
        <f t="shared" si="29"/>
        <v>0.84</v>
      </c>
      <c r="I340" s="872">
        <v>2400</v>
      </c>
      <c r="J340" s="256">
        <f t="shared" si="30"/>
        <v>2016</v>
      </c>
      <c r="K340" s="256">
        <f t="shared" si="33"/>
        <v>62.156845903629296</v>
      </c>
      <c r="L340" s="657">
        <v>7500</v>
      </c>
      <c r="M340" s="657"/>
      <c r="O340" s="735"/>
      <c r="P340" s="735"/>
      <c r="Q340" s="735"/>
    </row>
    <row r="341" spans="1:17" ht="16.5" customHeight="1">
      <c r="A341" s="770">
        <f t="shared" si="32"/>
        <v>208</v>
      </c>
      <c r="B341" s="296" t="s">
        <v>878</v>
      </c>
      <c r="C341" s="755">
        <v>42722</v>
      </c>
      <c r="D341" s="756" t="s">
        <v>952</v>
      </c>
      <c r="E341" s="838">
        <v>50</v>
      </c>
      <c r="F341" s="839">
        <v>29.5</v>
      </c>
      <c r="G341" s="839">
        <v>19</v>
      </c>
      <c r="H341" s="925">
        <f t="shared" ref="H341:H365" si="34">IF(G341&lt;&gt;"",ROUND(((E341+F341)*2+5)*(F341+G341+3)/10000,2),ROUND(E341*F341/10000,2))</f>
        <v>0.84</v>
      </c>
      <c r="I341" s="872">
        <v>2400</v>
      </c>
      <c r="J341" s="256">
        <f t="shared" ref="J341:J365" si="35">H341*I341</f>
        <v>2016</v>
      </c>
      <c r="K341" s="256">
        <f t="shared" si="33"/>
        <v>62.156845903629296</v>
      </c>
      <c r="L341" s="657">
        <v>7500</v>
      </c>
      <c r="M341" s="657"/>
      <c r="O341" s="735"/>
      <c r="P341" s="735"/>
      <c r="Q341" s="735"/>
    </row>
    <row r="342" spans="1:17" ht="16.5" customHeight="1">
      <c r="A342" s="770">
        <f t="shared" si="32"/>
        <v>209</v>
      </c>
      <c r="B342" s="296" t="s">
        <v>878</v>
      </c>
      <c r="C342" s="755">
        <v>42723</v>
      </c>
      <c r="D342" s="756" t="s">
        <v>953</v>
      </c>
      <c r="E342" s="838">
        <v>50</v>
      </c>
      <c r="F342" s="839">
        <v>29.5</v>
      </c>
      <c r="G342" s="839">
        <v>19</v>
      </c>
      <c r="H342" s="925">
        <f t="shared" si="34"/>
        <v>0.84</v>
      </c>
      <c r="I342" s="872">
        <v>2400</v>
      </c>
      <c r="J342" s="256">
        <f t="shared" si="35"/>
        <v>2016</v>
      </c>
      <c r="K342" s="256">
        <f t="shared" si="33"/>
        <v>62.156845903629296</v>
      </c>
      <c r="L342" s="657">
        <v>7500</v>
      </c>
      <c r="M342" s="657"/>
      <c r="O342" s="735"/>
      <c r="P342" s="735"/>
      <c r="Q342" s="735"/>
    </row>
    <row r="343" spans="1:17" ht="16.5" customHeight="1">
      <c r="A343" s="770">
        <f t="shared" si="32"/>
        <v>210</v>
      </c>
      <c r="B343" s="296" t="s">
        <v>753</v>
      </c>
      <c r="C343" s="755">
        <v>42724</v>
      </c>
      <c r="D343" s="756" t="s">
        <v>954</v>
      </c>
      <c r="E343" s="838">
        <v>37.5</v>
      </c>
      <c r="F343" s="839">
        <v>25.3</v>
      </c>
      <c r="G343" s="839">
        <v>23.9</v>
      </c>
      <c r="H343" s="925">
        <f t="shared" si="34"/>
        <v>0.68</v>
      </c>
      <c r="I343" s="872">
        <v>872</v>
      </c>
      <c r="J343" s="256">
        <f t="shared" si="35"/>
        <v>592.96</v>
      </c>
      <c r="K343" s="256">
        <f t="shared" si="33"/>
        <v>50.317446683890388</v>
      </c>
      <c r="L343" s="657">
        <v>5900</v>
      </c>
      <c r="M343" s="657"/>
      <c r="O343" s="735"/>
      <c r="P343" s="735"/>
      <c r="Q343" s="735"/>
    </row>
    <row r="344" spans="1:17" ht="16.5" customHeight="1">
      <c r="A344" s="770">
        <f t="shared" si="32"/>
        <v>211</v>
      </c>
      <c r="B344" s="296" t="s">
        <v>958</v>
      </c>
      <c r="C344" s="755">
        <v>42724</v>
      </c>
      <c r="D344" s="756" t="s">
        <v>957</v>
      </c>
      <c r="E344" s="838">
        <v>84</v>
      </c>
      <c r="F344" s="839">
        <v>17</v>
      </c>
      <c r="G344" s="839">
        <v>84</v>
      </c>
      <c r="H344" s="925">
        <f t="shared" si="34"/>
        <v>2.15</v>
      </c>
      <c r="I344" s="872">
        <v>70</v>
      </c>
      <c r="J344" s="256">
        <f t="shared" si="35"/>
        <v>150.5</v>
      </c>
      <c r="K344" s="256">
        <f t="shared" si="33"/>
        <v>159.09192701524165</v>
      </c>
      <c r="L344" s="657">
        <v>24700</v>
      </c>
      <c r="M344" s="657"/>
      <c r="O344" s="735"/>
      <c r="P344" s="735"/>
      <c r="Q344" s="735"/>
    </row>
    <row r="345" spans="1:17" ht="16.5" customHeight="1">
      <c r="A345" s="770">
        <f t="shared" si="32"/>
        <v>212</v>
      </c>
      <c r="B345" s="296" t="s">
        <v>961</v>
      </c>
      <c r="C345" s="755">
        <v>42724</v>
      </c>
      <c r="D345" s="756" t="s">
        <v>960</v>
      </c>
      <c r="E345" s="838">
        <v>60</v>
      </c>
      <c r="F345" s="839">
        <v>35</v>
      </c>
      <c r="G345" s="839">
        <v>50</v>
      </c>
      <c r="H345" s="925">
        <f t="shared" si="34"/>
        <v>1.72</v>
      </c>
      <c r="I345" s="872">
        <v>126</v>
      </c>
      <c r="J345" s="256">
        <f t="shared" si="35"/>
        <v>216.72</v>
      </c>
      <c r="K345" s="256">
        <f t="shared" si="33"/>
        <v>127.27354161219333</v>
      </c>
      <c r="L345" s="657">
        <v>21900</v>
      </c>
      <c r="M345" s="657"/>
      <c r="O345" s="735"/>
      <c r="P345" s="735"/>
      <c r="Q345" s="735"/>
    </row>
    <row r="346" spans="1:17" ht="16.5" customHeight="1">
      <c r="A346" s="770">
        <f t="shared" si="32"/>
        <v>213</v>
      </c>
      <c r="B346" s="296" t="s">
        <v>962</v>
      </c>
      <c r="C346" s="755">
        <v>42724</v>
      </c>
      <c r="D346" s="756" t="s">
        <v>960</v>
      </c>
      <c r="E346" s="838">
        <v>30</v>
      </c>
      <c r="F346" s="839">
        <v>30</v>
      </c>
      <c r="G346" s="839"/>
      <c r="H346" s="925">
        <f t="shared" si="34"/>
        <v>0.09</v>
      </c>
      <c r="I346" s="872">
        <v>126</v>
      </c>
      <c r="J346" s="256">
        <f t="shared" si="35"/>
        <v>11.34</v>
      </c>
      <c r="K346" s="256">
        <f t="shared" si="33"/>
        <v>6.6596620611031385</v>
      </c>
      <c r="L346" s="657">
        <v>800</v>
      </c>
      <c r="M346" s="657"/>
      <c r="O346" s="735"/>
      <c r="P346" s="735"/>
      <c r="Q346" s="735"/>
    </row>
    <row r="347" spans="1:17" ht="16.5" customHeight="1">
      <c r="A347" s="770">
        <f t="shared" si="32"/>
        <v>214</v>
      </c>
      <c r="B347" s="296" t="s">
        <v>878</v>
      </c>
      <c r="C347" s="755">
        <v>42724</v>
      </c>
      <c r="D347" s="756" t="s">
        <v>964</v>
      </c>
      <c r="E347" s="838">
        <v>50</v>
      </c>
      <c r="F347" s="839">
        <v>29.5</v>
      </c>
      <c r="G347" s="839">
        <v>19</v>
      </c>
      <c r="H347" s="925">
        <f t="shared" si="34"/>
        <v>0.84</v>
      </c>
      <c r="I347" s="872">
        <v>2400</v>
      </c>
      <c r="J347" s="256">
        <f t="shared" si="35"/>
        <v>2016</v>
      </c>
      <c r="K347" s="256">
        <f t="shared" si="33"/>
        <v>62.156845903629296</v>
      </c>
      <c r="L347" s="657">
        <v>7500</v>
      </c>
      <c r="M347" s="657"/>
      <c r="O347" s="735"/>
      <c r="P347" s="735"/>
      <c r="Q347" s="735"/>
    </row>
    <row r="348" spans="1:17" ht="16.5" customHeight="1">
      <c r="A348" s="770">
        <f t="shared" si="32"/>
        <v>215</v>
      </c>
      <c r="B348" s="296" t="s">
        <v>878</v>
      </c>
      <c r="C348" s="755">
        <v>42725</v>
      </c>
      <c r="D348" s="756" t="s">
        <v>965</v>
      </c>
      <c r="E348" s="838">
        <v>50</v>
      </c>
      <c r="F348" s="839">
        <v>29.5</v>
      </c>
      <c r="G348" s="839">
        <v>19</v>
      </c>
      <c r="H348" s="925">
        <f t="shared" si="34"/>
        <v>0.84</v>
      </c>
      <c r="I348" s="872">
        <v>2400</v>
      </c>
      <c r="J348" s="256">
        <f t="shared" si="35"/>
        <v>2016</v>
      </c>
      <c r="K348" s="256">
        <f t="shared" si="33"/>
        <v>62.156845903629296</v>
      </c>
      <c r="L348" s="657">
        <v>7500</v>
      </c>
      <c r="M348" s="657"/>
      <c r="O348" s="735"/>
      <c r="P348" s="735"/>
      <c r="Q348" s="735"/>
    </row>
    <row r="349" spans="1:17" ht="16.5" customHeight="1">
      <c r="A349" s="770">
        <f t="shared" si="32"/>
        <v>216</v>
      </c>
      <c r="B349" s="296" t="s">
        <v>967</v>
      </c>
      <c r="C349" s="755">
        <v>42726</v>
      </c>
      <c r="D349" s="756" t="s">
        <v>966</v>
      </c>
      <c r="E349" s="838">
        <v>48</v>
      </c>
      <c r="F349" s="839">
        <v>42</v>
      </c>
      <c r="G349" s="839">
        <v>25</v>
      </c>
      <c r="H349" s="925">
        <f t="shared" si="34"/>
        <v>1.3</v>
      </c>
      <c r="I349" s="872">
        <v>285</v>
      </c>
      <c r="J349" s="256">
        <f t="shared" si="35"/>
        <v>370.5</v>
      </c>
      <c r="K349" s="256">
        <f t="shared" si="33"/>
        <v>96.195118660378682</v>
      </c>
      <c r="L349" s="657">
        <v>10100</v>
      </c>
      <c r="M349" s="657"/>
      <c r="O349" s="735"/>
      <c r="P349" s="735"/>
      <c r="Q349" s="735"/>
    </row>
    <row r="350" spans="1:17" ht="16.5" customHeight="1">
      <c r="A350" s="770">
        <f t="shared" si="32"/>
        <v>217</v>
      </c>
      <c r="B350" s="296" t="s">
        <v>968</v>
      </c>
      <c r="C350" s="755">
        <v>42726</v>
      </c>
      <c r="D350" s="756" t="s">
        <v>966</v>
      </c>
      <c r="E350" s="838">
        <v>48</v>
      </c>
      <c r="F350" s="839">
        <v>37</v>
      </c>
      <c r="G350" s="839">
        <v>31</v>
      </c>
      <c r="H350" s="925">
        <f t="shared" si="34"/>
        <v>1.24</v>
      </c>
      <c r="I350" s="872">
        <v>110</v>
      </c>
      <c r="J350" s="256">
        <f t="shared" si="35"/>
        <v>136.4</v>
      </c>
      <c r="K350" s="256">
        <f t="shared" si="33"/>
        <v>91.755343952976588</v>
      </c>
      <c r="L350" s="657">
        <v>9640</v>
      </c>
      <c r="M350" s="657"/>
      <c r="O350" s="735"/>
      <c r="P350" s="735"/>
      <c r="Q350" s="735"/>
    </row>
    <row r="351" spans="1:17" ht="16.5" customHeight="1">
      <c r="A351" s="770">
        <f t="shared" si="32"/>
        <v>218</v>
      </c>
      <c r="B351" s="296" t="s">
        <v>969</v>
      </c>
      <c r="C351" s="755">
        <v>42726</v>
      </c>
      <c r="D351" s="756" t="s">
        <v>966</v>
      </c>
      <c r="E351" s="838">
        <v>42</v>
      </c>
      <c r="F351" s="839">
        <v>42</v>
      </c>
      <c r="G351" s="839">
        <v>29</v>
      </c>
      <c r="H351" s="925">
        <f t="shared" si="34"/>
        <v>1.28</v>
      </c>
      <c r="I351" s="872">
        <v>160</v>
      </c>
      <c r="J351" s="256">
        <f t="shared" si="35"/>
        <v>204.8</v>
      </c>
      <c r="K351" s="256">
        <f t="shared" si="33"/>
        <v>94.715193757911308</v>
      </c>
      <c r="L351" s="657">
        <v>9940</v>
      </c>
      <c r="M351" s="657"/>
      <c r="O351" s="735"/>
      <c r="P351" s="735"/>
      <c r="Q351" s="735"/>
    </row>
    <row r="352" spans="1:17" ht="16.5" customHeight="1">
      <c r="A352" s="770">
        <f t="shared" si="32"/>
        <v>219</v>
      </c>
      <c r="B352" s="296" t="s">
        <v>560</v>
      </c>
      <c r="C352" s="755">
        <v>42726</v>
      </c>
      <c r="D352" s="756" t="s">
        <v>966</v>
      </c>
      <c r="E352" s="838">
        <v>48</v>
      </c>
      <c r="F352" s="839">
        <v>41</v>
      </c>
      <c r="G352" s="839">
        <v>29</v>
      </c>
      <c r="H352" s="925">
        <f t="shared" si="34"/>
        <v>1.34</v>
      </c>
      <c r="I352" s="872">
        <v>550</v>
      </c>
      <c r="J352" s="256">
        <f t="shared" si="35"/>
        <v>737</v>
      </c>
      <c r="K352" s="256">
        <f t="shared" si="33"/>
        <v>99.154968465313416</v>
      </c>
      <c r="L352" s="657">
        <v>14500</v>
      </c>
      <c r="M352" s="657"/>
      <c r="O352" s="735"/>
      <c r="P352" s="735"/>
      <c r="Q352" s="735"/>
    </row>
    <row r="353" spans="1:17" ht="16.5" customHeight="1">
      <c r="A353" s="770">
        <f t="shared" si="32"/>
        <v>220</v>
      </c>
      <c r="B353" s="296" t="s">
        <v>971</v>
      </c>
      <c r="C353" s="755">
        <v>42726</v>
      </c>
      <c r="D353" s="756" t="s">
        <v>970</v>
      </c>
      <c r="E353" s="838">
        <v>53</v>
      </c>
      <c r="F353" s="839">
        <v>42</v>
      </c>
      <c r="G353" s="839">
        <v>40</v>
      </c>
      <c r="H353" s="925">
        <f t="shared" si="34"/>
        <v>1.66</v>
      </c>
      <c r="I353" s="872">
        <v>275</v>
      </c>
      <c r="J353" s="256">
        <f t="shared" si="35"/>
        <v>456.5</v>
      </c>
      <c r="K353" s="256">
        <f t="shared" si="33"/>
        <v>122.83376690479122</v>
      </c>
      <c r="L353" s="657">
        <v>18800</v>
      </c>
      <c r="M353" s="657"/>
      <c r="O353" s="735"/>
      <c r="P353" s="735"/>
      <c r="Q353" s="735"/>
    </row>
    <row r="354" spans="1:17" ht="16.5" customHeight="1">
      <c r="A354" s="770">
        <f t="shared" si="32"/>
        <v>221</v>
      </c>
      <c r="B354" s="296" t="s">
        <v>972</v>
      </c>
      <c r="C354" s="755">
        <v>42726</v>
      </c>
      <c r="D354" s="756" t="s">
        <v>970</v>
      </c>
      <c r="E354" s="838">
        <v>48</v>
      </c>
      <c r="F354" s="839">
        <v>41</v>
      </c>
      <c r="G354" s="839">
        <v>33</v>
      </c>
      <c r="H354" s="925">
        <f t="shared" si="34"/>
        <v>1.41</v>
      </c>
      <c r="I354" s="872">
        <v>66</v>
      </c>
      <c r="J354" s="256">
        <f t="shared" si="35"/>
        <v>93.059999999999988</v>
      </c>
      <c r="K354" s="256">
        <f t="shared" si="33"/>
        <v>104.33470562394918</v>
      </c>
      <c r="L354" s="657">
        <v>18000</v>
      </c>
      <c r="M354" s="657"/>
      <c r="O354" s="735"/>
      <c r="P354" s="735"/>
      <c r="Q354" s="735"/>
    </row>
    <row r="355" spans="1:17" ht="16.5" customHeight="1">
      <c r="A355" s="770">
        <f t="shared" si="32"/>
        <v>222</v>
      </c>
      <c r="B355" s="296" t="s">
        <v>560</v>
      </c>
      <c r="C355" s="755">
        <v>42726</v>
      </c>
      <c r="D355" s="756" t="s">
        <v>970</v>
      </c>
      <c r="E355" s="838">
        <v>48</v>
      </c>
      <c r="F355" s="839">
        <v>41</v>
      </c>
      <c r="G355" s="839">
        <v>29</v>
      </c>
      <c r="H355" s="925">
        <f t="shared" si="34"/>
        <v>1.34</v>
      </c>
      <c r="I355" s="872">
        <v>165</v>
      </c>
      <c r="J355" s="256">
        <f t="shared" si="35"/>
        <v>221.10000000000002</v>
      </c>
      <c r="K355" s="256">
        <f t="shared" si="33"/>
        <v>99.154968465313416</v>
      </c>
      <c r="L355" s="657">
        <v>14500</v>
      </c>
      <c r="M355" s="657"/>
      <c r="O355" s="735"/>
      <c r="P355" s="735"/>
      <c r="Q355" s="735"/>
    </row>
    <row r="356" spans="1:17" ht="16.5" customHeight="1">
      <c r="A356" s="770">
        <f t="shared" si="32"/>
        <v>223</v>
      </c>
      <c r="B356" s="296" t="s">
        <v>568</v>
      </c>
      <c r="C356" s="755">
        <v>42726</v>
      </c>
      <c r="D356" s="756" t="s">
        <v>970</v>
      </c>
      <c r="E356" s="838">
        <v>50</v>
      </c>
      <c r="F356" s="839">
        <v>40</v>
      </c>
      <c r="G356" s="839"/>
      <c r="H356" s="925">
        <f t="shared" si="34"/>
        <v>0.2</v>
      </c>
      <c r="I356" s="872">
        <v>550</v>
      </c>
      <c r="J356" s="256">
        <f t="shared" si="35"/>
        <v>110</v>
      </c>
      <c r="K356" s="256">
        <f t="shared" si="33"/>
        <v>14.799249024673642</v>
      </c>
      <c r="L356" s="657">
        <v>1230</v>
      </c>
      <c r="M356" s="657"/>
      <c r="O356" s="735"/>
      <c r="P356" s="735"/>
      <c r="Q356" s="735"/>
    </row>
    <row r="357" spans="1:17" ht="16.5" customHeight="1">
      <c r="A357" s="770">
        <f t="shared" si="32"/>
        <v>224</v>
      </c>
      <c r="B357" s="296" t="s">
        <v>973</v>
      </c>
      <c r="C357" s="755">
        <v>42726</v>
      </c>
      <c r="D357" s="756" t="s">
        <v>970</v>
      </c>
      <c r="E357" s="838">
        <v>45</v>
      </c>
      <c r="F357" s="839">
        <v>39</v>
      </c>
      <c r="G357" s="839"/>
      <c r="H357" s="925">
        <f t="shared" si="34"/>
        <v>0.18</v>
      </c>
      <c r="I357" s="872">
        <v>132</v>
      </c>
      <c r="J357" s="256">
        <f t="shared" si="35"/>
        <v>23.759999999999998</v>
      </c>
      <c r="K357" s="256">
        <f t="shared" si="33"/>
        <v>13.319324122206277</v>
      </c>
      <c r="L357" s="657">
        <v>1100</v>
      </c>
      <c r="M357" s="657"/>
      <c r="O357" s="735"/>
      <c r="P357" s="735"/>
      <c r="Q357" s="735"/>
    </row>
    <row r="358" spans="1:17" ht="16.5" customHeight="1">
      <c r="A358" s="770">
        <f t="shared" si="32"/>
        <v>225</v>
      </c>
      <c r="B358" s="296" t="s">
        <v>559</v>
      </c>
      <c r="C358" s="755">
        <v>42726</v>
      </c>
      <c r="D358" s="756" t="s">
        <v>974</v>
      </c>
      <c r="E358" s="838">
        <v>47</v>
      </c>
      <c r="F358" s="839">
        <v>42</v>
      </c>
      <c r="G358" s="839">
        <v>25</v>
      </c>
      <c r="H358" s="925">
        <f t="shared" si="34"/>
        <v>1.28</v>
      </c>
      <c r="I358" s="872">
        <v>571</v>
      </c>
      <c r="J358" s="256">
        <f t="shared" si="35"/>
        <v>730.88</v>
      </c>
      <c r="K358" s="256">
        <f t="shared" si="33"/>
        <v>94.715193757911308</v>
      </c>
      <c r="L358" s="657">
        <v>9530</v>
      </c>
      <c r="M358" s="657"/>
      <c r="O358" s="735"/>
      <c r="P358" s="735"/>
      <c r="Q358" s="735"/>
    </row>
    <row r="359" spans="1:17" ht="16.5" customHeight="1">
      <c r="A359" s="770">
        <f t="shared" si="32"/>
        <v>226</v>
      </c>
      <c r="B359" s="296" t="s">
        <v>559</v>
      </c>
      <c r="C359" s="755">
        <v>42726</v>
      </c>
      <c r="D359" s="756" t="s">
        <v>975</v>
      </c>
      <c r="E359" s="838">
        <v>47</v>
      </c>
      <c r="F359" s="839">
        <v>42</v>
      </c>
      <c r="G359" s="839">
        <v>25</v>
      </c>
      <c r="H359" s="925">
        <f t="shared" si="34"/>
        <v>1.28</v>
      </c>
      <c r="I359" s="872">
        <v>633</v>
      </c>
      <c r="J359" s="256">
        <f t="shared" si="35"/>
        <v>810.24</v>
      </c>
      <c r="K359" s="256">
        <f t="shared" si="33"/>
        <v>94.715193757911308</v>
      </c>
      <c r="L359" s="657">
        <v>9530</v>
      </c>
      <c r="M359" s="657"/>
      <c r="O359" s="735"/>
      <c r="P359" s="735"/>
      <c r="Q359" s="735"/>
    </row>
    <row r="360" spans="1:17" ht="16.5" customHeight="1">
      <c r="A360" s="770">
        <f t="shared" si="32"/>
        <v>227</v>
      </c>
      <c r="B360" s="296" t="s">
        <v>588</v>
      </c>
      <c r="C360" s="755">
        <v>42726</v>
      </c>
      <c r="D360" s="756" t="s">
        <v>976</v>
      </c>
      <c r="E360" s="838">
        <v>103</v>
      </c>
      <c r="F360" s="839">
        <v>50</v>
      </c>
      <c r="G360" s="839">
        <v>180</v>
      </c>
      <c r="H360" s="925">
        <f t="shared" si="34"/>
        <v>7.25</v>
      </c>
      <c r="I360" s="872">
        <v>288</v>
      </c>
      <c r="J360" s="256">
        <f t="shared" si="35"/>
        <v>2088</v>
      </c>
      <c r="K360" s="256">
        <f t="shared" si="33"/>
        <v>536.47277714441952</v>
      </c>
      <c r="L360" s="657">
        <v>47449</v>
      </c>
      <c r="M360" s="657"/>
      <c r="O360" s="735"/>
      <c r="P360" s="735"/>
      <c r="Q360" s="735"/>
    </row>
    <row r="361" spans="1:17" ht="16.5" customHeight="1">
      <c r="A361" s="770">
        <f t="shared" si="32"/>
        <v>228</v>
      </c>
      <c r="B361" s="296" t="s">
        <v>977</v>
      </c>
      <c r="C361" s="755">
        <v>42726</v>
      </c>
      <c r="D361" s="756" t="s">
        <v>976</v>
      </c>
      <c r="E361" s="838">
        <v>76</v>
      </c>
      <c r="F361" s="839">
        <v>54</v>
      </c>
      <c r="G361" s="839">
        <v>140</v>
      </c>
      <c r="H361" s="925">
        <f t="shared" si="34"/>
        <v>5.22</v>
      </c>
      <c r="I361" s="872">
        <v>24</v>
      </c>
      <c r="J361" s="256">
        <f t="shared" si="35"/>
        <v>125.28</v>
      </c>
      <c r="K361" s="256">
        <f t="shared" si="33"/>
        <v>386.26039954398203</v>
      </c>
      <c r="L361" s="657">
        <v>35000</v>
      </c>
      <c r="M361" s="657"/>
      <c r="O361" s="735"/>
      <c r="P361" s="735"/>
      <c r="Q361" s="735"/>
    </row>
    <row r="362" spans="1:17" ht="16.5" customHeight="1">
      <c r="A362" s="770">
        <f t="shared" si="32"/>
        <v>229</v>
      </c>
      <c r="B362" s="296" t="s">
        <v>878</v>
      </c>
      <c r="C362" s="755">
        <v>42726</v>
      </c>
      <c r="D362" s="756" t="s">
        <v>978</v>
      </c>
      <c r="E362" s="838">
        <v>50</v>
      </c>
      <c r="F362" s="839">
        <v>29.5</v>
      </c>
      <c r="G362" s="839">
        <v>19</v>
      </c>
      <c r="H362" s="925">
        <f t="shared" si="34"/>
        <v>0.84</v>
      </c>
      <c r="I362" s="872">
        <v>550</v>
      </c>
      <c r="J362" s="256">
        <f t="shared" si="35"/>
        <v>462</v>
      </c>
      <c r="K362" s="256">
        <f t="shared" si="33"/>
        <v>62.156845903629296</v>
      </c>
      <c r="L362" s="657">
        <v>7500</v>
      </c>
      <c r="M362" s="657"/>
      <c r="O362" s="735"/>
      <c r="P362" s="735"/>
      <c r="Q362" s="735"/>
    </row>
    <row r="363" spans="1:17" ht="16.5" customHeight="1">
      <c r="A363" s="770">
        <f t="shared" si="32"/>
        <v>230</v>
      </c>
      <c r="B363" s="296" t="s">
        <v>878</v>
      </c>
      <c r="C363" s="755">
        <v>42727</v>
      </c>
      <c r="D363" s="756" t="s">
        <v>979</v>
      </c>
      <c r="E363" s="838">
        <v>50</v>
      </c>
      <c r="F363" s="839">
        <v>29.5</v>
      </c>
      <c r="G363" s="839">
        <v>19</v>
      </c>
      <c r="H363" s="925">
        <f t="shared" si="34"/>
        <v>0.84</v>
      </c>
      <c r="I363" s="872">
        <v>2400</v>
      </c>
      <c r="J363" s="256">
        <f t="shared" si="35"/>
        <v>2016</v>
      </c>
      <c r="K363" s="256">
        <f t="shared" si="33"/>
        <v>62.156845903629296</v>
      </c>
      <c r="L363" s="657">
        <v>7500</v>
      </c>
      <c r="M363" s="657"/>
      <c r="O363" s="735"/>
      <c r="P363" s="735"/>
      <c r="Q363" s="735"/>
    </row>
    <row r="364" spans="1:17" ht="16.5" customHeight="1">
      <c r="A364" s="770">
        <f t="shared" si="32"/>
        <v>231</v>
      </c>
      <c r="B364" s="296" t="s">
        <v>981</v>
      </c>
      <c r="C364" s="755">
        <v>42728</v>
      </c>
      <c r="D364" s="756" t="s">
        <v>980</v>
      </c>
      <c r="E364" s="838">
        <v>56</v>
      </c>
      <c r="F364" s="839">
        <v>33</v>
      </c>
      <c r="G364" s="839">
        <v>26.5</v>
      </c>
      <c r="H364" s="925">
        <f t="shared" si="34"/>
        <v>1.1399999999999999</v>
      </c>
      <c r="I364" s="872">
        <v>1010</v>
      </c>
      <c r="J364" s="256">
        <f t="shared" si="35"/>
        <v>1151.3999999999999</v>
      </c>
      <c r="K364" s="256">
        <f t="shared" si="33"/>
        <v>84.35571944063976</v>
      </c>
      <c r="L364" s="657">
        <v>12700</v>
      </c>
      <c r="M364" s="657"/>
      <c r="O364" s="735"/>
      <c r="P364" s="735"/>
      <c r="Q364" s="735"/>
    </row>
    <row r="365" spans="1:17" ht="16.5" customHeight="1">
      <c r="A365" s="770">
        <f t="shared" si="32"/>
        <v>232</v>
      </c>
      <c r="B365" s="296" t="s">
        <v>982</v>
      </c>
      <c r="C365" s="755">
        <v>42728</v>
      </c>
      <c r="D365" s="756" t="s">
        <v>980</v>
      </c>
      <c r="E365" s="838">
        <v>55</v>
      </c>
      <c r="F365" s="839">
        <v>28.5</v>
      </c>
      <c r="G365" s="839">
        <v>25.5</v>
      </c>
      <c r="H365" s="925">
        <f t="shared" si="34"/>
        <v>0.98</v>
      </c>
      <c r="I365" s="872">
        <v>1006</v>
      </c>
      <c r="J365" s="256">
        <f t="shared" si="35"/>
        <v>985.88</v>
      </c>
      <c r="K365" s="256">
        <f t="shared" si="33"/>
        <v>72.516320220900852</v>
      </c>
      <c r="L365" s="657">
        <v>10900</v>
      </c>
      <c r="M365" s="657"/>
      <c r="O365" s="735"/>
      <c r="P365" s="735"/>
      <c r="Q365" s="735"/>
    </row>
    <row r="366" spans="1:17" ht="16.5" customHeight="1">
      <c r="A366" s="770">
        <f t="shared" si="32"/>
        <v>233</v>
      </c>
      <c r="B366" s="296" t="s">
        <v>878</v>
      </c>
      <c r="C366" s="755">
        <v>42728</v>
      </c>
      <c r="D366" s="756" t="s">
        <v>983</v>
      </c>
      <c r="E366" s="838">
        <v>50</v>
      </c>
      <c r="F366" s="839">
        <v>29.5</v>
      </c>
      <c r="G366" s="839">
        <v>19</v>
      </c>
      <c r="H366" s="925">
        <f t="shared" si="29"/>
        <v>0.84</v>
      </c>
      <c r="I366" s="872">
        <v>2400</v>
      </c>
      <c r="J366" s="256">
        <f t="shared" si="30"/>
        <v>2016</v>
      </c>
      <c r="K366" s="256">
        <f t="shared" si="33"/>
        <v>62.156845903629296</v>
      </c>
      <c r="L366" s="657">
        <v>7500</v>
      </c>
      <c r="M366" s="657"/>
      <c r="O366" s="735"/>
      <c r="P366" s="735"/>
      <c r="Q366" s="735"/>
    </row>
    <row r="367" spans="1:17" ht="16.5" customHeight="1">
      <c r="A367" s="770">
        <f t="shared" si="32"/>
        <v>234</v>
      </c>
      <c r="B367" s="296" t="s">
        <v>985</v>
      </c>
      <c r="C367" s="755">
        <v>42729</v>
      </c>
      <c r="D367" s="756" t="s">
        <v>984</v>
      </c>
      <c r="E367" s="838">
        <v>52.5</v>
      </c>
      <c r="F367" s="839">
        <v>31.5</v>
      </c>
      <c r="G367" s="839">
        <v>21</v>
      </c>
      <c r="H367" s="925">
        <f t="shared" si="29"/>
        <v>0.96</v>
      </c>
      <c r="I367" s="872">
        <v>1070</v>
      </c>
      <c r="J367" s="256">
        <f t="shared" si="30"/>
        <v>1027.2</v>
      </c>
      <c r="K367" s="256">
        <f t="shared" si="33"/>
        <v>71.036395318433478</v>
      </c>
      <c r="L367" s="657">
        <v>9700</v>
      </c>
      <c r="M367" s="657"/>
      <c r="O367" s="735"/>
      <c r="P367" s="735"/>
      <c r="Q367" s="735"/>
    </row>
    <row r="368" spans="1:17" ht="16.5" customHeight="1">
      <c r="A368" s="770">
        <f t="shared" si="32"/>
        <v>235</v>
      </c>
      <c r="B368" s="296" t="s">
        <v>878</v>
      </c>
      <c r="C368" s="755">
        <v>42729</v>
      </c>
      <c r="D368" s="756" t="s">
        <v>987</v>
      </c>
      <c r="E368" s="838">
        <v>50</v>
      </c>
      <c r="F368" s="839">
        <v>29.5</v>
      </c>
      <c r="G368" s="839">
        <v>19</v>
      </c>
      <c r="H368" s="925">
        <f t="shared" si="29"/>
        <v>0.84</v>
      </c>
      <c r="I368" s="872">
        <v>2400</v>
      </c>
      <c r="J368" s="256">
        <f t="shared" si="30"/>
        <v>2016</v>
      </c>
      <c r="K368" s="256">
        <f t="shared" si="33"/>
        <v>62.156845903629296</v>
      </c>
      <c r="L368" s="657">
        <v>7500</v>
      </c>
      <c r="M368" s="657"/>
      <c r="O368" s="735"/>
      <c r="P368" s="735"/>
      <c r="Q368" s="735"/>
    </row>
    <row r="369" spans="1:18" ht="16.5" customHeight="1">
      <c r="A369" s="770">
        <f t="shared" si="32"/>
        <v>236</v>
      </c>
      <c r="B369" s="296" t="s">
        <v>878</v>
      </c>
      <c r="C369" s="755">
        <v>42730</v>
      </c>
      <c r="D369" s="756" t="s">
        <v>988</v>
      </c>
      <c r="E369" s="838">
        <v>50</v>
      </c>
      <c r="F369" s="839">
        <v>29.5</v>
      </c>
      <c r="G369" s="839">
        <v>19</v>
      </c>
      <c r="H369" s="925">
        <f t="shared" si="29"/>
        <v>0.84</v>
      </c>
      <c r="I369" s="872">
        <v>1200</v>
      </c>
      <c r="J369" s="256">
        <f t="shared" si="30"/>
        <v>1008</v>
      </c>
      <c r="K369" s="256">
        <f t="shared" si="33"/>
        <v>62.156845903629296</v>
      </c>
      <c r="L369" s="657">
        <v>7500</v>
      </c>
      <c r="M369" s="657"/>
      <c r="O369" s="735"/>
      <c r="P369" s="735"/>
      <c r="Q369" s="735"/>
    </row>
    <row r="370" spans="1:18" ht="16.5" customHeight="1">
      <c r="A370" s="770">
        <f t="shared" si="32"/>
        <v>237</v>
      </c>
      <c r="B370" s="296" t="s">
        <v>878</v>
      </c>
      <c r="C370" s="755">
        <v>42731</v>
      </c>
      <c r="D370" s="756" t="s">
        <v>989</v>
      </c>
      <c r="E370" s="838">
        <v>50</v>
      </c>
      <c r="F370" s="839">
        <v>29.5</v>
      </c>
      <c r="G370" s="839">
        <v>19</v>
      </c>
      <c r="H370" s="925">
        <f t="shared" si="29"/>
        <v>0.84</v>
      </c>
      <c r="I370" s="872">
        <v>1380</v>
      </c>
      <c r="J370" s="256">
        <f t="shared" si="30"/>
        <v>1159.2</v>
      </c>
      <c r="K370" s="256">
        <f t="shared" si="33"/>
        <v>62.156845903629296</v>
      </c>
      <c r="L370" s="657">
        <v>7500</v>
      </c>
      <c r="M370" s="657"/>
      <c r="O370" s="735"/>
      <c r="P370" s="735"/>
      <c r="Q370" s="735"/>
    </row>
    <row r="371" spans="1:18" ht="16.5" customHeight="1">
      <c r="A371" s="770">
        <f t="shared" si="32"/>
        <v>238</v>
      </c>
      <c r="B371" s="296" t="s">
        <v>878</v>
      </c>
      <c r="C371" s="755">
        <v>42732</v>
      </c>
      <c r="D371" s="756" t="s">
        <v>990</v>
      </c>
      <c r="E371" s="838">
        <v>50</v>
      </c>
      <c r="F371" s="839">
        <v>29.5</v>
      </c>
      <c r="G371" s="839">
        <v>19</v>
      </c>
      <c r="H371" s="925">
        <f t="shared" si="29"/>
        <v>0.84</v>
      </c>
      <c r="I371" s="872">
        <v>2030</v>
      </c>
      <c r="J371" s="256">
        <f t="shared" si="30"/>
        <v>1705.2</v>
      </c>
      <c r="K371" s="256">
        <f t="shared" si="33"/>
        <v>62.156845903629296</v>
      </c>
      <c r="L371" s="657">
        <v>7500</v>
      </c>
      <c r="M371" s="657"/>
      <c r="O371" s="735"/>
      <c r="P371" s="735"/>
      <c r="Q371" s="735"/>
    </row>
    <row r="372" spans="1:18" ht="16.5" customHeight="1">
      <c r="A372" s="770">
        <f t="shared" si="32"/>
        <v>239</v>
      </c>
      <c r="B372" s="296" t="s">
        <v>1026</v>
      </c>
      <c r="C372" s="755">
        <v>42732</v>
      </c>
      <c r="D372" s="756" t="s">
        <v>1025</v>
      </c>
      <c r="E372" s="838">
        <v>51</v>
      </c>
      <c r="F372" s="839">
        <v>37</v>
      </c>
      <c r="G372" s="839">
        <v>27</v>
      </c>
      <c r="H372" s="925">
        <f t="shared" si="29"/>
        <v>1.21</v>
      </c>
      <c r="I372" s="872">
        <v>188</v>
      </c>
      <c r="J372" s="256">
        <f t="shared" si="30"/>
        <v>227.48</v>
      </c>
      <c r="K372" s="256">
        <f t="shared" si="33"/>
        <v>89.535456599275534</v>
      </c>
      <c r="L372" s="657">
        <v>14000</v>
      </c>
      <c r="M372" s="657"/>
      <c r="O372" s="735"/>
      <c r="P372" s="735"/>
      <c r="Q372" s="735"/>
    </row>
    <row r="373" spans="1:18" ht="16.5" customHeight="1">
      <c r="A373" s="770">
        <f t="shared" si="32"/>
        <v>240</v>
      </c>
      <c r="B373" s="296" t="s">
        <v>570</v>
      </c>
      <c r="C373" s="755">
        <v>42732</v>
      </c>
      <c r="D373" s="756" t="s">
        <v>992</v>
      </c>
      <c r="E373" s="838">
        <v>49.5</v>
      </c>
      <c r="F373" s="839">
        <v>38.5</v>
      </c>
      <c r="G373" s="839">
        <v>32.5</v>
      </c>
      <c r="H373" s="925">
        <f t="shared" si="29"/>
        <v>1.34</v>
      </c>
      <c r="I373" s="872">
        <v>209</v>
      </c>
      <c r="J373" s="256">
        <f t="shared" si="30"/>
        <v>280.06</v>
      </c>
      <c r="K373" s="256">
        <f t="shared" si="33"/>
        <v>99.154968465313416</v>
      </c>
      <c r="L373" s="657">
        <v>12900</v>
      </c>
      <c r="M373" s="657"/>
      <c r="O373" s="735"/>
      <c r="P373" s="735"/>
      <c r="Q373" s="735"/>
    </row>
    <row r="374" spans="1:18" ht="16.5" customHeight="1">
      <c r="A374" s="770">
        <f t="shared" si="32"/>
        <v>241</v>
      </c>
      <c r="B374" s="296" t="s">
        <v>993</v>
      </c>
      <c r="C374" s="755">
        <v>42732</v>
      </c>
      <c r="D374" s="756" t="s">
        <v>991</v>
      </c>
      <c r="E374" s="838">
        <v>60</v>
      </c>
      <c r="F374" s="839">
        <v>40</v>
      </c>
      <c r="G374" s="839">
        <v>28</v>
      </c>
      <c r="H374" s="925">
        <f t="shared" si="29"/>
        <v>1.46</v>
      </c>
      <c r="I374" s="872">
        <v>244</v>
      </c>
      <c r="J374" s="256">
        <f t="shared" si="30"/>
        <v>356.24</v>
      </c>
      <c r="K374" s="256">
        <f t="shared" si="33"/>
        <v>108.03451788011759</v>
      </c>
      <c r="L374" s="657">
        <v>22848</v>
      </c>
      <c r="M374" s="657"/>
      <c r="O374" s="735"/>
      <c r="P374" s="735"/>
      <c r="Q374" s="735"/>
    </row>
    <row r="375" spans="1:18" ht="16.5" customHeight="1">
      <c r="A375" s="770">
        <f t="shared" si="32"/>
        <v>242</v>
      </c>
      <c r="B375" s="296" t="s">
        <v>994</v>
      </c>
      <c r="C375" s="755">
        <v>42732</v>
      </c>
      <c r="D375" s="756" t="s">
        <v>991</v>
      </c>
      <c r="E375" s="838">
        <v>60</v>
      </c>
      <c r="F375" s="839">
        <v>40</v>
      </c>
      <c r="G375" s="839">
        <v>24</v>
      </c>
      <c r="H375" s="925">
        <f t="shared" si="29"/>
        <v>1.37</v>
      </c>
      <c r="I375" s="872">
        <v>244</v>
      </c>
      <c r="J375" s="256">
        <f t="shared" si="30"/>
        <v>334.28000000000003</v>
      </c>
      <c r="K375" s="256">
        <f t="shared" si="33"/>
        <v>101.37485581901446</v>
      </c>
      <c r="L375" s="657">
        <v>21542</v>
      </c>
      <c r="M375" s="657"/>
      <c r="O375" s="735"/>
      <c r="P375" s="735"/>
      <c r="Q375" s="735"/>
    </row>
    <row r="376" spans="1:18" ht="16.5" customHeight="1">
      <c r="A376" s="770">
        <f t="shared" si="32"/>
        <v>243</v>
      </c>
      <c r="B376" s="296" t="s">
        <v>995</v>
      </c>
      <c r="C376" s="755">
        <v>42732</v>
      </c>
      <c r="D376" s="756" t="s">
        <v>991</v>
      </c>
      <c r="E376" s="838">
        <v>58</v>
      </c>
      <c r="F376" s="839">
        <v>26</v>
      </c>
      <c r="G376" s="839"/>
      <c r="H376" s="925">
        <f t="shared" si="29"/>
        <v>0.15</v>
      </c>
      <c r="I376" s="872">
        <v>244</v>
      </c>
      <c r="J376" s="256">
        <f t="shared" si="30"/>
        <v>36.6</v>
      </c>
      <c r="K376" s="256">
        <f t="shared" si="33"/>
        <v>11.099436768505232</v>
      </c>
      <c r="L376" s="657">
        <v>905</v>
      </c>
      <c r="M376" s="657"/>
      <c r="O376" s="735"/>
      <c r="P376" s="735"/>
      <c r="Q376" s="735"/>
    </row>
    <row r="377" spans="1:18" ht="16.5" customHeight="1">
      <c r="A377" s="770">
        <f t="shared" si="32"/>
        <v>244</v>
      </c>
      <c r="B377" s="296" t="s">
        <v>996</v>
      </c>
      <c r="C377" s="755">
        <v>42732</v>
      </c>
      <c r="D377" s="756" t="s">
        <v>991</v>
      </c>
      <c r="E377" s="838">
        <v>58</v>
      </c>
      <c r="F377" s="839">
        <v>22</v>
      </c>
      <c r="G377" s="839"/>
      <c r="H377" s="925">
        <f t="shared" ref="H377:H383" si="36">IF(G377&lt;&gt;"",ROUND(((E377+F377)*2+5)*(F377+G377+3)/10000,2),ROUND(E377*F377/10000,2))</f>
        <v>0.13</v>
      </c>
      <c r="I377" s="872">
        <v>244</v>
      </c>
      <c r="J377" s="256">
        <f t="shared" ref="J377:J383" si="37">H377*I377</f>
        <v>31.720000000000002</v>
      </c>
      <c r="K377" s="256">
        <f t="shared" si="33"/>
        <v>9.6195118660378682</v>
      </c>
      <c r="L377" s="657">
        <v>766</v>
      </c>
      <c r="M377" s="657"/>
      <c r="O377" s="735"/>
      <c r="P377" s="735"/>
      <c r="Q377" s="735"/>
    </row>
    <row r="378" spans="1:18" ht="16.5" customHeight="1">
      <c r="A378" s="770">
        <f t="shared" si="32"/>
        <v>245</v>
      </c>
      <c r="B378" s="296" t="s">
        <v>997</v>
      </c>
      <c r="C378" s="755">
        <v>42732</v>
      </c>
      <c r="D378" s="756" t="s">
        <v>991</v>
      </c>
      <c r="E378" s="838">
        <v>38</v>
      </c>
      <c r="F378" s="839">
        <v>26</v>
      </c>
      <c r="G378" s="839"/>
      <c r="H378" s="925">
        <f t="shared" si="36"/>
        <v>0.1</v>
      </c>
      <c r="I378" s="872">
        <v>244</v>
      </c>
      <c r="J378" s="256">
        <f t="shared" si="37"/>
        <v>24.400000000000002</v>
      </c>
      <c r="K378" s="256">
        <f t="shared" si="33"/>
        <v>7.3996245123368212</v>
      </c>
      <c r="L378" s="657">
        <v>593</v>
      </c>
      <c r="M378" s="657"/>
      <c r="O378" s="735"/>
      <c r="P378" s="735"/>
      <c r="Q378" s="735"/>
    </row>
    <row r="379" spans="1:18" ht="16.5" customHeight="1">
      <c r="A379" s="770">
        <f t="shared" si="32"/>
        <v>246</v>
      </c>
      <c r="B379" s="296" t="s">
        <v>998</v>
      </c>
      <c r="C379" s="755">
        <v>42732</v>
      </c>
      <c r="D379" s="756" t="s">
        <v>991</v>
      </c>
      <c r="E379" s="838">
        <v>38</v>
      </c>
      <c r="F379" s="839">
        <v>22</v>
      </c>
      <c r="G379" s="839"/>
      <c r="H379" s="925">
        <f t="shared" si="36"/>
        <v>0.08</v>
      </c>
      <c r="I379" s="872">
        <v>244</v>
      </c>
      <c r="J379" s="256">
        <f t="shared" si="37"/>
        <v>19.52</v>
      </c>
      <c r="K379" s="256">
        <f t="shared" si="33"/>
        <v>5.9196996098694568</v>
      </c>
      <c r="L379" s="657">
        <v>502</v>
      </c>
      <c r="M379" s="657"/>
      <c r="O379" s="735"/>
      <c r="P379" s="735"/>
      <c r="Q379" s="735"/>
    </row>
    <row r="380" spans="1:18" ht="16.5" customHeight="1">
      <c r="A380" s="770">
        <f t="shared" si="32"/>
        <v>247</v>
      </c>
      <c r="B380" s="296" t="s">
        <v>1002</v>
      </c>
      <c r="C380" s="755">
        <v>42733</v>
      </c>
      <c r="D380" s="756" t="s">
        <v>999</v>
      </c>
      <c r="E380" s="838">
        <v>17</v>
      </c>
      <c r="F380" s="839">
        <v>63</v>
      </c>
      <c r="G380" s="839"/>
      <c r="H380" s="925">
        <f t="shared" si="36"/>
        <v>0.11</v>
      </c>
      <c r="I380" s="872">
        <v>650</v>
      </c>
      <c r="J380" s="256">
        <f t="shared" si="37"/>
        <v>71.5</v>
      </c>
      <c r="K380" s="256">
        <f t="shared" si="33"/>
        <v>8.1395869635705029</v>
      </c>
      <c r="L380" s="657">
        <v>4500</v>
      </c>
      <c r="M380" s="657"/>
      <c r="O380" s="735"/>
      <c r="P380" s="735"/>
      <c r="Q380" s="735"/>
    </row>
    <row r="381" spans="1:18" ht="16.5" customHeight="1">
      <c r="A381" s="770">
        <f t="shared" si="32"/>
        <v>248</v>
      </c>
      <c r="B381" s="296" t="s">
        <v>583</v>
      </c>
      <c r="C381" s="755">
        <v>42734</v>
      </c>
      <c r="D381" s="756" t="s">
        <v>1001</v>
      </c>
      <c r="E381" s="838">
        <v>36.5</v>
      </c>
      <c r="F381" s="839">
        <v>26.5</v>
      </c>
      <c r="G381" s="839">
        <v>26</v>
      </c>
      <c r="H381" s="925">
        <f t="shared" si="36"/>
        <v>0.73</v>
      </c>
      <c r="I381" s="872">
        <v>525</v>
      </c>
      <c r="J381" s="256">
        <f t="shared" si="37"/>
        <v>383.25</v>
      </c>
      <c r="K381" s="256">
        <f t="shared" si="33"/>
        <v>54.017258940058795</v>
      </c>
      <c r="L381" s="657">
        <v>11000</v>
      </c>
      <c r="M381" s="657"/>
      <c r="O381" s="735"/>
      <c r="P381" s="735"/>
      <c r="Q381" s="735"/>
    </row>
    <row r="382" spans="1:18" ht="16.5" customHeight="1">
      <c r="A382" s="770">
        <f t="shared" si="32"/>
        <v>249</v>
      </c>
      <c r="B382" s="296" t="s">
        <v>561</v>
      </c>
      <c r="C382" s="755">
        <v>42735</v>
      </c>
      <c r="D382" s="756" t="s">
        <v>1009</v>
      </c>
      <c r="E382" s="838">
        <v>45</v>
      </c>
      <c r="F382" s="839">
        <v>37</v>
      </c>
      <c r="G382" s="839">
        <v>27.5</v>
      </c>
      <c r="H382" s="925">
        <f t="shared" si="36"/>
        <v>1.1399999999999999</v>
      </c>
      <c r="I382" s="872">
        <v>1808</v>
      </c>
      <c r="J382" s="256">
        <f t="shared" si="37"/>
        <v>2061.12</v>
      </c>
      <c r="K382" s="256">
        <f t="shared" si="33"/>
        <v>84.35571944063976</v>
      </c>
      <c r="L382" s="657">
        <v>13800</v>
      </c>
      <c r="M382" s="657"/>
      <c r="O382" s="735"/>
      <c r="P382" s="735"/>
      <c r="Q382" s="735"/>
    </row>
    <row r="383" spans="1:18" ht="16.5" customHeight="1">
      <c r="A383" s="770">
        <f t="shared" si="32"/>
        <v>250</v>
      </c>
      <c r="B383" s="296" t="s">
        <v>418</v>
      </c>
      <c r="C383" s="755">
        <v>42735</v>
      </c>
      <c r="D383" s="756" t="s">
        <v>1009</v>
      </c>
      <c r="E383" s="838">
        <v>44</v>
      </c>
      <c r="F383" s="839">
        <v>20</v>
      </c>
      <c r="G383" s="839"/>
      <c r="H383" s="925">
        <f t="shared" si="36"/>
        <v>0.09</v>
      </c>
      <c r="I383" s="872">
        <v>3616</v>
      </c>
      <c r="J383" s="256">
        <f t="shared" si="37"/>
        <v>325.44</v>
      </c>
      <c r="K383" s="256">
        <f t="shared" si="33"/>
        <v>6.6596620611031385</v>
      </c>
      <c r="L383" s="657">
        <v>1300</v>
      </c>
      <c r="M383" s="657"/>
      <c r="O383" s="735"/>
      <c r="P383" s="735"/>
      <c r="Q383" s="735"/>
    </row>
    <row r="384" spans="1:18" s="760" customFormat="1" ht="16.5" customHeight="1">
      <c r="A384" s="824" t="str">
        <f t="shared" ref="A384" si="38">IF(B384&lt;&gt;"",ROW()-133,"")</f>
        <v/>
      </c>
      <c r="B384" s="766"/>
      <c r="C384" s="755"/>
      <c r="D384" s="756"/>
      <c r="E384" s="840"/>
      <c r="F384" s="841"/>
      <c r="G384" s="842"/>
      <c r="H384" s="767"/>
      <c r="I384" s="768"/>
      <c r="J384" s="768"/>
      <c r="K384" s="767"/>
      <c r="L384" s="657"/>
      <c r="M384" s="657"/>
      <c r="N384" s="735"/>
      <c r="O384" s="735"/>
      <c r="P384" s="735"/>
      <c r="Q384" s="735"/>
      <c r="R384" s="735"/>
    </row>
    <row r="385" spans="1:20" s="736" customFormat="1" ht="16.5" customHeight="1">
      <c r="A385" s="741"/>
      <c r="B385" s="742" t="s">
        <v>243</v>
      </c>
      <c r="C385" s="761"/>
      <c r="D385" s="762"/>
      <c r="E385" s="827"/>
      <c r="F385" s="827"/>
      <c r="G385" s="827"/>
      <c r="H385" s="830">
        <f>ROUND(SUM(H134:H384),2)</f>
        <v>381.12</v>
      </c>
      <c r="I385" s="529">
        <f>ROUND(SUM(I134:I384),2)</f>
        <v>196989</v>
      </c>
      <c r="J385" s="529">
        <f>ROUND(SUM(J134:J384),2)</f>
        <v>179063.14</v>
      </c>
      <c r="K385" s="529"/>
      <c r="L385" s="750"/>
      <c r="N385" s="735"/>
      <c r="O385" s="735"/>
      <c r="P385" s="735"/>
      <c r="Q385" s="735"/>
      <c r="R385" s="735"/>
    </row>
    <row r="386" spans="1:20" s="736" customFormat="1">
      <c r="A386" s="743"/>
      <c r="B386" s="744"/>
      <c r="C386" s="763"/>
      <c r="D386" s="764"/>
      <c r="E386" s="831"/>
      <c r="F386" s="831"/>
      <c r="G386" s="831"/>
      <c r="H386" s="737"/>
      <c r="I386" s="737"/>
      <c r="J386" s="737"/>
      <c r="K386" s="737"/>
      <c r="L386" s="750"/>
      <c r="N386" s="735"/>
      <c r="O386" s="735"/>
      <c r="P386" s="735"/>
      <c r="Q386" s="735"/>
      <c r="R386" s="735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32:A133"/>
    <mergeCell ref="B132:B133"/>
    <mergeCell ref="C132:C133"/>
    <mergeCell ref="D132:D133"/>
    <mergeCell ref="I132:I133"/>
    <mergeCell ref="R132:R133"/>
    <mergeCell ref="N202:Q202"/>
    <mergeCell ref="N40:Q40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108" t="s">
        <v>244</v>
      </c>
      <c r="H1" s="1108"/>
      <c r="I1" s="1108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10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9"/>
      <c r="I2" s="1109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109"/>
      <c r="H3" s="1109"/>
      <c r="I3" s="1109"/>
      <c r="J3" s="448"/>
    </row>
    <row r="4" spans="1:11" s="570" customFormat="1" ht="17.25" customHeight="1">
      <c r="A4" s="1110" t="s">
        <v>245</v>
      </c>
      <c r="B4" s="1110"/>
      <c r="C4" s="1110"/>
      <c r="D4" s="1110"/>
      <c r="E4" s="1110"/>
      <c r="F4" s="1110"/>
      <c r="G4" s="1110"/>
      <c r="H4" s="1110"/>
      <c r="I4" s="1110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111" t="s">
        <v>246</v>
      </c>
      <c r="D6" s="1111"/>
      <c r="E6" s="1112"/>
      <c r="F6" s="1112"/>
      <c r="G6" s="1112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113" t="s">
        <v>247</v>
      </c>
      <c r="B8" s="1114" t="s">
        <v>248</v>
      </c>
      <c r="C8" s="1114" t="s">
        <v>249</v>
      </c>
      <c r="D8" s="1114"/>
      <c r="E8" s="1114"/>
      <c r="F8" s="1114"/>
      <c r="G8" s="1114"/>
      <c r="H8" s="1114"/>
      <c r="I8" s="1114"/>
      <c r="J8" s="451"/>
    </row>
    <row r="9" spans="1:11" s="455" customFormat="1" ht="35.25" customHeight="1">
      <c r="A9" s="1113"/>
      <c r="B9" s="1114"/>
      <c r="C9" s="453" t="s">
        <v>366</v>
      </c>
      <c r="D9" s="453" t="s">
        <v>250</v>
      </c>
      <c r="E9" s="453" t="s">
        <v>367</v>
      </c>
      <c r="F9" s="453" t="s">
        <v>368</v>
      </c>
      <c r="G9" s="453" t="s">
        <v>251</v>
      </c>
      <c r="H9" s="453" t="s">
        <v>252</v>
      </c>
      <c r="I9" s="453" t="s">
        <v>369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10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7"/>
      <c r="G16" s="1107"/>
      <c r="H16" s="1107"/>
      <c r="I16" s="1107"/>
      <c r="J16" s="572"/>
    </row>
    <row r="17" spans="2:10" s="571" customFormat="1" ht="15">
      <c r="B17" s="458" t="s">
        <v>257</v>
      </c>
      <c r="C17" s="572"/>
      <c r="D17" s="572"/>
      <c r="E17" s="1107" t="s">
        <v>12</v>
      </c>
      <c r="F17" s="1107"/>
      <c r="G17" s="1107"/>
      <c r="H17" s="1107"/>
      <c r="I17" s="1107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16" t="s">
        <v>278</v>
      </c>
      <c r="M1" s="1116"/>
      <c r="N1" s="1116"/>
      <c r="O1" s="1116"/>
    </row>
    <row r="2" spans="1:18" ht="15" customHeight="1">
      <c r="A2" s="489" t="str">
        <f>TH!A2</f>
        <v>Địa chỉ: Ấp Rừng Sến, xã Mỹ Hạnh Bắc, Huyện Đức Hòa, Tỉnh Long An, Việt Nam</v>
      </c>
      <c r="L2" s="111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15"/>
      <c r="N2" s="1115"/>
      <c r="O2" s="1115"/>
    </row>
    <row r="3" spans="1:18" ht="15" customHeight="1">
      <c r="L3" s="1115"/>
      <c r="M3" s="1115"/>
      <c r="N3" s="1115"/>
      <c r="O3" s="1115"/>
    </row>
    <row r="5" spans="1:18" s="495" customFormat="1" ht="24" customHeight="1">
      <c r="A5" s="1117" t="s">
        <v>279</v>
      </c>
      <c r="B5" s="1117"/>
      <c r="C5" s="1117"/>
      <c r="D5" s="1117"/>
      <c r="E5" s="1117"/>
      <c r="F5" s="1117"/>
      <c r="G5" s="1117"/>
      <c r="H5" s="1117"/>
      <c r="I5" s="1117"/>
      <c r="J5" s="1117"/>
      <c r="K5" s="1117"/>
      <c r="L5" s="1117"/>
      <c r="M5" s="1117"/>
      <c r="N5" s="1117"/>
      <c r="O5" s="1117"/>
      <c r="P5" s="556"/>
    </row>
    <row r="6" spans="1:18" s="495" customFormat="1" ht="21" customHeight="1">
      <c r="A6" s="1118" t="s">
        <v>370</v>
      </c>
      <c r="B6" s="1118"/>
      <c r="C6" s="1118"/>
      <c r="D6" s="1118"/>
      <c r="E6" s="1118"/>
      <c r="F6" s="1118"/>
      <c r="G6" s="1118"/>
      <c r="H6" s="1118"/>
      <c r="I6" s="1118"/>
      <c r="J6" s="1118"/>
      <c r="K6" s="1118"/>
      <c r="L6" s="1118"/>
      <c r="M6" s="1118"/>
      <c r="N6" s="1118"/>
      <c r="O6" s="1118"/>
      <c r="P6" s="556"/>
    </row>
    <row r="7" spans="1:18" s="495" customFormat="1" ht="21" customHeight="1">
      <c r="A7" s="1119" t="s">
        <v>321</v>
      </c>
      <c r="B7" s="1119"/>
      <c r="C7" s="1119"/>
      <c r="D7" s="1119"/>
      <c r="E7" s="1119"/>
      <c r="F7" s="1119"/>
      <c r="G7" s="1119"/>
      <c r="H7" s="1119"/>
      <c r="I7" s="1119"/>
      <c r="J7" s="1119"/>
      <c r="K7" s="1119"/>
      <c r="L7" s="1119"/>
      <c r="M7" s="1119"/>
      <c r="N7" s="1119"/>
      <c r="O7" s="1119"/>
      <c r="P7" s="556"/>
    </row>
    <row r="8" spans="1:18">
      <c r="D8" s="491"/>
    </row>
    <row r="9" spans="1:18" s="496" customFormat="1" ht="24" customHeight="1">
      <c r="A9" s="1120" t="s">
        <v>232</v>
      </c>
      <c r="B9" s="1123" t="s">
        <v>280</v>
      </c>
      <c r="C9" s="1124"/>
      <c r="D9" s="1124"/>
      <c r="E9" s="1124"/>
      <c r="F9" s="1124"/>
      <c r="G9" s="1124"/>
      <c r="H9" s="1125"/>
      <c r="I9" s="1123" t="s">
        <v>281</v>
      </c>
      <c r="J9" s="1124"/>
      <c r="K9" s="1124"/>
      <c r="L9" s="1125"/>
      <c r="M9" s="1126" t="s">
        <v>282</v>
      </c>
      <c r="N9" s="1126"/>
      <c r="O9" s="1126"/>
      <c r="P9" s="557"/>
    </row>
    <row r="10" spans="1:18" s="496" customFormat="1" ht="24" customHeight="1">
      <c r="A10" s="1121"/>
      <c r="B10" s="1123" t="s">
        <v>283</v>
      </c>
      <c r="C10" s="1125"/>
      <c r="D10" s="1120" t="s">
        <v>284</v>
      </c>
      <c r="E10" s="1120" t="s">
        <v>285</v>
      </c>
      <c r="F10" s="1120" t="s">
        <v>286</v>
      </c>
      <c r="G10" s="1120" t="s">
        <v>287</v>
      </c>
      <c r="H10" s="1120" t="s">
        <v>288</v>
      </c>
      <c r="I10" s="1123" t="s">
        <v>289</v>
      </c>
      <c r="J10" s="1125"/>
      <c r="K10" s="1127" t="s">
        <v>290</v>
      </c>
      <c r="L10" s="1120" t="s">
        <v>291</v>
      </c>
      <c r="M10" s="1126" t="s">
        <v>283</v>
      </c>
      <c r="N10" s="1126"/>
      <c r="O10" s="1126" t="s">
        <v>292</v>
      </c>
      <c r="P10" s="557"/>
    </row>
    <row r="11" spans="1:18" s="496" customFormat="1" ht="55.5" customHeight="1">
      <c r="A11" s="1122"/>
      <c r="B11" s="497" t="s">
        <v>293</v>
      </c>
      <c r="C11" s="497" t="s">
        <v>233</v>
      </c>
      <c r="D11" s="1122"/>
      <c r="E11" s="1122"/>
      <c r="F11" s="1122"/>
      <c r="G11" s="1122"/>
      <c r="H11" s="1122"/>
      <c r="I11" s="497" t="s">
        <v>294</v>
      </c>
      <c r="J11" s="497" t="s">
        <v>295</v>
      </c>
      <c r="K11" s="1128"/>
      <c r="L11" s="1122"/>
      <c r="M11" s="497" t="s">
        <v>15</v>
      </c>
      <c r="N11" s="497" t="s">
        <v>233</v>
      </c>
      <c r="O11" s="1126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357</v>
      </c>
      <c r="E14" s="444" t="s">
        <v>300</v>
      </c>
      <c r="F14" s="530" t="s">
        <v>697</v>
      </c>
      <c r="G14" s="559" t="s">
        <v>693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358</v>
      </c>
      <c r="E15" s="444" t="s">
        <v>300</v>
      </c>
      <c r="F15" s="530" t="s">
        <v>697</v>
      </c>
      <c r="G15" s="559" t="s">
        <v>694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360</v>
      </c>
      <c r="E16" s="444" t="s">
        <v>300</v>
      </c>
      <c r="F16" s="530" t="s">
        <v>697</v>
      </c>
      <c r="G16" s="559" t="s">
        <v>695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691</v>
      </c>
      <c r="E17" s="444" t="s">
        <v>300</v>
      </c>
      <c r="F17" s="530" t="s">
        <v>697</v>
      </c>
      <c r="G17" s="559" t="s">
        <v>696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3"/>
      <c r="N17" s="914"/>
      <c r="O17" s="914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699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698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16" t="s">
        <v>304</v>
      </c>
      <c r="G2" s="1116"/>
      <c r="H2" s="1116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15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15"/>
      <c r="H3" s="1115"/>
    </row>
    <row r="4" spans="1:11">
      <c r="A4" s="491"/>
      <c r="B4" s="491"/>
      <c r="C4" s="494"/>
      <c r="D4" s="494"/>
      <c r="E4" s="494"/>
      <c r="F4" s="1115"/>
      <c r="G4" s="1115"/>
      <c r="H4" s="1115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46" t="s">
        <v>305</v>
      </c>
      <c r="B6" s="1146"/>
      <c r="C6" s="1146"/>
      <c r="D6" s="1146"/>
      <c r="E6" s="1146"/>
      <c r="F6" s="1146"/>
      <c r="G6" s="1146"/>
      <c r="H6" s="1146"/>
    </row>
    <row r="7" spans="1:11" ht="17.25" customHeight="1" thickBot="1">
      <c r="A7" s="1145" t="str">
        <f ca="1" xml:space="preserve"> IF(ROWS($1:1)&gt;COUNT(Dong3),"","Số: "&amp;OFFSET('SO-TS'!$G$1,SMALL(Dong3,ROWS($1:1)),))</f>
        <v>Số: SX01/16</v>
      </c>
      <c r="B7" s="1145"/>
      <c r="C7" s="1145"/>
      <c r="D7" s="1145"/>
      <c r="E7" s="1145"/>
      <c r="F7" s="1145"/>
      <c r="G7" s="1145"/>
      <c r="H7" s="1145"/>
      <c r="J7" s="549" t="s">
        <v>322</v>
      </c>
      <c r="K7" s="550" t="s">
        <v>328</v>
      </c>
    </row>
    <row r="8" spans="1:11" ht="17.25" customHeight="1">
      <c r="A8" s="114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47"/>
      <c r="C8" s="1147"/>
      <c r="D8" s="1147"/>
      <c r="E8" s="1147"/>
      <c r="F8" s="1147"/>
      <c r="G8" s="1147"/>
      <c r="H8" s="1147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357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31" t="s">
        <v>125</v>
      </c>
      <c r="B17" s="1132"/>
      <c r="C17" s="1135" t="s">
        <v>307</v>
      </c>
      <c r="D17" s="1136"/>
      <c r="E17" s="1137"/>
      <c r="F17" s="1138" t="s">
        <v>308</v>
      </c>
      <c r="G17" s="1139"/>
      <c r="H17" s="1140"/>
    </row>
    <row r="18" spans="1:8" s="545" customFormat="1" ht="28.5" customHeight="1">
      <c r="A18" s="1133"/>
      <c r="B18" s="1134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41" t="s">
        <v>2</v>
      </c>
      <c r="B19" s="1142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43" t="s">
        <v>315</v>
      </c>
      <c r="B25" s="1143"/>
      <c r="C25" s="1143"/>
      <c r="D25" s="1143"/>
      <c r="E25" s="1143"/>
      <c r="F25" s="1143"/>
      <c r="G25" s="1143"/>
      <c r="H25" s="1143"/>
    </row>
    <row r="26" spans="1:8" ht="27" customHeight="1">
      <c r="A26" s="504" t="s">
        <v>35</v>
      </c>
      <c r="B26" s="1123" t="s">
        <v>316</v>
      </c>
      <c r="C26" s="1125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44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4"/>
      <c r="C34" s="1144"/>
      <c r="D34" s="1144"/>
      <c r="E34" s="1144"/>
      <c r="F34" s="1144"/>
      <c r="G34" s="1144"/>
      <c r="H34" s="1144"/>
    </row>
    <row r="35" spans="1:8">
      <c r="A35" s="1144" t="str">
        <f ca="1" xml:space="preserve"> IF(ROWS($1:1)&gt;COUNT(Dong3),"","Lý do giảm:   "&amp;OFFSET('SO-TS'!$O$1,SMALL(Dong3,ROWS($1:1)),))</f>
        <v xml:space="preserve">Lý do giảm:   </v>
      </c>
      <c r="B35" s="1144"/>
      <c r="C35" s="1144"/>
      <c r="D35" s="1144"/>
      <c r="E35" s="1144"/>
      <c r="F35" s="1144"/>
      <c r="G35" s="1144"/>
      <c r="H35" s="1144"/>
    </row>
    <row r="36" spans="1:8">
      <c r="A36" s="514"/>
      <c r="B36" s="514"/>
      <c r="C36" s="509"/>
      <c r="D36" s="509"/>
      <c r="E36" s="1130" t="s">
        <v>362</v>
      </c>
      <c r="F36" s="1130"/>
      <c r="G36" s="1130"/>
      <c r="H36" s="1130"/>
    </row>
    <row r="37" spans="1:8">
      <c r="A37" s="1145" t="s">
        <v>319</v>
      </c>
      <c r="B37" s="1145"/>
      <c r="C37" s="1145" t="s">
        <v>12</v>
      </c>
      <c r="D37" s="1145"/>
      <c r="E37" s="1116" t="s">
        <v>109</v>
      </c>
      <c r="F37" s="1116"/>
      <c r="G37" s="1116"/>
      <c r="H37" s="1116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9" t="s">
        <v>151</v>
      </c>
      <c r="B45" s="1129"/>
      <c r="C45" s="509"/>
      <c r="D45" s="509"/>
      <c r="E45" s="1130" t="s">
        <v>103</v>
      </c>
      <c r="F45" s="1130"/>
      <c r="G45" s="1130"/>
      <c r="H45" s="1130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E47" sqref="E47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49" t="s">
        <v>371</v>
      </c>
      <c r="K2" s="1149"/>
      <c r="L2" s="1149"/>
      <c r="M2" s="1149"/>
    </row>
    <row r="3" spans="1:16" ht="15" customHeight="1">
      <c r="A3" s="722" t="str">
        <f>'IN-NX'!A3</f>
        <v>Địa chỉ: Ấp Rừng Sến, xã Mỹ Hạnh Bắc, Huyện Đức Hòa, Tỉnh Long An, Việt Nam</v>
      </c>
      <c r="J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52"/>
      <c r="L3" s="1152"/>
      <c r="M3" s="1152"/>
    </row>
    <row r="4" spans="1:16">
      <c r="J4" s="1152"/>
      <c r="K4" s="1152"/>
      <c r="L4" s="1152"/>
      <c r="M4" s="1152"/>
    </row>
    <row r="5" spans="1:16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1150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720"/>
    </row>
    <row r="7" spans="1:16">
      <c r="B7" s="696"/>
      <c r="C7" s="696"/>
      <c r="D7" s="696"/>
      <c r="E7" s="697" t="s">
        <v>374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  <c r="M9" s="698"/>
    </row>
    <row r="10" spans="1:16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  <c r="M10" s="1148"/>
    </row>
    <row r="11" spans="1:16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377</v>
      </c>
      <c r="G11" s="1154"/>
      <c r="H11" s="1154"/>
      <c r="I11" s="1154"/>
      <c r="J11" s="1154"/>
      <c r="K11" s="1154"/>
      <c r="L11" s="1154"/>
      <c r="M11" s="1154"/>
    </row>
    <row r="12" spans="1:16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  <c r="M12" s="1155"/>
    </row>
    <row r="13" spans="1:16" ht="31.5" customHeight="1" thickBot="1">
      <c r="A13" s="1153"/>
      <c r="B13" s="1155"/>
      <c r="C13" s="1155"/>
      <c r="D13" s="1153"/>
      <c r="E13" s="1153"/>
      <c r="F13" s="1155"/>
      <c r="G13" s="699" t="s">
        <v>366</v>
      </c>
      <c r="H13" s="699" t="s">
        <v>367</v>
      </c>
      <c r="I13" s="699" t="s">
        <v>368</v>
      </c>
      <c r="J13" s="699" t="s">
        <v>380</v>
      </c>
      <c r="K13" s="699" t="s">
        <v>381</v>
      </c>
      <c r="L13" s="699" t="s">
        <v>365</v>
      </c>
      <c r="M13" s="699" t="s">
        <v>382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383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384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107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7"/>
      <c r="L41" s="1107"/>
      <c r="M41" s="1107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107" t="s">
        <v>12</v>
      </c>
      <c r="K42" s="1107"/>
      <c r="L42" s="1107"/>
      <c r="M42" s="1107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49" t="s">
        <v>371</v>
      </c>
      <c r="H2" s="1149"/>
      <c r="I2" s="1149"/>
      <c r="J2" s="1149"/>
    </row>
    <row r="3" spans="1:13" ht="15" customHeight="1">
      <c r="A3" s="722" t="str">
        <f>'154'!A3</f>
        <v>Địa chỉ: Ấp Rừng Sến, xã Mỹ Hạnh Bắc, Huyện Đức Hòa, Tỉnh Long An, Việt Nam</v>
      </c>
      <c r="G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52"/>
      <c r="I3" s="1152"/>
      <c r="J3" s="1152"/>
    </row>
    <row r="4" spans="1:13">
      <c r="G4" s="1152"/>
      <c r="H4" s="1152"/>
      <c r="I4" s="1152"/>
      <c r="J4" s="1152"/>
    </row>
    <row r="5" spans="1:13" ht="27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</row>
    <row r="7" spans="1:13">
      <c r="B7" s="696"/>
      <c r="C7" s="696"/>
      <c r="D7" s="696"/>
      <c r="E7" s="697" t="s">
        <v>385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375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376</v>
      </c>
      <c r="G9" s="698"/>
      <c r="H9" s="698"/>
      <c r="I9" s="698"/>
      <c r="J9" s="698"/>
    </row>
    <row r="10" spans="1:13" ht="9.75" customHeight="1">
      <c r="C10" s="1148"/>
      <c r="D10" s="1148"/>
      <c r="E10" s="1148"/>
      <c r="F10" s="1148"/>
      <c r="G10" s="1148"/>
      <c r="H10" s="1148"/>
      <c r="I10" s="1148"/>
      <c r="J10" s="1148"/>
    </row>
    <row r="11" spans="1:13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386</v>
      </c>
      <c r="G11" s="1154"/>
      <c r="H11" s="1154"/>
      <c r="I11" s="1154"/>
      <c r="J11" s="1154"/>
    </row>
    <row r="12" spans="1:13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</row>
    <row r="13" spans="1:13" ht="30.75" customHeight="1" thickBot="1">
      <c r="A13" s="1153"/>
      <c r="B13" s="1155"/>
      <c r="C13" s="1155"/>
      <c r="D13" s="1153"/>
      <c r="E13" s="1153"/>
      <c r="F13" s="1155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387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388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10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7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107" t="s">
        <v>12</v>
      </c>
      <c r="J29" s="1107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49" t="s">
        <v>371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389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390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C02</v>
      </c>
      <c r="C16" s="704">
        <f ca="1">IF(ROWS($1:1)&gt;COUNT(Dong7),"",OFFSET(TH!E$1,SMALL(Dong7,ROWS($1:1)),))</f>
        <v>42508</v>
      </c>
      <c r="D16" s="705" t="str">
        <f ca="1">IF(ROWS($1:1)&gt;COUNT(Dong7),"",OFFSET(TH!F$1,SMALL(Dong7,ROWS($1:1)),))</f>
        <v>Chữ ký số</v>
      </c>
      <c r="E16" s="704" t="str">
        <f ca="1">IF(ROWS($1:1)&gt;COUNT(Dong7),"",OFFSET(TH!M$1,SMALL(Dong7,ROWS($1:1)),))</f>
        <v>1111</v>
      </c>
      <c r="F16" s="706">
        <f ca="1">IF(ROWS($1:1)&gt;COUNT(Dong7),"",OFFSET(TH!K$1,SMALL(Dong7,ROWS($1:1)),))</f>
        <v>2160000</v>
      </c>
      <c r="G16" s="706">
        <f t="shared" ref="G16:J30" ca="1" si="0">IF($E16=G$13,$F16,0)</f>
        <v>2160000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42516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42516</v>
      </c>
      <c r="D17" s="705" t="str">
        <f ca="1">IF(ROWS($1:2)&gt;COUNT(Dong7),"",OFFSET(TH!F$1,SMALL(Dong7,ROWS($1:2)),))</f>
        <v>Phí bán 2 cuốn sec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20000</v>
      </c>
      <c r="G17" s="706">
        <f t="shared" ca="1" si="0"/>
        <v>0</v>
      </c>
      <c r="H17" s="706">
        <f t="shared" ca="1" si="0"/>
        <v>20000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42532</v>
      </c>
      <c r="B18" s="704" t="str">
        <f ca="1">IF(ROWS($1:3)&gt;COUNT(Dong7),"",OFFSET(TH!D$1,SMALL(Dong7,ROWS($1:3)),))</f>
        <v>C03</v>
      </c>
      <c r="C18" s="704">
        <f ca="1">IF(ROWS($1:3)&gt;COUNT(Dong7),"",OFFSET(TH!E$1,SMALL(Dong7,ROWS($1:3)),))</f>
        <v>42532</v>
      </c>
      <c r="D18" s="705" t="str">
        <f ca="1">IF(ROWS($1:3)&gt;COUNT(Dong7),"",OFFSET(TH!F$1,SMALL(Dong7,ROWS($1:3)),))</f>
        <v>Đặt in hóa đơn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3800000</v>
      </c>
      <c r="G18" s="706">
        <f t="shared" ca="1" si="0"/>
        <v>3800000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42546</v>
      </c>
      <c r="B19" s="704" t="str">
        <f ca="1">IF(ROWS($1:4)&gt;COUNT(Dong7),"",OFFSET(TH!D$1,SMALL(Dong7,ROWS($1:4)),))</f>
        <v>GBN</v>
      </c>
      <c r="C19" s="704">
        <f ca="1">IF(ROWS($1:4)&gt;COUNT(Dong7),"",OFFSET(TH!E$1,SMALL(Dong7,ROWS($1:4)),))</f>
        <v>42546</v>
      </c>
      <c r="D19" s="705" t="str">
        <f ca="1">IF(ROWS($1:4)&gt;COUNT(Dong7),"",OFFSET(TH!F$1,SMALL(Dong7,ROWS($1:4)),))</f>
        <v>Phí quản lý tài khoản</v>
      </c>
      <c r="E19" s="704" t="str">
        <f ca="1">IF(ROWS($1:4)&gt;COUNT(Dong7),"",OFFSET(TH!M$1,SMALL(Dong7,ROWS($1:4)),))</f>
        <v>1121</v>
      </c>
      <c r="F19" s="706">
        <f ca="1">IF(ROWS($1:4)&gt;COUNT(Dong7),"",OFFSET(TH!K$1,SMALL(Dong7,ROWS($1:4)),))</f>
        <v>10000</v>
      </c>
      <c r="G19" s="706">
        <f t="shared" ca="1" si="0"/>
        <v>0</v>
      </c>
      <c r="H19" s="706">
        <f t="shared" ca="1" si="0"/>
        <v>10000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391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384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7"/>
      <c r="L38" s="1107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107" t="s">
        <v>12</v>
      </c>
      <c r="K39" s="1107"/>
      <c r="L39" s="1107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51" t="s">
        <v>13</v>
      </c>
      <c r="K40" s="1151"/>
      <c r="L40" s="1151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6" customWidth="1"/>
    <col min="3" max="3" width="8.5703125" style="776" customWidth="1"/>
    <col min="4" max="4" width="51.42578125" style="776" customWidth="1"/>
    <col min="5" max="5" width="8" style="776" customWidth="1"/>
    <col min="6" max="6" width="12.28515625" style="776" bestFit="1" customWidth="1"/>
    <col min="7" max="7" width="10.140625" style="776" customWidth="1"/>
    <col min="8" max="8" width="10.7109375" style="776" customWidth="1"/>
    <col min="9" max="9" width="11.42578125" style="776" customWidth="1"/>
    <col min="10" max="10" width="11.5703125" style="776" customWidth="1"/>
    <col min="11" max="11" width="11.42578125" style="776" customWidth="1"/>
    <col min="12" max="12" width="9.42578125" style="776" customWidth="1"/>
    <col min="13" max="13" width="6.7109375" style="776" customWidth="1"/>
    <col min="14" max="16384" width="9.140625" style="776"/>
  </cols>
  <sheetData>
    <row r="2" spans="1:15">
      <c r="A2" s="692" t="str">
        <f>'632'!A2</f>
        <v>Đơn vị: CÔNG TY TNHH BAO BÌ GIẤY KIM DUNG PHÁT</v>
      </c>
      <c r="F2" s="775"/>
      <c r="G2" s="775"/>
      <c r="H2" s="1149" t="s">
        <v>371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396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395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/>
      <c r="J13" s="719"/>
      <c r="K13" s="719"/>
      <c r="L13" s="719"/>
      <c r="N13" s="721" t="s">
        <v>398</v>
      </c>
    </row>
    <row r="14" spans="1:15">
      <c r="A14" s="777" t="s">
        <v>2</v>
      </c>
      <c r="B14" s="777" t="s">
        <v>3</v>
      </c>
      <c r="C14" s="777" t="s">
        <v>4</v>
      </c>
      <c r="D14" s="777" t="s">
        <v>5</v>
      </c>
      <c r="E14" s="777" t="s">
        <v>6</v>
      </c>
      <c r="F14" s="777">
        <v>1</v>
      </c>
      <c r="G14" s="777">
        <v>2</v>
      </c>
      <c r="H14" s="777">
        <v>3</v>
      </c>
      <c r="I14" s="777">
        <v>4</v>
      </c>
      <c r="J14" s="777">
        <v>5</v>
      </c>
      <c r="K14" s="777">
        <v>6</v>
      </c>
      <c r="L14" s="777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1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1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1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1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1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1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1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1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1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1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397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384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7"/>
      <c r="L33" s="1107"/>
    </row>
    <row r="34" spans="2:12">
      <c r="B34" s="696"/>
      <c r="C34" s="776" t="s">
        <v>11</v>
      </c>
      <c r="D34" s="696"/>
      <c r="E34" s="696"/>
      <c r="F34" s="696"/>
      <c r="G34" s="696"/>
      <c r="H34" s="696"/>
      <c r="I34" s="696"/>
      <c r="J34" s="1107" t="s">
        <v>12</v>
      </c>
      <c r="K34" s="1107"/>
      <c r="L34" s="1107"/>
    </row>
    <row r="35" spans="2:12">
      <c r="B35" s="696"/>
      <c r="C35" s="776" t="s">
        <v>13</v>
      </c>
      <c r="D35" s="696"/>
      <c r="E35" s="696"/>
      <c r="F35" s="696"/>
      <c r="G35" s="696"/>
      <c r="H35" s="696"/>
      <c r="I35" s="696"/>
      <c r="J35" s="1151" t="s">
        <v>13</v>
      </c>
      <c r="K35" s="1151"/>
      <c r="L35" s="1151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2017-01-10T07:25:01Z</cp:lastPrinted>
  <dcterms:created xsi:type="dcterms:W3CDTF">1996-10-14T23:33:28Z</dcterms:created>
  <dcterms:modified xsi:type="dcterms:W3CDTF">2017-01-13T04:36:41Z</dcterms:modified>
</cp:coreProperties>
</file>