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ần 3T11" sheetId="1" r:id="rId4"/>
    <sheet state="visible" name="Tuần 2T11" sheetId="2" r:id="rId5"/>
    <sheet state="visible" name="Tuần 1.T11" sheetId="3" r:id="rId6"/>
    <sheet state="visible" name="30.9" sheetId="4" r:id="rId7"/>
    <sheet state="visible" name="1.10" sheetId="5" r:id="rId8"/>
    <sheet state="visible" name="2.10" sheetId="6" r:id="rId9"/>
    <sheet state="visible" name="3.10" sheetId="7" r:id="rId10"/>
    <sheet state="visible" name="4.10" sheetId="8" r:id="rId11"/>
    <sheet state="visible" name="8.10" sheetId="9" r:id="rId12"/>
    <sheet state="visible" name="510" sheetId="10" r:id="rId13"/>
    <sheet state="visible" name="12.10" sheetId="11" r:id="rId14"/>
    <sheet state="visible" name="14.10" sheetId="12" r:id="rId15"/>
    <sheet state="visible" name="15.10" sheetId="13" r:id="rId16"/>
    <sheet state="visible" name="16.10" sheetId="14" r:id="rId17"/>
    <sheet state="visible" name="17.10" sheetId="15" r:id="rId18"/>
    <sheet state="visible" name="18.10" sheetId="16" r:id="rId19"/>
    <sheet state="visible" name="Tuần 3T10" sheetId="17" r:id="rId20"/>
    <sheet state="visible" name="19.10" sheetId="18" r:id="rId21"/>
    <sheet state="visible" name="21.10" sheetId="19" r:id="rId22"/>
    <sheet state="visible" name="22.10" sheetId="20" r:id="rId23"/>
    <sheet state="visible" name="23.10" sheetId="21" r:id="rId24"/>
    <sheet state="visible" name="24.10" sheetId="22" r:id="rId25"/>
    <sheet state="visible" name="25.10" sheetId="23" r:id="rId26"/>
    <sheet state="visible" name="Tuần 4T10" sheetId="24" r:id="rId27"/>
    <sheet state="visible" name="26.10" sheetId="25" r:id="rId28"/>
    <sheet state="visible" name="28.10" sheetId="26" r:id="rId29"/>
    <sheet state="visible" name="29.10" sheetId="27" r:id="rId30"/>
    <sheet state="visible" name="31.10" sheetId="28" r:id="rId31"/>
  </sheets>
  <definedNames/>
  <calcPr/>
</workbook>
</file>

<file path=xl/sharedStrings.xml><?xml version="1.0" encoding="utf-8"?>
<sst xmlns="http://schemas.openxmlformats.org/spreadsheetml/2006/main" count="973" uniqueCount="192">
  <si>
    <t>Ca</t>
  </si>
  <si>
    <t>Sản Lượng</t>
  </si>
  <si>
    <t>Tỉ lệ bàn giao</t>
  </si>
  <si>
    <t>Số đơn bàn giao</t>
  </si>
  <si>
    <t>Số đơn thành công</t>
  </si>
  <si>
    <t>Tỷ lệ bàn giao</t>
  </si>
  <si>
    <t>Tỉ lệ thành công</t>
  </si>
  <si>
    <t>Tỷ lệ thành công</t>
  </si>
  <si>
    <t>ca 1</t>
  </si>
  <si>
    <t>ca 2</t>
  </si>
  <si>
    <t>https://admin.giaohangtietkiem.vn/admin/api/index/limit:100?alias=451510276%09461803192%09704963684%09346797650%09783679076%09457647827+429748203%09465342333%09729904431%09476637634%09351635006%09449798923+771188791%09450534979%09448820350%09407642812%09412101011%09507240318+346899258%09446046795%09475232031%09749563781%09759033884%09223554806+455141540%09399933311%09257819872%09723143011%09376938555%09311360392+409573746%09630559225%09892160884%09351209404%09839486781%09893906386+223950021%09372418030%09739085873%09487053579%09443881726%09237836824+868838925%09357988413%09728664440%09482339983%09466573668%09367627025+664588751%09354384443%09604340105%09269137082%09339310738%09216541399+467441764%09455124478%09990371803%09994187892%09345144499%09326551882+313259483%09415313707%09942721006%09909806490%09431320363%09421139247+960417128%09681890404%09489159705%09660985354%09352167884%09642509685+595770178%09344977608%09853075271%09719335180%09739295276%09927426909+955668600%09779431579%09796277075%09660196518%09402088278%09418586882+721130852%09937789929%09347547762%09531986138%09233001910%09450646221+514434193%09572138309%09959239822%09507449247%09349944598%09402675696+267933268%09786949386%09825619998%09386152000%09343455755%09559630153+408976421%09475497715%09402593102%09565438554%09255239865%09818453006+450716801%09391549278%09488811399%09439657553%09216248813%09964950749+368197207%09673967391%09302511198%09269030206%09242288143%09843438722+783153207%09610462552%09886621698%09392689622%09647020002%09958027206+390926286%09436014434%09537550719%09330494317%09691814404%09331070295+447757381%09735155371%09973494710%09396777806%09823108152%09+641614119%09605359230%09616066438%09474106347%09769667167%09+893272984%09318725384%09686663852%09%09824434083%09+426746876%09797530823%09403172969%09%09379502139%09+339756228%09804860938%09297296383%09%09324634465%09+882929067%09569622468%09607480857%09%09807182815%09+562690323%09395870424%09%09%09908380873%09+858451492%09433823026%09%09%09990651025%09+746709256%09260464676%09%09%09325109779%09+478193945%09875389586%09%09%09407386376%09+919416002%09943985256%09%09%09550843286%09+219503212%09333317929%09%09%09417437589%09+458066538%09322976260%09%09%09417242613%09+396891379%09674602902%09%09%09648857994%09+345239922%09%09%09%09297682588%09+519914281%09%09%09%09482847871%09+627467256%09%09%09%09409783699%09+597122860%09%09%09%09441719108%09+831262533%09%09%09%09417216016%09+709612680%09%09%09%09%09+360804256%09%09%09%09%09+442563679%09%09%09%09%09+728362661%09%09%09%09%09+319431810%09%09%09%09%09+572267232%09%09%09%09%09+458144736%09%09%09%09%09+906808985%09%09%09%09%09&amp;package_status_id=&amp;t_stt=&amp;r_stt=&amp;cr_from=2019-11-15+00%3A00%3A00&amp;cr_to=2019-11-22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</si>
  <si>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https://admin.giaohangtietkiem.vn/admin/api/index/limit:100?alias=219270873%09906729120%09480762509%09340881831%09400979514%09273223666%09493644684%09348164757%09429065243%09237706828%09410281331+356734134%09834282477%09406307286%09372893842%09%09450208720%09249192935%09266296253%09475278441%09203071322%09210271497+319785381%09401136663%09212919083%09422830988%09%09489844722%09242096595%09284998034%09281555628%09%09499204447+442947018%09300296141%09321230197%09232308970%09%09415186363%09342157841%09489955611%09342631678%09%09464872510+676994051%09375576814%09414923262%09474038445%09%09779873857%09490403189%09380461411%09516577747%09%09362256846+464329463%09310808118%09351732104%09324646389%09%09447269809%09429379807%09335084816%09469750635%09%09452294952+304151688%09387104128%09435097353%09336639252%09%09390523655%09398276336%09343148040%09324963039%09%09400162548+241179565%09262315491%09451065719%09493469991%09%09303840894%09267168175%09475499542%09617443021%09%09385749375+399557347%09286979153%09317041875%09398572284%09%09280064699%09203111994%09318465280%09344157423%09%09337486060+441034440%09373860621%09460735108%09450974246%09%09379621815%09312953866%09414987266%09336157575%09%09794934230+325912090%09408367059%09386327047%09275499938%09%09458439501%09810060528%09446729786%09571548771%09%09421827326+301797550%09434272420%09238247785%09611723007%09%09241512825%09286989087%09772027071%09626074218%09%09488869391+329625750%09237655359%09973901026%09414326182%09%09241908600%09482885656%09443454527%09444406395%09%09785943250+390758669%09333010261%09412981304%09345066187%09%09337912451%09341916811%09419279319%09359530902%09%09738913801+329373825%09438849322%09467829927%09296657240%09%09538214622%09446326964%09430295567%09379829790%09%09372713898+448256802%09312554229%09237443622%09478187905%09%09270229535%09301446132%09450777342%09476616326%09%09+332204742%09407226057%09382336236%09461883384%09%09379215712%09280102936%09502249243%09381469719%09%09+334728996%09388334759%09323689974%09457696304%09%09325651820%09400979777%09327759579%09355447180%09%09+309273923%09471702430%09326256653%09477829134%09%09925095823%09608636529%09459859734%09367218100%09%09+300125286%09747232100%09651387053%09301011258%09%09302641905%09321058041%09398880185%09449808536%09%09+480006452%09480482127%09288227948%09224602674%09%09494461179%09368169040%09398044542%09328353448%09%09+388932698%09%09406324088%09935844341%09%09373850456%09432109012%09700283603%09272973512%09%09+261245351%09%09427559598%09350323167%09%09374875367%09320361372%09223672579%09427481097%09%09+459007419%09%09486430038%09385907878%09%09404186618%09463792699%09399152805%09446651806%09%09+250033700%09%09456618709%09431205556%09%09399948479%09413049606%09828113932%09%09%09+442967028%09%09450046072%09371003937%09%09436541502%09385393995%09445129282%09%09%09+597102938%09%09464059175%09490546784%09%09471011762%09323421870%09368323048%09%09%09+321084615%09%09584152249%09207171227%09%09395363712%09331690376%09%09%09%09+321084615%09%09381881588%09335993469%09%09495920528%09306230191%09%09%09%09+434203741%09%09335473657%09653717511%09%09493192441%09494976725%09%09%09%09+318129281%09%09571731710%09332734551%09%09446543236%09406327769%09%09%09%09+442416210%09%09488429451%09310290489%09%09367855198%09348639871%09%09%09%09+413146765%09%09312858919%09446606169%09%09375658867%09264008941%09%09%09%09+400435558%09%09309086484%09494684363%09%09287368916%09493750519%09%09%09%09+401857600%09%09303256968%09344906649%09%09%09401508421%09%09%09%09+381730633%09%09313360184%09247204332%09%09%09262795285%09%09%09%09+303294322%09%09354827625%09424107809%09%09%09496762848%09%09%09%09+368763296%09%09350845450%09451661809%09%09%09427777411%09%09%09%09+919079222%09%09329825934%09%09%09%09245463795%09%09%09%09+388439777%09%09847505715%09%09%09%09364635650%09%09%09%09+%09%09283449880%09%09%09%09365552464%09%09%09%09+%09%09512795697%09%09%09%09472920311%09%09%09%09+%09%09335730096%09%09%09%09425442515%09%09%09%09+%09%09345172282%09%09%09%09441307639%09%09%09%09+%09%09444759177%09%09%09%09357546775%09%09%09%09+%09%09465278566%09%09%09%09305098647%09%09%09%09+%09%09409191785%09%09%09%09343245501%09%09%09%09+%09%09343911070%09%09%09%09479184924%09%09%09%09+%09%09%09%09%09%09245394938%09%09%09%09+%09%09%09%09%09%09473860346%09%09%09%09+%09%09%09%09%09%09426683298%09%09%09%09+%09%09%09%09%09%09426412534%09%09%09%09+%09%09%09%09%09%09239340005%09%09%09%09+%09%09%09%09%09%09285287740%09%09%09%09+%09%09%09%09%09%09794943573%09%09%09%09+%09%09%09%09%09%09472684186%09%09%09%09+%09%09%09%09%09%09370966125%09%09%09%09&amp;package_status_id=&amp;t_stt=&amp;r_stt=&amp;cr_from=2019-11-05+00%3A00%3A00&amp;cr_to=2019-11-12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</si>
  <si>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ca 3</t>
  </si>
  <si>
    <t>ca 4</t>
  </si>
  <si>
    <t>ca 5</t>
  </si>
  <si>
    <t>https://admin.giaohangtietkiem.vn/admin/api/index/limit:100?alias=326043026%09397440035%09400244172%09486520168%09303326444%09511616385%09303269497%09697377568%09633013523%09388060764+735494315%09910211099%09401861072%09537542481%09395210849%09541846847%09300810877%09480709505%09302824955%09235871087+310784415%09554562901%09746879840%09745314026%09416893184%09432143822%09300280657%09367024496%09315197878%09412316166+399290040%09627540526%09909070154%09668016874%09300780055%09571383349%09322842042%09392165918%09611421122%09348120491+401911912%09490471171%09330526969%09536149298%09989635158%09326555542%09438264012%09961305604%09316126739%09497429586+345515982%09366412919%09351190304%09356854905%09465341029%09411345667%09361334486%09380656436%09353091491%09424441472+348112655%09497587136%09346699683%09975342284%09471233566%09767220295%09467820336%09314597240%09351931734%09772023702+394154703%09484890858%09307654840%09611792415%09427624597%09586674128%09%09%09751506957%09254662230+371378210%09217906420%09303996647%09242604433%09237382443%09348358771%09%09%09417733171%09303883595+324217715%09430750952%09428616187%09236756695%09382033963%09446450610%09%09%09392599246%09428208640+242451076%09374448814%09475069104%09381022040%09404815158%09808048251%09%09%09395175556%09496536375+439261830%09400704801%09585612812%09421317553%09322635785%09870360991%09%09%09469442076%09374188286+369130742%09469729498%09391915426%09%09466810688%09424948092%09%09%09451366465%09299792723+490434275%09333656118%09401352544%09%09520775671%09803301210%09%09%09338693365%09+329020320%09433831446%09759358242%09%09269546592%09352760261%09%09%09582221337%09+439022340%09328509329%09467154054%09%09404205575%09399443975%09%09%09222860863%09+451591624%09369585774%09487007462%09%09541643583%09675967729%09%09%09%09+903738185%09368548471%09651058388%09%09257779024%09429087842%09%09%09%09+332915450%09369430813%09734783185%09%09318106390%09393902508%09%09%09%09+482244516%09240995127%09333978586%09%09364686621%09399443975%09%09%09%09+554045546%09444359291%09%09%09438786634%09%09%09%09%09+362217212%09383329782%09%09%09249463252%09%09%09%09%09+726447317%09%09%09%09320027811%09%09%09%09%09+635472708%09%09%09%09960695177%09%09%09%09%09+460915786%09%09%09%09949365668%09%09%09%09%09+266529321%09%09%09%09349931649%09%09%09%09%09+490533711%09%09%09%09336620915%09%09%09%09%09+%09%09%09%09%09%09%09%09%09+%09%09%09%09%09%09%09%09%09+%09%09%09%09%09%09%09%09%09&amp;package_status_id=&amp;t_stt=&amp;r_stt=&amp;cr_from=2019-11-15+00%3A00%3A00&amp;cr_to=2019-11-22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</si>
  <si>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https://admin.giaohangtietkiem.vn/admin/api/index/limit:50?alias=336678918+396987409+346961212+489639152+216223121+272595940+401747525+362643425+324616720+799121434+426820617+469756780+334050975+412783467+329804197+462652154+377679729+447690338+321179633+328519186+410867673+285019704+356401507+635791187+621317639+899885010+818320331+722178574+691674409+924863058&amp;package_status_id=&amp;t_stt=&amp;r_stt=&amp;cr_from=2019-10-28+00%3A00%3A00&amp;cr_to=2019-11-04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</si>
  <si>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T206672%09T209738%09T187048%09T251283%09T180196%09T152995%09T148615%09T127027%09T189200%09T189188%09T111103+418125224%09336617255%09467723736%09219614723%09303097684%09499943682%09332351041%09648218058%09210704970%09398441726%09336249865+329677462%09239586972%09350939655%09357840444%09492090594%09687373504%09303133313%09325381266%09360126670%09419269355%09314625787+498577054%09430414402%09334075953%09474942743%09492090594%09471447532%09975726714%09323724845%09329291125%09420873067%09668167268+293739798%09343959092%09335881560%09242255360%09363547302%09%09954561725%09487273269%09260389316%09349316140%09353565182+890777310%09535196665%09263485104%09263875474%09488888050%09%09553607081%09442984852%09494269152%09324592456%09331108186+358722595%09353778941%09478487732%09631115583%09%09%09723138941%09229927447%09360342737%09489878721%09724061959+212390277%09730912193%09397016825%09224604808%09%09%09349836669%09451253356%09252237628%09%09206405203+%09376059933%09440777156%09607946801%09%09%09345784964%09838652535%09432753614%09%09824144278+%09%09349202609%09441131323%09%09%09290851666%09805488249%09%09%09333700772+%09%09331418006%09386084430%09%09%09%09671622037%09%09%09402385570+%09%09434498915%09435625172%09%09%09%09388937393%09%09%09323128224+%09%09366610655%09%09%09%09%09%09%09%09418943148+%09%09458024257%09%09%09%09%09%09%09%09480761675+%09%09431634035%09%09%09%09%09%09%09%09397814804+%09%09%09%09%09%09%09%09%09%09+%09%09%09%09%09%09%09%09%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</si>
  <si>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 xml:space="preserve"> </t>
  </si>
  <si>
    <t>https://admin.giaohangtietkiem.vn/admin/api/index/limit:100?alias=470737559+308273100+399433439+428899954+316943180+386860217+402319836+298356904+744762322+367807084+353288918+461818206+270362489+378599227+396427642+469418878+453916916+374069988+267718012+303218646+455334132+417627520+290782983+332603366+310993882+291233744+449614326+371943080+342525397+231950174+406222457+474183615+220433359+367307021+394303356+691421011+415552746+497595416+498821663+304183921+442331535+346207309+351234383+472871443+308600514+453095345+224965596+493635026+417120850+482733360+436179140+230685097+292933506+386993483+461741302+447470949+432184180+603675816+868435966+361296124+771482003+457507517+496605376+331416191+405334739+346214858+480507585+439630358+454806170+454654136+390797914+990692591+421055217+383285957+307716340+259253994+457671838+439217051+388699268+223734079+577842793+267255274+245954223+434804705+430627002+418743526+371272520+489240618+435773763+929067450+366751890+417786264+465207980+353824422+217335457+316580906+440940376+311870933+423652086+409848041+347611965+545659656+338905453+485851113+301558986+483772422+400625841+202365754+474184551+792148265+305090580+410135620+318842873+463564401+332553575+861119723+374549206+239418951+248996277+451314991+226760749+312161170+407714898+328964922+419595159+907739249+374701990+332179700+336977414+297177462+328601883+434554323+401572096+440987094+392043118+305998534+221478076+399319058+237600351+487937027+324945199+327336275+319686723+803094450+328332423+459786715+341978647+351646885+471896980+366352051+276626552+405913399+296664337+357767191+482180255+312545229+383459519+456719880+753215516+301313823+440918633+337871745+316839538+471449782+308517449+451657069+669793664+334390735+449094532+378995647+494069371+482408501+331600066+415477564+488696053+470409380+305754022+315132149+248517931+309699993+414825445+479269607+245177581+253869028+322818021+408237438+349907706+280810278+441216899+286141201+581060636+366087433+391256737+802192997+449070831+478365511+280380886+730318470+315776217+251887861+315776217+251887861+463888586+400990630+436271652+710092811+377111436+350238674+425203087+377842047+872096479+333982045+463815396+483788080+366754100+331539817+264613412+395614703+386125116+225029955+622868646+335249843+282210261+333821345+447426771+323599266+449385452+349460465+434463472+718631420+433084395+422180635+231244170+407906618+214813371+290129441+391242492+447983938+220861648+440588376+371504737+365304238+643719432+994838505+475195537+648909401+497270147+213754771+214874630+484176730+324391176+492401395+413488358+304639919+738308984+345296202+401747525+576005890+616209363&amp;package_status_id=&amp;t_stt=&amp;r_stt=&amp;cr_from=2019-10-28+00%3A00%3A00&amp;cr_to=2019-11-04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</si>
  <si>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465616749%09619701788%09255129507%09431177085%09344525948%09210093672%09357803881%09587737222%09517345991+724795681%09936298269%09%5C427724920%09792401734%09576192288%09390642303%09290850171%09957942643%09852260272+712254279%09219906580%09466391019%09322088379%09227143817%09476595395%09289468444%09402881147%09379570815+794651133%09344828125%09388829297%09588759905%09287377814%09749470101%09324834816%09442223831%09263777571+664771228%09414314140%09385237357%09340840043%09244881194%09940202326%09439708573%09385433997%09374438201+487219741%09408300893%09875022081%09755618828%09354618468%09505993885%09517301082%09219659226%09982661220+293396025%09404305545%09446864406%09234527980%09335262065%09379233348%09455282584%09497656835%09456460547+319833339%09679606548%09%09344874163%09239009209%09909087509%09368255833%09961487065%09202413324+404690062%09401984703%09%09549101233%09448486949%09543441829%09317640625%09928533211%09929182626+446681053%09373066429%09%09466439362%09383426225%09608884289%09441365303%09774312659%09643187611+841958981%09489313130%09%09437136901%09302317018%09401714118%09796311132%09339825570%09292589281+625879470%09348438025%09%09379227428%09398604990%09687142838%09290715184%09848148293%09494789959+344746322%09317533063%09%09%09365219586%09717169369%09499062381%09421906270%09867224008+224161626%09453870255%09%09%09325878518%09385971803%09583274201%09400629843%09+536591075%09226177385%09%09%09727246753%09232752093%09727107095%09366781609%09+%09234325516%09%09%09399554219%09968866379%09%09343084911%09+%09386251770%09%09%09520575593%09960782356%09%09546342378%09+%09442522914%09%09%09292415809%09331159820%09%09%09+%09397563005%09%09%09367486906%09279942973%09%09%09+%09484008876%09%09%09414138306%09478711387%09%09%09+%09435003555%09%09%09521502265%09642863052%09%09%09+%09447495510%09%09%09527995509%09901160751%09%09%09+%09%09%09%09441182785%09719851214%09%09%09+%09%09%09%09334187142%09%09%09%09+%09%09%09%09471920978%09%09%09%09+%09%09%09%09263900950%09%09%09%09+%09%09%09%09%09%09%09%09+%09%09%09%09%09%09%09%09+%09%09%09%09%09%09%09%09+%09%09%09%09%09%09%09%09+%09%09%09%09%09%09%09%09+%09%09%09%09%09%09%09%09+%09%09%09%09%09%09%09%09&amp;package_status_id=&amp;t_stt=&amp;r_stt=&amp;cr_from=2019-11-05+00%3A00%3A00&amp;cr_to=2019-11-12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</si>
  <si>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555030492%09350513884%09448678726%09302805969%09434162028%09373382381%09800225804%09319844130%09366866863%09441289581+387915620%09516346150%09345733113%09237489503%09744252204%09498719516%09666359746%09492539883%09309585416%09927947707+461220618%09795959064%09418063730%09311551613%09415343741%09482540957%09414615134%09833161277%09781173563%09449650101+877074190%09556647697%09425258493%09848949421%09300564406%09404957502%09339876214%09242742278%09349316140%09284825048+318584106%09875547482%09261858508%09376162413%09436082358%09329454512%09344589945%09363613042%09891615029%09607844525+952027941%09934960090%09350293180%09321679718%09332547918%09324547490%09374112315%09412495191%09761321801%09+468433619%09305191704%09204815058%09627991425%09624205907%09332621601%09477146517%09545907301%09931777300%09+350638996%09300227448%09220422227%09335062661%09293168742%09387805243%09554052178%09334236107%09557165382%09+355515879%09941075580%09428456158%09271453210%09418016500%09315576959%09434409317%09688002422%09434927832%09+991177796%09993569442%09465557716%09391621252%09422062964%09326010707%09426636721%09431730247%09474287935%09+406681476%09381759469%09667856440%09360416747%09372836852%09732328340%09696464849%09367881045%09498281182%09+259997926%09968399157%09367376149%09422173499%09309734633%09215588555%09387966568%09827703069%09579117428%09+426696330%09490835315%09243517713%09282698991%09348545398%09316945250%09356620647%09349792099%09235005025%09+950031613%09334868198%09251483680%09403935341%09341208322%09856886173%09540551329%09369365824%09231492340%09+394844493%09301699082%09454031962%09496191491%09352014849%09326497706%09219505781%09746152818%09341431548%09+331096030%09458419244%09459719453%09495884091%09301591585%09410543166%09370022480%09320367649%09426581455%09+741037746%09349883671%09464231098%09469216972%09247920247%09992801476%09487031364%09265999166%09392304350%09+777583555%09448593088%09390811045%09351319463%09483056543%09468431009%09370799229%09487654070%09379233824%09+368038931%09802222843%09284026550%09384761569%09396885173%09578149183%09442443907%09729297190%09325479154%09+399074728%09377152490%09490119917%09397538201%09386259184%09677780875%09347424435%09487760619%09471065757%09+439771482%09340729343%09452576271%09331016105%09232220346%09914856927%09378612769%09398373756%09443431804%09+501380850%09320672589%09737559577%09355593069%09439606732%09447964718%09382346609%09316097950%09257112229%09+443786029%09434554041%09%09373008343%09338415482%09380860931%09577885038%09436909483%09391567054%09+377027037%09349883671%09%09419493908%09300167587%09895216562%09406955997%09976003570%09617413084%09+794472725%09%09%09560266357%09455581033%09452649837%09439450760%09430928626%09494475564%09+227504382%09%09%09334461072%09466551558%09%09824935446%09496552514%09457875901%09+%09%09%09412570101%09290669587%09%09788500310%09433658323%09482075877%09+%09%09%09512967561%09485335219%09%09345694635%09335213889%09886608449%09+%09%09%09414737247%09501132878%09%09863510668%09328693976%09406684155%09+%09%09%09497834231%09406453294%09%09343910231%09392776286%09382349816%09+%09%09%09239691976%09%09%09310610957%09416709477%09414865324%09+%09%09%09319997191%09%09%09392774164%09438159816%09426275095%09+%09%09%09307816624%09%09%09475735093%09962925260%09410636814%09+%09%09%09337812285%09%09%09423184706%09433905147%09419269355%09+%09%09%09374374563%09%09%09607171508%09209270038%09%09+%09%09%09889740274%09%09%09359291683%09337355073%09%09+%09%09%09380784529%09%09%09349027532%09266567945%09%09+%09%09%09438528805%09%09%09492139758%09382421357%09%09+%09%09%09435336202%09%09%09447694992%09412204124%09%09+%09%09%09%09%09%09413963336%09%09%09+%09%09%09%09%09%09345291692%09%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</si>
  <si>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https://admin.giaohangtietkiem.vn/admin/api/index/limit:100?alias=331290959+624921411+375756588+493168232+257482585+333508946+467366792+799906344+420450459+655243326+435046280+856023365+530895685+969997898+296777257+274552289+383346949+483110308+243297752+958378834+469468639+393895686+379587454+406808875+628002505+315340259+440791888+383830013+333428597+477703708+357298128+810899182+356464368+928992910+549084175+418139102+222049246+672873265+304733565+431910294+759511719+911976155+362837665+418896713+904151103+293597263+425082223+523852448+387297556+481248930+301776381+362501076+974987063+487381383+407095702+410505249+498759695+325071389+474619868+452756225+316539706+495781603+220726088+385734078+200970962+493065766+517130012+636470209+334914786+543754320+347657899+260279402+443847575+339134689+312779669+473426632+772140345+988384188+442816005+419188373+260817403+273225459+621767940+446135415+360521345+271656904+309954595+451698346+385594123+379322037+457533879+405029498+332515081+363253097+293455443+426243596+341979678+921591459+408796858+245381623+696228059+363316570+794068840+398765473+472037456+590212396+685274565+469753439+487814381+427772396+459845289+495619884+386168188+763209400+400431505+546505003+976816996+391074491+349119932+470986300+760503389+588385410+404829705+461258701+361469091+330157483+428278290+719534831+400504195+335150378+259784087+309307719+440082873+346994840+334864010+735793071+495973191+323212684+303558474+312302156+242243930+394115943+306906540+827639234+395909154+498873368+354408263+373977748+438763514+836318888+790296418+479083747+364528014+291583793+230550871+227515283+306016545+287499511+465249594+363466746+294904359+430316375+372276008+425040007+498499771+208421771+443623248+579045634+998342645+325062158+568570589+476394568+440620189+379381020+478014360+332715942+345867102+414272153+386565434+756058333+455781080+308261848+369515137+303587832+603585592+302248239+464193825+337188629+849729406+281613000+446041277+361600131+494034448+800507143+445945948+414627693+346323371+467348650+602236104+961541484+481533469+418227132+340049315+497387740+385540002+657426340+994480704+445871544+378779021+680503612+749609111+246907694+487979081+231597247+410011931+473025787+438335491+417950024+624762951+212188234+360414839+430516406+803094450+439992271+376907061+369317871+255272098+262128379+310608367+477455971+651960145+263925888+232302647+782348340+463889355+316931121+996783107+743030581+425486852+299538755+477140053+426673004+357488365+559035483+521034348+422066463+470585820+922815214+484244044+328332423+444201221+483456647+406663667+488624042+511745460+425647615+658536686+333097517+708119285+686961818+525157532+220270647+388639026+320770630+486171229+457106923+752071181+330833537+386186979+553209737+405127428+899881404+869856087+673013259+643181947+253120533+423553618+474959053+330000149+442515740+342712877+396938339+438553296+421488655+430137529+977395801+700766913+941913565+674971097+303293599+343783644+305319764+867038261+320362724+328304264+303918217+445608673+250514942+420471630+346315074+956755750+492482534+603843314+201321471+393978063+323408631+338812797+614043478+786359810+316195894+352775714+317226386+361787648+330579260+452751147+489701960+953366818+874339705+460759791+931065381+450161604+473405567+329627612+382303695+970707115+227662433+319147859+214544497+444893677+345295927+377285753+481355517+311124015+601350733+496857435+383746024+304639919+344923616+526616677+353655479+501215735+398564651+403266265+479725970+649556472+382250858+352923753+488353952+835827657+487335499+448711499+303811776+436088038+203728952+646324309+409150193+490194817+427653191+425077537+362397924+306664841+354134392+901303201+688427133+609363527+849774243+290762283+949513898+446312348+346859318+981227410+273910265+464804457+455159786+373168577+376767973+439494823+308089090+481376405+688691268+225611981+459831793+304539627+239053242+498184130+257076141+640708980+405445297+375857452+481777159+434070821+393729710+408403620+994545604+314373208+497102643+384738170+881714873+325904156+218163736+308743628+718697245+890514465+339237309+312072391+845414250+327744136+407675332+562820715+270251949+299753378+457824107+426759082+583568050+459891573+463913222+480526983+435272192+363998119+324627923+423146977+385639404+313855566+413518339+280027203+317062502+359788539+345071096+406791680+572439633+441900201+494545239+480228820+500223541+843656424+334614192+327056203+492797416+479186329+316800546+982384356+411416213+560489558+883375625+801176654+468834788+437450617+443554849+967012187+480894475+306827923+292131390+955986001+209614367+975659814+271858259+474331365+466785942+405391925+288310338+382260391+460279049+336816803+384892578+382280682+445493938+939982978+973736173+448355133+462104577+411057671+416278022+454121386+437591862+445401812+458100770+288427068+458100770+308901446+243267121+488443405+277354846+411057671+319819402+386979755+334665169+708535256+499560641+459386876+470344399+402033563+362052199+366104059+402912165+374896229+289052319+397063619+334766914+453918600+869359186+340597615+568941001+313209209+581549388+361329726+380097679+496761934+376463730+304707691+494104610+393756762+475192205+386427466+380429894+369625892+382809757+415602663+350343361+242697482+297317133+492049784+549425953+369137682+404136598+493768124+820368475+405662268+889556212+419490303+479726632+381476625+450623886+479545624+312425835+317088027+467640367+436964525+235870641+817917402+448364134+466649089+353632083+221004473+385748629+468192931+693368972+327076339+956261636+424092885+364622713+449807440+367854936+331669792+469217661+420274790+376858292+970170030+316187152+320028909+452589949+342392288+392781724+838657254+120381936+300312750+925250535+668177501+704802254+362166566+373008422+373331112+375919453+344479562+445519095+337408405+352942717+385466349+399624027+433890567+216322744+237898426+459805180+299610811+280408612+492546065+368368052+424517326+320763554+461869715+353710409+323154204+410688417+485805054+298344144+601938197+342143440+227219385+263830560+343078250+383395477+485108370+463713129+303529696+473370595+346804296+712287930+486706586+438390214+484486398+899885010+322388804+353870018+314843394+317235149+211272676+308101701+439620706+286939253+826954719+451067370+312290501+488499223+466666220+481101180+500545631+473470433+341019644+318228865+208794974+868617218+326691097+481771642+627778688+377742309+360856607+350934108+952542063+439840724+482231856+802921302+299753850+359747889+487372356+323195346+334338466+320791047+416801675+250935952+396324529+801714642+444792964+444792964+386848350+235672065+364307874+739630283+445070405+283576750+276784098+459429253+333269541+463340726+498787109+404978125+323189011+448797259+834507728+353100541+309603087+966816793+400294554+330329258&amp;package_status_id=&amp;t_stt=&amp;r_stt=&amp;cr_from=2019-10-28+00%3A00%3A00&amp;cr_to=2019-11-04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</si>
  <si>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223615939%09210937178+345095710%09593269778+489219946%09591793150+292582281%09814901299+338941504%09657551750+366907125%09590449430+313364424%09242996592+756320233%09375606318+333627043%09353847575+298804646%09831150954+361606017%09498935998+345509769%09361526009+359569926%09441145759+479242954%09420125061+249378663%09375190286+812439651%09467280376+389098850%09223068991+446023961%09681359596+436623430%09843717377+%09673914290+%09366955025+%09306615463+%09454603661+%09457953100+%09807325029+%09349885550+%09461669150+%09934586986+%09323535629+%09861737625+%09288066097+%09896333866+%09436584220+%09690349626+%09610172517+%09418747373+%09441950670+%09878133284+%09388439777+%09779960839+%09324627943+%09591663498+%09444672722+%09445488016+%09499741750+%09964316402+%09488669128+%09342750634+%09516501374+%09437650885+%09403227809+%09411304752+%09639464770+%09202495132+%09848772588+%09648336525+%09250332706+%09977701225+%09304299419+%09391346776+%09889754361+%09921493845+%09389300755+%09357648838+%09418809463+%09477930914+%09651999834+%09240154472+%09745976413+%09301377116+%09908176924+%09239371480+%09411722089+%09431429674+%09587916750+%09446284989+%09508149093%2C+379921653%09896200673%09303246174%09467079750%09465261771%09275308140%09349333231%09641566303+249680318%09232039982%09370463757%09230539723%09360539150%09739330058%09373552813%09582115729+487144933%09380709081%09350637807%09327887680%09361150027%09309287073%09357458372%09291698577+942525933%09391509737%09762149983%09950026558%09435150933%09996821878%09413879748%09215637655+767923729%09441225754%09583450186%09312077428%09425587082%09829124962%09676454314%09277892930+412234659%09568623639%09335352437%09649081635%09S7330120.SGB.22B6.313614925%09431195227%09428659122%09486156523+616002256%09396764978%09322638769%09244851306%09873812947%09499992797%09409447822%09422913964+873199260%09545550283%09483654707%09734933820%09442599112%09546819493%09323819843%09450413921+213222618%09218449795%09344896100%09301328276%09437464899%09332941926%09526337205%09S668738O2383+314729706%09752103658%09463525419%09337846002%09482533985%09312429802%09664629440%09431004025+808856560%09278830898%09354453444%09399248792%09754540581%09742805046%09515630774%09682407729+%09848757776%09306190974%09794649812%09223652919%09457945589%09302405299%09227976333+%09447203503%09367065470%09743824787%09404051584%09733980228%09752150518%09641172961+%09%09718286120%09288757515%09448425205%09438500469%09317004239%09448933018+%09%09494630365%09839855167%09S733155O25540%09258090083%09426323567%09544228128+%09%09363191092%09335486156%09445962081%09327206955%09294297868%09617703102+%09%09207167000%09680826914%09307601635%09414263877%09404024822%09301687703+%09%09313436247%09656606266%09247058226%09401456355%09426183587%09473411657+%09%09%09527070069%09499908666%09226988481%09492048831%09446216717+%09%09%09454589898%09473069791%09449030551%09%09389931312+%09%09%09869556240%09686713491%09428772308%09%09425813813+%09%09%09489088277%09305612035%09874779740%09%09475827162+%09%09%09450249843%09393475523%09377716501%09%09435093165+%09%09%09994295238%09455834118%09446710940%09%09580074114+%09%09%09385971803%09428946753%09480186457%09%09653221709+%09%09%09333940964%09300162347%09309614364%09%09411687795+%09%09%09448703082%09490635570%09307355028%09%09488811867+%09%09%09451631257%09653594599%09%09%09432241012+%09%09%09558172910%09420111647%09%09%09981459311+%09%09%09351039573%09978549218%09%09%09770473159+%09%09%09620833290%09938362704%09%09%09423197712+%09%09%09748458081%09437658127%09%09%09417141780+%09%09%09456374180%09450634587%09%09%09432431567+%09%09%09772914269%09%09%09%09405264973&amp;package_status_id=&amp;t_stt=&amp;r_stt=&amp;cr_from=2019-11-05+00%3A00%3A00&amp;cr_to=2019-11-12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</si>
  <si>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app lỗi tới 6h</t>
  </si>
  <si>
    <t>https://admin.giaohangtietkiem.vn/admin/api/index/limit:100?alias=402438256+329822819+360032781+382869863+788394464+369385059+399133520+475128717+487979081+947088985+360444108+364199614+253136136+440738349+277685324+498519987+377965660+578548598+305148491+506826802+404350891+534588281+336802620+337810483+443820806+353879155+340155599+302574590+333047022+534092468+555065532+596808360+345427102+478874422+406907521+353902310+395245757+686584364+365649411+325767742+565203442+753215516+459001117+374805045+322030847+424403149+302885906+437919306+805339056+983195814+210058203+342553110+422709442+342099723+388296906+217704793+635969713+387766468+476739961+347267437+394999538+341853775+231326737+280085345+643291788+401074892+397932543+311711066+473991255+412488777+313314207+337992089+405349930+475194992+744158512+348852725+322401911+881433607+239846918+333991569+357011199+412321251+227515283+303516062+477963647+329946592+675982904+396192574+370164654+373411803+713138889+281864815+539724804+336658402+283011745+910701434+385761187+747705790+360204136+560372777+533905548+481463631+453533724+384882317+434517297+463275772+455501208+412266369+482631023+905447693+968935671+325372332+305477851+403739250+254686134+888522558+205965962+979505379+423870150+312387153+385421149+344240382+447284223+770617391+396167056+215187997+488631376+461550650+288495199+282336701+386727692+376907061+718036788+200514804+613278947+600857008+367878923+909743310+302460674+807547127+891490433+447282960+247634987+940995740+411034685+324902417+809792570+281457423+438561348+448166840+388116225+490708413+455428344+460881871+405127428+435173859+596035756+489246859+477554504+237123625+495992436+285799206+463464346+461599115+682821349+492662510+735624186+374485655+424777091+455574187+347989777+415377217+552562964+547031354+252917625+302653324+306625844+897778943+385233482+938281372+783484122+435895936+321012346+283250191+354644101+443082592+486789018+399782963+416527861+443080815+847884182+304208359+686895490+594223677+333602952+380263736+952354758+325826934+325507901+291377723+226835819+311991134+739790265+314392225+346042266+931962239+382250858+397638738+491399118+443066176+316583073+946473119+336911521+428399816+272073579+998663709+369494622+370585009+296024502+423690963+439762589+390217345+457758461+461974351+452751147+742721695+246230400+446783639+462699903+487335499+392175814&amp;package_status_id=&amp;t_stt=&amp;r_stt=&amp;cr_from=2019-10-28+00%3A00%3A00&amp;cr_to=2019-11-04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</si>
  <si>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406428099%09423753551%09383375394%09249762149%09598626386%09362880497%09377857164%09866858145%09727858448%09345972604+750300408%09335130328%09403606064%09338543691%09918099997%09484340388%09473054617%09338624327%09494833740%09378546751+563624072%09425963074%09421248124%09709326805%09980435454%09427785310%09357102970%09422394579%09371529204%09715740709+421992129%09328555406%09398766293%09386228783%09887070400%09399581394%09436717235%09483008927%09946599570%09423730224+367645311%09%09419326639%09476163526%09333765628%09302076295%09304755630%09217590406%09426221884%09499685160+256004499%09%09307667688%09304653492%09292654445%09%09490863723%09379486670%09362643630%09347142528+372514962%09%09358811662%09275793831%09305534771%09%09406969121%09312471826%09333415226%09739022795+%09%09570545441%09384640905%09423545672%09%09475653121%09369503981%09382414945%09264718054+%09%09517510385%09%09492379435%09%09%09%09263048019%09891771059+%09%09%09%09447558346%09%09%09%09466173400%09+%09%09%09%09291676400%09%09%09%09644289851%09+%09%09%09%09260775509%09%09%09%09%09+%09%09%09%09379768453%09%09%09%09%09+%09%09%09%09584705128%09%09%09%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</si>
  <si>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https://admin.giaohangtietkiem.vn/admin/api/index/limit:100?alias=S3306152.+SGB.+22D6.+364057131+856083646+374237552+818106075+371488079+376400035+680476555+784441454+372835678+468268295+477223927+224861901+953351174+231612075+291669078+715273558+336018047+379591981+385213604+404191329+908715029+278721554+451414974+652035771+874870679+927576486+384931044+399871513+356086894+305776254+584966600+387173054+646460299+269011066+767732212%2C++485312944+426905916+304499316+304253363+989380411+482233171+666173583+445645890+767040443+289360601+304887949+441362661+788947351+744590598+310690932+465047082+319105590+335937855%2C+848271943%09242152192+355396244%09250088612+778056294%09345405715+442356645%09437520992+425555745%09256035268+375156380%09497892843+881715902%09342414293+573185190%09908801710+891298139%09385537090+856153477%09254764085+376268330%09262954301+296890522%09373147744+913222607%09333735239+526367511%09401897826+607010265%09351355137+217636263%09287371979+449333005%09396110466+302469601%09385003380+479170702%09780645666+297525250%09274297596+322235434%09465625973+493919458%09387170855+327080774%09261409651+798239345%09439505498+336971171%09385658202+603130371%09884427349+300603324%09435392366+853309194%09348807528+336411794%09475105352+773191530%09341561582+277063497%09893257669+591638188%09350964562+496464166%09445021735+324940693%09716516427+%09969154623+%09417286271+%09404147974+%09387599704+%09367413923+%09580652442+%09453050180+%09314439157+%09386983673+%09477724449+%09425915413+%09944555548+%09486088372+%09210651010+%09328573063+%09408857654+%09344133084+%09622619266+%09306986050%2C+684170899+499258936+495973899+708333227+210340105+600596423+482225637+489352833+367840080+408055128+345434407+389317566+475594809+746595568+345921184+560504823+642484315+474145127+259592634+338170326+507291186+898269344+391770649+444501852+647403582+476535010+926726182+313230979+374786074+721062739+295580816+937830967+931743129+926739893+406181297+480776232+521080616+957501001+403184701+257256812+307768769+926415310+408350556+929164914+212741514+251605775+473771329+737325169+280671054+634258328+300298111+966650413+298471567+496706122+346689432+667950827+803837149+480167500+759764404+350610474+441735835+466478225+506540390+342659907+412106583+396653544+792752886+338431650+956512251+385063812+444205933+888808866+683475377+431568137+985472672+292873194+337152043+465165918+255050995+377424612+520628723+380562093+558097817+362655247+922133495+420965948+403434022+426616238+340900282+846909237+454881741+353865794+467938464+336245426+939023738+622793528+369510397+335386092%2C+531735898%09899116753+306446074%09311291255+452525197%09344065088+378938763%09562211340+589042525%09738149268+991647006%09330016528+346352560%09450054909+404350878%09334390224+963835139%09421848159+986689584%09391661665+914728569%09276458229+415409072%09585271936+352852068%09390082326+208525709%09652650691+424593566%09773901548+392301666%09246034927+418330246%09489766177+229238472%09338456612+534256562%09308657931+486294695%09403507212+400571954%09314353242+654988206%09232058598+310326798%09353095714+876651096%09266881330+469456455%09470083165+301381536%09363999168+991290257%09301426187+393638752%09298458372+456771084%09384179368+412660881%09584532154+724937156%09421006946+604073697%09995861802+988544742%09321986895+%09890122543+%09255816931+%09474807984+%09395779317+%09701089146+%09316449433+%09582873293+%09283812407%2C+803110945+406742511+626624233+342933976+399211734+275555272+849506210+477534400+371022163+237410062+983250381+396625203+483860277+307135420+928540583+359925864+402788325+342906449+898546548+482986406+296370669+447180332+956236482+440198753+415037368+724576903+344763529+480159653+425893306+949095770+218065941+230658511+433347184+200180459+487959417+468845091+405647266+418201502+354763655+743999655+562052437+447127170+355966432+333891327+314570700+329035344+462350633+437540779+350606739+403178885+300339140+362966755+399968118+597799389+439179213+400742594+301250659+323773955+416053509+406031102+525110191+341863513+350099705+469158655+397523680+306405462+479372606+385634265+472640576+404310988+494433790+542325132+455903181+384238399+397542499+493050489+306943487+436421243+746760280+670352295%2C+48439%09817374717+263102634%09905217755+359691771%09672925484+686794521%09304014553+630035232%09441829661+378900727%09S3306152.SGB.21D2.439965203+204148045%09207368650+237645308%09232090755+237645308%09461600996+322025754%09939702368+478877375%09496208779+348852526%09301546805+303305200%09798617856+603647289%09289775490+364902748%09358548060+436964238%09456912099+878750808%09534740875+235260550%09665014873+633018376%09212192176+224009104%09342590884+466214370%09455381938+274829443%09387515677+847354734%09399265314+403550203%09982079921+984727836%09393155085+224759252%09445681879+451626277%09+639278580%09+860324002%09+631640502%09+428616720%09+294055455%09+455823388%09+337627728%09+321541788%09+451186361%09+508968665%09+449280997%09+454783234%09+488049829%09&amp;package_status_id=&amp;t_stt=&amp;r_stt=&amp;cr_from=2019-11-05+00%3A00%3A00&amp;cr_to=2019-11-12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</si>
  <si>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283878904+213730260+759095661+311659535+415868843+431629212+446310906+963931723+850809999+578907765+449702223+610012501+301243124+496346802+713996492+542369034+499381076+323555624+230848534+387867455+429565890+441316649+834540004+689234992+713325614+374855355+852821952+467400915+359320684+405720919+347030743+412523004+479695525+423008073+381398029+992486507+247582426+573359962+493915169+696113842+461278424+485507740+383160276+331944160+649475390+235376708+546693922+390880113+683265515+321100340+968503234+366019266+589287657+776876915+217076163+570814447+461057619+296202537+807802329+485938997+455674244+306630776+408066829+289925137+469407639+267672343+459694331+559302891+763828822+604566985+761211534+424528337+364812926+314351166+230971855+647744945+331917112+886817652+444830097+340694970+525399096+366899511+587485861+447096770+476822671+484224441+215884251+780008863+261265763+604329289+827449828+619186210+372584081+317689202+431283706+312899200+533831763+295646964+499861472+672966883+293167006+666850869+455934082+994373011+997733373+373261385+217592418+386332607+324949121+201371849+434377756+361408481+423070573+613616096+380796708+390134905+857769769+532765138+461470272+247109928+765828460+846228580+468537966+388036610+935833689+338445447+493280172+232969361+417230021+422870529+384107769+866862356+408963419+457495673+212386813+309817456+545548190+402639326+574002131+349944658+371104593+204233022+210299256+483527402+910644769+420860470+403382319+482644406+715290169+344762547+310227691+919747828+446108472+828141869+730005052+876688360+485448123+720387436+276253480+470760290+315760581+449494545+302153557+343420219+924356721+400163181+331970817+597981116+698137103+784211220+430362481+357048036+432461795+361874236+488870746+294656291+486503219+877720635+381060252+314378956+312982062+739576987+649303382+591051602+420221469+280518785+456446210+991031224+373786800+369008411+347201547+448879206+432807459+352892345+214545426+372686684+390861145+417833847+476386595+338558316+482707949+311643523+354336939+217186892+966785592+483514738+382876459+868338094+904115342+650897042+458301210+432285385+333477403+692541333+448269844+332157572+480859934+424073875+446102188+940358800+372476785+951792642+336611063+621167092+909159147+493205403+719912302+238246759+307666551+406151399+230792634+455508955+545883274+993276009+347901173+743307071+486261024+771142342+272464902+386667767+313353279+720246106+496558554+401970912+967221835+237992877+496650349+428091082+406532331+384511570+423374150+430916877+318464459+471910100+283812697+616185595+338640351+428878974+605750358+838509389+229712994+204412181+597024874+497263746+451035253+790247290+490761382+426924126+373741341+298275456+668496766+440998513+305265520+447685132+255386623+424923356+452723804+339131851+458444813+989375809+426644365+461342317+336872914+315863039+661451920+371704618+410188107+255945456+371450674+304892671+867590458+326704287+966403429+290756664+407910867+929815557+303772424+407648115+312986656+347599867+478479793+580605542+476347423+434829288+310598607+238765557+991157318+646664922+449623003+274542290+496002748+794044347+534628970+236871639+249732705+355179217+401746098+417358906+360654143+431383477+811775391+317615135+313883169+401590621+803830827+253732247+332163534+573106255+861561634+379866830+319073549+919301896+430947784+492645859+354591689+471428736+474538894+346408553+244409842+551753920+316828752+389584275+895240648+487981570+889597326+292674968+214868440+445637073+208228839+818746377+598985035+439236893+306052693+393232683+331682654+433646626+874801710+924626057+352487256+926735089+410912711+443163396+220079314+537136184+777778368+498921140+315936929+459165868+499957456+355458823+892425420+770496791+456944354+499581652+374777937+914843196+395482785+310947228+308587244+662030097+373506003+324622629+323841870+390477785+468876301+307909289+397482672+580091590+658113880+742464379+239251156+537460570+889175308+437401789+763447523+448134944+874674917+535082818+313377206+489721040+446951567+470360211+450892464+802254403+442208194+442993021+257996157+889002657+417298210+247019834+449302823+438854027+402625205+397430635+354953874+284594356+442870766+349079290+455828043+255268591+337573167+419077996+843029054+456558164+849765898+331037168+462405333+741785214+451551038+354227266+384911764+965767799+703041930+404317496+343509575+476718358+585896660+388242763+375525234+261655223+330228319+307631098+415538069+304412647+304412647+356022271+326248571+383149742+311780497+754825674+401351624+913643260+343249923+486668991+766393292+419591371+408827505+324180312+389691945+938755790+314134568+632284568+419044243+596581231+323198074+279605088+411125640+229553639+708705572+354271871+872741261+407499010+363736657+917361437+433165601+385441050+608611374+443686017+583596353+769991429+887105870+420978194+474457529+489711252+836974582+328065268+480351095+425543047+629652837+761317681+647713431+557857676+430778882+280116129+312224988+476590987+997539010+539528215+462652470+936449966+614183653+676442513+576092528+670971621+381656089+478755257+336302072+930793725+983971842+519164012+341742778+220882774+463043682+654516648+340367806+713863490+369420900+551333341+839501722+599604874+404142282+930825439+426952105+433093765+913062506+987545448+400729668+240989180+454681883+833019718+332872440+768807305+248781904+749687129+359243053+387901557+885869083+395295279+366738575+455579771+623657263+369918734+268901226+473139664+317388436+365572625+486005726+421778447+557600075+648170266+573368878+472749443+471956037+941979595+654542852+393284543+487502424+542847420+371601419+683745775+758203155+397548784+405974123+958508729+319105836+978223439+472990084+675921770+213352292+347710578+378944345+241115878+785499979+364340066+351047822+241115878+629686065+442072826+370774580+356974847+487872364+612967618+302990993+527249642+857792162+726976131+591274278+400367264+229304610+315017666+318126527+422106649+421569541+975532711+735309057+262918996+352166682+465073227+906171450+377632239+951480232+485225670+498425440+858284937+460163350+402913843+979922091+498211217+347124914+709464842+309530730+514300467+354956371+665017804+963204439+401060253+519150899+314737889+219305344+534746989+480459403+974911689+429167504+453169197+363207771+319444385+251523441+407640644+790303909+471527640+659136148+405397034+294425594+905657127+360998847+647645039+777303546&amp;package_status_id=&amp;t_stt=&amp;r_stt=&amp;cr_from=2019-10-28+00%3A00%3A00&amp;cr_to=2019-11-04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</si>
  <si>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380654547%09771587503%09494833740%09338297796%09390319146+489262286%09277727146%09499943682%09481766590%09315551089+346649529%09506151142%09326817579%09390628222%09757965519+376971493%09434289410%09489520688%09846549409%09433327687+427640221%09319446962%09355877284%09375368823%09477995494+351142722%09355412506%09301044254%09%09266126763+649411207%09435748353%09624195158%09%09874819769+594953497%09293879872%09492416757%09%09492717859+%09405025454%09414133945%09%09352903673+%09%09402264000%09%09835082782+%09%09479299004%09%09416930137+%09%09406706089%09%09+%09%09468084963%09%09+%09%09472343946%09%09+%09%09230708984%09%09+%09%09355013995%09%09+%09%09621630457%09%09+%09%09785338835%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</si>
  <si>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 xml:space="preserve">  </t>
  </si>
  <si>
    <t>https://admin.giaohangtietkiem.vn/admin/api/index/limit:100?alias=227630680+443931252+983676792+420864148+361686647+249602644+855065727+444247898+446088463+397260297+726137998+496521284+400641438+407284723+321382467+479134680+357236129+473731721+416580094+839267979%2C+341464968%09685338100+395193418%09343971408+426631920%09392268126+814927459%09341615170+824415856%09278755178+824415856%09505831760+366937908%09275093665+847045128%09278755178+389900644%09505831760+386602978%09296056289+464752030%09443824537+977107461%09665730671+977107461%09992692755+328258887%09452511361+419813986%09901514414+395957260%09572039485%2C+410077704+398024216+243391893+656340464+680811726+670497405+480102389+527668223+608142250+362992606+368526354+415011810+850877245+452905770+441976763%2C+908637101+234794064+214606299+450124448+410631643+460802994+577351052+315551041+455902889+431871361+891911223+324798071+391300247+994330732+411409483+206865681+206865681+489250495+395271244+431974127+325736523+224746052+714024431+297829078%2C+541592788%09372144531+450225019%09314695366+346074820%09337094480+619136414%09482623346+926091711%09522881403+469708683%09450195264+349789422%09428012782+599875447%09372973100+519084800%09417017364+391867734%09384065754+408279934%09250441055+577885270%09262554927+239422842%09428866968+366470222%09651834729+218575232%09498214752+250254221%09310397370+549847541+371381806+210715638+255811357+348563045+468521893+884130077+983832755+668625988+455336918+462521406%2C+596544395%09317278795+372037928%09870300255+708828993%09341347022+450677892%09932641017+415849441%09414538069+417949347%09473787342+559252609%09387888472+371133399%09468104531+975333667%09726928248+431953403%09424570577+371664125%09219334994+208703061%09596856346+319018885%09698247786+487486187%09389055773+472456319%09328911208+306816364%09529396775+305201142%09408456601+468687663%09335861126+655951855%09406488367+453388755%09355692591+333937454%09437479396+961179510%09473890025+344400706%09402402736+504682899%09721652920+522390577%09335982272+475222160%09231870438+367336027%09738021912+994896063%09399793036+562159759%09464746258&amp;package_status_id=&amp;t_stt=&amp;r_stt=&amp;cr_from=2019-11-06+00%3A00%3A00&amp;cr_to=2019-11-13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</si>
  <si>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207469427%09997150506+389577227%09435415379+351149874%09477929212+588392945%09671194057+424047831%09214780635+394714835%09374356833+403822479%09390644652+438661660%09491985960+430026739%09653310503+565537563%09204147710+464963211%09468125500+411312111%09464132485+385624865%09445875021+372132470%09293330364+440088409%09256251130+489416055%09206339157+484212724%09312591246+339111596%09450804551+341055064%09473194101+480884842%09401589597+409526653%09336447971+273559513%09929097696+339040115%09254709019+488442809%09294984875+874889210%09382836604+344851201%09271782269+452690395%09471204354+734226034%09399562279+987957569%09318450886+471198743%09648810595+484520400%09952784785+509768624%09394027625+482519399%09951983081+507595085%09230229838+363574876%09859391067+235446906%09222950930+783255677%09258099387+743044459%09352500698+376666977%09367348957+442122355%09714834294+930740836%09264989904+388196727%09264989904+259543420%09456036918+488127265%09300486948+447358893%09234698108+732837216%09408968544+429336106%09301682061+304566060%09374983192+291390319%09446162482+200220316%09312782348+214472022%09447172779+392056637%09518963656+341307511%09442392386+342957581%09381982888+304251843%09452645214+%09330587819+%09481390027+%09730622564+%09363154303%2C+287426696%09406536453+559965138%09422064567+355086725%09444640593+369082055%09355619293+329886399%09561288579+631901736%09958501008+631413077%09738548105+392708399%09383360618+249126301%09675179886+388035768%09406089529+463536478%09493170493+727543553%09955529194+511280789%09206838177+366673359%09404749303+482316643%09316907772+720234978%09452036906+342898010%09323289176+362308197%09606989489+330831747%09496110984+273410452%09966238698+592097336%09475059528+418936053%09392991137+343704975%09488665568+318662551%09366777019+414886824%09319455141+394261907%09757272020+348608117%09307515252+363683799%09385184460+372281048%09467684564+367072550%09216272942+340555233%09374283320+291097743%09392263399+326778163%09346856567+882093214%09837539374+224144907%09499296890+427597732%09452708076+873466038%09917158488+362307994%09738301109+888529733%09861696193+233040181%09246096489+429152781%09596917804+600239670%09980313627+397285839%09716248850+363917761%09797203490+343862441%09471907095+825420566%09497053573+632045977%09382438218+486810556%09352597588+257998290%09394476632+513533111%09326267233+915380271%09399081498+370564913%09388600804+459210222%09329092248+340422339%09353546205+470954963%09937291706+314235329%09492744305+S5237260.SGB.20B2.456309611%09326795064+335632564%09449803937+399157589%09954231895+479380575%09491298103+387427206%09465764733+708716032%09338187267+465936559%09359878096+299663923%09321577688+260750959%09466435401+382723231%09384891945+446900779%09358734404+316762540%09373261710+532047568%09351142014+393204135%09850509372+477628739%09929482581+683191667%09415207364+263155490%09530714158+621862981%09996344802+815434519%09281437537+332960762%09354633435+399499565%09+494771574%09+748808539%09+600587534%09%2C+425333667+417815556+479432502+304009851+504181469+713193801+300275708+448874756+417128722+228882714+993308525+390928645+713770673+396325431+586869139+537026461+742075567+446457868+450950656+319782385+402142797+309528424+391718701+343935998+358483948+440832922+257649203+451370855+323444852+243623451+282461530+355323382+782897745+706451765+252837922+435227389%2C+520494039%09754000775+764626163%09374427087+688200787%09849755878+677324529%09933893823+967711215%09492670872+833281549%09864962940+308729589%09861422546+396874594%09763776209+309818733%09340749534+394082490%09393787344+375841929%09334684430+332998564%09493020830+408711034%09277434517+731170412%09285690464+954833391%09403594264+433986647%09416708916+281985669%09374771107+429464172%09306809551+356904985%09382987938+443626919%09404962314+266995990%09696594297+404702479%09348737146+385450067%09449119857+446401586%09452892558+425307105%09453985585+410416150%09310982831+539854252%09355885295+734372827%09465756564+294585433%09493100669+734541217%09918987907+415727859%09402779561+461879478%09319785872+350408221%09488302368+617797665%09238110844+379332488%09426119794+498597278%09385231101+254495087%09613095632+293383715%09236072877+369215520%09726210612+768342284%09468357029+424443027%09308985145+315137545%09228032406+320890355%09343439455+711002398%09448976123+860016060%09537992169+963961750%09412377964+334123626%09457537716+443749821%09420884987+497789704%09705000651+415756490%09490207315+286406401%09906620810+368177764%09390385178+456372416%09S3306152.SGB.22A1.493942820+615404616%09453896306+%09386709266+%09447467125+%09381667156+%09338678485+%09341016176+%09349949948+%09436733812+%09939081798+%09443372987+%09331787219+%09409523373+%09448922354+%09437956344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</si>
  <si>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https://admin.giaohangtietkiem.vn/admin/api/index/limit:100?alias=302829746+504093991+886707547+419813986+305096890%2C+546256938%09665234155+%09849234130%2C+350174587+238247785+869556240+424670700+721652920+631025324+257597948+402132181+840953819+950026558%2C+822136105+776461938%2C+747366289%09609899112+496246299%09763114189+490685656%09330777351+791863884%09923689393+675703148%09951718452+384850377%09330001035+263389431%09335920806+440594963%09+891831120%09+346540209%09%2C+319131995%09205955247+317129854%09374235407+658023214%09278578949+434482871%09580739304+399626255%09467653489+464750602%09328881958%2C+232428507+963218217+664900111+338980113+666617998+494076567+496662852+818195319+650734329+456380892+482662001+710677981+341611552+863912384+794172676+636648413+607400387+400932132+348066334+955108153+698729104+875429879+736383698+659887603+278729378+598655541%2C+&amp;package_status_id=&amp;t_stt=&amp;r_stt=&amp;cr_from=2019-11-06+00%3A00%3A00&amp;cr_to=2019-11-13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</si>
  <si>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818961901+205280733+871973498+345834187+369897830+379672105+459524425+297856443+248684582+529542170+577351356+451881893+368192671+411993301+559206322+274860763+398734000+436351010+450408600+735481550+395631333+339042398+368518644+402576733+371205618+378887097+239355441+329244507+648288783+395438392+688421006+468606259+315427591+340898162+711560215+485688599+378440207+487811245+230732003+346556390+449062934+324197876+517097161+754205997+387615615+421713016+461855294+449230910+445577222+487474158+489301888+882637038%2C+444515714+763508742+240950614+796836440+737182345+677066576+461147326+378645462+459826330+396832328+351953727+826113723+457904559+322899519+468231371+401255783+329358361+475904257+355002098+403892024+843408732+451587214+316959478+484675692+490454898+391335218+647970379+413374507+350809454+278085511+783088281+480768599+300879189+425195320+927824268+277960107+434198634+355348889+231962864+376110856+332050684+471654006+268800312+376206903+499362005+215853732+279307472+546374367+739302749%2C+391112110+413342471+450559320+306318137+499048129+372513691+792609857+327784143+462704364+449368229+628080122+394131358+342167613+255231672+354883214+410629199+443208199+445099592+445846965+736653748+324544960+317881707+471529453+887116021+360847088+424150780+442696372+212241567+415628363+558469912+400506996+976561931+345363100+371530049+487417843+370892490+249056009+734034602+227928135+325978984+460878453+337479045+397653725%2C+369185743+843220609+275501473+846921618+333818120+431087849+263227387+418674095+327645248+351218772+379795722+974925952+974925952+453727250+375149930+416825056+376077139+794282576+295621865+214824362+348533925+472659987+869483720%2C+626157930+272965120+452539471+793078412+319540867+372249442+389420759+501758874+492503858+331381410+496442322+342600404+381410972+383732998+398924766+900619478+237172662+387355262+389275817+202786625+495887400+848349598+703729320+466533325+430756734+345124292+349243538+309410073+478894146+917860816+320084136+385731437+300205068+308636205+480686451+394684669+246709136+857074326+287648778+454989134+358382074+487995144+303563597%2C+363054705+382737353+455823388+745255244+316148387+493338851+285320909+438294824+837772490+984770812+573816100+818890259+973240161+773437857+903210618+566340660+476595395+331501595+430920104+449947158+493886207+384235541+970957669+462794979+596435943+406480493+575437503+303830812+339352077+472493945+967973594+434499723+460735108+384041374+477747204+353119891+750307109+389010809+604378488+345053269+497590398+297337872+295532154+428616720+973742045+455276866+304732604+647021508+444130189+336405732+399259647+418708585+394389651+305991779+840092645+400099625+396948278+474961195+355915615%2C+480939118+978833097+478702522+226831890+596731416+476487524+262037866+587068145+425556213+381008458+958713532+406017409+645569042+371270973+472608388+476871606+412205129+459296520+476802334+871884582+428308651+294399678+853098889+328697088+424113191+274210503+304502911+489271591+374533676+300707800+301324554+447435705+498103154+384975607+404870404+848276585+796526245+721302998+451391551+312369571+266049606+308582118+368613000+356893178+443263565+589089442+856010606+322625518%2C+891121076%09304177283+352418781%09307354447+570198863%09475393557+414065044%09625641492+927143169%09243156410+886630333%09948194262+305120722%09243156410+691294084%09954649501+363878637%09497270301+379354865%09447176818+967322802%09901257425+904841468%09689110980+533198874%09332285826+324013278%09378683703+463207496%09389919393+461819783%09294082693+469083198%09431426820+366869836%09328671756+424291528%09426217203+471483794%09334561461+257812012%09296953268+228148993%09449666451+399299739%09849742457+490588188%09696677598+390711376%09341622587+485328208%09659356595+259762145%09378505391+280136064%09355112619+248034852%09979487091+474551568%09317054968+425878443%09485367703+347149532%09420627590+341992782%09236018304+%09413303879%2C+783518831+526934607+462371111+351258288+340481735+556453886+367775190+291499664+488639425+487349177+324059643+428256023+293260116+372803115+372803115+240498038+451237315+451237315+359485522+255248130+436907676+317596326+436526679+661262694+874053841+468567456+493108271+371383580+460888321+518434771+413285341+454458094+323480170+267620662+408738322+771281112+205208707+316149879+318195416++923648145+874053841&amp;package_status_id=&amp;t_stt=&amp;r_stt=&amp;cr_from=2019-11-06+00%3A00%3A00&amp;cr_to=2019-11-13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</si>
  <si>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/page:2?alias=309173003%09631424432%09308237956%09641812108%09726137812%09349651061%09230670971%09942316485%09886869374%09405643507+337704070%09398466957%09338113605%09492682126%09458070316%09492523046%09289057813%09860319556%09558774570%09482255444+390635308%09385230188%09683953260%09307035634%09672333322%09428696169%09644248884%09417379785%09418463616%09300157443+454929390%09307576216%09771783055%09357294629%09246692790%09484894686%09%09355115451%09347749611%09375455652+341840128%09558959536%09374941954%09373109186%09302276989%09271109859%09661512466%09485602529%09219260619%09873309265+661248014%09407481998%09393667513%09342574523%09286005331%09288785171%09323244815%09467664069%09733235623%09962632921+533560266%09487811245%09415127863%09436248311%09853857683%09888784211%09988432465%09463803349%09871646941%09962058149+377250396%09344469876%09375031502%09741591689%09383715180%09262836455%09465794318%09471009772%09605816238%09374676379+889967605%09420457722%09689682311%09417566034%09258288862%09306471469%09240089578%09367041036%09836311548%09326788788+443641330%09384948165%09376891627%09809872101%09407544537%09636313370%09582623532%09462625663%09297422011%09332175199+641965688%09481243588%09551440865%09703062584%09422335708%09403294215%09617215833%09405835826%09395482504%09371452794+770651943%09992776870%09308477295%09349720612%09851004298%09309264175%09476440814%09774591687%09792932058%09357284838+478619966%09767311729%09594950595%09298318467%09354244196%09353623002%09423971874%09256014560%09307295908%09606696268+579645235%09508678705%09476883709%09329327247%09322768900%09467083390%09853692525%09388322673%09322199346%09495681530+893187685%09423002108%09321459762%09398955526%09212529306%09352934312%09799582315%09348248870%09728507378%09957657543+668429045%09844354319%09344767798%09454410778%09708263663%09308025531%09488247075%09800175394%09452592607%09387793066+799009964%09680871051%09273627629%09669098648%09503540216%09598443808%09441503030%09377387289%09471995723%09332752968+322933645%09574752079%09347274263%09361752082%09636279264%09408329346%09626362033%09338183065%09574605303%09315217726+407039154%09458098965%09433916307%09817180403%09519812382%09793616564%09454705976%09445660552%09434100872%09467577021+278660120%09616851051%09452035588%09438591270%09868861073%09481803943%09324640193%09748712271%09387700877%09483665770+223282024%09238716156%09788884175%09724000023%09675311798%09634760165%09599763708%09957652361%09278921614%09481254352.+61828375+361441898%09695694395%09804605775%09332716287%09860194949%09270035235%09947066710%09469605797%09313390929%09739177684+203956136%09809690039%09540049193%09427595799%09835949556%09488674691%09800697154%09756050898%09561263682%09261828375+441870864%09476403488%09822556744%09739586152%09340094178%09423123795%09360298725%09756050898%09468916800%09471790266+827728097%09414722399%09537331609%09233492686%09681605831%09356828653%09881724630%09910852744%09399923545%09322517177+790871461%09338480287%09354899637%09927367827%09352326756%09401632350%09334143801%09786838569%09321187629%09+750217031%09449780942%09610170150%09520557700%09200201522%09372861049%09881971130%09415527016%09200197710%09+314155154%09631694935%09541738597%09723408862%09442446318%09879337622%09437050668%09947306199%09514077279%09+328925215%09631694935%09861502994%09653841096%09%09471123655%09928043022%09412806095%09250113238%09+547353611%09379346272%09344864678%09524328089%09%09351146200%09914157052%09915399610%09250113238%09+738872229%09209835624%09324807651%09321272623%09%09564423579%09471517008%09508845456%09487794440%09+342138312%09506091813%09347206427%09482381911%09%09428563792%09636779844%09317454951%09447148709%09+346245626%09223664091%09655110562%09940638809%09%09%09769716247%09883866775%09409552603%09+338383008%09352386041%09397243456%09354515447%09%09%09%09871496067%09670111871%09+435005417%09899880235%09333542598%09425375875%09%09%09%09762117895%09376193681%09+957533309%09343390007%09545068650%09375671206%09%09%09%09397285636%09328762521%09+330847515%09948948949%09420344198%09461484303%09%09%09%09600422937%09738936851%09+488033488%09746797180%09417529530%09773942760%09%09%09%09628950907%09280434470%09+493094289%09857328374%09462256829%09760918552%09%09%09%09312332442%09211623034%09+%09333367861%09393117483%09677026044%09%09%09%09660418699%09324251777%09+%09380372405%09313891657%09227191599%09%09%09%09485129135%09812275191%09+%09900975563%09%09256539754%09%09%09%09822912279%09434526128%09+%09336417187%09%09605383595%09%09%09%09837607628%09280416280%09+%09990073120%09%09468602584%09%09%09%09924253632%09513712772%09+%09426974811%09%09323490598%09%09%09%09383709047%09370571554%09+%09693534694%09%09479198821%09%09%09%09822566292%09408035460%09+%09428737800%09%09457577722%09%09%09%09882947170%09573733928%09+%09425184742%09%09527026394%09%09%09%09414474767%09455265176%09+%09266613478%09%09426887112%09%09%09%09526737257%09355933114%09+%09654189211%09%09257080281%09%09%09%09814497400%09948507001%09+%09503614907%09%09312202413%09%09%09%09366978104%09343062482%09+%09667651330%09%09672414424%09%09%09%09715765337%09468768461%09+%09318112842%09%09467405655%09%09%09%09691777567%09435913223%09+%09%09%09510795739%09%09%09%09417522779%09409942094%09+%09%09%09%09%09%09%09434677275%09355275266%09+%09%09%09%09%09%09%09821940561%09%09+%09%09%09%09%09%09%09994989514%09%09+%09%09%09%09%09%09%09479461399%09%09+%09%09%09%09%09%09%09361449752%09%09+%09%09%09%09%09%09%09674916438%09%09+%09%09%09%09%09%09%09756050898%09%09+%09%09%09%09%09%09%09348259546%09%09+%09%09%09%09%09%09%09668492589%09%09+%09%09%09%09%09%09%09911571997%09%09+%09%09%09%09%09%09%09713673608%09%09+%09%09%09%09%09%09%09823290452%09%09+%09%09%09%09%09%09%09891423981%09%09+%09%09%09%09%09%09%09315619710%09%09+%09%09%09%09%09%09%09796753163%09%09+%09%09%09%09%09%09%09418495404%09%09+%09%09%09%09%09%09%09621374138%09%09+%09%09%09%09%09%09%09271386656%09%09+%09%09%09%09%09%09%09338928620%09%09+%09%09%09%09%09%09%09432297669%09%09+%09%09%09%09%09%09%09404039333%09%09+%09%09%09%09%09%09%09589363304%09%09+%09%09%09%09%09%09%09347325063%09%09+%09%09%09%09%09%09%09727144701%09%09+%09%09%09%09%09%09%09670445909%09%09+%09%09%09%09%09%09%09369775267%09%09+%09%09%09%09%09%09%09358701825%09%09+%09%09%09%09%09%09%09575205569%09%09+%09%09%09%09%09%09%09409788012%09%09+%09%09%09%09%09%09%09589383345%09%09+%09%09%09%09%09%09%09420034545%09%09+%09%09%09%09%09%09%09810460839%09%09+%09%09%09%09%09%09%09967695430%09%09+%09%09%09%09%09%09%09844771090%09%09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</si>
  <si>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https://admin.giaohangtietkiem.vn/admin/api/index/limit:100?alias=324951196%09381448016%09315479166%09398390151%09403335044+386235869%09374151374%09404022788%09257981434%09386873008+524656156%09332271049%09472987666%09463452453%09300609030+473323540%09287844949%09414700183%09281137393%09410269874+420187471%09347770137%09402440615%09210002538%09945105996+463631104%09226414809%09394137591%09457581192%09323932404+436919194%09536827830%09344209189%09224916013%09999960207+244554575%09311601555%09468515129%09415504800%09531516528+467376815%09322868923%0939761114261%09368805970%09676036066+354928208%09252528608%09770190520%09359520795%09991252664+456253345%09320001910%09308553349%09906185928%09396415593+317771398%09476326517%09485556142%09490153237%09337750658+332379467%09482382906%09561998545%09345824352%09372672288+439646910%09650768437%09392363266%09931706999%09339774196+394695045%09469739410%09502456665%09249260109%09435198107+393477671%09492564157%09419402195%09420727263%09888584237+459091937%09748907698%09393377223%09269129280%09420185119+386281101%09526975394%09373915880%09405028351%09222681694+518245403%09855432671%09881472438%09301018141%09215556295+652798810%09377566574%09287622294%09385183330%09435408445+606217704%09449428440%09580520786%09250944316%09494068784+314517048%09448574927%09834642501%09379757835%09446515681+407611328%09392187835%09969141340%09483654851%09720851090+412302812%09788141498%09760028064%09436420789%09329245191+655119093%09374407966%09345007613%09407788109%09300719873+413882008%09248437340%09556336613%09376286257%09498789496+397158437%09487140645%09315500295%09999690113%09456281605+346291307%09232482047%09320066247%09908846584%09752741785+317480106%09412451296%09384347633%09499361057%09262541439+648017664%09233479869%09371334310%09341107693%09895154125+260349883%09499673583%09338620993%09796064659%09440980161+220331078%09232912408%09493541063%09211656586%09408400331+436467724%09205889816%09481761786%09728367991%09414126180+704962296%09229787546%09647759875%09492167924%09841860224+484350692%09810889374%09445888691%09353905118%09+337912699%09774526446%09447879611%09474819594%09+334806678%09333226857%09435322892%09451013025%09+459624327%09203390227%09293694399%09702428302%09+375545809%09521444264%09383993530%09664956464%09+623543811%09417716342%09494347159%09484742945%09+705737827%09290905274%09435106132%09239202648%09+436142910%09471639058%09399338899%09247674975%09+786967139%09337976742%09419590101%09310462352%09+906865574%09227907931%09479024057%09441324809%09+469614438%09415935494%09379433391%09672586319%09+351556056%09985762785%09307465238%09369286608%09+604424285%09241513890%09407456354%09738388022%09+431246654%09325756733%09388112262%09590991225%09+301744963%09496157491%09861601952%09311319856%09+316550745%09378136943%09393066708%09896716197%09+455516293%09373854669%09297871781%09319977066%09+849949565%09444005196%09314556216%09389866006%09+210319916%09866986318%09337340120%09752870699%09+233994419%09409533864%09659963533%09323564761%09+896661868%09306196524%09450547391%09292039277%09+294164375%09495784456%09332811546%09402846556%09+336598220%09314487329%09403873701%09866201194%09+498077545%09494507147%09384905043%09324519731%09+626313007%09380324036%09393434812%09349912529%09+429976268%09355608097%09465267114%09449242960%09+367690880%09342409971%09429663590%09441568975%09+479235531%09373765010%09324319429%09398448669%09+414347286%09232620145%09289884138%09835309163%09+282149416%09891078527%09232055801%09213219414%09+896444792%09474320424%09460053831%09682638328%09+797078891%09%09483045299%09477994317%09+887853289%09%09343313646%09373845777%09+439297319%09%09785406508%09%09+499930633%09%09457677056%09%09+402242368%09%09498223476%09%09+376193884%09%09366780312%09%09+352478281%09%09669588784%09%09+325803511%09%09744228719%09%09+483701023%09%09657477938%09%09+S508761.SGB.20E1.253543153%09%09597427827%09%09+%09%09309883993%09%09+%09%09454748034%09%09+%09%09421119825%09%09+%09%09779600183%09%09+%09%09875530150%09%09+%09%09497999902%09%09+%09%09461002078%09%09+%09%09248985139%09%09+%09%09491481855%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</si>
  <si>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Ngày</t>
  </si>
  <si>
    <t>CA 1</t>
  </si>
  <si>
    <t>CA 2</t>
  </si>
  <si>
    <t>CA 3</t>
  </si>
  <si>
    <t>CA 4</t>
  </si>
  <si>
    <t>CA 5</t>
  </si>
  <si>
    <t>Tổng</t>
  </si>
  <si>
    <t>https://admin.giaohangtietkiem.vn/admin/api/index/limit:100?alias=658412568%09469137373+325774392%09221559014+377345477%09597643869+479872989%09321833564+523874174%09420919164+590104245%09476921069+S68370.SGB.22D1.407921694%09425255127+862725454%09611489689+880289700%09413697950+218866713%09614694831+675395621%09466468544+540630518%09474385687+551423942%09377291233+574260717%09450618093+304771024%09694580491+396427788%09328275922+372158367%09303808918+389150155%09717374810+466885028%09288359781+443596836%09397204971+341011153%09928971487+471493959%09278393291+381574264%09467683141+309276985%09453409003+270761790%09762025805+372028325%09376650272+404884797%09355557523+417424195%09473599177+422125232%09607723686+312628964%09349301326+343877895%09351140461+714412694%09354580658+435623403%09386523233+332268300%09867940758+352475071%09409725475+856003800%09488888413+478721573%09499874344+487472678%09315578658+442501546%09462576411+%09438983852+%09805316703+%09475007622+%09318096419+%09322936008+%09312358551+%09432540942+%09670210016+%09304348638+%09413002156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</si>
  <si>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TỔNG CA</t>
  </si>
  <si>
    <t>https://admin.giaohangtietkiem.vn/admin/api/index/limit:100?alias=454018150%09352489999+993914825%09423349317+467791623%09246496816+443335716%09452833236+321222947%09282100627+269067627%09499136264+468108437%09463916017+477584972%09346122894+460536763%09304404598+584541577%09352245595+358438747%09370997622+408382795%09336019506+477632563%09376988292+330864079%09340762068+378749527%09467966791+307068314%09433162251+463496064%09486364286+365954003%09454482098+450194226%09214832160+335065106%09364647569+335341989%09302101381+407050453%09324492151+906477760%09492355287+461349979%09469254439+215504076%09402553691+498503182%09353898807+451262046%09282646981+266051915%09482358962+425327434%09330147257+396359654%09311895283+232231145%09491473470+597515758%09415109906+713030960%09304339243+456969764%09459283741+372411261%09482892950+365797191%09233355274+434675566%09968801037+325806593%09850113497+718294356%09696821781+571308109%09355228771+889515850%09460954734+407006279%09619343958+485706612%09368491599+395425401%09478594723+325902616%09S3306152.SGB.21G.215166415+398453350%09455514789+811981454%09334929928+701482295%09387268376+429113515%09461669888+553435988%09817569056+484153379%09518658242+900476378%09867671799+323343555%09607204292+305552002%09256821978+794323868%09651618717+303954125%09458266829+451386440%09390147136+347494171%09324173160+462838213%09739472039+475925614%09344674459+311613429%09753876532+698309821%09605254327+361923133%09517938330+521611790%09517034971+904462213%09444681846+257349393%09361770987+397611674%09+432960146%09+452705420%09+335375631%09+492770079%09+214157924%09+423053305%09+484219590%09+963278664%09+498027897%09+349539183%09+409276127%09+991048201%09+656768231%09+249329714%09+280712703%09+202539233%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</si>
  <si>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Ca 1</t>
  </si>
  <si>
    <t>Ca 2</t>
  </si>
  <si>
    <t>Ca 3</t>
  </si>
  <si>
    <t>Ca 4</t>
  </si>
  <si>
    <t>https://admin.giaohangtietkiem.vn/admin/api/index/limit:100?alias=751115191%09461463261%09333241982%09442731349%09439415381%09659164491%09556009902+497437196%09395393565%09413494741%09307336159%09646187560%09628818777%09851228473+300814199%09464213068%09255147732%09349159679%09221000168%09944833323%09363403927+887428528%09336328669%09698624344%09419981413%09281975438%09350345245%09917626657+446549282%09416327964%09481759120%09870632580%09507860818%09986556350%09697180533+326503508%09420341859%09791979888%09644164025%09506130468%09655352165%09716009505+504069975%09858757859%09554500583%09327839545%09304113636%09258770434%09351217719+309443724%09377992248%09900246476%09407177492%09463496031%09892923594%09368696909+421542574%09447834946%09726096941%09386268341%09996156975%09306556108%09124631064+489578871%09425590174%09301359877%09307460969%09305606565%09565399198%09919932836+465668606%09532579455%09388375733%09787352860%09434160280%09988923483%09879617574+353389157%09549030223%09973987877%09554021559%09611760065%09448356016%09730689169+439209300%09989763950%09373201706%09468008078%09948336518%09463804265%09259779778+355997431%09368769811%09377141274%09656846963%09331505887%09498479185%09405994623+436198040%09504682697%09212023937%09662252993%09301873232%09454198143%09882226373+222307778%09345699442%09304966135%09425153074%09296960619%09510540978%09209219607+776904420%09255506056%09549924266%09457978487%09435204156%09739378086%09435022371+251904084%09345032060%09817980987%09323862527%09369996012%09243709995%09790746999+492076198%09586030391%09471913497%09550750965%09926255296%09488282683%09338105071+285845240%09349307914%09810510723%09469948751%09318956070%09528528145%09391283850+968313962%09230384090%09647792214%09626485670%09696884304%09342660751%09406889108+353131871%09303395917%09444659922%09667178443%09425519511%09342660751%09254011046+444095990%09389289940%09645494397%09205710066%09429564303%09406864910%09395980606+379866617%09687785141%09994139866%09432280840%09331526841%09253239190%09754206228+351760680%09389332606%09974583772%09490532729%09545435288%09428290490%09295818511+613635934%09523815514%09287636193%09367488233%09422368845%09989992216%09940691559+366306192%09821639995%09860701087%09279019145%09576802668%09417336945%09870110452+296625403%09929580017%09391735447%09914495372%09396088409%09612457827%09489887088+963196275%09310199162%09355807897%09994426160%09200426048%09838858562%09315322321+345731612%09853195205%09341285715%09414854826%09869201128%09652866660%09333033883+491072915%09818213648%09708241809%09404696172%09360487134%09310475711%09782432665+988172219%09714189368%09623247105%09330357274%09608374381%09424659484%09375439486+316770047%09499640001%09378545207%09986412478%09244732515%09202463122%09692679660+906623540%09233427851%09498782908%09755026003%09451599208%09409967533%09423384630+910562745%09890817446%09288372217%09378457072%09440403677%09290538547%09285783024+329706081%09463782622%09900774952%09419054927%09533602576%09427696421%09376803149+735007681%09922297156%09403737265%09417772726%09386274236%09749016485%09845921227+674705760%09900756765%09784963307%09529809195%09909602004%09460735603%09373804022+823641766%09439135679%09785985922%09910037142%09663582052%09464751282%09330159340+543198170%09484874872%09794871619%09370035586%09891075166%09361893106%09320794350+746145144%09738141830%09318766179%09900773962%09902285415%09835150113%09716118953+431436083%09359793240%09831972799%09401396189%09397345064%09482967147%09406651938+372990077%09444622066%09937781600%09%09630544086%09483657704%09397155216+377352240%09252167406%09353265242%09%09339404313%09345387724%09494932008+657900201%09700034363%09660788434%09%09967490344%09599143263%09388153598+995324650%09208780295%09318047798%09%09764434710%09444593983%09559900906+371019936%09465427876%09479373129%09%09449709560%09578631717%09233370010+395163742%09376325698%09747236769%09%09370188815%09334692559%09552017961+357994658%09824746598%09385513684%09%09240651221%09487331622%09377751589+546790199%09308325470%09559087185%09%09472873411%09722885776%09419415281+311534228%09567765954%09458053321%09%09468037392%09672242775%09594224137+818933357%09367648104%09983315442%09%09423471322%09817371271%09430884542+310266638%09817968296%09427558756%09%09887705126%09390297708%09360153981+456996963%09502679985%09579325218%09%09470576076%09459223788%09672368398+943922377%09395469759%09923984064%09%09276842977%09381920078%09521561813+937876606%09579295181%09482364267%09%09357717769%09805441143%09604539454+495712290%09453298972%09431636982%09%09702465653%09362068179%09343594502+673348536%09340302368%09402918063%09%09621520254%09324485628%09276466772+368738036%09861961268%09741536765%09%09313988394%09981207078%09936577580+825127278%09742620277%09758349713%09%09640851499%09357735900%09458145729+410874582%09640577713%09351712261%09%09500235145%09359107642%09859562168+355281498%09903298188%09327775558%09%09271628033%09725491751%09318914916+394346452%09495952673%09966980602%09%09447171589%09349617404%09312678632+239733311%09483615176%09466039682%09%09350426667%09229873825%09448338478+340074901%09420831391%09458144414%09%09371669417%09202386913%09496160519+747147414%09894920751%09459450620%09%09912989102%09621643386%09426028715+%09382789468%09427178184%09%09533291030%09388806213%09595700977+%09489090406%09473325459%09%09365303370%09290790429%09416911056+%09383362622%09361024560%09%09673126054%09385735591%09378315389+%09347893689%09926830770%09%09%09378693060%09610182356+%09625078375%09409641307%09%09%09300786703%09398638519+%09315327917%09872166861%09%09%09339264930%09735356474+%09407676238%09349528614%09%09%09457892647%09368327434+%09368047799%09%09%09%09714242988%09254822795+%09532431223%09%09%09%09401145777%09222893740+%09378894499%09%09%09%09437242786%09340549173+%09230803072%09%09%09%09483636424%09946571013+%09732261697%09%09%09%09239049749%09481766094+%09929146933%09%09%09%09324620237%09864248758+%09%09%09%09%09960041128%09939142665+%09%09%09%09%09960041128%09406138015+%09%09%09%09%09726256473%09439021949+%09%09%09%09%09718736944%09+%09%09%09%09%09419004173%09+%09%09%09%09%09482587865%09+%09%09%09%09%09891810462%09+%09%09%09%09%09349982152%09+%09%09%09%09%09530865079%09+%09%09%09%09%09878152689%09+%09%09%09%09%09301651725%09+%09%09%09%09%09627613918%09+%09%09%09%09%09350328116%09+%09%09%09%09%09889709566%09+%09%09%09%09%09494230747%09+%09%09%09%09%09398066349%09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</si>
  <si>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Ca 5</t>
  </si>
  <si>
    <t>Sản lượng</t>
  </si>
  <si>
    <t>99.95%</t>
  </si>
  <si>
    <t>99.93%</t>
  </si>
  <si>
    <t>91.72%</t>
  </si>
  <si>
    <t>81.2%</t>
  </si>
  <si>
    <t>76.89%</t>
  </si>
  <si>
    <t>77.44%</t>
  </si>
  <si>
    <t>68.14%</t>
  </si>
  <si>
    <t>https://admin.giaohangtietkiem.vn/admin/api/index/limit:100?alias=466820585%09355290248%09348293347%09235922089%09425586310%09403390917%09453939261+351746665%09902190483%09387271714%09468610870%09328168700%09365847324%09488105513+345572576%09650605608%09435776860%09396402922%09416806069%09456311077%09354606978+370486449%09399743243%09481482105%09487763395%09493684414%09327978962%09406032541+344650391%09662021295%09316701955%09337599080%09371968082%09223866966%09322755510+436550242%09899214355%09485428599%09430326766%09487426960%09372716676%09304614399+343845497%09%09409657760%09383712617%09361214943%09486045472%09356864477+687311502%09%09418071381%09374904863%09316043335%09440158886%09303230939+498921945%09%09392121430%09388538782%09400695656%09398112295%09460213583+355455914%09%09423730222%09832467523%09250295568%09496561897%09447738330+468311247%09%09%09376172572%09272159413%09435487610%09360179547+326295473%09%09%09364203235%09466792797%09476589040%09463103639+406639609%09%09%09479426325%09341737347%09439842093%09394921795+443465354%09%09%09454321818%09309139185%09453427013%09498879157+323589534%09%09%09290203668%09344225320%09349783643%09465900606+455180771%09%09%09407790262%09474513136%09394017995%09255648145+367026788%09%09%09487754746%09467180883%09%09856986763+418912002%09%09%09318535109%09241996267%09%09209518138+224865740%09%09%09242907903%09312935540%09%09233751707+271300327%09%09%09219245355%09%09%09211213707+389943369%09%09%09%09%09%09872567928+357002551%09%09%09%09%09%09368041692+307129422%09%09%09%09%09%09430107686+387037769%09%09%09%09%09%09978991019+304088355%09%09%09%09%09%09411141079+434704678%09%09%09%09%09%09251833269+422175134%09%09%09%09%09%09392252197+426995260%09%09%09%09%09%09566825489+%09%09%09%09%09%09297947755+%09%09%09%09%09%09327079051+%09%09%09%09%09%09446437027+%09%09%09%09%09%09481906508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</si>
  <si>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1. Nhân sự</t>
  </si>
  <si>
    <t>Tổng Pteam</t>
  </si>
  <si>
    <t>Tổng Route</t>
  </si>
  <si>
    <t>39(tính luôn xe tải)</t>
  </si>
  <si>
    <t>Số Pteam nhận việc</t>
  </si>
  <si>
    <t>Số Pteam thiếu</t>
  </si>
  <si>
    <t>2. Sản lượng</t>
  </si>
  <si>
    <t>https://admin.giaohangtietkiem.vn/admin/api/index/limit:100?alias=340577883%09401115187%09207892420%09365987647%09596428230+334413978%09420909503%09294126070%09423719598%09706142386+432948356%09233771116%09252700428%09458654254%09513140687+453279919%09368223351%09806197439%09464768341%09360799737+738436122%09648547806%09416170295%09933125822%09487431065+399764896%09423590562%09389658077%09412851546%09937582076+495696460%09374100412%09976818029%09469779794%09250296635+807752446%09334460258%09309864130%09208239549%09373584672+481493754%09384024662%09308109986%09441775270%09650328358+532860931%09405577603%09258947412%09481941094%09362408381+424364382%09411905159%09397621684%09440680572%09693900832+217867896%09323139849%09818469091%09934699619%09480207684+369925075%09395770017%09305987029%09980044383%09418983248+683856866%09473974169%09461920870%09337883854%09387248115+412610157%09557907464%09334494904%09313229221%09422384744+669423660%09348583176%09441547131%09675119642%09661766836+774493389%09202153689%09986461860%09253614289%09551466604+596778961%09702449725%09386417116%09834888191%09610551419+495301074%09290999297%09733504281%09519138446%09857457313+469848504%09417219632%09876126925%09284009313%09398186571+447983650%09324680095%09203443334%09851402446%09595814825+835449360%09280106024%09365902125%09910000501%09253772810+435906519%09409195869%09924349100%09314314157%09451886665+624617555%09800903148%09419099714%09555238667%09910856449+961044117%09435359211%09876851791%09649624350%09777624454+467376470%09273811914%09467954674%09872561575%09536465655+367621746%09333504022%09276169865%09982844712%09437149613+322621499%09447354779%09300776825%09933884839%09429770070+597250436%09990562649%09978150278%09489682201%09904879642+323757061%09682120267%09774926210%09772145965%09969026994+766799520%09343361736%09637297325%09316137538%09386207782+489596596%09739161623%09385895833%09328263041%09882432070+334909355%09224607801%09390034315%09902780810%09345883324+764447608%09371661421%09417973888%09216005690%09638461220+389542083%09428533182%09322471642%09535212906%09387873666+704781058%09755543814%09437462359%09382689373%09484428900+495515886%09363138405%09737952624%09930693772%09384644007+468988469%09260492322%09739937395%09551018351%09885886239+536826446%09272639845%09640367176%09958765508%09962612256+358979180%09365398885%09646576724%09539970329%09249881381+378936062%09467437843%09458516110%09544719107%09741942737+361036048%09751817310%09460655651%09382257245%09267018790+981571028%09334705302%09266429646%09451864300%09431934392+464468274%09262129150%09244251651%09434184498%09676737313+622029858%09377015834%09346132987%09344872260%09425384019+425669637%09995966092%09379911510%09969535930%09669079734+897875178%09803791071%09498686469%09918074386%09527468784+337425944%09324484866%09877235382%09460191452%09999591936+360316575%09908778067%09697624160%09329050180%09569932257+458285214%09535724659%09491002871%09477723581%09429691228+309478432%09345813200%09873362968%09430051583%09203853471+350143574%09365946186%09294846950%09809763004%09818428617+662604425%09434202545%09373548144%09682928653%09648878803+644377723%09660834531%09316409034%09466444946%09533053079+718926710%09446293796%09692193037%09327120805%09653819290+831471165%09336482528%09698150451%09209539939%09S8804828.SGB.22B4.322768350+446057390%09428594088%09364930923%09483093473%09246321570+405863636%09296811202%09390067356%09707810648%09395561721+497455762%09648547806%09284137636%09456024656%09591100478+300324961%09265174520%09%09358981567%09743039294+315712044%09%09%09442005313%09410750065+309136037%09%09%09792050551%09843937514+534566722%09%09%09752862377%09401263544+396882892%09%09%09739003256%09462898188+536666107%09%09%09927957439%09200754041+385413792%09%09%09344218058%09353067183+401834068%09%09%09337559859%09487515867+487989481%09%09%09496761338%09567764033+475598278%09%09%09337216943%09531020466+323586905%09%09%09552912667%09776732885+255698062%09%09%09646455520%09430942191+372402836%09%09%09466002220%09221756842+363215186%09%09%09367356211%09338230244+651551862%09%09%09864663425%09472287453+694634836%09%09%09715547374%09589774536+694634836%09%09%09412542293%09360722799+695908875%09%09%09870637249%09270571681+449321192%09%09%09368065095%09848674023+325103091%09%09%09829036072%09727397041+307773390%09%09%09615625883%09860511233+461496569%09%09%09317950116%09364561825+%09%09%09439784040%09756856607+%09%09%09829637882%09964326537+%09%09%09796862278%09601877375+%09%09%096774%09972374007+%09%09%09401483226%09703912071+%09%09%09810312541%09487413547+%09%09%09836261198%09896385652+%09%09%09442207328%09481698250+%09%09%09290991383%09315331963+%09%09%09334376733%09374240366+%09%09%09392049880%09720770711+%09%09%09257023900%09302643845+%09%09%09362358560%09333712855+%09%09%09904193227%09409422758+%09%09%09342025817%09633418504+%09%09%09601983938%09416732902+%09%09%09485683327%09365207547+%09%09%09846852929%09321932913+%09%09%09232684281%09317533075+%09%09%09374865334%09207465318+%09%09%09351837159%09467567047+%09%09%09336191797%09888175328+%09%09%09358589711%09279384755+%09%09%09364320565%09432034393+%09%09%09439355970%09395285396+%09%09%09802428937%09903952268+%09%09%09306455685%09596777816+%09%09%09322014445%09322715537+%09%09%09398032498%09352030791+%09%09%09418807514%09461748270+%09%09%09369688805%09610389217+%09%09%09410283342%09446236640+%09%09%09852146357%09497082254+%09%09%09844446419%09207321094+%09%09%09208679488%09404492855+%09%09%09489407274%09484136691+%09%09%09664029918%09379442633+%09%09%09424024772%09471612016+%09%09%09473551058%09489852315+%09%09%09298086135%09455008229+%09%09%09454882401%09649665620+%09%09%09362419492%09956001751+%09%09%09695137030%09493190379+%09%09%09531784097%09887500905+%09%09%09461849775%09386196082+%09%09%09286167424%09432490143+%09%09%09288275295%09496893419+%09%09%09294313833%09435189185+%09%09%09903084338%09483306235+%09%09%09316969922%09892205288+%09%09%09696547428%09981717660+%09%09%09542821178%09444085036+%09%09%09%09302215943+%09%09%09%09826058882+%09%09%09%09388996268+%09%09%09%09850647586+%09%09%09%09531353063+%09%09%09%09204259274+%09%09%09%09269707438+%09%09%09%09374812576+%09%09%09%09456404290+%09%09%09%09732076757+%09%09%09%09365657251+%09%09%09%09322447502+%09%09%09%09363083280+%09%09%09%0986976672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</si>
  <si>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185</t>
  </si>
  <si>
    <t>https://admin.giaohangtietkiem.vn/admin/api/index/limit:100?alias=780739299%09510968304%09505677843%09600343263+779251193%09472590757%09787727749%09578606712+395404853%09737697240%09344996915%09918044115+684408687%09966959866%09337223849%09760643631+968676402%09588225126%09871058176%09863844851+326184952%09474041398%09355533471%09291730815+962028216%09652937168%09847799398%09890481966+452498111%09775910472%09481911772%09505315890+666399655%09815804899%09688699651%09649978944+704424290%09551263459%09305776495%09998243361+588487614%09524830885%09515034824%09478546967+675278803%09958534208%09551237368%09423459362+670670318%09615999150%09306828120%09741704854+346170756%09204614570%09597679307%09450968779+810139087%09975689226%09888745839%09562587799+588492423%09370277626%09988946439%09598160311+315597592%09540963708%09377176378%09308824774+840376225%09295267661%09571956033%09588477149+211344037%09335660160%09673094532%09537966733+945960341%09592593901%09368485499%09482614344+541609812%09458358442%09570093864%09631251827+734904353%09739410597%09488323296%09311923243+822251848%09758290698%09648683020%09471950411+553547786%09419009848%09518806464%09827790808+714164995%09742911201%09384604758%09923188244+497872737%09725988910%09407096638%09495582764+449681798%09686156246%09978836548%09496036362+878315162%09859076504%09328568804%09287122045+342633838%09524835580%09285073945%09656745432+546109721%09463266572%09542556008%09958593595+517970295%09963451939%09612757699%09+372485505%09775813284%09735174719%09+361840930%09710752909%09454269370%09+413219717%09222449566%09893685151%09+395949369%09396572325%09491101132%09+515776070%09942592009%09886279279%09+748423139%09714757548%09840235326%09+261034129%09455428859%09534357306%09+411714469%09568721124%09412628633%09+897549860%09310417256%09345083886%09+582458498%09430423592%09923206291%09+850897366%09371078471%09%09+774307794%09307234135%09%09+875102203%09430423592%09%09+751465653%09888892217%09%09+310190153%09290195950%09%09+377521567%09%09%09+341512799%09%09%09+935363261%09%09%09+920525535%09%09%09+947810860%09%09%09+568785239%09%09%09+457750169%09%09%09+528326314%09%09%09+992336851%09%09%09+774437398%09%09%09+417465495%09%09%09+473513160%09%09%09+419382119%09%09%09+349245664%09%09%09+867960627%09%09%09+719877844%09%09%09+348252852%09%09%09+903014758%09%09%09+353233638%09%09%09+666601845%09%09%09+967760633%09%09%09+865275348%09%09%09+827801157%09%09%09+351968841%09%09%09+325596291%09%09%09+716362358%09%09%09+326124854%09%09%09+973858914%09%09%09+564011872%09%09%09+638356564%09%09%09+967955584%09%09%09+222655898%09%09%09+513212475%09%09%09+560029163%09%09%09+800141851%09%09%09+748967933%09%09%09+592249065%09%09%09+439606180%09%09%09+537174648%09%09%09+307217299%09%09%09+354682660%09%09%09+390965565%09%09%09+876186463%09%09%09+574526543%09%09%09+973851142%09%09%09+397133103%09%09%09+924765979%09%09%09+838286364%09%09%09+477723237%09%09%09+318550441%09%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</si>
  <si>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1182</t>
  </si>
  <si>
    <t>949</t>
  </si>
  <si>
    <t>1989</t>
  </si>
  <si>
    <t>https://admin.giaohangtietkiem.vn/admin/api/index/limit:100?alias=720619178%09370382460%09252460498%09483739785%09808807152+517576279%09303603211%09449313223%09419123385%09483147682+421525534%09718513121%09461099724%09695695792%09829760350+274074512%09229689612%09493033325%09331400440%09496826258+414649302%09485285740%09676035740%09993013778%09441053201+650038327%09652061681%09307884265%09397113434%09672581393+810866190%09459791522%09337439270%09918850918%09740071494+769428610%09467765891%09902046811%09668073620%09832614144+%09400214712%09994093001%09660239141%09361294772+%09394140484%09217955507%09282798866%09639537687+%09382690710%09319604131%09279831516%09471050086+%09314924932%09932021325%09722460714%09871118169+%09558263099%09823083185%09525135756%09653520817+%09263977320%09373235869%09377688740%09308167356+%09362024756%09327484153%09750972511%09430818789+%09602600914%09217117138%09372835172%09612323049+%09398652118%09720128570%09517944702%09728382688+%09391444343%09335416011%09687798185%09696031733+%09251919252%09245587412%09436021757%09363824368+%09311545577%09213072087%09477456311%09267548996+%09548032748%09323405316%09327702667%09367727272+%09308496319%09486198191%09896756777%09338015895+%09304521099%09218230515%09605910520%09933952666+%09202490300%09377732051%09487423289%09457864598+%09420915939%09530405019%09315926688%09427598843+%09419278397%09479277465%09776951348%09406180743+%09356064414%09267439541%09316069088%09368477014+%09706445730%09%09719126209%09637020645+%09%09%09942379506%09568885273+%09%09%09945024673%09404984146+%09%09%09201652609%09308314838+%09%09%09729520529%09400720476+%09%09%09646159344%09495241352+%09%09%09356009213%09435233739+%09%09%09697212625%09882350265+%09%09%09791242837%09402878506+%09%09%09494316948%09707657455+%09%09%09311399832%09326756298+%09%09%09328075837%09358949007+%09%09%09326852065%09448836355+%09%09%09849049916%09357553003+%09%09%09397727641%09298142037+%09%09%09336109172%09351104275+%09%09%09556082160%09498008833+%09%09%09%09427857131+%09%09%09%09524005976+%09%09%09%09536297043+%09%09%09%09339451829+%09%09%09%09225041612+%09%09%09%09482069410+%09%09%09%09224644356+%09%09%09%09324221974+%09%09%09%09364468797+%09%09%09%09381506402+%09%09%09%09994755118+%09%09%09%09411488925+%09%09%09%09373831119+%09%09%09%09390287930+%09%09%09%09238559984+%09%09%09%09818223871+%09%09%09%09883099732+%09%09%09%09427849872+%09%09%09%09774142698+%09%09%09%09332132550+%09%09%09%09606033356+%09%09%09%09392974406+%09%09%09%09358528601+%09%09%09%09233339563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</si>
  <si>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https://admin.giaohangtietkiem.vn/admin/api/index/limit:100?alias=848344930%09963111462%09960955776%09636259332%09672113721%09651773869%09391201248%09627833160%09741738647%09520897520%09352233877+785661083%09983959924%09986219489%09391738005%09675128670%09224178544%09740622764%09256151138%09417074439%09311308337%09252768107+310622903%09846261807%09775625076%09397529827%09913666463%09321272623%09883022030%09247956161%09378620091%09352881294%09450162625+286167424%09419247432%09675987596%09460865617%09304551842%09208761068%09404315548%09464994555%09987309786%09738896959%09749065497+313273104%09783022950%09447983650%09290623275%09646879879%09332716287%09399470111%09505500761%09376403988%09850051739%09444026647+482978761%09604059937%09424713616%09368870900%09593518126%09328942933%09921521611%09315485678%09%09318621590%09330246447+978439793%09%09494949237%09486827036%09287966410%09437453105%09205528796%09465732922%09%09704910969%09+988741157%09%09685856468%09284601733%09%09327442083%09442197177%09849566526%09%09382743359%09+598387804%09%09333307853%09535148812%09%09261828375%09839611855%09446985278%09%09606383612%09+207548660%09%09661471451%09428533182%09%09239998405%09639905959%09344534262%09%09747200642%09+599990013%09%09960903990%09276466772%09%09404002240%09389233289%09556754170%09%09955255241%09+885881871%09%09214985601%09742120913%09%09918949345%09392549221%09413209852%09%09892653910%09+365677379%09%09455115731%09%09%09351103699%09540770771%09%09%09704910969%09+793710054%09%09361398563%09%09%09983647925%09342731022%09%09%09725423671%09+513255870%09%09654807570%09%09%09943338845%09805188827%09%09%09709430990%09+356183813%09%09539935134%09%09%09518033152%09203542633%09%09%09427057000%09+453964210%09%09919717938%09%09%09735601077%09%09%09%09712089277%09+608363509%09%09939491038%09%09%09215815580%09%09%09%09961044117%09+673892351%09%09%09%09%09415305982%09%09%09%09365305951%09+%09%09%09%09%09299493441%09%09%09%09369719203%09+%09%09%09%09%09539161500%09%09%09%09425898225%09+%09%09%09%09%09843462758%09%09%09%09388827946%09+%09%09%09%09%09784194901%09%09%09%09%09+%09%09%09%09%09389658077%09%09%09%09%09+%09%09%09%09%09872775301%09%09%09%09%09+%09%09%09%09%09293871481%09%09%09%09%09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</si>
  <si>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604</t>
  </si>
  <si>
    <t>3. Các vấn đề phát sinh</t>
  </si>
  <si>
    <t>4. Đề xuất</t>
  </si>
  <si>
    <t>https://admin.giaohangtietkiem.vn/admin/api/index/limit:100?alias=306391601%09341314588%09386302373%09349858635%09310018151%09364883408%09456821740%09393444907%09367461703%09344455680+217629082%09379339968%09397866148%09389873543%09302160009%09369080019%09356413808%09208340324%09468503928%09382251654+495024772%09431563364%09657972894%09766509761%09478315381%09475771116%09873012889%09483214083%09710660932%09562134065+341262504%09350345539%09877158439%09671308551%09395020561%09988737894%09281174784%09492112749%09352597208%09866706289+616357768%09411114657%09477058315%09205294757%09426642490%09444711156%09598206831%09468583399%09585155131%09465951723+346702615%09752646213%09558629128%09969051948%09986927954%09649634807%09445054718%09735748105%09416329878%09372306774+415443424%09385162702%09702932790%09463388000%09372536837%09308762740%09352945792%09432826838%09733367461%09461185683+438133018%09517948521%09415294391%09778326631%09205095154%09774002523%09349547712%09673741835%09308067234%09471419879+755179695%09885032932%09287213541%09770729524%09967053905%09372298201%09269965116%09359872324%09815589956%09325636389+374649611%09617323790%09695442966%09354138552%09348251692%09442766236%09438833310%09441300199%09855042393%09301930597+327211592%09353530150%09374105036%09987985577%09420367334%09230478190%09509332581%09403286374%09220659618%09761430886+468306880%09201235690%09447262408%09544570377%09425425083%09842231368%09569808478%09348007250%09387877632%09698183820+683239282%09438861456%09886422227864%09383030936%09375265692%09278536521%09861751338%09761469663%09762542082%09502075899+312312744%09366984665%09216042888%09412993440%09351235536%09340618642%09392443151%09833887501%09434785555%09805320809+905283199%09860689148%09402877286%09491470367%09%09%09672153524%09%09407261848%09+333617464%09266753514%09865682721%09375965257%09%09%09572260437%09%09345371538%09+323356370%09751357130%09353656678%09418247619%09%09%09640384675%09%09%09+265915484%09686129197%09515564257%09320983005%09%09%09410449654%09%09%09+496939835%09318059705%09943237935%09323201863%09%09%09419370710%09%09%09+340596213%09379453420%09523821339%09947028498%09%09%09367557564%09%09%09+%09422287437%09423798974%09714220918%09%09%09389052958%09%09%09+%09561535159%09449800305%09%09%09%09466105323%09%09%09+%09407409421%09348618109%09%09%09%09956353178%09%09%09+%09344439794%09420011088%09%09%09%09310419184%09%09%09+%09972613070%09463422287%09%09%09%09270660559%09%09%09+%09754169566%09479993179%09%09%09%09618768801%09%09%09+%09992037233%09425269280%09%09%09%09373172050%09%09%09+%09%09639421324%09%09%09%09817793506%09%09%09+%09%09957384232%09%09%09%09343492641%09%09%09+%09%09740564714%09%09%09%09879183209%09%09%09+%09%09875050127%09%09%09%09234678205%09%09%09+%09%09318871348%09%09%09%09361038446%09%09%09+%09%09672443263%09%09%09%09488185613%09%09%09+%09%09518922122%09%09%09%09431896842%09%09%09+%09%09%09%09%09%09404343347%09%09%09+%09%09%09%09%09%09610629732%09%09%09+%09%09%09%09%09%09453693668%09%09%09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</si>
  <si>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Tạ Viết Danh ca 5 k bàn giao, đã cho lập biên bản và thôi việc</t>
  </si>
  <si>
    <t>Tăng/Giảm (hôm qua)</t>
  </si>
  <si>
    <t>Tăng/Giảm (tuần trước)</t>
  </si>
  <si>
    <t>https://admin.giaohangtietkiem.vn/admin/api/index/limit:100?alias=886223040+263840640+680483490+912838450+535042052+851281050+721499146+818756635+859530078+408455350+320319632+924419075+486431507+669676527+972139968+553992864+707940425+414492481+241377990+669837979+617234023+494069357+822541500+519568860+619061968+825693610+716767774+642454594+592553816+684769453+431187689+594692237+249655997+943067329+360097487+616032834+742675007+849142626+769212141+705635474+751507787+424043968+490951267+628946814+304196091+335731174+779143982+476697522+559135723+978607809+782829241+994375960+973594835%2C+481573428+448769676+533324948+494933230+569382283+299220067+998565226+773771935+428001687+389797248+571716337+384393454+712557042+919068015+783026159+304721909+606982695+796722922+814187052+637999903+955562593+921151276+889641912+858132830+700718332+761620524+650855494+750787661+657187925+966536611+912321129+337393378+489011352+373949038+392298100+699966840+484695027+386011779+678454348+833868405+851113431+699529991+956434137+470699291+324029127+808610273+393372085+712266456+837540257+522992937+556895714+975845539+605040730+845273791+375579344%2C+882334268+819526968+370145973+552682157+501177393+493851387+307000242+813874546+750931081+533797068+727115839+725918587+865845616+336535938+724923794+578770418+714098217+561368709+873699204+558083730+981665303+777786754+722506448+882535708+820992938+915244893+903339618+995910814+361452436+945131525+281514630+518866498+439179759+459129938+675699944+381003834+387810769+348611894+207864528+343206501+659974955+439753622+993967598+837936470+623533746+389939139+866880583+224289814+434134884+814866479+895606371+770453774+899072505+552960204+522446388+859122984+597002167+451488482+738287306+699140035+966935952+413225111+745694293+664519563+801389046+441806093+689460829+278821206+307860441+929708278+719082265+925086585+990927670+657605150+445104744+718426328+751248677+475155041+331943601+625069598+794412545+280570240+745884409+980877678%2C+203293376+840138750+913433143+790628836+712464097+414824545+713415769+356255561+515216082+945431972+504439192+351618450+833078585+397836235+373943399+426708810+641921447+982767109+352108645+939313758+544909846+812232437+229746677+735581871+417789147+435190937+851980504+383608816%2C+738166640+348129913+348129913+910121428+417149321+401375202+555400178+381267627+440145633+398814013+569911105+808922887+373159553+224795302+318278636+545071158+678842322+605790116+512872927+971766056+882441485+469790036+246932219+638859588+408100164+320703736+338818993+212870857+774780053+582759555+609414698+865459864+393742484+606273023+862222545+416026034+537394502+561793373+891242467+718625746%2C+440858106+681041397+404232185+449369769+874738568+562438531+889197322+876926629+288462778+272438650+647462508+320103545+553230931+371859648+335056821+398844683+719324320+362967552+635820274+805737707+650810101+315877085+330923449+266299565+753924609+866081388+906146689+820771590+340142552+817647460+859062213+992895414+461113021+611699555+340634850+664591050+496234243+611983227+655119509+669382341+305538951+226360625+342372368%2C+968912161%09830406981+341485629%09726889848+635117356%09446933655+576700697%09801368984+986449879%09472073142+358370383%09466772323+436123357%09570992656+912414545%09999855458+550667349%09726155761+553140055%09256498442+200579970%09607732244+636953753%09801683450+855728910%09444112582+705685313%09388804713+668273896%09602350935+917491368%09369231571+353085200%09368973066+423801738%09374343737+234592999%09523046966+503703277%09668758940+501321077%09484969617+435403318%09521237377+821427397%09593584434+287920339%09310190901+555856080%09+274561983%09%2C+585245371+464040532+265891963+469929961+368899066+943691630+874837760+424462939+314543011+382249570+760036433+313102296+561351093+499662718+490365019+260660818+484668849+918320917+622294831+936872211+250163552+900001011+355443759+477835041+368635707+616971157+727807723+813830729+600510720+233516531+900947625+472519341+887405499+763702263+748704637+651428254+448715188+887191833+988593189+902212873%2C+330590120+800846912+617253221+919913217+846763175+668773410+793445520+487091720+265752938+897345328+326836417+921674772+655243048+833780490+956220034+537499595+662084823+831234584+348800025+963478895+431713014+365576328+521783335+423858044+334798576+636179608+989240808+308048245+608430324+385405701+992045938+411931083+354529938+622238569+837561531+330294830+726870716+999789190+458434605+871372110+668902612+935868416+328782682+468907142+903388272+346751945+584490808+924768495+814633021+338379870+sai+kho+540584988+409623273+369065794+648017111%2C+452628501+522556248+375552748+632234012+632234012+329720921+896175198+386939255+988846875+211441398+315552714+780639911+341501369+904926512+423238020+723756007+464950832+319654055+954299450+407831627+303062880+388341774+770141010+377205350+600833014+472888736+515168329+491405540+991910067+764818226+238333869+495231523+985062953+826366945+281760428+494401746+379573561+332100098+682831737+495975811+798604118+674993541+381112450+371536892+914995934+393730241+594501537+842797654+776470708+723743767+467732107+430678453+576577377+647519879+672767424+553713721+539151218+419123615+977937220+393104757+776265040+950200064+645853960+781041533+722542686+668862403+585294689+480082237+682723599+751898559+551634534+383246063+730782908+315664562+921051067+451139199+573446319+553281178&amp;package_status_id=&amp;t_stt=&amp;r_stt=&amp;cr_from=2019-10-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</si>
  <si>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163</t>
  </si>
  <si>
    <t>138</t>
  </si>
  <si>
    <t>ca 6</t>
  </si>
  <si>
    <t>592</t>
  </si>
  <si>
    <t>538</t>
  </si>
  <si>
    <t>https://admin.giaohangtietkiem.vn/admin/api/index/limit:100?alias=637579619%09449706533%09392099443%09435059979%09328109161%09948334321%09819381435%09363021062%09977536728%09467516243+409750573%09682669326%09663068421%09326395650%09380162940%09308025922%09463220721%09377904712%09564705286%09418065510+619315740%09447439053%09333164159%09395530381%09316111285%09649088241%09405949023%09537889453%09583726803%09316568625+609283191%09222264830%09316520995%09215294676%09208932653%09472362914%09733689103%09333360686%09330020738%09391547272+395327968%09999164109%09309994532%09403008348%09789379522%09936283789%09276967215%09439330770%09450846290%09363985982+281061362%09341481692%09644935716%09474540801%09270875327%09513825004%09359716316%09606819993%09354683644%09353681506+959660119%09318113338%09801439221%09870037191%09998480506%09362191566%09766055151%09374677455%09239067331%09316508350+344240161%09607250684%09402225726%09959706164%09422106592%09751053814%09765371103%09453669563%09922009911%09862538271+933585732%09349462451%09902496645%09919282332%09947360375%09508703350%09408604792%09337627859%09906973090%09744496379+973984144%09473981734%09471950959%09331681996%09303854201%09980091796%09453188008%09380534502%09559124517%09365480936+776310390%09484140797%09312666765%09345411236%09535823594%09872202060%09988998385%09231982131%09512197323%09353761548+600824157%09723095787%09455077605%09630985367%09913703797%09319541138%09452710891%09465559278%09340147389%09902241807+471827598%09421113795%09331816375%09342096672%09319676619%09712561652%09482459441%09753799739%09597736541%09820923891+714863866%09785293385%09861915024%09283951758%09697415459%09515547979%09299236848%09323022799%09487766121%09239501957+682689586%09421615142%09612729693%09325549109%09363953783%09639873059%09450771099%09402219875%09978393632%09427240991+207625633%09397279029%09418082939965940932%09200972559%09448436606%09225747990%09853003103%09389324326%09579657914%09447824203+480207016%09706765099%09467201206%09465922184%09589310167%09978936745%09945240146%09885490022%09704958956%09616336730+700365053%09388244731%09801200115%09%09387799587%09509804534%09%09393654402%09386103187%09833506928+614844778%09427195442%09308492565%09%09663518500%09788141790%09%09941437669%09454532470%09300178058+757946872%09265079547%09590541666%09%09608158808%09351429668%09%09402219875%09426671014%09759646066+478463769%09512465146%09412223795%09%09434648679%09%09%09885490022%09302089904%09600208056+224095966%09744081050%09646114797%09%09839109931%09%09%09393654402%09527716303%09569159973+917546408%09251632190%09849827571%09%09470482011%09%09%09391356877%09436161240%09793178767+713145812%09231607103%09%09%09232712926%09%09%09576953775%09498508291%09398023395+686190375%09404123976%09%09%09%09%09%09394980877%09498956622%09428487792+892596243%09882319242%09%09%09%09%09%09499665221%09354937913%09517949924+904340083%09694504619%09%09%09%09%09%09802803181%09469273835%09292494908+364866031%09%09%09%09%09%09%09707649058%09877425814%09+693277939%09%09%09%09%09%09%09344629658%09792484818%09+631819066%09%09%09%09%09%09%09385283103%09477723960%09+682726302%09%09%09%09%09%09%09943066213%09480249092%09+%09%09%09%09%09%09%09513425774%09792400904%09+%09%09%09%09%09%09%09720457450%09431286149%09+%09%09%09%09%09%09%09858167397%09602248489%09+%09%09%09%09%09%09%09424844885%09734117422%09+%09%09%09%09%09%09%09353801652%09%09+%09%09%09%09%09%09%09613176339%09%09+%09%09%09%09%09%09%09935310358%09%09+%09%09%09%09%09%09%09916807259%09%09+%09%09%09%09%09%09%09241508716%09%09+%09%09%09%09%09%09%09406774299%09%09+%09%09%09%09%09%09%09851041645%09%09+%09%09%09%09%09%09%09307642068%09%09+%09%09%09%09%09%09%09361439355%09%09+%09%09%09%09%09%09%09795189103%09%09+%09%09%09%09%09%09%09245943731%09%09+%09%09%09%09%09%09%09808278210%09%09+%09%09%09%09%09%09%09659007140%09%09+%09%09%09%09%09%09%09716331374%09%09+%09%09%09%09%09%09%09338068937%09%09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</si>
  <si>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410</t>
  </si>
  <si>
    <t>1189</t>
  </si>
  <si>
    <t>1035</t>
  </si>
  <si>
    <t>1290</t>
  </si>
  <si>
    <t>766</t>
  </si>
  <si>
    <t>113</t>
  </si>
  <si>
    <t>Rớt bao</t>
  </si>
  <si>
    <t>Pteam ca cuối về trễ</t>
  </si>
  <si>
    <t>102</t>
  </si>
  <si>
    <t>513</t>
  </si>
  <si>
    <t>436</t>
  </si>
  <si>
    <t>552</t>
  </si>
  <si>
    <t>501</t>
  </si>
  <si>
    <t>1685</t>
  </si>
  <si>
    <t>1200</t>
  </si>
  <si>
    <t>https://admin.giaohangtietkiem.vn/admin/api/index/limit:100?alias=457965814%09403320959%09815874711%09279024477%09332424631%09420425391%09396449715%09444852818%09997412174%09444390851%09494959899+461837215%09480908484%09344573384%09552979542%09841345540%09304632647%09522391245%09781578301%09311407504%09586084950%09489640289+437011288%09670480767%09839012046%09256031452%09542223031%09300312671%09359094604%09332261374%09371804285%09576034923%09410515786+515945642%09797483551%09381651937%09428866842%09912602262%09771412964%09572365657%09478724160%09581201950%09380978279%09350699641+575411546%09478203284%09929923018%09928529561%09990547053%09401271832%09305466945%09395638497%09475066077%09431883537%09427537692+235950331%09756012595%09433471382%09265761116%09427086483%09374343737%09861961995%09407193998%09497099977%09337888876%09676225748+563990080%09642639609%09381620513%09495897474%09%09%09227128460%09497304188%09274572541%09338038570%09380155336+340140954%09477570399%09528003958%09963555464%09%09%09950115824%09269521829%09295457448%09431007292%09211726114+468584486%09382932759%09364560257%09%09%09%09866311500%09644176438%09447336531%09421285219%09402530598+312885217%09727255218%09334950547%09%09%09%09738896959%09425451987%09306259627%09293798551%09335357635+457852252%09850387092%09407857934%09%09%09%09286034473%09427622377%09993290990%09379727491%09482125867+290767094%09358613620%09319131119%09%09%09%09500560005%09347491742%09491061176%09416211710%09915495037+319292424%09489486291%09549473139%09%09%09%09955149263%09605322832%09453520534%09313337760%09339102804+586908909%09411523265%09897202233%09%09%09%09328176985%09310059669%09922459897%09355060926%09598699481+372131659%09%09786799509%09%09%09%09689750510%09411765452%09334876567%09477317115%09602555506+493039596%09%09%09%09%09%09320564838%09361831140%09733982151%09240777624%09424349857+919957756%09%09%09%09%09%09501163965%09340396790%09%09563943697%09938303571+479695234%09%09%09%09%09%09491132866%09433926033%09%09%09472651335+%09%09%09%09%09%09413655943%09466822884%09%09%09810092983+%09%09%09%09%09%09249808769%09605594866%09%09%09801001054+%09%09%09%09%09%09721173402%09%09%09%09275625954+%09%09%09%09%09%09500519795%09%09%09%09349979301+%09%09%09%09%09%09%09%09%09%09416835020+%09%09%09%09%09%09%09%09%09%09433452895+%09%09%09%09%09%09%09%09%09%09405879917+%09%09%09%09%09%09%09%09%09%09227569510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</si>
  <si>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846</t>
  </si>
  <si>
    <t>463</t>
  </si>
  <si>
    <t>426</t>
  </si>
  <si>
    <t>398</t>
  </si>
  <si>
    <t>494</t>
  </si>
  <si>
    <t>434</t>
  </si>
  <si>
    <t>625</t>
  </si>
  <si>
    <t>525</t>
  </si>
  <si>
    <t>1554</t>
  </si>
  <si>
    <t>1289</t>
  </si>
  <si>
    <t>209</t>
  </si>
  <si>
    <t>659</t>
  </si>
  <si>
    <t>174</t>
  </si>
  <si>
    <t>439</t>
  </si>
  <si>
    <t>https://admin.giaohangtietkiem.vn/admin/api/index/limit:100?alias=397883726+391023894+385372916+426392547+318555696+448041423+428472768+206319674+853803239+480238534+231011707+304347419+426392547+359465997+462916399+499137718+340027473+316714528+367552853+936685436+355185338+308866612+225110127+333562553+250477523+217497464+877111046+432800531+951447351+345153096+490736357+912394590+274721270+495266323+222340267+385589307+989597156+968695695+284380879+363163556+841502380+459056341+988503737+465529468+321000488+908247263+407848199+207449388+309281339+542706622+460800832+385424118+947910040+831791723+305594338+442752877+477249097+420221627+772932693+444509155+487279927+273342996+309962676+506993927+497520378+484940230+481779000+313457757+443046171+969055503+375638587+488632246+490546335+327904294+472273448+439012845+417667164+491621943+469343282+295539836+330258559+312322933+222268347+483875405+401632890+429875742+226181132+226081610+416600986+429875163+395815824+277615225+208308587+411968119+734769896+418617486+270269355+443046171+233643587+376203766+449163988+373628150%2C+478212926%09418942426+287327580%09305176934+420165667%09890439215+342565015%09507121363+923891250%09332195411+366194071%09360178683+609182906%09284324995+472205519%09352961629+310539612%09448505972+341387349%09998864047+242124478%09272283836+726786649%09784951849+461163992%09694856255+310440991%09398593656+328245769%09315375738+214781503%09564119667+219764971%09392527170+305136498%09482464633+442612026%09370116708+232417053%09330976430+361229235%09461697992+667369004%09383292940+883848119%09223678506+330468899%09387745257+328783869%09381042019+271315344%09445091466+332859928%09415470716+295279358%09435596306+367659835%09628444869+305046186%09303008456+372139402%09313224300+372049730%09412115263+225128538%09293887831+415186975%09545115440+226754773%09384624157+554953456%09312781006+942730011%09586753202+361664385%09709442261+311396868%09397675542+492808999%09457706613+586064908%09554604151+455408738%09421116311+290263537%09496892067+371525403%09473236975+329790239%09377131758+394907614%09226432389+367376964%09376609918+302643388%09309569705+392420633%09383589972+346224621%09857450210+218311579%09351951092+241061381%09955783922+594301145%09363157243+319435740%09454320318+477933405%09748365634+380584704%09306786385+615790652%09363446676+467848228%09318082802+447354616%09542223031+379263034%09297947415+348447493%09433120248+475858427%09225716772+305910089%09+495018740%09+414989943%09+407690130%09+619504262%09+316100195%09+497025327%09+371119366%09+371012062%09+963524142%09+357417721%09+462177832%09+262708600%09+334447171%09%2C+418297991%09630343636+953764463%09418946837+466117299%09395234854+378941250%09430064887+422515377%09352731035+851253329%09395157778+312987795%09339421088+501968459%09711316862+211341809%09244075725+297428337%09427480726+739651233%09370673308+342603869%09993153460+358196813%09452241941+S525677.BO.SGB.20H1.497162733%09431831135+378765117%09440862005+368623869%09475989442+364875609%09815674064+405359148%09338894082+362060068%09863043626+617544803%09334897680+361733232%09361229697+888305924%09530145200+602753016%09408842785+461922118%09459782020+900505247%09576485632+455307053%09444656239+405795352%09443902392+351127036%09323231355+636408233%09385601045+359914109%09270310716+300411117%09458005739+466575825%09615158407+512603598%09230740717+414356121%09587997423+224039481%09878324348+385144684%09405957133+445456384%09486236613+340796926%09285689033+675278249%09277156856+304900287%09536848537+475300271%09968253283+271235440%09232565355+395534735%09785121649+445145150%09473838362+399419104%09679638763+341038209%09371166932+322396039%09236952299+357522041%09373771845+S3306152.SGB.20B6.339712393%09955820560+773792545%09447838282+498613706%09795436607+356665640%09972117525+337804007%09730381085+336909837%09316340453+459601728%09293404338+478853784%09716491210+477502105%09989240390+413998699%09S3306152.387953441+427805266%09869456254+480914325%09600190623+461283446%09437303730+987961291%09947976585+880885940%09387659784+307460969%09419297579+497615696%09399827251+248736819%09343604316+371159065%09960827101+383400203%09391854798+301681919%09901080446+617172265%09320205828+816553747%09931901279+233770844%09807530975+492857421%09474456607+432941530%09249858605+317467032%09899153624+835598658%09372186332+291380812%09777832115+754284719%09417145251+429466432%09339586726+731105727%09307608991+354105452%09346990821+543502648%09301934943+492382075%09658134483+313873942%09333741248+673855551%09373634338+605372496%09379364310+458203541%09238117197+409473107%09710478182+492182480%09499421039+826258418%09269423316+836580380%09293106901+270319978%09982677824+358800363%09268916140+455640208%09375459883+733747029%09212928698+258895408%09360464212+622679756%09912416989+360173897%09247419725+485051127%09241326184+411535073%09398383671+482535257%09218808992+976348086%09440847445+514369496%09396682003+297614365%09370456319+406281836%09416682583+380704158%09787357741+461095909%09474787752+379368778%09744814062+325255873%09304783022+857402205%09689097607+330584425%09241231222+983504669%09451966825+583491131%09469503087+793185512%09351421156+406529795%09322043677+653543384%09393559639+346136774%09302185933+333162688%09412461493+327523733%09345927412+802251163%09347135207+318774617%09412295707+340311407%09375738694+852827520%09370560201+258518882%09463859129+314336737%09438953657+631277296%09+281736890%09+834718651%09+406070710%09+900377375%09+726376893%09+674875735%09+450219221%09+303261473%09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</si>
  <si>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542</t>
  </si>
  <si>
    <t>473</t>
  </si>
  <si>
    <t>802</t>
  </si>
  <si>
    <t>555</t>
  </si>
  <si>
    <t>920</t>
  </si>
  <si>
    <t>536</t>
  </si>
  <si>
    <t>947</t>
  </si>
  <si>
    <t>425</t>
  </si>
  <si>
    <t>158</t>
  </si>
  <si>
    <t>125</t>
  </si>
  <si>
    <t>357</t>
  </si>
  <si>
    <t>250</t>
  </si>
  <si>
    <t>https://admin.giaohangtietkiem.vn/admin/api/index/limit:100?alias=257226693+366318673+356609204+584103532+359799528+488850827+674094603+338931136+359142251+734529811+573756151+365023239+942615256+506505444+571566343+449201521+849099497+484034126+571635219+315088400+657064731+902684943+645945470+461974707+673043721+590037461+414546464+364754147+680752350+593290882+321900603+393884702+743193865+312511506+800302232+483809679+202379237+448838512+353597755+358470055+425536752+548042348+250064749+307234043+742001663+878618928+977931865+750991701+397142736+509164475+239062084+344857817+855400056+808104500+661232632+400417323+801614333+730608868+245723091+933076619+365673507+326372390+408253457+386340241+795053055+324509722+213082761+735490491+495579484+607763424+414662737+492696839+401325265+957751320+663054138+835672491+278268128+628663296+211868562+668709628+694312045+345852151+435313676+322970045+910966716+630796469+625527586+475555765+429248708+300847196+347863830+991019928+544141703+557742332+498467400+232832683+439456866+290078513+261865795+456553056+552410429+298050391+204632125+652653862+912383986+440342764+932068071+469389192+421003032+301550035+471182081+754120613+300425738+231426646%2C+735930701%09331318226+412309514%09434673637+712250720%09808041918+457227134%09484614238+749070901%09479431101+424512295%09513085360+451323914%09438778826+649069166%09469060983+338309642%09778415850+461815780%09704068080+501154442%09467571096+308366061%09416590828+379866617%09841878632+251770702%09753318561+548044237%09366770126+302857909%09524994560+332038838%09515790296+412381140%09370163274+809706831%09737378690+491607977%09362174303+454525763%09412447048+464714852%09326069070+461307398%09423646441+441361028%09305247158+306261792%09447435056+536074639%09988443728+400540750%09367049761+454489578%09205628949+389289009%09360300198+878672682%09288513998+434660017%09246281551+586731295%09470621501+830711450%09396884652+992675109%09445261706+474964263%09792498641+300042888%09432354885+411309619%09421413582+479190475%09434784646+492172054%09385556438+459621984%09811697814+342962317%09364748557+373298317%09419978430+328370255%09344509069+352188726%09412359101+210535571%09242680845+413524833%09680705045+242948911%09266561124+342336033%09992236400+356049276%09762033144+959520532%09447573644+351477326%09459420592+344568206%09307326496+368493400%09341287909+408721610%09303435617+881403784%09344179942+732673007%09973520388+280802949%09396566003+321513100%09656483191+318168457%09329021009+308602459%09366409951+496991138%09232983029+386191764%09312369606+356253189%09302869089+617396937%09320422826+884536964%09250840511+432476912%09601113780+337093385%09672689749+378618881%09353532876+381856656%09287510724+214258019%09408383400+670392513%09200499701+339607089%09404305430+281772336%09297876702+612823255%09338626937+387359808%09340252897+390620390%09S525677.BO.SGB.21D.403967548+380993625%09484357756+396745233%09413779440+911808512%09623264998+397130224%09226025682+426771609%09532542622+S5237260.SGB.23I.205071739%09368527703+479542245%09383730697+235125108%09369227027+%09378411371+%09700257495%2C+691771871%09729890986+582346319%09551847308+297885604%09482103128+482497036%09466746026+626602353%09457266204+401807980%09554864675+621816153%09472339535+422927260%09319112141+388950730%09452146912+666776830%09296510991+833252982%09340486306+716576303%09405974532+364021331%09817724235+619360735%09472195683+459241838%09378203746+541213523%09487927864+560273628%09327899032+950311707%09428740432+325556715%09314021490+806589414%09458523643+298829302%09996988456+966991032%09381233931+377192526%09333017418+657328250%09339702452+581261220%09499510735+368242750%09940130334+302810507%09826400428+450582065%09468958850+660929295%09370478194+369272109%09617459164+881863875%09971906987+338246313%09348068817+432832624%09469643274+435337203%09385683271+477673820%09318889816+448205940%09S525677.BO.SGB.21E.413773795+470443586%09458186542+453237485%09486463958+314416649%09626498361+367671608%09400508974+336798846%09335220834+595714235%09689372003+370355404%09334251530+462901238%09312927236+639222843%09330361747+772687256%09342720568+405198486%09943138033+321615727%09390275757+463812116%09577179587+444114679%09510044335+386874093%09821042428+379189138%09398302442+406013179%09473073745+259556357%09461636611+849451207%09303175282+776563860%09429100795+473244199%09549295492+S525677.BO.SGB.22B6.430987983%09427610297+469549175%09332797895+551464590%09387350974+450114017%09311349589+315865805%09237158646+926974375%09320129449+787368813%09448436758+561609241%09266396800+629274983%09461983685+412838825%09309236679+435741434%09406036265+%09540041982+%09481636547+%09624173254+%09940708927+%09356714010+%09684810754+%09413876503+%09681251278+%09781629837+%09367003945%2C+653252615+413068654+287758952+310334880+357078486+749783047+477921494+301489445+423191734+339762492+445616476+597093865+585584468+810254563+415638363+301036941+353672856+311419796+390133478+296013953+717566973+302292770+333223635+470803288+337484946+818547776+446136101+203597052+770781820+565142382+472094723+456949999+307003494+332615950+498625434+404266935+891278514+413516853+802511814+819247111+678951417+435651648+293142837+418144668+422629729+353261764+306424848+337302417+984011691+248986606+523183157+632592574+495885323+345278987+447232872+330682031+710328047+415923387+308231579+537045623+290081432+268753849+241104667+302016975+489280694+308969693+283166480+405560455+493944429+881846946+366722819+270729090+388963938+945760491+443506627+427294464+885665382+680706803+734700510+422488512+310756524+387501557+362927439+890132128+494169506+484527769+350829369+367004595+S525677.BO.SGB.23A.448165658+484937647+373542078+36965226+353296497+392198773+316892632+361661457+671808031+396912041+540432772+482836877+433314627+298220658&amp;package_status_id=&amp;t_stt=&amp;r_stt=&amp;cr_from=2019-11-07+00%3A00%3A00&amp;cr_to=2019-11-14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</si>
  <si>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603</t>
  </si>
  <si>
    <t>352</t>
  </si>
  <si>
    <t>940</t>
  </si>
  <si>
    <t>457</t>
  </si>
  <si>
    <t>836</t>
  </si>
  <si>
    <t>279</t>
  </si>
  <si>
    <t>219</t>
  </si>
  <si>
    <t>trương thành vinh 7h tối mang về 1 sọt 31 đơn chưa bàn giao, lý do quên gọi cod trước nên cod k ra nhận đã cho làm tường trình, lần sau còn mang hàng về mà k báo lập biên bản</t>
  </si>
  <si>
    <t>711</t>
  </si>
  <si>
    <t>https://admin.giaohangtietkiem.vn/admin/api/index/limit:50?alias=826258418%09317765690+836580380%09642960118+385144684%09931566075+546534416%09313501894+340311407%09722376697+413998699%09877437207+632234012%09929436436+522556248%09397233104+434885201%09429876070+445456384%09980113141+941295578%09486736999+271235440%09496930047+941295578%09+943237935%09+406070710%09+954299450%09+355033972%09+356665640%09+600833014%09+639432503%09&amp;package_status_id=&amp;t_stt=&amp;r_stt=&amp;cr_from=2019-11-08+00%3A00%3A00&amp;cr_to=2019-11-15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</si>
  <si>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955</t>
  </si>
  <si>
    <t>1212</t>
  </si>
  <si>
    <t>620</t>
  </si>
  <si>
    <t>1040</t>
  </si>
  <si>
    <t>https://admin.giaohangtietkiem.vn/admin/api/index/limit:100?alias=477398026%09205192634%09385406189%09661407703%09276461696%09339729586+423553918%09931085091%09772734542%09261734154%09240952649%09681830042+301342881%09466847903%09518135721%09671823244%09882586714%09327185598+503006135%09313070474%09526836731%09676051822%09638950914%09446739394+367771052%09369361143%09808651796%09348882511%09661077885%09422710576+663685854%09408785206%09323749710%09394559309%09374495982%09440713596+811002745%09477621887%09577512587%09417140872%09880368957%09521192158+425619128%09393481460%09527729684%09703557682%09576137802%09368987331+651377176%09863838686%09308141987%09543251170%09418255309%09484625588+7354111115803%09950410971%09927640449%09617106482%09367323719%09675681517+408905558%09496086713%09439093841%09340864567%09324122005%09777745590+807895001%09873365242%09717996536%09407470938%09597853519%09217909003+202833696%09342460328%09736938777%09448061746%09461977674%09975019343+379060326%09529556178%09777856930%09636565406%09308109059%09324746673+347352941%09346132648%09262386636%09516204329%09595334918%09427479380+451774423%09634650270%09284114519%09335807606%09493218833%09339908763+400534278%09467494970%09473521723%09760201775%09469586015%09494621090+955007193%09436845800%09622475260%09467347575%09751586488%09497753662+205544228%09990850558%09929453206%09486426164%09288415958%09731168817+889558502%09308615450%09470035307%09685633231%09356229510%09490470472+532192429%09326839808%09870711455%09400787652%09915733326%09751076770+583413649%09486389149%09662868145%09680117892%093115555535170%09469555343+310431361%09400255382%09415345487%09610758531%09218661096%09868586460+709259028%09457259754%09922163034%09818401934%09897111878%09362031466+485011797%09359981096%09288505708%09354652921%09898911351%09474619496+330631235%09869591113%09322524787%09296519157%09978979813%09424847074+350257255%09612387508%09347208393%09958670505%09435170984%09503472923+354244436%09377245084%09354667059%09484362308%09553860382%09336494040+463937862%09646163211%09868718806%09465262812%09332672459%09732737964+230388148%09646675589%09656895684%09720085322%09877113707%09713907090+971385858%09456998745%09926940942%09840316994%09306974153%09292901114+792512698%09458699152%09308634790%09479559663%09267512169%09669069516+417234009%09674998825%09344408421%09712468510%09244691322%09440826350+967813404%09522643247%09380569933%09459389482%09340766753%09485207498+933843249%09418238229%09234107414%09650183429%09491793802%09379951606+742240236%09837150444%09380569933%09463608379%09377823441%09666315106+757183121%09795900255%09333117298%09667826156%09428970061%09397153282+706975726%09772038415%09465565482%09550923491%09389722788%09875360354+448409862%09496025260%09866746523%09444009186%09328820161%09390441302+353426281%09625622818%09377197254%09238585309%09815720387%09532589777+436440366%09371204885%09630383444%09696838765%09815353715%09645210105+632636031%09353130054%09524838917%09902644091%09342292226%09239417746+697615829%09365640219%09590290675%09362702159%09672141109%09450549129+469812338%09465153385%09775368449%09330752739%09454596961%09382373525+320680074%09455047741%09414741931%09402015420%09275083527%09439642523+328863197%09429816376%09669411242%09723555558800%09696078402%09710862542+510278972%09315813482%09492556910%09804223831%09739188948%09988804945+229134412%09320407173%09964323985%09312540321%09681430019%09613001829+382556911%09348811018%09274510362%09247050999%09347250766%09888933028+965539170%09322943314%09455408367%09%09978683405%09351607512+343376883%09761691249%09481749327%09%09849077447%09841198919+306244518%09971593665%09420314606%09%09410118507%09685681564+473121828%09699591079%09%09%09432427232%09874377193+692919626%09640603550%09%09%09456803182%09453213588+890372988%09341356640%09%09%09%09915868832+511610595%09636712749%09%09%09%09737331984+479854617%09831549241%09%09%09%09310645795+774746153%09698985856%09%09%09%09404847498+479875568%09947652615%09%09%09%09457887118+451153637%09381496310%09%09%09%09819454975+499417944%09355596495%09%09%09%09307457585+391821515%09921087709%09%09%09%09363230697+355593630%09%09%09%09%09493546349+952464926%09%09%09%09%09576959836+481653242%09%09%09%09%09884172544+899485066%09%09%09%09%09466380451+796295083%09%09%09%09%09617756649+968725319%09%09%09%09%09887511152+471237711%09%09%09%09%09989975368+246338632%09%09%09%09%09406971013+230920618%09%09%09%09%09399354424+727277085%09%09%09%09%09363854908+864598169%09%09%09%09%09470509702+915884109%09%09%09%09%09202336324+240028119%09%09%09%09%09329979471+456277675%09%09%09%09%09343851441+309013807%09%09%09%09%09473344352+362754646%09%09%09%09%09579438878+443967616%09%09%09%09%09573759457+468890187%09%09%09%09%09374143143+397273333%09%09%09%09%09757971972+499410696%09%09%09%09%09472169253+798723576%09%09%09%09%09289772023+445784493%09%09%09%09%09497639231+861678277%09%09%09%09%09687135132+780523429%09%09%09%09%09377470710+362589627%09%09%09%09%09389454486+491625221%09%09%09%09%09840349505+409703896%09%09%09%09%09468325444+510790254%09%09%09%09%09519506869+218448713%09%09%09%09%09303257720+%09%09%09%09%09268987623+%09%09%09%09%09473595433+%09%09%09%09%09866445430+%09%09%09%09%09303962278&amp;package_status_id=&amp;t_stt=&amp;r_stt=&amp;cr_from=2019-11-08+00%3A00%3A00&amp;cr_to=2019-11-15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</si>
  <si>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sorting thời vụ phân lộn hàng của 22c1 c2 qua sọt chị tình (khoảng 30 đơn) nên hàng này k kịp xử lý đã đẩy lên lầu</t>
  </si>
  <si>
    <t>114</t>
  </si>
  <si>
    <t>48</t>
  </si>
  <si>
    <t>https://admin.giaohangtietkiem.vn/admin/api/index/limit:100?alias=888790331%09481809660%09358710237%09362207176%09691068384%09387040050%09348956312%09559727497%09440966601+993380293%09349161685%09892413279%09784277919%09378197030%09810945042%09360628497%09438709532%09767421358+348939941%09807610309%09270390223%09252835204%09471824249%09484288787%09468994982%09612733079%09927126163+583518858%09461819067%09483528476%09289416810%09253632841%09862217567%09744224091%09834777273%09388512271+418170673%09417062516%09702435332%09382879720%09451682541%09360030224%09820750904%09795599613%09281297232+378299016%09466993638%09642744040%09455548881%09659674651%09340293915%09799057967%09%09896258476+437541017%09298076321%09202010654%09833066864%09905255836%09%09641584390%09%09433325366+902799946%09420813765%09453937052%09306419332%09634034028%09%09%09%09314430994+645224871%09%09590153232%09817713730%09300637129%09%09%09%09383133291+481621055%09%09210452348%09765457253%09330452590%09%09%09%09716867219+555976484%09%09375732462%09930231125%09681151206%09%09%09%09+744492616%09%09320079916%09396250165%09668753318%09%09%09%09+256814850%09%09325679330%09343652386%09316521397%09%09%09%09+488008070%09%09433138639%09727652087%09214723367%09%09%09%09+622209276%09%09850554361%09438089118%09307526722%09%09%09%09+478924204%09%09728747804%09%09433787246%09%09%09%09+%09%09281205251%09%09522181957%09%09%09%09+%09%09441014212%09%09544899514%09%09%09%09+%09%09323483117%09%09399919072%09%09%09%09+%09%09619840300%09%09349390576%09%09%09%09+%09%09628126446%09%09497692341%09%09%09%09+%09%09433176800%09%09411652495%09%09%09%09+%09%09415746674%09%09409473107%09%09%09%09+%09%09991416773%09%09797293515%09%09%09%09+%09%09652863450%09%09549055618%09%09%09%09+%09%09306318898%09%09571580682%09%09%09%09+%09%09760298740%09%09386241527%09%09%09%09+%09%09500210957%09%09671905627%09%09%09%09+%09%09677059738%09%09507744239%09%09%09%09+%09%09379313875%09%09543415681%09%09%09%09+%09%09417911483%09%09%09%09%09%09+%09%09279658693%09%09%09%09%09%09+%09%09403360312%09%09%09%09%09%09+%09%09371319424%09%09%09%09%09%09+%09%09306795608%09%09%09%09%09%09+%09%09752471034%09%09%09%09%09%09+%09%09218459937%09%09%09%09%09%09+%09%09652011164%09%09%09%09%09%09+%09%09215943279%09%09%09%09%09%09+%09%09362075627%09%09%09%09%09%09+%09%09216603382%09%09%09%09%09%09+%09%09216603382%09%09%09%09%09%09+%09%09291254226%09%09%09%09%09%09+%09%09583125429%09%09%09%09%09%09+%09%09642176031%09%09%09%09%09%09+%09%09397790685%09%09%09%09%09%09+%09%09529656657%09%09%09%09%09%09+%09%09418006176%09%09%09%09%09%09+%09%09447030837%09%09%09%09%09%09+%09%09316999123%09%09%09%09%09%09+%09%09400673832%09%09%09%09%09%09+%09%09368738345%09%09%09%09%09%09+%09%09829371733%09%09%09%09%09%09+%09%09319762555%09%09%09%09%09%09+%09%09395956385%09%09%09%09%09%09+%09%09783459119%09%09%09%09%09%09&amp;package_status_id=&amp;t_stt=&amp;r_stt=&amp;cr_from=2019-11-08+00%3A00%3A00&amp;cr_to=2019-11-15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</si>
  <si>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480036658 360992634</t>
  </si>
  <si>
    <t>329648599 238697922</t>
  </si>
  <si>
    <t>329794717 209739222 941356760 388714280 433295970</t>
  </si>
  <si>
    <t>linh và huy nghỉ (hàng linh cho ra bc, ca cuối hàng linh và hàng bc đẩy lên lầu cho cod tối về lấy , hàng huy bàn giao ở kho)</t>
  </si>
  <si>
    <t>https://admin.giaohangtietkiem.vn/admin/api/index/limit:100?alias=887117855%09928332486%09678801813%09302037375+467342741%09497260908%09350409414%09631594862+441835150%09726409539%09350458311%09444765501+437134550%09222128281%09699787207%09461132052+320905209%09379735226%09966059555%09324717955+705728017%09369603346%09342884811%09456865848+709433531%09299047742%09995218813%09656862421+202043766%09488158253%09620598233%09445412789+469755103%09776811986%09797430227%09234462965+466263834%09654577972%09765714947%09450040227+337544699%09351525274%09354283469%09399825758+223645458%09600583345%09616326920%09612680540+226498414%09832339398%09423026291%09431917192+878483198%09436965248%09402767144%09382834689+490630555%09383238022%09863830082%09458541356+354931946%09345377830%09469004683%09406945633+229887794%09439139556%09459019461%09433423163+720865824%09412154195%09226833293%09448809126+896332115%09659443044%09324544042%09331922138+645718741%09487407325%09612578259%09985564155+743875005%09449715253%09456451534%09272929615+574168822%09974208406%09341844476%09412490002+323429451%09431890320%09988114470%09310940579+375568376%09763661996%09212472691%09761654293+320119357%09399791989%09545962481%09382927267+324440998%09479065359%09763702263%09331326177+498781107%09457268969%09357957090%09353895596+265265266%09400451067%09957778063%09459155395+699135904%09346412017%09361844462%09387339158+750539881%09300591396%09656048021%09663025737+331368728%09300591396%09392104984%09245366327+313911559%09445825882%09945973329%09513931658+496735331%09806975241%09217140679%09369762478+372026275%09368483932%0943874443730%09427201214+386842373%09388947318%09369706355%09414881889+962587643%09840292535%09%09469891516+381268755%09920512418%09%09269140628+577704890%09362610087%09%09442607256+548048704%09428809630%09%09924859186+804143738%09441986616%09%09819178855+742836197%09953844658%09%09+582421477%09%09%09+418515906%09%09%09+347135207%09%09%09+354807389%09%09%09+564202193%09%09%09+817066474%09%09%09+974357436%09%09%09+629674792%09%09%09+351509155%09%09%09+243769164%09%09%09+338843544%09%09%09+463933501%09%09%09+245172445%09%09%09+664530648%09%09%09+441964216%09%09%09+674900882%09%09%09+442454742%09%09%09+397931784%09%09%09+295202259%09%09%09+348515091%09%09%09+695981255553%09%09%09+440852748%09%09%09+362105072%09%09%09+415477276%09%09%09+353223852%09%09%09+253116254%09%09%09+565583128%09%09%09+305488023%09%09%09+416425791%09%09%09+325010254%09%09%09+410244976%09%09%09+524359144%09%09%09+256641707%09%09%09+879652469%09%09%09+456872476%09%09%09+721286784%09%09%09+274354161%09%09%09+776776028%09%09%09+334713319%09%09%09+206029966%09%09%09+346987944%09%09%09+393809756%09%09%09+452721849%09%09%09+371711155%09%09%09+383277440%09%09%09+451819569%09%09%09+788104939%09%09%09+217058147%09%09%09+480006809%09%09%09+438462059%09%09%09&amp;package_status_id=&amp;t_stt=&amp;r_stt=&amp;cr_from=2019-11-08+00%3A00%3A00&amp;cr_to=2019-11-15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</si>
  <si>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79</t>
  </si>
  <si>
    <t>415</t>
  </si>
  <si>
    <t>165</t>
  </si>
  <si>
    <t>532</t>
  </si>
  <si>
    <t>374</t>
  </si>
  <si>
    <t>https://admin.giaohangtietkiem.vn/admin/api/index/limit:100?alias=419646570%09657590970%09454602094%09244657916+714402995%09381259059%09323538085%09400768070+487161411%09288042866%09325239182%09410358163+579287302%09480283886%09697560551%09485818588+649306921%09961085389%09435651361%09996462871+377132891%09786831438%09427424824%09499342829+459977611%09253851003%09373107927%09601181662+962036223%09207746706%09471593730%09485737471+355708573%09527992516%09564395259%09477283457+331466669%09349593023%09691689361%09556216550+667721554%09862437611%09354903619%09406441918+382439973%09597097641%09979999544%09606059879+492994700%09909960890%09311811501%09492498113+554951120%09258613224%09383557171%09238757268+914073377%09469696060%09348943328%09428046122+357683856%09206979517%09219493602%09496953506+346835808%09327331355%09538080127%09421570554+263815681%09361649083%09976071022%09417442821+595180159%09454158068%09348956281%09975345830+657748890%09360598326%09713670116%09324025111+469934949%09572512765%09893478104%09373789631+244673275%09361053424%09304727772%09583796341+640630280%09455642041%09333473813%09757906097+690536244%09487444528%09401396008%09604764939+397536665%09383811512%09361693670%09376810412+726941127%09313723835%09309263752%09336160427+360358000%09273486057%09403127612%09460431176+384151851%09872368254%09850719222%09363006822+510680364%09422942676%09474840971%09406636192+843237204%09225058671%09349404105%09351083082+487220102%09437443488%09549034780%09320240557+953303890%09899661304%09562657487%09436935324+367721051%09325380278%09468189168%09953869192+392679643%09716702969%09208050790%09408502573+717418452%09211379286%09403384375%09404541892+312320338%09354074364%09983753121%09794847454+583588911%09477096510%09max121119615%09381928921+217556747%09376802606%09450140705%09317746159+512033709%09962259468%09552989987%09260059759+380151352%09327859174%09682718468%09499925901+656313036%09942995663%09258037880%09481852253+377731104%09903992084%09333571627%09394068834+487462215%09357680221%09875830593%09427124993+779810543%09%09385141139%09234353014+995010322%09%09925325998%09318085697+755097111%09%09910116896%09518843162+611234040%09%09303712768%09482501404+597255834%09%09412139271%09+797835569%09%09641299025%09+454074293%09%09427256690%09+268178488%09%09247012975%09+200715500%09%09393009022%09+437460528%09%09714903283%09+465855671%09%09429003126%09+200098882%09%09699394426%09+996716739%09%09336890028%09+788176928%09%09374364962%09+742736529%09%09491821855%09+969686078%09%09454834824%09+790414578%09%09374077106%09+435601273%09%09422577142%09+564716653%09%09747973205%09+436281261%09%09572761758%09+484098997%09%09830272485%09+471302698%09%09904807965%09+%09%09717869324%09+%09%09586954477%09+%09%09366407119%09+%09%09346351013%09+%09%09463750830%09+%09%09426003090%09+%09%09732221010%09+%09%09940353584%09+%09%09451424801%09+%09%09506421408%09+%09%09381621116%09+%09%09449931043%09+%09%09368841764%09+%09%09483405426%09+%09%09329625901%09+%09%09260228016%09+%09%09387924710%09+%09%09236835484%09+%09%09749874530%09+%09%09434589754%09+%09%09465103285%09+%09%09546596686%09+%09%09237438593%09+%09%09321775245%09+%09%09207372010%09+%09%09434002711%09+%09%09450632349%09+%09%09268460035%09+%09%09301289771%09+%09%09270878359%09+%09%09768655820%09+%09%09928272950%09+%09%09460630361%09+%09%09879331635%09+%09%09394192115%09+%09%09304340024%09+%09%09547543136%09+%09%09826425730%09+%09%09871354180%09+%09%09456658409%09+%09%09807521864%09+%09%09463744398%09+%09%09886594559%09+%09%09253726065%09+%09%09937901139%09+%09%09235048670%09+%09%09295856014%09+%09%09924069573%09+%09%09429034549%09+%09%09497162733%09+%09%09423406861%09+%09%09345762847%09+%09%09477615568%09+%09%09266510299%09+%09%09918105318%09+%09%09240189187%09+%09%09876478227%09+%09%09311594230%09+%09%09328928479%09+%09%09405795352%09+%09%09340276497%09+%09%09303721881%09+%09%09468058138%09+%09%09758822489%09+%09%09532633988%09+%09%09447990338%09&amp;package_status_id=&amp;t_stt=&amp;r_stt=&amp;cr_from=2019-11-08+00%3A00%3A00&amp;cr_to=2019-11-15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</t>
  </si>
  <si>
    <t>82</t>
  </si>
  <si>
    <t>351</t>
  </si>
  <si>
    <t>377</t>
  </si>
  <si>
    <t>345</t>
  </si>
  <si>
    <t>205</t>
  </si>
  <si>
    <t>https://admin.giaohangtietkiem.vn/admin?alias=305767194%09433787246+486598780%09470509702+392544667%09941295578+626824730%09300637129+437438649%09468939366+260867064%09893478104+338191575%09399354424+633611255%09336890028+344513848%09776792743+%09482117103+%09988804945+%09894723813+%09954299450+%09468681259+%09857402205+%09546534416&amp;package_status_id=&amp;t_stt=&amp;r_stt=&amp;cr_from=&amp;cr_to=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</si>
  <si>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96</t>
  </si>
  <si>
    <t>87</t>
  </si>
  <si>
    <t>https://admin.giaohangtietkiem.vn/admin/api/index/limit:100?alias=308501865%09564227323%09315694235%09480011417%09308409466%09448524131%09466863622%09775206829%09459697068%09403241808+224844275%09627891931%09206585200%09375700656%09305087713%09268847324%09449338287%09359108173%09357007023%09471823255+329939743%09366334730%09269984924%09483011891%09380808485%09432068656%09240713815%09322848758%09347670467%09458806007+606063623%09334911595%09435486916%09436509047%09429323614%09447179280%09254634820%09314053948%09483957049%09318442202+223555865%09394660227%09234581155%09300493065%09837606202%09416148541%09294227255%09366029074%09396670111%09458137023+303661825%09262763726%09370048101%09382865386%09368468804%09387547018%09390397090%09466521295%09380498546%09427484742+446117370%09400223929%09424459897%09459090580%09592743142%09326829871%09493089909%09779159137%09424243310%09773050139+575056760%09328930237%09397109515%09876517350%09312463802%09499890775%09479756402%09958466244%09834647064%09780959514+556219983%09499549007%09627114836%09392225631%09249463239%09333743038%09315693929%09233560862%09468591193%09355178737+351746665%09400950758%09417856521%09471498992%09309071729%09248716740%09443397684%09419696593%09400570487%09380448321+976079632%09549459806%09479034169%09491142221%09670000331%09403198118%09440480838%09351954341%09389316907%09412008821+513954908%09279074836%09573753373%09327241707%09487015710%09403476513%09549592003%09330912586%09318263202%09376862123+313532648%09453356311%09789091036%09320753394%09308997272%09422589857%09468522260%09340605196%09206832689%09699476589+350332597%09320398733%09435129178%09435092356%09228927304%09490862529%09446203604%09568485557%09564681358%09219921281+288455668%09326693583%09351954768%09497940459%09909703915%09339436941%09203360242%09484409483%09310517054%09330018162+450140705%09238734932%09488074429%09462221381%09381942847%09455799959%09362310251%09384425403%09489831384%09407457164+458259578%09409935023%09401521352%09444144735%09870929108%09464177568%09444781778%09483322458%09631736931%09847720860+403462031%09395542085%09394321745%09317618935%09210790593%09436964709%09954476325%09481461252%09500924067%09226802518+253055576%09342252362%09465381578%09%09332408856%09469781271%09351231115%09941921231%09429675331%09292988886+452517340%09278806477%09322280487%09%09383128982%09S799316O25523%09637083266%09462103552%09486975236%09742283887+371352349%09493252820%09330534360%09%09482704025%09512266602%09378887812%09325090801%09336695800%09321352921+476271420%09393562553%09389973698%09%09589545587%09454297711%09317276419%09808720906%09931815671%09341302897+373340788%09431396679%09378792340%09%09387807536%09551969209%09314546429%09398629611%09770578575%09202449525+405439993%09227585383%09434124571%09%09370873975%09%09593135890%09328208954%09477428698%09304237250+282710434%09474085366%09378050083%09%09956175272%09%09396139695%09260924708%09%09412871539+325261217%09322735706%09652024937%09%09321513100%09%09351473190%09259002516%09%09345542925+224852953%09%09256994313%09%09280270664%09%09768401687%09390871528%09%09503657502+392816032%09%09480470067%09%09320226694%09%09%09419029026%09%09488205571+472307767%09%09383490433%09%09519966769%09%09%09322048514%09%09436991383+203616765%09%09%09%09363268117%09%09%09355176291%09%09231511701+331773676%09%09%09%09428139242%09%09%09740847820%09%09286079983+473396185%09%09%09%09359187857%09%09%09380791837%09%09219118507+445318048%09%09%09%09479827029%09%09%09282961793%09%09492335437+553517660%09%09%09%09358967355%09%09%09373366265%09%09255722744+309615764%09%09%09%09398858432%09%09%09419993357%09%09342184941+%09%09%09%09464934336%09%09%09406498731%09%09493656725+%09%09%09%09310445980%09%09%09438051577%09%09629939959+%09%09%09%09416877552%09%09%09480520999%09%09406486332+%09%09%09%09348811174%09%09%09458449377%09%09479695100+%09%09%09%09333911077%09%09%09873825485%09%09332325661+%09%09%09%09206122510%09%09%09326511855%09%09333769008+%09%09%09%09%09%09%09200438237%09%09+%09%09%09%09%09%09%09222445691%09%09+%09%09%09%09%09%09%09954524830%09%09+%09%09%09%09%09%09%09473490593%09%09+%09%09%09%09%09%09%09642520921%09%09+%09%09%09%09%09%09%09823265514%09%09+%09%09%09%09%09%09%09305559249%09%09+%09%09%09%09%09%09%09619318956%09%09+%09%09%09%09%09%09%09972174459%09%09+%09%09%09%09%09%09%09444526271%09%09+%09%09%09%09%09%09%09355340228%09%09+%09%09%09%09%09%09%09397289674%09%09+%09%09%09%09%09%09%09488101306%09%09+%09%09%09%09%09%09%09248794831%09%09+%09%09%09%09%09%09%09379483633%09%09+%09%09%09%09%09%09%09461443121%09%09&amp;package_status_id=&amp;t_stt=&amp;r_stt=&amp;cr_from=2019-11-11+00%3A00%3A00&amp;cr_to=2019-11-18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</si>
  <si>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437</t>
  </si>
  <si>
    <t>https://admin.giaohangtietkiem.vn/admin/api/index/limit:100?alias=251826875%09784707085%09442150712%09217733443%09385065535%09508494018%09394902841%09337805979%09464690028%09476655854+298051806%09359822962%09334039246%09365927500%09595318599%09474200355%09469734525%09348080847%09494332616%09281553296+361100785%09463063930%09566852289%09721632234%09553678993%09911352443%09370371505%09417143240%09496113288%09767991159+316855877%09452527273%09336755787%09489148196%09408133321%09306068381%09419613394%09709619785%09208298073%09403549126+451890666%09454485100%09347654536%09397257381%09901384453%09492507148%09497256061%09288137839%09663615191%09561093731+652144068%09380119130%09372713102%09675181222%09298717280%09472417052%09427503886%09960703666%09699333239%09474545958+315867169%09416936196%09394745156%09487376607%09373912177%09338370342%09604186224%09491704980%09399286064%09423207667+750607644%09319682659%09575807054%09888124245%09373912177%09959145139%09773247086%09501547422%09%09470877017+248090480%09336080138%09569821414%09614877152%09300024578%09494020515%09322780013%09416363278%09%09318875174+394366511%09920624781%09372213211%09215287305%09302622003%09334480216%09347697639%09768834705%09%09470242590+322048633%09314806410%09393635400%09442995528%09545078625%09363377465%09403815619%09334586813%09%09480061860+357360711%09419616792%09425166617%09487906066%09605440166%09372556229%09482969213%09471054238%09%09294135581+316524141%09402339970%09419777874%09425648707%09510520414%09300397998%09394550360%09263290158%09%09495472601+399411028%09309432135%09513067941%09318139458%09256614344%09802951385%09369761547%09301904618%09%09697709587+720567408%09%09455054343%09535846416%09364387876%09309141595%09629100040%09288987877%09%09432598398+389223492%09%09373409110%09410588908%09863338549%09202064542%09236755945%09%09%09403549126+358743204%09%09485686314%09260668083%09367880779%09%09712455129%09%09%09+327165256%09%09360805955%09365137179%09%09%09423474056%09%09%09+492207683%09%09972521562%09761023404%09%09%09330865567%09%09%09+339479322222%09%09240087267%09544851228%09%09%09594882042%09%09%09+304942694%09%09414627909%09212545547%09%09%09373003414%09%09%09+307866368%09%09506991639%09970834910%09%09%09349898918%09%09%09+%09%09285835218%09%09%09%09369297501%09%09%09+%09%09249295024%09%09%09%09499553988%09%09%09+%09%09325018906%09%09%09%09478905299%09%09%09+%09%09786645105%09%09%09%09531150689%09%09%09+%09%09309830649%09%09%09%09404383514%09%09%09+%09%09372251106%09%09%09%09459563992%09%09%09+%09%09689359062%09%09%09%09432785936%09%09%09+%09%09845389445%09%09%09%09990818744%09%09%09+%09%09431130282%09%09%09%09%09%09%09+%09%09348040402%09%09%09%09%09%09%09+%09%09466320649%09%09%09%09%09%09%09+%09%09255744196%09%09%09%09%09%09%09+%09%09816139496%09%09%09%09%09%09%09+%09%09441674201%09%09%09%09%09%09%09+%09%09414790599%09%09%09%09%09%09%09+%09%09491687751%09%09%09%09%09%09%09+%09%09409237849%09%09%09%09%09%09%09&amp;package_status_id=&amp;t_stt=&amp;r_stt=&amp;cr_from=2019-11-11+00%3A00%3A00&amp;cr_to=2019-11-18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</si>
  <si>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35</t>
  </si>
  <si>
    <t>30</t>
  </si>
  <si>
    <t>https://admin.giaohangtietkiem.vn/admin/api/index/limit:100?alias=710004693%09362338223%09213694428%09433237674%09492525675%09472835115+252128241%09366985962%09236360321%09362540561%09887996816%09336040029+815527068%09463585552%09952395361%09239745407%09235860322%09408680376+455667811%09126092496%09337451897%09220351904%09772938636%09494710392+392762270%09457795929%09292843825%09652320076%09888676555%09661347869+460776974%09402617440%09992563615%09364029664%09385591247%09331484771+613696474%09444406721%09439283416%09835720740%09413561087%09427488073+712359529%09303531763%09317495410%09620896126%09253984560%09336040029+581683728%09309771691%09355359927%09909069258%09290080546%09487669130+323825447%09471490620%09394614061%09856137325%09266778072%09319267429+445078853%09288745004%09346662239%09856137325%09297236538%09919987530+339097758%09213666079%09942552115%09909069258%09732923393%09316263306+736797207%09431900917%09410142929%09291138270%09720387489%09212195644+368133007%09395378242%09618097256%09803436267%09763962848%09490012476+393798761%09478816199%09375364159%09436350578%09379431610%09404472101+450378622%09419310801%09369982180%09654130316%09471973625%09329594202+529179520%09722677112%09954125563%09577508142%09726583403%09372386723+529179520%09975946441%09297396962%09465666207%09463615781%09605116704+400336646%09369557413%09859271883%09383669414%09296517026%09941943421+365912955%09463676095%09580211214%09403206470%09857091910%09225463349+469764448%09464445481%09905987164%09531805345%09403644023%09427194635+331915436%09415490705%09525275447%09834902141%09491602677%09486552910+799734655%09720399330%09225763255%09309407967%09316908417%09324978830+911574034%09260132847%09463489135%09437125362%09483397923%09273038270+850158606%09357865745%09326966302%09416582594%09968571502%09488901462+454292630%09714694130%09460606767%09440106157%09963538650%09439108899+371847960%09481457264%09439816028%09895584925%09793024504%09619538467+399225966%09485664147%09204105273%09660047697%09386568140%09437525341+661182734%09332469445%09457304398%09437074288%09220179943%09721971311+476710374%09411035666%09781434720%09461169245%09484491894%09257660344+512475632%09363809392%09431314010%09739726948%09751290471%09842278592+672850640%09427689548%09364038387%09443879873%09250796256%09431209930+264920677%09452447186%09479289736%09908879565%09484028602%09306924914+901592476%09432567875%09386921314%09421757840%09353335806%09363609642+477044558%09368150275%09352468951%09403193989%09628410050%09438279897+940287396%09431092792%09497764351%09347232774%09442664908%09843045178+944315625%09522474384%09358816092%09332226134%09452156636%09368385566+504742715%09460523264%09971159827%09317174752%09309049045%09355896390+511428510%09368775001%09580942752%09213405957%09335819276%09540206415+853119558%09361937494%09927202636%09496825719%09311163445%09607217331+824222719%09207050221%09475182654%09959181934%09411245420%09411655684+294679631%09421501825%09646855786%09228885835%09411536913%09517269394+710148845%09352495427%09538218678%09401947492%09320962378%09364787714+791833974%09754243932%09366027002%09354432149%09456070089%09382184836+856801158%09403059051%09457516811%09221593862%09250559197%09482150744+702294140%09489586939%09798971123%09640811611%09299273512%09885185999+272291468%09775791046%09312740330%09628805773%09325713833%09327842774+337174841%09694072818%09495192694%09572524123%09309074762%09430187132+210626899%09325834286%09514456715%09400787697%09305423705%09467404674+718289136%09409170190%09448316328%09597082648%09499462396%09843456832+351602840%09490701589%09358939658%09688304422%09394136697%09318379635+232504210%09479686472%09379346249%09320735949%09229703291%09819907369+395072941%09305538221%09829900869%09855423620%09209845449%09780958304+669533806%09454259703%09389295775%09280100731%09366149522%09947892602+402498494%09488724862%09990150874%09505199817%09214460583%09299828681+%09897618190%09977028242%09362254736%09480617817%09700973914+%09476205897%09406029732%09623078432%09364209673%09270830980+%09736912509%09241916755%09581177269%09224344788%09883806008+%09361952730%09496656662%09354564092%09888332222%09474634518+%09348562036%09462645818%09%09468037377%09854778255+%09223295757%09%09%09464702327%09680066163+%09348162690%09%09%09283624575%09410233982+%09743473652%09%09%09407411771%09955481462+%09271988082%09%09%09400959159%09497293982+%09397714561%09%09%09%09497865374+%09556396543%09%09%09%09347991018+%09781715026%09%09%09%09789406328+%09%09%09%09%09497172985+%09%09%09%09%09484344654+%09%09%09%09%09408636926+%09%09%09%09%09974828474+%09%09%09%09%09320528014+%09%09%09%09%09499206231+%09%09%09%09%09457606022+%09%09%09%09%09510852618+%09%09%09%09%09519133307+%09%09%09%09%09212941614+%09%09%09%09%09469852968+%09%09%09%09%09964181710+%09%09%09%09%09453157860+%09%09%09%09%09440584676+%09%09%09%09%09402139513+%09%09%09%09%09238617474+%09%09%09%09%09402139513&amp;package_status_id=&amp;t_stt=&amp;r_stt=&amp;cr_from=2019-11-11+00%3A00%3A00&amp;cr_to=2019-11-18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</t>
  </si>
  <si>
    <t>186</t>
  </si>
  <si>
    <t>Tỉ lệ giao thành công</t>
  </si>
  <si>
    <t>62</t>
  </si>
  <si>
    <t>258</t>
  </si>
  <si>
    <t>74</t>
  </si>
  <si>
    <t>401</t>
  </si>
  <si>
    <t>648</t>
  </si>
  <si>
    <t>476</t>
  </si>
  <si>
    <t>33</t>
  </si>
  <si>
    <t>212</t>
  </si>
  <si>
    <t>150</t>
  </si>
  <si>
    <t>744799310 419176792 304928625 372808184</t>
  </si>
  <si>
    <t>Không có xuất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</si>
</sst>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0.0%"/>
    <numFmt numFmtId="166" formatCode="d.m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0000FF"/>
    </font>
    <font>
      <b/>
      <sz val="11.0"/>
      <color rgb="FF00904A"/>
      <name val="Arial"/>
    </font>
    <font>
      <color rgb="FF222222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center"/>
    </xf>
    <xf borderId="2" fillId="2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3" fillId="0" fontId="3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1" xfId="0" applyAlignment="1" applyBorder="1" applyFont="1" applyNumberFormat="1">
      <alignment horizontal="center" readingOrder="0"/>
    </xf>
    <xf borderId="2" fillId="0" fontId="1" numFmtId="9" xfId="0" applyAlignment="1" applyBorder="1" applyFont="1" applyNumberFormat="1">
      <alignment horizontal="center" readingOrder="0"/>
    </xf>
    <xf borderId="2" fillId="0" fontId="1" numFmtId="10" xfId="0" applyAlignment="1" applyBorder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  <xf borderId="4" fillId="0" fontId="3" numFmtId="0" xfId="0" applyBorder="1" applyFont="1"/>
    <xf borderId="0" fillId="0" fontId="4" numFmtId="0" xfId="0" applyAlignment="1" applyFont="1">
      <alignment readingOrder="0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2" fillId="3" fontId="1" numFmtId="1" xfId="0" applyAlignment="1" applyBorder="1" applyFill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horizontal="center" readingOrder="0" vertical="bottom"/>
    </xf>
    <xf borderId="5" fillId="2" fontId="2" numFmtId="0" xfId="0" applyAlignment="1" applyBorder="1" applyFont="1">
      <alignment horizontal="center" vertical="bottom"/>
    </xf>
    <xf borderId="2" fillId="0" fontId="1" numFmtId="166" xfId="0" applyAlignment="1" applyBorder="1" applyFont="1" applyNumberFormat="1">
      <alignment horizontal="center" readingOrder="0" vertical="center"/>
    </xf>
    <xf borderId="2" fillId="0" fontId="1" numFmtId="1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readingOrder="0"/>
    </xf>
    <xf borderId="2" fillId="0" fontId="1" numFmtId="1" xfId="0" applyAlignment="1" applyBorder="1" applyFont="1" applyNumberFormat="1">
      <alignment horizontal="center" vertical="center"/>
    </xf>
    <xf borderId="2" fillId="2" fontId="1" numFmtId="0" xfId="0" applyBorder="1" applyFont="1"/>
    <xf borderId="2" fillId="0" fontId="1" numFmtId="165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vertical="center"/>
    </xf>
    <xf borderId="2" fillId="0" fontId="1" numFmtId="4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Font="1"/>
    <xf borderId="2" fillId="0" fontId="1" numFmtId="10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 vertical="bottom"/>
    </xf>
    <xf borderId="5" fillId="4" fontId="2" numFmtId="0" xfId="0" applyAlignment="1" applyBorder="1" applyFont="1">
      <alignment horizontal="center" readingOrder="0" vertical="bottom"/>
    </xf>
    <xf borderId="5" fillId="4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6" numFmtId="166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5" fillId="4" fontId="2" numFmtId="166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4" fillId="5" fontId="6" numFmtId="0" xfId="0" applyAlignment="1" applyBorder="1" applyFill="1" applyFont="1">
      <alignment vertical="bottom"/>
    </xf>
    <xf borderId="5" fillId="5" fontId="7" numFmtId="9" xfId="0" applyAlignment="1" applyBorder="1" applyFont="1" applyNumberFormat="1">
      <alignment horizontal="center" vertical="bottom"/>
    </xf>
    <xf borderId="5" fillId="5" fontId="7" numFmtId="165" xfId="0" applyAlignment="1" applyBorder="1" applyFont="1" applyNumberFormat="1">
      <alignment horizontal="center" vertical="bottom"/>
    </xf>
    <xf borderId="5" fillId="5" fontId="7" numFmtId="10" xfId="0" applyAlignment="1" applyBorder="1" applyFont="1" applyNumberFormat="1">
      <alignment horizontal="center" vertical="bottom"/>
    </xf>
    <xf borderId="0" fillId="0" fontId="1" numFmtId="166" xfId="0" applyAlignment="1" applyFont="1" applyNumberFormat="1">
      <alignment readingOrder="0"/>
    </xf>
    <xf borderId="0" fillId="0" fontId="1" numFmtId="1" xfId="0" applyFont="1" applyNumberFormat="1"/>
    <xf borderId="2" fillId="0" fontId="1" numFmtId="0" xfId="0" applyAlignment="1" applyBorder="1" applyFont="1">
      <alignment readingOrder="0"/>
    </xf>
    <xf borderId="2" fillId="0" fontId="1" numFmtId="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https://admin.giaohangtietkiem.vn/admin/api/index/limit:100?alias=658412568%09469137373+325774392%09221559014+377345477%09597643869+479872989%09321833564+523874174%09420919164+590104245%09476921069+S68370.SGB.22D1.407921694%09425255127+862725454%09611489689+880289700%09413697950+218866713%09614694831+675395621%09466468544+540630518%09474385687+551423942%09377291233+574260717%09450618093+304771024%09694580491+396427788%09328275922+372158367%09303808918+389150155%09717374810+466885028%09288359781+443596836%09397204971+341011153%09928971487+471493959%09278393291+381574264%09467683141+309276985%09453409003+270761790%09762025805+372028325%09376650272+404884797%09355557523+417424195%09473599177+422125232%09607723686+312628964%09349301326+343877895%09351140461+714412694%09354580658+435623403%09386523233+332268300%09867940758+352475071%09409725475+856003800%09488888413+478721573%09499874344+487472678%09315578658+442501546%09462576411+%09438983852+%09805316703+%09475007622+%09318096419+%09322936008+%09312358551+%09432540942+%09670210016+%09304348638+%09413002156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admin.giaohangtietkiem.vn/admin/api/index/limit:100?alias=406428099%09423753551%09383375394%09249762149%09598626386%09362880497%09377857164%09866858145%09727858448%09345972604+750300408%09335130328%09403606064%09338543691%09918099997%09484340388%09473054617%09338624327%09494833740%09378546751+563624072%09425963074%09421248124%09709326805%09980435454%09427785310%09357102970%09422394579%09371529204%09715740709+421992129%09328555406%09398766293%09386228783%09887070400%09399581394%09436717235%09483008927%09946599570%09423730224+367645311%09%09419326639%09476163526%09333765628%09302076295%09304755630%09217590406%09426221884%09499685160+256004499%09%09307667688%09304653492%09292654445%09%09490863723%09379486670%09362643630%09347142528+372514962%09%09358811662%09275793831%09305534771%09%09406969121%09312471826%09333415226%09739022795+%09%09570545441%09384640905%09423545672%09%09475653121%09369503981%09382414945%09264718054+%09%09517510385%09%09492379435%09%09%09%09263048019%09891771059+%09%09%09%09447558346%09%09%09%09466173400%09+%09%09%09%09291676400%09%09%09%09644289851%09+%09%09%09%09260775509%09%09%09%09%09+%09%09%09%09379768453%09%09%09%09%09+%09%09%09%09584705128%09%09%09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" TargetMode="External"/><Relationship Id="rId6" Type="http://schemas.openxmlformats.org/officeDocument/2006/relationships/hyperlink" Target="https://admin.giaohangtietkiem.vn/admin/api/index/limit:100?alias=380654547%09771587503%09494833740%09338297796%09390319146+489262286%09277727146%09499943682%09481766590%09315551089+346649529%09506151142%09326817579%09390628222%09757965519+376971493%09434289410%09489520688%09846549409%09433327687+427640221%09319446962%09355877284%09375368823%09477995494+351142722%09355412506%09301044254%09%09266126763+649411207%09435748353%09624195158%09%09874819769+594953497%09293879872%09492416757%09%09492717859+%09405025454%09414133945%09%09352903673+%09%09402264000%09%09835082782+%09%09479299004%09%09416930137+%09%09406706089%09%09+%09%09468084963%09%09+%09%09472343946%09%09+%09%09230708984%09%09+%09%09355013995%09%09+%09%09621630457%09%09+%09%09785338835%09%09&amp;package_status_id=&amp;t_stt=&amp;r_stt=&amp;cr_from=2019-11-16+00%3A00%3A00&amp;cr_to=2019-11-2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admin.giaohangtietkiem.vn/admin?alias=305767194%09433787246+486598780%09470509702+392544667%09941295578+626824730%09300637129+437438649%09468939366+260867064%09893478104+338191575%09399354424+633611255%09336890028+344513848%09776792743+%09482117103+%09988804945+%09894723813+%09954299450+%09468681259+%09857402205+%09546534416&amp;package_status_id=&amp;t_stt=&amp;r_stt=&amp;cr_from=&amp;cr_to=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&amp;no_pick_cart=0&amp;no_deliver_cart=0&amp;no_return_cart=0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about:blank" TargetMode="External"/><Relationship Id="rId6" Type="http://schemas.openxmlformats.org/officeDocument/2006/relationships/hyperlink" Target="https://admin.giaohangtietkiem.vn/admin/api/index/limit:100?alias=302829746+504093991+886707547+419813986+305096890%2C+546256938%09665234155+%09849234130%2C+350174587+238247785+869556240+424670700+721652920+631025324+257597948+402132181+840953819+950026558%2C+822136105+776461938%2C+747366289%09609899112+496246299%09763114189+490685656%09330777351+791863884%09923689393+675703148%09951718452+384850377%09330001035+263389431%09335920806+440594963%09+891831120%09+346540209%09%2C+319131995%09205955247+317129854%09374235407+658023214%09278578949+434482871%09580739304+399626255%09467653489+464750602%09328881958%2C+232428507+963218217+664900111+338980113+666617998+494076567+496662852+818195319+650734329+456380892+482662001+710677981+341611552+863912384+794172676+636648413+607400387+400932132+348066334+955108153+698729104+875429879+736383698+659887603+278729378+598655541%2C+&amp;package_status_id=&amp;t_stt=&amp;r_stt=&amp;cr_from=2019-11-06+00%3A00%3A00&amp;cr_to=2019-11-13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https://admin.giaohangtietkiem.vn/admin/api/index/limit:50?alias=826258418%09317765690+836580380%09642960118+385144684%09931566075+546534416%09313501894+340311407%09722376697+413998699%09877437207+632234012%09929436436+522556248%09397233104+434885201%09429876070+445456384%09980113141+941295578%09486736999+271235440%09496930047+941295578%09+943237935%09+406070710%09+954299450%09+355033972%09+356665640%09+600833014%09+639432503%09&amp;package_status_id=&amp;t_stt=&amp;r_stt=&amp;cr_from=2019-11-08+00%3A00%3A00&amp;cr_to=2019-11-15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dmin.giaohangtietkiem.vn/admin/api/index/limit:50?alias=336678918+396987409+346961212+489639152+216223121+272595940+401747525+362643425+324616720+799121434+426820617+469756780+334050975+412783467+329804197+462652154+377679729+447690338+321179633+328519186+410867673+285019704+356401507+635791187+621317639+899885010+818320331+722178574+691674409+924863058&amp;package_status_id=&amp;t_stt=&amp;r_stt=&amp;cr_from=2019-10-28+00%3A00%3A00&amp;cr_to=2019-11-04+23%3A59%3A59&amp;date_from=&amp;date_to=&amp;delay_pick_from=&amp;delay_pick_to=&amp;date_type=approved_at&amp;shop_id=&amp;customer_tel=&amp;client_id=&amp;station_id=&amp;transfer_station_id=&amp;cur_station_id=&amp;pick_cart_id=&amp;deliver_cart_id=&amp;extra_type=&amp;shop_name=&amp;shop_email=&amp;shop_tel=&amp;shop_address=&amp;customer_email=&amp;customer_fullname=&amp;customer_address=&amp;customer_district_id=&amp;pick_cod_id=&amp;deliver_cod_id=&amp;return_cod_id=&amp;pick_night=0&amp;deliver_night=0&amp;sun_pick=0&amp;sun_deliver=0&amp;is_cancel=0&amp;need_confirm=0&amp;outside_hanoi=0&amp;is_b2c=0&amp;delay_picking=0&amp;delay_delivering=0&amp;transferring_incomplete=0&amp;delay_returning_in=0&amp;delay_returning_out=0&amp;delay_shopee=0&amp;pkg_now=0&amp;pkg_drop_off=0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4" max="4" width="17.29"/>
    <col customWidth="1" min="5" max="5" width="20.71"/>
    <col customWidth="1" min="6" max="6" width="25.14"/>
    <col customWidth="1" min="7" max="7" width="17.14"/>
    <col customWidth="1" min="20" max="20" width="15.86"/>
  </cols>
  <sheetData>
    <row r="1">
      <c r="A1" s="1">
        <v>43785.0</v>
      </c>
      <c r="B1" s="2" t="s">
        <v>0</v>
      </c>
      <c r="C1" s="2" t="s">
        <v>1</v>
      </c>
      <c r="D1" s="2" t="s">
        <v>5</v>
      </c>
      <c r="E1" s="2" t="s">
        <v>3</v>
      </c>
      <c r="F1" s="2" t="s">
        <v>4</v>
      </c>
      <c r="G1" s="2" t="s">
        <v>7</v>
      </c>
      <c r="M1" s="3"/>
    </row>
    <row r="2">
      <c r="A2" s="4"/>
      <c r="B2" s="5" t="s">
        <v>8</v>
      </c>
      <c r="C2" s="6">
        <v>0.0</v>
      </c>
      <c r="D2" s="7" t="str">
        <f t="shared" ref="D2:D6" si="1">E2/C2</f>
        <v>#DIV/0!</v>
      </c>
      <c r="E2" s="6"/>
      <c r="F2" s="6"/>
      <c r="G2" s="8" t="str">
        <f t="shared" ref="G2:G6" si="2">F2/E2</f>
        <v>#DIV/0!</v>
      </c>
    </row>
    <row r="3">
      <c r="A3" s="4"/>
      <c r="B3" s="5" t="s">
        <v>9</v>
      </c>
      <c r="C3" s="6">
        <v>200.0</v>
      </c>
      <c r="D3" s="7">
        <f t="shared" si="1"/>
        <v>1</v>
      </c>
      <c r="E3" s="6">
        <v>200.0</v>
      </c>
      <c r="F3" s="6">
        <v>142.0</v>
      </c>
      <c r="G3" s="8">
        <f t="shared" si="2"/>
        <v>0.71</v>
      </c>
      <c r="H3" s="11" t="s">
        <v>10</v>
      </c>
    </row>
    <row r="4">
      <c r="A4" s="4"/>
      <c r="B4" s="5" t="s">
        <v>12</v>
      </c>
      <c r="C4" s="6">
        <v>170.0</v>
      </c>
      <c r="D4" s="9">
        <f t="shared" si="1"/>
        <v>1</v>
      </c>
      <c r="E4" s="6">
        <v>170.0</v>
      </c>
      <c r="F4" s="6">
        <f>73+46</f>
        <v>119</v>
      </c>
      <c r="G4" s="8">
        <f t="shared" si="2"/>
        <v>0.7</v>
      </c>
      <c r="H4" s="11" t="s">
        <v>15</v>
      </c>
    </row>
    <row r="5">
      <c r="A5" s="4"/>
      <c r="B5" s="5" t="s">
        <v>13</v>
      </c>
      <c r="C5" s="6">
        <v>95.0</v>
      </c>
      <c r="D5" s="9">
        <f t="shared" si="1"/>
        <v>1</v>
      </c>
      <c r="E5" s="6">
        <v>95.0</v>
      </c>
      <c r="F5" s="6">
        <v>55.0</v>
      </c>
      <c r="G5" s="8">
        <f t="shared" si="2"/>
        <v>0.5789473684</v>
      </c>
      <c r="H5" s="11" t="s">
        <v>17</v>
      </c>
    </row>
    <row r="6">
      <c r="A6" s="10"/>
      <c r="B6" s="5" t="s">
        <v>14</v>
      </c>
      <c r="C6" s="6">
        <v>284.0</v>
      </c>
      <c r="D6" s="9">
        <f t="shared" si="1"/>
        <v>1</v>
      </c>
      <c r="E6" s="6">
        <v>284.0</v>
      </c>
      <c r="F6" s="6">
        <f>18+22+20</f>
        <v>60</v>
      </c>
      <c r="G6" s="8">
        <f t="shared" si="2"/>
        <v>0.2112676056</v>
      </c>
      <c r="H6" s="11" t="s">
        <v>21</v>
      </c>
      <c r="I6" s="13" t="s">
        <v>24</v>
      </c>
    </row>
    <row r="7">
      <c r="A7" s="3"/>
    </row>
    <row r="8">
      <c r="A8" s="1">
        <v>43787.0</v>
      </c>
      <c r="B8" s="2" t="s">
        <v>0</v>
      </c>
      <c r="C8" s="2" t="s">
        <v>1</v>
      </c>
      <c r="D8" s="2" t="s">
        <v>5</v>
      </c>
      <c r="E8" s="2" t="s">
        <v>3</v>
      </c>
      <c r="F8" s="2" t="s">
        <v>4</v>
      </c>
      <c r="G8" s="2" t="s">
        <v>7</v>
      </c>
    </row>
    <row r="9">
      <c r="A9" s="4"/>
      <c r="B9" s="5" t="s">
        <v>8</v>
      </c>
      <c r="C9" s="12">
        <v>0.0</v>
      </c>
      <c r="D9" s="7" t="str">
        <f t="shared" ref="D9:D13" si="3">E9/C9</f>
        <v>#DIV/0!</v>
      </c>
      <c r="E9" s="6"/>
      <c r="F9" s="6"/>
      <c r="G9" s="8" t="str">
        <f t="shared" ref="G9:G13" si="4">F9/E9</f>
        <v>#DIV/0!</v>
      </c>
    </row>
    <row r="10">
      <c r="A10" s="4"/>
      <c r="B10" s="5" t="s">
        <v>9</v>
      </c>
      <c r="C10" s="14">
        <v>83.0</v>
      </c>
      <c r="D10" s="7">
        <f t="shared" si="3"/>
        <v>1</v>
      </c>
      <c r="E10" s="6">
        <v>83.0</v>
      </c>
      <c r="F10" s="6">
        <v>73.0</v>
      </c>
      <c r="G10" s="8">
        <f t="shared" si="4"/>
        <v>0.8795180723</v>
      </c>
      <c r="H10" s="11" t="s">
        <v>26</v>
      </c>
    </row>
    <row r="11">
      <c r="A11" s="4"/>
      <c r="B11" s="5" t="s">
        <v>12</v>
      </c>
      <c r="C11" s="14">
        <v>18.0</v>
      </c>
      <c r="D11" s="9">
        <f t="shared" si="3"/>
        <v>1</v>
      </c>
      <c r="E11" s="6">
        <v>18.0</v>
      </c>
      <c r="F11" s="6">
        <v>17.0</v>
      </c>
      <c r="G11" s="8">
        <f t="shared" si="4"/>
        <v>0.9444444444</v>
      </c>
    </row>
    <row r="12">
      <c r="A12" s="4"/>
      <c r="B12" s="5" t="s">
        <v>13</v>
      </c>
      <c r="C12" s="14">
        <v>51.0</v>
      </c>
      <c r="D12" s="9">
        <f t="shared" si="3"/>
        <v>1</v>
      </c>
      <c r="E12" s="6">
        <v>51.0</v>
      </c>
      <c r="F12" s="6">
        <v>41.0</v>
      </c>
      <c r="G12" s="8">
        <f t="shared" si="4"/>
        <v>0.8039215686</v>
      </c>
      <c r="H12" s="11" t="s">
        <v>29</v>
      </c>
      <c r="I12" s="18"/>
    </row>
    <row r="13">
      <c r="A13" s="10"/>
      <c r="B13" s="5" t="s">
        <v>14</v>
      </c>
      <c r="C13" s="6">
        <v>426.0</v>
      </c>
      <c r="D13" s="9">
        <f t="shared" si="3"/>
        <v>1</v>
      </c>
      <c r="E13" s="6">
        <v>426.0</v>
      </c>
      <c r="F13" s="6">
        <f>73+70+74+69+20</f>
        <v>306</v>
      </c>
      <c r="G13" s="8">
        <f t="shared" si="4"/>
        <v>0.7183098592</v>
      </c>
      <c r="H13" s="11" t="s">
        <v>32</v>
      </c>
    </row>
    <row r="14">
      <c r="A14" s="15"/>
      <c r="B14" s="12"/>
      <c r="C14" s="16"/>
      <c r="D14" s="12"/>
      <c r="E14" s="12"/>
      <c r="F14" s="17"/>
      <c r="G14" s="18"/>
    </row>
    <row r="15">
      <c r="A15" s="1">
        <v>43788.0</v>
      </c>
      <c r="B15" s="2" t="s">
        <v>0</v>
      </c>
      <c r="C15" s="2" t="s">
        <v>1</v>
      </c>
      <c r="D15" s="2" t="s">
        <v>5</v>
      </c>
      <c r="E15" s="2" t="s">
        <v>3</v>
      </c>
      <c r="F15" s="2" t="s">
        <v>4</v>
      </c>
      <c r="G15" s="2" t="s">
        <v>7</v>
      </c>
    </row>
    <row r="16">
      <c r="A16" s="4"/>
      <c r="B16" s="5" t="s">
        <v>8</v>
      </c>
      <c r="C16" s="12">
        <v>0.0</v>
      </c>
      <c r="D16" s="7" t="str">
        <f t="shared" ref="D16:D20" si="5">E16/C16</f>
        <v>#DIV/0!</v>
      </c>
      <c r="E16" s="6"/>
      <c r="F16" s="6"/>
      <c r="G16" s="8" t="str">
        <f t="shared" ref="G16:G20" si="6">F16/E16</f>
        <v>#DIV/0!</v>
      </c>
    </row>
    <row r="17">
      <c r="A17" s="4"/>
      <c r="B17" s="5" t="s">
        <v>9</v>
      </c>
      <c r="C17" s="14"/>
      <c r="D17" s="7" t="str">
        <f t="shared" si="5"/>
        <v>#DIV/0!</v>
      </c>
      <c r="E17" s="6"/>
      <c r="F17" s="6"/>
      <c r="G17" s="8" t="str">
        <f t="shared" si="6"/>
        <v>#DIV/0!</v>
      </c>
    </row>
    <row r="18">
      <c r="A18" s="4"/>
      <c r="B18" s="5" t="s">
        <v>12</v>
      </c>
      <c r="C18" s="14"/>
      <c r="D18" s="9" t="str">
        <f t="shared" si="5"/>
        <v>#DIV/0!</v>
      </c>
      <c r="E18" s="6"/>
      <c r="F18" s="6"/>
      <c r="G18" s="8" t="str">
        <f t="shared" si="6"/>
        <v>#DIV/0!</v>
      </c>
    </row>
    <row r="19">
      <c r="A19" s="4"/>
      <c r="B19" s="5" t="s">
        <v>13</v>
      </c>
      <c r="C19" s="6">
        <v>133.0</v>
      </c>
      <c r="D19" s="9">
        <f t="shared" si="5"/>
        <v>1</v>
      </c>
      <c r="E19" s="6">
        <v>133.0</v>
      </c>
      <c r="F19" s="6">
        <f>77+23</f>
        <v>100</v>
      </c>
      <c r="G19" s="8">
        <f t="shared" si="6"/>
        <v>0.7518796992</v>
      </c>
    </row>
    <row r="20">
      <c r="A20" s="10"/>
      <c r="B20" s="5" t="s">
        <v>14</v>
      </c>
      <c r="C20" s="14">
        <v>16.0</v>
      </c>
      <c r="D20" s="9">
        <f t="shared" si="5"/>
        <v>1</v>
      </c>
      <c r="E20" s="6">
        <v>16.0</v>
      </c>
      <c r="F20" s="6">
        <v>13.0</v>
      </c>
      <c r="G20" s="8">
        <f t="shared" si="6"/>
        <v>0.8125</v>
      </c>
    </row>
    <row r="21">
      <c r="I21" s="13" t="s">
        <v>30</v>
      </c>
    </row>
    <row r="22">
      <c r="A22" s="1">
        <v>43789.0</v>
      </c>
      <c r="B22" s="2" t="s">
        <v>0</v>
      </c>
      <c r="C22" s="2" t="s">
        <v>1</v>
      </c>
      <c r="D22" s="2" t="s">
        <v>5</v>
      </c>
      <c r="E22" s="2" t="s">
        <v>3</v>
      </c>
      <c r="F22" s="2" t="s">
        <v>4</v>
      </c>
      <c r="G22" s="2" t="s">
        <v>7</v>
      </c>
      <c r="I22" s="13" t="s">
        <v>18</v>
      </c>
    </row>
    <row r="23">
      <c r="A23" s="4"/>
      <c r="B23" s="5" t="s">
        <v>8</v>
      </c>
      <c r="C23" s="6">
        <v>0.0</v>
      </c>
      <c r="D23" s="7" t="str">
        <f t="shared" ref="D23:D27" si="7">E23/C23</f>
        <v>#DIV/0!</v>
      </c>
      <c r="E23" s="6"/>
      <c r="F23" s="6"/>
      <c r="G23" s="8" t="str">
        <f t="shared" ref="G23:G27" si="8">F23/E23</f>
        <v>#DIV/0!</v>
      </c>
      <c r="I23" s="13" t="s">
        <v>18</v>
      </c>
    </row>
    <row r="24">
      <c r="A24" s="4"/>
      <c r="B24" s="5" t="s">
        <v>9</v>
      </c>
      <c r="C24" s="6">
        <v>23.0</v>
      </c>
      <c r="D24" s="7">
        <f t="shared" si="7"/>
        <v>1</v>
      </c>
      <c r="E24" s="6">
        <v>23.0</v>
      </c>
      <c r="F24" s="6">
        <v>19.0</v>
      </c>
      <c r="G24" s="8">
        <f t="shared" si="8"/>
        <v>0.8260869565</v>
      </c>
    </row>
    <row r="25">
      <c r="A25" s="4"/>
      <c r="B25" s="5" t="s">
        <v>12</v>
      </c>
      <c r="C25" s="6">
        <v>108.0</v>
      </c>
      <c r="D25" s="9">
        <f t="shared" si="7"/>
        <v>1</v>
      </c>
      <c r="E25" s="6">
        <v>108.0</v>
      </c>
      <c r="F25" s="6">
        <f>89+6</f>
        <v>95</v>
      </c>
      <c r="G25" s="8">
        <f t="shared" si="8"/>
        <v>0.8796296296</v>
      </c>
    </row>
    <row r="26">
      <c r="A26" s="4"/>
      <c r="B26" s="5" t="s">
        <v>13</v>
      </c>
      <c r="C26" s="6">
        <v>98.0</v>
      </c>
      <c r="D26" s="9">
        <f t="shared" si="7"/>
        <v>1</v>
      </c>
      <c r="E26" s="6">
        <v>98.0</v>
      </c>
      <c r="F26" s="6">
        <v>84.0</v>
      </c>
      <c r="G26" s="8">
        <f t="shared" si="8"/>
        <v>0.8571428571</v>
      </c>
    </row>
    <row r="27">
      <c r="A27" s="10"/>
      <c r="B27" s="5" t="s">
        <v>14</v>
      </c>
      <c r="C27" s="6">
        <f>324+88+149</f>
        <v>561</v>
      </c>
      <c r="D27" s="9">
        <f t="shared" si="7"/>
        <v>1</v>
      </c>
      <c r="E27" s="6">
        <v>561.0</v>
      </c>
      <c r="F27" s="6">
        <f>68+72+66+10+57+70+32</f>
        <v>375</v>
      </c>
      <c r="G27" s="8">
        <f t="shared" si="8"/>
        <v>0.6684491979</v>
      </c>
      <c r="H27" s="11" t="s">
        <v>36</v>
      </c>
      <c r="I27" s="11" t="s">
        <v>44</v>
      </c>
      <c r="J27" s="11" t="s">
        <v>46</v>
      </c>
    </row>
    <row r="29">
      <c r="A29" s="1">
        <v>43790.0</v>
      </c>
      <c r="B29" s="2" t="s">
        <v>0</v>
      </c>
      <c r="C29" s="2" t="s">
        <v>1</v>
      </c>
      <c r="D29" s="2" t="s">
        <v>5</v>
      </c>
      <c r="E29" s="2" t="s">
        <v>3</v>
      </c>
      <c r="F29" s="2" t="s">
        <v>4</v>
      </c>
      <c r="G29" s="2" t="s">
        <v>7</v>
      </c>
    </row>
    <row r="30">
      <c r="A30" s="4"/>
      <c r="B30" s="5" t="s">
        <v>8</v>
      </c>
      <c r="C30" s="6">
        <v>0.0</v>
      </c>
      <c r="D30" s="7" t="str">
        <f t="shared" ref="D30:D34" si="9">E30/C30</f>
        <v>#DIV/0!</v>
      </c>
      <c r="E30" s="6"/>
      <c r="F30" s="6"/>
      <c r="G30" s="8" t="str">
        <f t="shared" ref="G30:G34" si="10">F30/E30</f>
        <v>#DIV/0!</v>
      </c>
      <c r="H30" s="11" t="s">
        <v>61</v>
      </c>
    </row>
    <row r="31">
      <c r="A31" s="4"/>
      <c r="B31" s="5" t="s">
        <v>9</v>
      </c>
      <c r="C31" s="6">
        <v>131.0</v>
      </c>
      <c r="D31" s="7">
        <f t="shared" si="9"/>
        <v>1</v>
      </c>
      <c r="E31" s="6">
        <v>131.0</v>
      </c>
      <c r="F31" s="6">
        <f>83+26</f>
        <v>109</v>
      </c>
      <c r="G31" s="8">
        <f t="shared" si="10"/>
        <v>0.8320610687</v>
      </c>
    </row>
    <row r="32">
      <c r="A32" s="4"/>
      <c r="B32" s="5" t="s">
        <v>12</v>
      </c>
      <c r="C32" s="14"/>
      <c r="D32" s="9" t="str">
        <f t="shared" si="9"/>
        <v>#DIV/0!</v>
      </c>
      <c r="E32" s="6"/>
      <c r="F32" s="6"/>
      <c r="G32" s="8" t="str">
        <f t="shared" si="10"/>
        <v>#DIV/0!</v>
      </c>
    </row>
    <row r="33">
      <c r="A33" s="4"/>
      <c r="B33" s="5" t="s">
        <v>13</v>
      </c>
      <c r="C33" s="6">
        <v>268.0</v>
      </c>
      <c r="D33" s="9">
        <f t="shared" si="9"/>
        <v>1</v>
      </c>
      <c r="E33" s="6">
        <v>268.0</v>
      </c>
      <c r="F33" s="6">
        <f>83+87+61</f>
        <v>231</v>
      </c>
      <c r="G33" s="8">
        <f t="shared" si="10"/>
        <v>0.8619402985</v>
      </c>
    </row>
    <row r="34">
      <c r="A34" s="10"/>
      <c r="B34" s="5" t="s">
        <v>14</v>
      </c>
      <c r="C34" s="6">
        <v>196.0</v>
      </c>
      <c r="D34" s="9">
        <f t="shared" si="9"/>
        <v>1</v>
      </c>
      <c r="E34" s="6">
        <v>196.0</v>
      </c>
      <c r="F34" s="6">
        <f>77+68</f>
        <v>145</v>
      </c>
      <c r="G34" s="8">
        <f t="shared" si="10"/>
        <v>0.7397959184</v>
      </c>
      <c r="J34" s="18"/>
    </row>
    <row r="36">
      <c r="A36" s="1">
        <v>43791.0</v>
      </c>
      <c r="B36" s="2" t="s">
        <v>0</v>
      </c>
      <c r="C36" s="2" t="s">
        <v>1</v>
      </c>
      <c r="D36" s="2" t="s">
        <v>5</v>
      </c>
      <c r="E36" s="2" t="s">
        <v>3</v>
      </c>
      <c r="F36" s="2" t="s">
        <v>4</v>
      </c>
      <c r="G36" s="2" t="s">
        <v>7</v>
      </c>
    </row>
    <row r="37">
      <c r="A37" s="4"/>
      <c r="B37" s="5" t="s">
        <v>8</v>
      </c>
      <c r="C37" s="12"/>
      <c r="D37" s="7" t="str">
        <f t="shared" ref="D37:D41" si="11">E37/C37</f>
        <v>#DIV/0!</v>
      </c>
      <c r="E37" s="6"/>
      <c r="F37" s="6"/>
      <c r="G37" s="8" t="str">
        <f t="shared" ref="G37:G41" si="12">F37/E37</f>
        <v>#DIV/0!</v>
      </c>
    </row>
    <row r="38">
      <c r="A38" s="4"/>
      <c r="B38" s="5" t="s">
        <v>9</v>
      </c>
      <c r="C38" s="6">
        <v>212.0</v>
      </c>
      <c r="D38" s="7">
        <f t="shared" si="11"/>
        <v>1</v>
      </c>
      <c r="E38" s="6">
        <v>212.0</v>
      </c>
      <c r="F38" s="6">
        <f>86+87+11</f>
        <v>184</v>
      </c>
      <c r="G38" s="8">
        <f t="shared" si="12"/>
        <v>0.8679245283</v>
      </c>
      <c r="H38" s="11" t="s">
        <v>71</v>
      </c>
    </row>
    <row r="39">
      <c r="A39" s="4"/>
      <c r="B39" s="5" t="s">
        <v>12</v>
      </c>
      <c r="C39" s="14"/>
      <c r="D39" s="9" t="str">
        <f t="shared" si="11"/>
        <v>#DIV/0!</v>
      </c>
      <c r="E39" s="6"/>
      <c r="F39" s="6"/>
      <c r="G39" s="8" t="str">
        <f t="shared" si="12"/>
        <v>#DIV/0!</v>
      </c>
    </row>
    <row r="40">
      <c r="A40" s="4"/>
      <c r="B40" s="5" t="s">
        <v>13</v>
      </c>
      <c r="C40" s="6">
        <v>175.0</v>
      </c>
      <c r="D40" s="9">
        <f t="shared" si="11"/>
        <v>1</v>
      </c>
      <c r="E40" s="6">
        <v>175.0</v>
      </c>
      <c r="F40" s="6">
        <f>60+34</f>
        <v>94</v>
      </c>
      <c r="G40" s="8">
        <f t="shared" si="12"/>
        <v>0.5371428571</v>
      </c>
      <c r="H40" s="11" t="s">
        <v>75</v>
      </c>
    </row>
    <row r="41">
      <c r="A41" s="10"/>
      <c r="B41" s="5" t="s">
        <v>14</v>
      </c>
      <c r="C41" s="6">
        <f>193+125</f>
        <v>318</v>
      </c>
      <c r="D41" s="9">
        <f t="shared" si="11"/>
        <v>0.5974842767</v>
      </c>
      <c r="E41" s="6">
        <v>190.0</v>
      </c>
      <c r="F41" s="6">
        <f>87+67</f>
        <v>154</v>
      </c>
      <c r="G41" s="8">
        <f t="shared" si="12"/>
        <v>0.8105263158</v>
      </c>
      <c r="I41" s="13" t="s">
        <v>81</v>
      </c>
    </row>
    <row r="43">
      <c r="I43" s="13" t="s">
        <v>18</v>
      </c>
    </row>
    <row r="44">
      <c r="A44" s="19" t="s">
        <v>37</v>
      </c>
      <c r="B44" s="20" t="s">
        <v>38</v>
      </c>
      <c r="C44" s="20" t="s">
        <v>39</v>
      </c>
      <c r="D44" s="20" t="s">
        <v>40</v>
      </c>
      <c r="E44" s="20" t="s">
        <v>41</v>
      </c>
      <c r="F44" s="20" t="s">
        <v>42</v>
      </c>
      <c r="G44" s="21" t="s">
        <v>43</v>
      </c>
      <c r="I44" s="13" t="s">
        <v>18</v>
      </c>
    </row>
    <row r="45">
      <c r="A45" s="22">
        <v>43785.0</v>
      </c>
      <c r="B45" s="6">
        <v>0.0</v>
      </c>
      <c r="C45" s="6">
        <v>200.0</v>
      </c>
      <c r="D45" s="6">
        <v>170.0</v>
      </c>
      <c r="E45" s="6">
        <v>95.0</v>
      </c>
      <c r="F45" s="6">
        <v>284.0</v>
      </c>
      <c r="G45" s="23">
        <f t="shared" ref="G45:G50" si="13">SUM(B45:F45)</f>
        <v>749</v>
      </c>
      <c r="I45" s="13" t="s">
        <v>18</v>
      </c>
    </row>
    <row r="46">
      <c r="A46" s="22">
        <v>43787.0</v>
      </c>
      <c r="B46" s="6">
        <v>0.0</v>
      </c>
      <c r="C46" s="14">
        <v>83.0</v>
      </c>
      <c r="D46" s="14">
        <v>18.0</v>
      </c>
      <c r="E46" s="14">
        <v>51.0</v>
      </c>
      <c r="F46" s="6">
        <v>426.0</v>
      </c>
      <c r="G46" s="23">
        <f t="shared" si="13"/>
        <v>578</v>
      </c>
      <c r="I46" s="13" t="s">
        <v>18</v>
      </c>
    </row>
    <row r="47">
      <c r="A47" s="22">
        <v>43788.0</v>
      </c>
      <c r="B47" s="6">
        <v>0.0</v>
      </c>
      <c r="C47" s="14"/>
      <c r="D47" s="14"/>
      <c r="E47" s="6">
        <v>133.0</v>
      </c>
      <c r="F47" s="14">
        <v>16.0</v>
      </c>
      <c r="G47" s="23">
        <f t="shared" si="13"/>
        <v>149</v>
      </c>
      <c r="I47" s="13" t="s">
        <v>18</v>
      </c>
    </row>
    <row r="48">
      <c r="A48" s="22">
        <v>43789.0</v>
      </c>
      <c r="B48" s="6">
        <v>0.0</v>
      </c>
      <c r="C48" s="6">
        <v>23.0</v>
      </c>
      <c r="D48" s="6">
        <v>108.0</v>
      </c>
      <c r="E48" s="6">
        <v>98.0</v>
      </c>
      <c r="F48" s="6">
        <f>324+88+149</f>
        <v>561</v>
      </c>
      <c r="G48" s="23">
        <f t="shared" si="13"/>
        <v>790</v>
      </c>
      <c r="I48" s="13" t="s">
        <v>30</v>
      </c>
    </row>
    <row r="49">
      <c r="A49" s="22">
        <v>43790.0</v>
      </c>
      <c r="B49" s="6">
        <v>0.0</v>
      </c>
      <c r="C49" s="6">
        <v>131.0</v>
      </c>
      <c r="D49" s="14"/>
      <c r="E49" s="6">
        <v>268.0</v>
      </c>
      <c r="F49" s="6">
        <v>196.0</v>
      </c>
      <c r="G49" s="23">
        <f t="shared" si="13"/>
        <v>595</v>
      </c>
      <c r="I49" s="13" t="s">
        <v>18</v>
      </c>
    </row>
    <row r="50">
      <c r="A50" s="22">
        <v>43791.0</v>
      </c>
      <c r="B50" s="6">
        <v>0.0</v>
      </c>
      <c r="C50" s="6">
        <v>212.0</v>
      </c>
      <c r="D50" s="14"/>
      <c r="E50" s="6">
        <v>175.0</v>
      </c>
      <c r="F50" s="6">
        <f>193+125</f>
        <v>318</v>
      </c>
      <c r="G50" s="23">
        <f t="shared" si="13"/>
        <v>705</v>
      </c>
      <c r="I50" s="13" t="s">
        <v>18</v>
      </c>
    </row>
    <row r="51">
      <c r="A51" s="24" t="s">
        <v>45</v>
      </c>
      <c r="B51" s="25">
        <f t="shared" ref="B51:G51" si="14">SUM(B45:B50)</f>
        <v>0</v>
      </c>
      <c r="C51" s="25">
        <f t="shared" si="14"/>
        <v>649</v>
      </c>
      <c r="D51" s="25">
        <f t="shared" si="14"/>
        <v>296</v>
      </c>
      <c r="E51" s="25">
        <f t="shared" si="14"/>
        <v>820</v>
      </c>
      <c r="F51" s="25">
        <f t="shared" si="14"/>
        <v>1801</v>
      </c>
      <c r="G51" s="25">
        <f t="shared" si="14"/>
        <v>3566</v>
      </c>
      <c r="I51" s="13" t="s">
        <v>18</v>
      </c>
    </row>
    <row r="53">
      <c r="A53" s="26"/>
      <c r="B53" s="2" t="s">
        <v>47</v>
      </c>
      <c r="C53" s="2" t="s">
        <v>48</v>
      </c>
      <c r="D53" s="2" t="s">
        <v>49</v>
      </c>
      <c r="E53" s="2" t="s">
        <v>50</v>
      </c>
      <c r="F53" s="2" t="s">
        <v>52</v>
      </c>
    </row>
    <row r="54">
      <c r="A54" s="24" t="s">
        <v>53</v>
      </c>
      <c r="B54" s="25">
        <f t="shared" ref="B54:F54" si="15">B51</f>
        <v>0</v>
      </c>
      <c r="C54" s="25">
        <f t="shared" si="15"/>
        <v>649</v>
      </c>
      <c r="D54" s="25">
        <f t="shared" si="15"/>
        <v>296</v>
      </c>
      <c r="E54" s="25">
        <f t="shared" si="15"/>
        <v>820</v>
      </c>
      <c r="F54" s="25">
        <f t="shared" si="15"/>
        <v>1801</v>
      </c>
    </row>
    <row r="55">
      <c r="A55" s="24" t="s">
        <v>5</v>
      </c>
      <c r="B55" s="27"/>
      <c r="C55" s="27">
        <v>1.0</v>
      </c>
      <c r="D55" s="27">
        <v>1.0</v>
      </c>
      <c r="E55" s="27">
        <v>1.0</v>
      </c>
      <c r="F55" s="36">
        <v>0.932</v>
      </c>
    </row>
    <row r="56">
      <c r="A56" s="24" t="s">
        <v>7</v>
      </c>
      <c r="B56" s="36"/>
      <c r="C56" s="36">
        <v>0.823</v>
      </c>
      <c r="D56" s="36">
        <v>0.822</v>
      </c>
      <c r="E56" s="36">
        <v>0.7318</v>
      </c>
      <c r="F56" s="36">
        <v>0.66</v>
      </c>
    </row>
  </sheetData>
  <mergeCells count="6">
    <mergeCell ref="A1:A6"/>
    <mergeCell ref="A8:A13"/>
    <mergeCell ref="A15:A20"/>
    <mergeCell ref="A22:A27"/>
    <mergeCell ref="A29:A34"/>
    <mergeCell ref="A36:A41"/>
  </mergeCells>
  <hyperlinks>
    <hyperlink r:id="rId1" ref="H3"/>
    <hyperlink r:id="rId2" ref="H4"/>
    <hyperlink r:id="rId3" ref="H5"/>
    <hyperlink r:id="rId4" ref="H6"/>
    <hyperlink r:id="rId5" ref="H10"/>
    <hyperlink r:id="rId6" ref="H12"/>
    <hyperlink r:id="rId7" ref="H13"/>
    <hyperlink r:id="rId8" ref="H27"/>
    <hyperlink r:id="rId9" ref="I27"/>
    <hyperlink r:id="rId10" ref="J27"/>
    <hyperlink r:id="rId11" ref="H30"/>
    <hyperlink r:id="rId12" ref="H38"/>
    <hyperlink r:id="rId13" ref="H40"/>
  </hyperlinks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4" max="4" width="18.57"/>
    <col customWidth="1" min="5" max="5" width="19.14"/>
    <col customWidth="1" min="20" max="20" width="15.86"/>
  </cols>
  <sheetData>
    <row r="1">
      <c r="A1" s="3" t="s">
        <v>62</v>
      </c>
      <c r="M1" s="3"/>
    </row>
    <row r="2">
      <c r="A2" s="13" t="s">
        <v>63</v>
      </c>
      <c r="B2" s="13">
        <v>21.0</v>
      </c>
    </row>
    <row r="3">
      <c r="A3" s="13" t="s">
        <v>64</v>
      </c>
      <c r="B3" s="13">
        <v>40.0</v>
      </c>
    </row>
    <row r="4">
      <c r="A4" s="13" t="s">
        <v>66</v>
      </c>
      <c r="B4" s="13">
        <v>0.0</v>
      </c>
    </row>
    <row r="5">
      <c r="A5" s="13" t="s">
        <v>67</v>
      </c>
      <c r="B5" s="13">
        <v>9.0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161.0</v>
      </c>
      <c r="C8" s="7">
        <f t="shared" ref="C8:C12" si="1">D8/B8</f>
        <v>0.9813664596</v>
      </c>
      <c r="D8" s="32" t="s">
        <v>130</v>
      </c>
      <c r="E8" s="32" t="s">
        <v>131</v>
      </c>
      <c r="F8" s="8">
        <f t="shared" ref="F8:F12" si="2">E8/D8</f>
        <v>0.7911392405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360.0</v>
      </c>
      <c r="C9" s="7">
        <f t="shared" si="1"/>
        <v>0.9916666667</v>
      </c>
      <c r="D9" s="32" t="s">
        <v>132</v>
      </c>
      <c r="E9" s="32" t="s">
        <v>133</v>
      </c>
      <c r="F9" s="8">
        <f t="shared" si="2"/>
        <v>0.700280112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639.0</v>
      </c>
      <c r="C10" s="7">
        <f t="shared" si="1"/>
        <v>0.9436619718</v>
      </c>
      <c r="D10" s="32" t="s">
        <v>135</v>
      </c>
      <c r="E10" s="32" t="s">
        <v>136</v>
      </c>
      <c r="F10" s="8">
        <f t="shared" si="2"/>
        <v>0.583747927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1004.0</v>
      </c>
      <c r="C11" s="7">
        <f t="shared" si="1"/>
        <v>0.9362549801</v>
      </c>
      <c r="D11" s="32" t="s">
        <v>137</v>
      </c>
      <c r="E11" s="32" t="s">
        <v>138</v>
      </c>
      <c r="F11" s="8">
        <f t="shared" si="2"/>
        <v>0.4861702128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996.0</v>
      </c>
      <c r="C12" s="7">
        <f t="shared" si="1"/>
        <v>0.8393574297</v>
      </c>
      <c r="D12" s="32" t="s">
        <v>139</v>
      </c>
      <c r="E12" s="32" t="s">
        <v>140</v>
      </c>
      <c r="F12" s="8">
        <f t="shared" si="2"/>
        <v>0.3337320574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173.0</v>
      </c>
      <c r="C8" s="7">
        <f t="shared" ref="C8:C12" si="1">D8/B8</f>
        <v>1</v>
      </c>
      <c r="D8" s="6">
        <v>173.0</v>
      </c>
      <c r="E8" s="32">
        <f>B8-30</f>
        <v>143</v>
      </c>
      <c r="F8" s="8">
        <f t="shared" ref="F8:F12" si="2">E8/D8</f>
        <v>0.8265895954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723.0</v>
      </c>
      <c r="C9" s="7">
        <f t="shared" si="1"/>
        <v>1</v>
      </c>
      <c r="D9" s="6">
        <v>723.0</v>
      </c>
      <c r="E9" s="32">
        <f>B9-149</f>
        <v>574</v>
      </c>
      <c r="F9" s="8">
        <f t="shared" si="2"/>
        <v>0.7939142462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f>465+215</f>
        <v>680</v>
      </c>
      <c r="C10" s="7">
        <f t="shared" si="1"/>
        <v>1</v>
      </c>
      <c r="D10" s="6">
        <v>680.0</v>
      </c>
      <c r="E10" s="32">
        <f>B10-210</f>
        <v>470</v>
      </c>
      <c r="F10" s="8">
        <f t="shared" si="2"/>
        <v>0.6911764706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f>541+414</f>
        <v>955</v>
      </c>
      <c r="C11" s="9">
        <f t="shared" si="1"/>
        <v>1</v>
      </c>
      <c r="D11" s="32" t="s">
        <v>145</v>
      </c>
      <c r="E11" s="32">
        <f>B11-275</f>
        <v>680</v>
      </c>
      <c r="F11" s="8">
        <f t="shared" si="2"/>
        <v>0.7120418848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620.0</v>
      </c>
      <c r="C12" s="9">
        <f t="shared" si="1"/>
        <v>1</v>
      </c>
      <c r="D12" s="32" t="s">
        <v>147</v>
      </c>
      <c r="E12" s="32">
        <f>B12-228</f>
        <v>392</v>
      </c>
      <c r="F12" s="8">
        <f t="shared" si="2"/>
        <v>0.6322580645</v>
      </c>
      <c r="G12" s="18"/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219.0</v>
      </c>
      <c r="C8" s="7">
        <f t="shared" ref="C8:C12" si="1">D8/B8</f>
        <v>1</v>
      </c>
      <c r="D8" s="32" t="s">
        <v>141</v>
      </c>
      <c r="E8" s="32">
        <f>B8-29</f>
        <v>190</v>
      </c>
      <c r="F8" s="8">
        <f t="shared" ref="F8:F12" si="2">E8/D8</f>
        <v>0.8675799087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f>637+74</f>
        <v>711</v>
      </c>
      <c r="C9" s="7">
        <f t="shared" si="1"/>
        <v>1</v>
      </c>
      <c r="D9" s="32" t="s">
        <v>143</v>
      </c>
      <c r="E9" s="32">
        <f>B9-94</f>
        <v>617</v>
      </c>
      <c r="F9" s="8">
        <f t="shared" si="2"/>
        <v>0.8677918425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604.0</v>
      </c>
      <c r="C10" s="7">
        <f t="shared" si="1"/>
        <v>1</v>
      </c>
      <c r="D10" s="32" t="s">
        <v>77</v>
      </c>
      <c r="E10" s="32">
        <f>B10-126</f>
        <v>478</v>
      </c>
      <c r="F10" s="8">
        <f t="shared" si="2"/>
        <v>0.7913907285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f>629+583</f>
        <v>1212</v>
      </c>
      <c r="C11" s="9">
        <f t="shared" si="1"/>
        <v>1</v>
      </c>
      <c r="D11" s="32" t="s">
        <v>146</v>
      </c>
      <c r="E11" s="32">
        <f>B11-306</f>
        <v>906</v>
      </c>
      <c r="F11" s="8">
        <f t="shared" si="2"/>
        <v>0.7475247525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f>544+496</f>
        <v>1040</v>
      </c>
      <c r="C12" s="9">
        <f t="shared" si="1"/>
        <v>1</v>
      </c>
      <c r="D12" s="32" t="s">
        <v>148</v>
      </c>
      <c r="E12" s="32">
        <f>B12-297</f>
        <v>743</v>
      </c>
      <c r="F12" s="8">
        <f t="shared" si="2"/>
        <v>0.7144230769</v>
      </c>
      <c r="G12" s="18"/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127.0</v>
      </c>
      <c r="C8" s="7">
        <f t="shared" ref="C8:C12" si="1">D8/B8</f>
        <v>1</v>
      </c>
      <c r="D8" s="6">
        <v>127.0</v>
      </c>
      <c r="E8" s="32" t="s">
        <v>151</v>
      </c>
      <c r="F8" s="8">
        <f t="shared" ref="F8:F12" si="2">E8/D8</f>
        <v>0.8976377953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423.0</v>
      </c>
      <c r="C9" s="7">
        <f t="shared" si="1"/>
        <v>1</v>
      </c>
      <c r="D9" s="6">
        <v>423.0</v>
      </c>
      <c r="E9" s="32">
        <f>423-52</f>
        <v>371</v>
      </c>
      <c r="F9" s="8">
        <f t="shared" si="2"/>
        <v>0.8770685579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628.0</v>
      </c>
      <c r="C10" s="7">
        <f t="shared" si="1"/>
        <v>1</v>
      </c>
      <c r="D10" s="6">
        <v>628.0</v>
      </c>
      <c r="E10" s="32">
        <f>628-111</f>
        <v>517</v>
      </c>
      <c r="F10" s="8">
        <f t="shared" si="2"/>
        <v>0.8232484076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851.0</v>
      </c>
      <c r="C11" s="9">
        <f t="shared" si="1"/>
        <v>0.9976498237</v>
      </c>
      <c r="D11" s="6">
        <v>849.0</v>
      </c>
      <c r="E11" s="32">
        <f>D11-153</f>
        <v>696</v>
      </c>
      <c r="F11" s="8">
        <f t="shared" si="2"/>
        <v>0.8197879859</v>
      </c>
      <c r="G11" s="18" t="s">
        <v>154</v>
      </c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716.0</v>
      </c>
      <c r="C12" s="9">
        <f t="shared" si="1"/>
        <v>0.9972067039</v>
      </c>
      <c r="D12" s="6">
        <v>714.0</v>
      </c>
      <c r="E12" s="32">
        <f>D12-196</f>
        <v>518</v>
      </c>
      <c r="F12" s="8">
        <f t="shared" si="2"/>
        <v>0.7254901961</v>
      </c>
      <c r="G12" s="18" t="s">
        <v>155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52.0</v>
      </c>
      <c r="C8" s="7">
        <f t="shared" ref="C8:C12" si="1">D8/B8</f>
        <v>1</v>
      </c>
      <c r="D8" s="6">
        <v>52.0</v>
      </c>
      <c r="E8" s="32" t="s">
        <v>152</v>
      </c>
      <c r="F8" s="8">
        <f t="shared" ref="F8:F12" si="2">E8/D8</f>
        <v>0.9230769231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379.0</v>
      </c>
      <c r="C9" s="7">
        <f t="shared" si="1"/>
        <v>0.9973614776</v>
      </c>
      <c r="D9" s="6">
        <v>378.0</v>
      </c>
      <c r="E9" s="32">
        <f>B9-33</f>
        <v>346</v>
      </c>
      <c r="F9" s="8">
        <f t="shared" si="2"/>
        <v>0.9153439153</v>
      </c>
      <c r="G9" s="18">
        <v>3.91701039E8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f>383+362</f>
        <v>745</v>
      </c>
      <c r="C10" s="7">
        <f t="shared" si="1"/>
        <v>1</v>
      </c>
      <c r="D10" s="6">
        <v>745.0</v>
      </c>
      <c r="E10" s="32">
        <f>B10-94</f>
        <v>651</v>
      </c>
      <c r="F10" s="8">
        <f t="shared" si="2"/>
        <v>0.8738255034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766.0</v>
      </c>
      <c r="C11" s="9">
        <f t="shared" si="1"/>
        <v>1</v>
      </c>
      <c r="D11" s="6">
        <v>766.0</v>
      </c>
      <c r="E11" s="32">
        <f>B11-100</f>
        <v>666</v>
      </c>
      <c r="F11" s="8">
        <f t="shared" si="2"/>
        <v>0.8694516971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633.0</v>
      </c>
      <c r="C12" s="9">
        <f t="shared" si="1"/>
        <v>0.9921011058</v>
      </c>
      <c r="D12" s="6">
        <v>628.0</v>
      </c>
      <c r="E12" s="32">
        <f>B12-129</f>
        <v>504</v>
      </c>
      <c r="F12" s="8">
        <f t="shared" si="2"/>
        <v>0.8025477707</v>
      </c>
      <c r="G12" s="18" t="s">
        <v>156</v>
      </c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79.0</v>
      </c>
      <c r="C8" s="7">
        <f t="shared" ref="C8:C12" si="1">D8/B8</f>
        <v>1</v>
      </c>
      <c r="D8" s="32" t="s">
        <v>159</v>
      </c>
      <c r="E8" s="32">
        <f>B8-7</f>
        <v>72</v>
      </c>
      <c r="F8" s="8">
        <f t="shared" ref="F8:F12" si="2">E8/D8</f>
        <v>0.9113924051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165.0</v>
      </c>
      <c r="C9" s="7">
        <f t="shared" si="1"/>
        <v>1</v>
      </c>
      <c r="D9" s="32" t="s">
        <v>161</v>
      </c>
      <c r="E9" s="32">
        <f>B9-25</f>
        <v>140</v>
      </c>
      <c r="F9" s="8">
        <f t="shared" si="2"/>
        <v>0.8484848485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374.0</v>
      </c>
      <c r="C10" s="7">
        <f t="shared" si="1"/>
        <v>1</v>
      </c>
      <c r="D10" s="32" t="s">
        <v>163</v>
      </c>
      <c r="E10" s="32">
        <f>B10-65</f>
        <v>309</v>
      </c>
      <c r="F10" s="8">
        <f t="shared" si="2"/>
        <v>0.8262032086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82.0</v>
      </c>
      <c r="C11" s="9">
        <f t="shared" si="1"/>
        <v>1</v>
      </c>
      <c r="D11" s="32" t="s">
        <v>165</v>
      </c>
      <c r="E11" s="32">
        <f>B11-12</f>
        <v>70</v>
      </c>
      <c r="F11" s="8">
        <f t="shared" si="2"/>
        <v>0.8536585366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345.0</v>
      </c>
      <c r="C12" s="9">
        <f t="shared" si="1"/>
        <v>1</v>
      </c>
      <c r="D12" s="32" t="s">
        <v>168</v>
      </c>
      <c r="E12" s="32">
        <f>B12-88</f>
        <v>257</v>
      </c>
      <c r="F12" s="8">
        <f t="shared" si="2"/>
        <v>0.7449275362</v>
      </c>
      <c r="G12" s="18"/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415.0</v>
      </c>
      <c r="C8" s="7">
        <f t="shared" ref="C8:C12" si="1">D8/B8</f>
        <v>1</v>
      </c>
      <c r="D8" s="32" t="s">
        <v>160</v>
      </c>
      <c r="E8" s="32">
        <f>B8-49</f>
        <v>366</v>
      </c>
      <c r="F8" s="8">
        <f t="shared" ref="F8:F12" si="2">E8/D8</f>
        <v>0.8819277108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532.0</v>
      </c>
      <c r="C9" s="7">
        <f t="shared" si="1"/>
        <v>1</v>
      </c>
      <c r="D9" s="32" t="s">
        <v>162</v>
      </c>
      <c r="E9" s="32">
        <f>B9-58</f>
        <v>474</v>
      </c>
      <c r="F9" s="8">
        <f t="shared" si="2"/>
        <v>0.8909774436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352.0</v>
      </c>
      <c r="C10" s="7">
        <f t="shared" si="1"/>
        <v>0.9971590909</v>
      </c>
      <c r="D10" s="32" t="s">
        <v>166</v>
      </c>
      <c r="E10" s="32">
        <f>B10-55</f>
        <v>297</v>
      </c>
      <c r="F10" s="8">
        <f t="shared" si="2"/>
        <v>0.8461538462</v>
      </c>
      <c r="G10" s="18">
        <v>4.19135281E8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377.0</v>
      </c>
      <c r="C11" s="9">
        <f t="shared" si="1"/>
        <v>1</v>
      </c>
      <c r="D11" s="32" t="s">
        <v>167</v>
      </c>
      <c r="E11" s="32">
        <f>B11-82</f>
        <v>295</v>
      </c>
      <c r="F11" s="8">
        <f t="shared" si="2"/>
        <v>0.7824933687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205.0</v>
      </c>
      <c r="C12" s="9">
        <f t="shared" si="1"/>
        <v>1</v>
      </c>
      <c r="D12" s="32" t="s">
        <v>169</v>
      </c>
      <c r="E12" s="32">
        <f>B12-61</f>
        <v>144</v>
      </c>
      <c r="F12" s="8">
        <f t="shared" si="2"/>
        <v>0.7024390244</v>
      </c>
      <c r="G12" s="18"/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1" t="s">
        <v>43</v>
      </c>
    </row>
    <row r="2">
      <c r="A2" s="22">
        <v>43750.0</v>
      </c>
      <c r="B2" s="5">
        <v>173.0</v>
      </c>
      <c r="C2" s="5">
        <v>723.0</v>
      </c>
      <c r="D2" s="5">
        <f>465+215</f>
        <v>680</v>
      </c>
      <c r="E2" s="5">
        <f>541+414</f>
        <v>955</v>
      </c>
      <c r="F2" s="5">
        <v>620.0</v>
      </c>
      <c r="G2" s="42">
        <f t="shared" ref="G2:G7" si="1">SUM(B2:F2)</f>
        <v>3151</v>
      </c>
    </row>
    <row r="3">
      <c r="A3" s="22">
        <v>43752.0</v>
      </c>
      <c r="B3" s="5">
        <v>219.0</v>
      </c>
      <c r="C3" s="5">
        <f>637+74</f>
        <v>711</v>
      </c>
      <c r="D3" s="5">
        <v>604.0</v>
      </c>
      <c r="E3" s="5">
        <f>629+583</f>
        <v>1212</v>
      </c>
      <c r="F3" s="5">
        <f>544+496</f>
        <v>1040</v>
      </c>
      <c r="G3" s="42">
        <f t="shared" si="1"/>
        <v>3786</v>
      </c>
    </row>
    <row r="4">
      <c r="A4" s="22">
        <v>43753.0</v>
      </c>
      <c r="B4" s="5">
        <v>127.0</v>
      </c>
      <c r="C4" s="5">
        <v>423.0</v>
      </c>
      <c r="D4" s="5">
        <v>628.0</v>
      </c>
      <c r="E4" s="5">
        <v>851.0</v>
      </c>
      <c r="F4" s="5">
        <v>716.0</v>
      </c>
      <c r="G4" s="42">
        <f t="shared" si="1"/>
        <v>2745</v>
      </c>
    </row>
    <row r="5">
      <c r="A5" s="43">
        <v>43754.0</v>
      </c>
      <c r="B5" s="5">
        <v>52.0</v>
      </c>
      <c r="C5" s="5">
        <v>379.0</v>
      </c>
      <c r="D5" s="5">
        <f>383+362</f>
        <v>745</v>
      </c>
      <c r="E5" s="5">
        <v>766.0</v>
      </c>
      <c r="F5" s="5">
        <v>633.0</v>
      </c>
      <c r="G5" s="42">
        <f t="shared" si="1"/>
        <v>2575</v>
      </c>
    </row>
    <row r="6">
      <c r="A6" s="43">
        <v>43755.0</v>
      </c>
      <c r="B6" s="5">
        <v>79.0</v>
      </c>
      <c r="C6" s="5">
        <v>165.0</v>
      </c>
      <c r="D6" s="5">
        <v>374.0</v>
      </c>
      <c r="E6" s="5">
        <v>82.0</v>
      </c>
      <c r="F6" s="5">
        <v>345.0</v>
      </c>
      <c r="G6" s="42">
        <f t="shared" si="1"/>
        <v>1045</v>
      </c>
    </row>
    <row r="7">
      <c r="A7" s="22">
        <v>43756.0</v>
      </c>
      <c r="B7" s="5">
        <v>415.0</v>
      </c>
      <c r="C7" s="5">
        <v>532.0</v>
      </c>
      <c r="D7" s="5">
        <v>352.0</v>
      </c>
      <c r="E7" s="5">
        <v>377.0</v>
      </c>
      <c r="F7" s="5">
        <v>205.0</v>
      </c>
      <c r="G7" s="42">
        <f t="shared" si="1"/>
        <v>1881</v>
      </c>
    </row>
    <row r="8">
      <c r="A8" s="24" t="s">
        <v>45</v>
      </c>
      <c r="B8" s="44">
        <f t="shared" ref="B8:G8" si="2">SUM(B2:B7)</f>
        <v>1065</v>
      </c>
      <c r="C8" s="44">
        <f t="shared" si="2"/>
        <v>2933</v>
      </c>
      <c r="D8" s="44">
        <f t="shared" si="2"/>
        <v>3383</v>
      </c>
      <c r="E8" s="44">
        <f t="shared" si="2"/>
        <v>4243</v>
      </c>
      <c r="F8" s="44">
        <f t="shared" si="2"/>
        <v>3559</v>
      </c>
      <c r="G8" s="44">
        <f t="shared" si="2"/>
        <v>15183</v>
      </c>
    </row>
    <row r="9">
      <c r="B9" s="24" t="s">
        <v>47</v>
      </c>
      <c r="C9" s="24" t="s">
        <v>48</v>
      </c>
      <c r="D9" s="24" t="s">
        <v>49</v>
      </c>
      <c r="E9" s="24" t="s">
        <v>50</v>
      </c>
      <c r="F9" s="24" t="s">
        <v>52</v>
      </c>
    </row>
    <row r="10">
      <c r="A10" s="24" t="s">
        <v>53</v>
      </c>
      <c r="B10" s="44">
        <f t="shared" ref="B10:F10" si="3">B8</f>
        <v>1065</v>
      </c>
      <c r="C10" s="44">
        <f t="shared" si="3"/>
        <v>2933</v>
      </c>
      <c r="D10" s="44">
        <f t="shared" si="3"/>
        <v>3383</v>
      </c>
      <c r="E10" s="44">
        <f t="shared" si="3"/>
        <v>4243</v>
      </c>
      <c r="F10" s="44">
        <f t="shared" si="3"/>
        <v>3559</v>
      </c>
    </row>
    <row r="11">
      <c r="A11" s="24" t="s">
        <v>2</v>
      </c>
      <c r="B11" s="45">
        <f>('12.10'!D8+'14.10'!D8+'15.10'!D8+'16.10'!D8+'17.10'!D8+'18.10'!D8)/B8</f>
        <v>1</v>
      </c>
      <c r="C11" s="45">
        <f>('12.10'!D9+'14.10'!D9+'15.10'!D9+'16.10'!D9+'17.10'!D9+'18.10'!D9)/C8</f>
        <v>0.9996590522</v>
      </c>
      <c r="D11" s="45">
        <f>('12.10'!D10+'14.10'!D10+'15.10'!D10+'16.10'!D10+'17.10'!D10+'18.10'!D10)/D8</f>
        <v>0.9997044044</v>
      </c>
      <c r="E11" s="45">
        <f>('12.10'!D11+'14.10'!D11+'15.10'!D11+'16.10'!D11+'17.10'!D11+'18.10'!D11)/E8</f>
        <v>0.9995286354</v>
      </c>
      <c r="F11" s="45">
        <f>('12.10'!D12+'14.10'!D12+'15.10'!D12+'16.10'!D12+'17.10'!D12+'18.10'!D12)/F8</f>
        <v>0.9980331554</v>
      </c>
    </row>
    <row r="12">
      <c r="A12" s="24" t="s">
        <v>6</v>
      </c>
      <c r="B12" s="45">
        <f>('12.10'!$E8+'14.10'!$E8+'15.10'!$E8+'16.10'!$E8+'17.10'!$E8+'18.10'!$E8)/('12.10'!$D8+'14.10'!$D8+'15.10'!$D8+'16.10'!$D8+'17.10'!$D8+'18.10'!$D8)</f>
        <v>0.876056338</v>
      </c>
      <c r="C12" s="45">
        <f>('12.10'!$E9+'14.10'!$E9+'15.10'!$E9+'16.10'!$E9+'17.10'!$E9+'18.10'!$E9)/('12.10'!$D9+'14.10'!$D9+'15.10'!$D9+'16.10'!$D9+'17.10'!$D9+'18.10'!$D9)</f>
        <v>0.8601637108</v>
      </c>
      <c r="D12" s="45">
        <f>('12.10'!$E10+'14.10'!$E10+'15.10'!$E10+'16.10'!$E10+'17.10'!$E10+'18.10'!$E10)/('12.10'!$D10+'14.10'!$D10+'15.10'!$D10+'16.10'!$D10+'17.10'!$D10+'18.10'!$D10)</f>
        <v>0.8048492017</v>
      </c>
      <c r="E12" s="45">
        <f>('12.10'!$E11+'14.10'!$E11+'15.10'!$E11+'16.10'!$E11+'17.10'!$E11+'18.10'!$E11)/('12.10'!$D11+'14.10'!$D11+'15.10'!$D11+'16.10'!$D11+'17.10'!$D11+'18.10'!$D11)</f>
        <v>0.7811836831</v>
      </c>
      <c r="F12" s="45">
        <f>('12.10'!$E12+'14.10'!$E12+'15.10'!$E12+'16.10'!$E12+'17.10'!$E12+'18.10'!$E12)/('12.10'!$D12+'14.10'!$D12+'15.10'!$D12+'16.10'!$D12+'17.10'!$D12+'18.10'!$D12)</f>
        <v>0.7201576577</v>
      </c>
    </row>
    <row r="23">
      <c r="A23" s="39" t="s">
        <v>37</v>
      </c>
      <c r="B23" s="46">
        <v>43750.0</v>
      </c>
      <c r="C23" s="46">
        <v>43752.0</v>
      </c>
      <c r="D23" s="46">
        <v>43753.0</v>
      </c>
      <c r="E23" s="46">
        <v>43754.0</v>
      </c>
      <c r="F23" s="46">
        <v>43755.0</v>
      </c>
      <c r="G23" s="46">
        <v>43756.0</v>
      </c>
      <c r="H23" s="41" t="s">
        <v>43</v>
      </c>
    </row>
    <row r="24">
      <c r="A24" s="47" t="s">
        <v>3</v>
      </c>
      <c r="B24" s="48">
        <v>3151.0</v>
      </c>
      <c r="C24" s="48">
        <v>3786.0</v>
      </c>
      <c r="D24" s="48">
        <v>2741.0</v>
      </c>
      <c r="E24" s="48">
        <v>2569.0</v>
      </c>
      <c r="F24" s="48">
        <v>1045.0</v>
      </c>
      <c r="G24" s="48">
        <v>1880.0</v>
      </c>
      <c r="H24" s="49">
        <f t="shared" ref="H24:H26" si="4">SUM(B24:G24)</f>
        <v>15172</v>
      </c>
    </row>
    <row r="25">
      <c r="A25" s="47" t="s">
        <v>4</v>
      </c>
      <c r="B25" s="48">
        <v>2259.0</v>
      </c>
      <c r="C25" s="48">
        <v>2934.0</v>
      </c>
      <c r="D25" s="48">
        <v>2102.0</v>
      </c>
      <c r="E25" s="48">
        <v>2167.0</v>
      </c>
      <c r="F25" s="48">
        <v>848.0</v>
      </c>
      <c r="G25" s="48">
        <v>1576.0</v>
      </c>
      <c r="H25" s="49">
        <f t="shared" si="4"/>
        <v>11886</v>
      </c>
    </row>
    <row r="26">
      <c r="A26" s="47" t="s">
        <v>53</v>
      </c>
      <c r="B26" s="48">
        <v>3151.0</v>
      </c>
      <c r="C26" s="48">
        <v>3786.0</v>
      </c>
      <c r="D26" s="48">
        <v>2745.0</v>
      </c>
      <c r="E26" s="48">
        <v>2575.0</v>
      </c>
      <c r="F26" s="48">
        <v>1045.0</v>
      </c>
      <c r="G26" s="48">
        <v>1881.0</v>
      </c>
      <c r="H26" s="49">
        <f t="shared" si="4"/>
        <v>15183</v>
      </c>
    </row>
    <row r="27">
      <c r="A27" s="50" t="s">
        <v>2</v>
      </c>
      <c r="B27" s="51">
        <f t="shared" ref="B27:H27" si="5">B24/B26</f>
        <v>1</v>
      </c>
      <c r="C27" s="51">
        <f t="shared" si="5"/>
        <v>1</v>
      </c>
      <c r="D27" s="52">
        <f t="shared" si="5"/>
        <v>0.9985428051</v>
      </c>
      <c r="E27" s="51">
        <f t="shared" si="5"/>
        <v>0.9976699029</v>
      </c>
      <c r="F27" s="51">
        <f t="shared" si="5"/>
        <v>1</v>
      </c>
      <c r="G27" s="52">
        <f t="shared" si="5"/>
        <v>0.9994683679</v>
      </c>
      <c r="H27" s="53">
        <f t="shared" si="5"/>
        <v>0.9992755055</v>
      </c>
    </row>
    <row r="28">
      <c r="A28" s="50" t="s">
        <v>180</v>
      </c>
      <c r="B28" s="52">
        <f t="shared" ref="B28:H28" si="6">B25/B24</f>
        <v>0.716915265</v>
      </c>
      <c r="C28" s="52">
        <f t="shared" si="6"/>
        <v>0.7749603803</v>
      </c>
      <c r="D28" s="52">
        <f t="shared" si="6"/>
        <v>0.7668734039</v>
      </c>
      <c r="E28" s="51">
        <f t="shared" si="6"/>
        <v>0.8435188789</v>
      </c>
      <c r="F28" s="52">
        <f t="shared" si="6"/>
        <v>0.8114832536</v>
      </c>
      <c r="G28" s="51">
        <f t="shared" si="6"/>
        <v>0.8382978723</v>
      </c>
      <c r="H28" s="51">
        <f t="shared" si="6"/>
        <v>0.7834168205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96.0</v>
      </c>
      <c r="C8" s="7">
        <f t="shared" ref="C8:C12" si="1">D8/B8</f>
        <v>1</v>
      </c>
      <c r="D8" s="32" t="s">
        <v>171</v>
      </c>
      <c r="E8" s="32">
        <f>B8-35</f>
        <v>61</v>
      </c>
      <c r="F8" s="8">
        <f t="shared" ref="F8:F12" si="2">E8/D8</f>
        <v>0.6354166667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87.0</v>
      </c>
      <c r="C9" s="7">
        <f t="shared" si="1"/>
        <v>1</v>
      </c>
      <c r="D9" s="32" t="s">
        <v>172</v>
      </c>
      <c r="E9" s="32">
        <f>B9-22</f>
        <v>65</v>
      </c>
      <c r="F9" s="8">
        <f t="shared" si="2"/>
        <v>0.7471264368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165.0</v>
      </c>
      <c r="C10" s="7">
        <f t="shared" si="1"/>
        <v>1</v>
      </c>
      <c r="D10" s="5">
        <v>165.0</v>
      </c>
      <c r="E10" s="32">
        <f>B10-46</f>
        <v>119</v>
      </c>
      <c r="F10" s="8">
        <f t="shared" si="2"/>
        <v>0.7212121212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458.0</v>
      </c>
      <c r="C11" s="9">
        <f t="shared" si="1"/>
        <v>1</v>
      </c>
      <c r="D11" s="5">
        <v>458.0</v>
      </c>
      <c r="E11" s="32">
        <f>B11-165</f>
        <v>293</v>
      </c>
      <c r="F11" s="8">
        <f t="shared" si="2"/>
        <v>0.6397379913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438.0</v>
      </c>
      <c r="C12" s="9">
        <f t="shared" si="1"/>
        <v>0.997716895</v>
      </c>
      <c r="D12" s="32" t="s">
        <v>174</v>
      </c>
      <c r="E12" s="32">
        <f>B12-188</f>
        <v>250</v>
      </c>
      <c r="F12" s="8">
        <f t="shared" si="2"/>
        <v>0.5720823799</v>
      </c>
      <c r="G12" s="18">
        <v>7.89972634E8</v>
      </c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35.0</v>
      </c>
      <c r="C8" s="7">
        <f t="shared" ref="C8:C12" si="1">D8/B8</f>
        <v>1</v>
      </c>
      <c r="D8" s="32" t="s">
        <v>176</v>
      </c>
      <c r="E8" s="32" t="s">
        <v>177</v>
      </c>
      <c r="F8" s="8">
        <f t="shared" ref="F8:F12" si="2">E8/D8</f>
        <v>0.8571428571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186.0</v>
      </c>
      <c r="C9" s="7">
        <f t="shared" si="1"/>
        <v>1</v>
      </c>
      <c r="D9" s="32" t="s">
        <v>179</v>
      </c>
      <c r="E9" s="32">
        <f>B9-31</f>
        <v>155</v>
      </c>
      <c r="F9" s="8">
        <f t="shared" si="2"/>
        <v>0.8333333333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308.0</v>
      </c>
      <c r="C10" s="7">
        <f t="shared" si="1"/>
        <v>1</v>
      </c>
      <c r="D10" s="5">
        <v>308.0</v>
      </c>
      <c r="E10" s="32">
        <f>B10-32</f>
        <v>276</v>
      </c>
      <c r="F10" s="8">
        <f t="shared" si="2"/>
        <v>0.8961038961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255.0</v>
      </c>
      <c r="C11" s="9">
        <f t="shared" si="1"/>
        <v>1</v>
      </c>
      <c r="D11" s="5">
        <v>255.0</v>
      </c>
      <c r="E11" s="32">
        <f>B11-36</f>
        <v>219</v>
      </c>
      <c r="F11" s="8">
        <f t="shared" si="2"/>
        <v>0.8588235294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502.0</v>
      </c>
      <c r="C12" s="9">
        <f t="shared" si="1"/>
        <v>0.9980079681</v>
      </c>
      <c r="D12" s="32" t="s">
        <v>103</v>
      </c>
      <c r="E12" s="32">
        <f>B12-80</f>
        <v>422</v>
      </c>
      <c r="F12" s="8">
        <f t="shared" si="2"/>
        <v>0.8423153693</v>
      </c>
      <c r="G12" s="18">
        <v>7.58621603E8</v>
      </c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4" max="4" width="17.29"/>
    <col customWidth="1" min="5" max="5" width="20.71"/>
    <col customWidth="1" min="6" max="6" width="25.14"/>
    <col customWidth="1" min="7" max="7" width="17.14"/>
    <col customWidth="1" min="20" max="20" width="15.86"/>
  </cols>
  <sheetData>
    <row r="1">
      <c r="A1" s="1">
        <v>43778.0</v>
      </c>
      <c r="B1" s="2" t="s">
        <v>0</v>
      </c>
      <c r="C1" s="2" t="s">
        <v>1</v>
      </c>
      <c r="D1" s="2" t="s">
        <v>5</v>
      </c>
      <c r="E1" s="2" t="s">
        <v>3</v>
      </c>
      <c r="F1" s="2" t="s">
        <v>4</v>
      </c>
      <c r="G1" s="2" t="s">
        <v>7</v>
      </c>
      <c r="M1" s="3"/>
    </row>
    <row r="2">
      <c r="A2" s="4"/>
      <c r="B2" s="5" t="s">
        <v>8</v>
      </c>
      <c r="C2" s="6">
        <v>0.0</v>
      </c>
      <c r="D2" s="7" t="str">
        <f t="shared" ref="D2:D6" si="1">E2/C2</f>
        <v>#DIV/0!</v>
      </c>
      <c r="E2" s="6"/>
      <c r="F2" s="6"/>
      <c r="G2" s="8" t="str">
        <f t="shared" ref="G2:G6" si="2">F2/E2</f>
        <v>#DIV/0!</v>
      </c>
    </row>
    <row r="3">
      <c r="A3" s="4"/>
      <c r="B3" s="5" t="s">
        <v>9</v>
      </c>
      <c r="C3" s="6">
        <v>306.0</v>
      </c>
      <c r="D3" s="7">
        <f t="shared" si="1"/>
        <v>1</v>
      </c>
      <c r="E3" s="6">
        <v>306.0</v>
      </c>
      <c r="F3" s="6">
        <v>212.0</v>
      </c>
      <c r="G3" s="8">
        <f t="shared" si="2"/>
        <v>0.6928104575</v>
      </c>
      <c r="H3" s="11" t="s">
        <v>11</v>
      </c>
      <c r="I3" s="13" t="s">
        <v>18</v>
      </c>
    </row>
    <row r="4">
      <c r="A4" s="4"/>
      <c r="B4" s="5" t="s">
        <v>12</v>
      </c>
      <c r="C4" s="6">
        <v>148.0</v>
      </c>
      <c r="D4" s="9">
        <f t="shared" si="1"/>
        <v>1</v>
      </c>
      <c r="E4" s="6">
        <v>148.0</v>
      </c>
      <c r="F4" s="6">
        <f>52+15</f>
        <v>67</v>
      </c>
      <c r="G4" s="8">
        <f t="shared" si="2"/>
        <v>0.4527027027</v>
      </c>
      <c r="H4" s="11" t="s">
        <v>20</v>
      </c>
      <c r="I4" s="13" t="s">
        <v>18</v>
      </c>
    </row>
    <row r="5">
      <c r="A5" s="4"/>
      <c r="B5" s="5" t="s">
        <v>13</v>
      </c>
      <c r="C5" s="6">
        <v>283.0</v>
      </c>
      <c r="D5" s="9">
        <f t="shared" si="1"/>
        <v>1</v>
      </c>
      <c r="E5" s="6">
        <v>283.0</v>
      </c>
      <c r="F5" s="6">
        <f>68+64+49</f>
        <v>181</v>
      </c>
      <c r="G5" s="8">
        <f t="shared" si="2"/>
        <v>0.6395759717</v>
      </c>
      <c r="H5" s="11" t="s">
        <v>23</v>
      </c>
      <c r="I5" s="13" t="s">
        <v>18</v>
      </c>
    </row>
    <row r="6">
      <c r="A6" s="10"/>
      <c r="B6" s="5" t="s">
        <v>14</v>
      </c>
      <c r="C6" s="6">
        <v>456.0</v>
      </c>
      <c r="D6" s="9">
        <f t="shared" si="1"/>
        <v>1</v>
      </c>
      <c r="E6" s="6">
        <v>456.0</v>
      </c>
      <c r="F6" s="6">
        <f>44+47+37+49+26</f>
        <v>203</v>
      </c>
      <c r="G6" s="8">
        <f t="shared" si="2"/>
        <v>0.4451754386</v>
      </c>
      <c r="H6" s="11" t="s">
        <v>27</v>
      </c>
      <c r="I6" s="13" t="s">
        <v>18</v>
      </c>
    </row>
    <row r="7">
      <c r="A7" s="3"/>
      <c r="I7" s="13" t="s">
        <v>30</v>
      </c>
    </row>
    <row r="8">
      <c r="A8" s="1">
        <v>43780.0</v>
      </c>
      <c r="B8" s="2" t="s">
        <v>0</v>
      </c>
      <c r="C8" s="2" t="s">
        <v>1</v>
      </c>
      <c r="D8" s="2" t="s">
        <v>5</v>
      </c>
      <c r="E8" s="2" t="s">
        <v>3</v>
      </c>
      <c r="F8" s="2" t="s">
        <v>4</v>
      </c>
      <c r="G8" s="2" t="s">
        <v>7</v>
      </c>
      <c r="I8" s="13" t="s">
        <v>18</v>
      </c>
    </row>
    <row r="9">
      <c r="A9" s="4"/>
      <c r="B9" s="5" t="s">
        <v>8</v>
      </c>
      <c r="C9" s="12">
        <v>1.0</v>
      </c>
      <c r="D9" s="7">
        <f t="shared" ref="D9:D13" si="3">E9/C9</f>
        <v>1</v>
      </c>
      <c r="E9" s="6">
        <v>1.0</v>
      </c>
      <c r="F9" s="6">
        <v>1.0</v>
      </c>
      <c r="G9" s="8">
        <f t="shared" ref="G9:G13" si="4">F9/E9</f>
        <v>1</v>
      </c>
      <c r="I9" s="13" t="s">
        <v>18</v>
      </c>
    </row>
    <row r="10">
      <c r="A10" s="4"/>
      <c r="B10" s="5" t="s">
        <v>9</v>
      </c>
      <c r="C10" s="6">
        <v>0.0</v>
      </c>
      <c r="D10" s="7" t="str">
        <f t="shared" si="3"/>
        <v>#DIV/0!</v>
      </c>
      <c r="E10" s="6"/>
      <c r="F10" s="6"/>
      <c r="G10" s="8" t="str">
        <f t="shared" si="4"/>
        <v>#DIV/0!</v>
      </c>
      <c r="I10" s="13" t="s">
        <v>30</v>
      </c>
    </row>
    <row r="11">
      <c r="A11" s="4"/>
      <c r="B11" s="5" t="s">
        <v>12</v>
      </c>
      <c r="C11" s="6">
        <v>187.0</v>
      </c>
      <c r="D11" s="9">
        <f t="shared" si="3"/>
        <v>1</v>
      </c>
      <c r="E11" s="6">
        <v>187.0</v>
      </c>
      <c r="F11" s="6">
        <f>81+72</f>
        <v>153</v>
      </c>
      <c r="G11" s="8">
        <f t="shared" si="4"/>
        <v>0.8181818182</v>
      </c>
      <c r="H11" s="11" t="s">
        <v>31</v>
      </c>
      <c r="I11" s="13" t="s">
        <v>18</v>
      </c>
    </row>
    <row r="12">
      <c r="A12" s="4"/>
      <c r="B12" s="5" t="s">
        <v>13</v>
      </c>
      <c r="C12" s="6">
        <v>75.0</v>
      </c>
      <c r="D12" s="9">
        <f t="shared" si="3"/>
        <v>0.9866666667</v>
      </c>
      <c r="E12" s="6">
        <v>74.0</v>
      </c>
      <c r="F12" s="6">
        <v>59.0</v>
      </c>
      <c r="G12" s="8">
        <f t="shared" si="4"/>
        <v>0.7972972973</v>
      </c>
      <c r="H12" s="11" t="s">
        <v>33</v>
      </c>
      <c r="I12" s="18">
        <v>3.41611552E8</v>
      </c>
    </row>
    <row r="13">
      <c r="A13" s="10"/>
      <c r="B13" s="5" t="s">
        <v>14</v>
      </c>
      <c r="C13" s="6">
        <v>420.0</v>
      </c>
      <c r="D13" s="9">
        <f t="shared" si="3"/>
        <v>1</v>
      </c>
      <c r="E13" s="6">
        <v>420.0</v>
      </c>
      <c r="F13" s="6">
        <f>69+72+68+62+15</f>
        <v>286</v>
      </c>
      <c r="G13" s="8">
        <f t="shared" si="4"/>
        <v>0.680952381</v>
      </c>
      <c r="H13" s="11" t="s">
        <v>34</v>
      </c>
      <c r="I13" s="13" t="s">
        <v>18</v>
      </c>
    </row>
    <row r="14">
      <c r="A14" s="15"/>
      <c r="B14" s="12"/>
      <c r="C14" s="16"/>
      <c r="D14" s="12"/>
      <c r="E14" s="12"/>
      <c r="F14" s="17"/>
      <c r="G14" s="18"/>
      <c r="I14" s="13" t="s">
        <v>18</v>
      </c>
    </row>
    <row r="15">
      <c r="A15" s="1">
        <v>43781.0</v>
      </c>
      <c r="B15" s="2" t="s">
        <v>0</v>
      </c>
      <c r="C15" s="2" t="s">
        <v>1</v>
      </c>
      <c r="D15" s="2" t="s">
        <v>5</v>
      </c>
      <c r="E15" s="2" t="s">
        <v>3</v>
      </c>
      <c r="F15" s="2" t="s">
        <v>4</v>
      </c>
      <c r="G15" s="2" t="s">
        <v>7</v>
      </c>
      <c r="I15" s="13" t="s">
        <v>18</v>
      </c>
    </row>
    <row r="16">
      <c r="A16" s="4"/>
      <c r="B16" s="5" t="s">
        <v>8</v>
      </c>
      <c r="C16" s="12">
        <v>8.0</v>
      </c>
      <c r="D16" s="7">
        <f t="shared" ref="D16:D20" si="5">E16/C16</f>
        <v>1</v>
      </c>
      <c r="E16" s="6">
        <v>8.0</v>
      </c>
      <c r="F16" s="6">
        <v>4.0</v>
      </c>
      <c r="G16" s="8">
        <f t="shared" ref="G16:G20" si="6">F16/E16</f>
        <v>0.5</v>
      </c>
      <c r="I16" s="13" t="s">
        <v>18</v>
      </c>
    </row>
    <row r="17">
      <c r="A17" s="4"/>
      <c r="B17" s="5" t="s">
        <v>9</v>
      </c>
      <c r="C17" s="6">
        <v>442.0</v>
      </c>
      <c r="D17" s="7">
        <f t="shared" si="5"/>
        <v>1</v>
      </c>
      <c r="E17" s="6">
        <v>442.0</v>
      </c>
      <c r="F17" s="6">
        <f>94+90+94+90+39</f>
        <v>407</v>
      </c>
      <c r="G17" s="8">
        <f t="shared" si="6"/>
        <v>0.9208144796</v>
      </c>
      <c r="H17" s="11" t="s">
        <v>35</v>
      </c>
      <c r="I17" s="13" t="s">
        <v>18</v>
      </c>
    </row>
    <row r="18">
      <c r="A18" s="4"/>
      <c r="B18" s="5" t="s">
        <v>12</v>
      </c>
      <c r="C18" s="6">
        <f>503+476</f>
        <v>979</v>
      </c>
      <c r="D18" s="9">
        <f t="shared" si="5"/>
        <v>1</v>
      </c>
      <c r="E18" s="6">
        <v>979.0</v>
      </c>
      <c r="F18" s="6">
        <v>863.0</v>
      </c>
      <c r="G18" s="8">
        <f t="shared" si="6"/>
        <v>0.8815117467</v>
      </c>
      <c r="H18" s="11" t="s">
        <v>51</v>
      </c>
      <c r="I18" s="11" t="s">
        <v>69</v>
      </c>
    </row>
    <row r="19">
      <c r="A19" s="4"/>
      <c r="B19" s="5" t="s">
        <v>13</v>
      </c>
      <c r="C19" s="6">
        <v>148.0</v>
      </c>
      <c r="D19" s="9">
        <f t="shared" si="5"/>
        <v>1</v>
      </c>
      <c r="E19" s="6">
        <v>148.0</v>
      </c>
      <c r="F19" s="6">
        <f>88+36</f>
        <v>124</v>
      </c>
      <c r="G19" s="8">
        <f t="shared" si="6"/>
        <v>0.8378378378</v>
      </c>
      <c r="H19" s="11" t="s">
        <v>76</v>
      </c>
      <c r="I19" s="13" t="s">
        <v>18</v>
      </c>
    </row>
    <row r="20">
      <c r="A20" s="10"/>
      <c r="B20" s="5" t="s">
        <v>14</v>
      </c>
      <c r="C20" s="6">
        <v>210.0</v>
      </c>
      <c r="D20" s="9">
        <f t="shared" si="5"/>
        <v>1</v>
      </c>
      <c r="E20" s="6">
        <v>210.0</v>
      </c>
      <c r="F20" s="6">
        <f>72+78+8</f>
        <v>158</v>
      </c>
      <c r="G20" s="8">
        <f t="shared" si="6"/>
        <v>0.7523809524</v>
      </c>
      <c r="H20" s="11" t="s">
        <v>80</v>
      </c>
      <c r="I20" s="13" t="s">
        <v>18</v>
      </c>
    </row>
    <row r="21">
      <c r="I21" s="13" t="s">
        <v>30</v>
      </c>
    </row>
    <row r="22">
      <c r="A22" s="1">
        <v>43782.0</v>
      </c>
      <c r="B22" s="2" t="s">
        <v>0</v>
      </c>
      <c r="C22" s="2" t="s">
        <v>1</v>
      </c>
      <c r="D22" s="2" t="s">
        <v>5</v>
      </c>
      <c r="E22" s="2" t="s">
        <v>3</v>
      </c>
      <c r="F22" s="2" t="s">
        <v>4</v>
      </c>
      <c r="G22" s="2" t="s">
        <v>7</v>
      </c>
      <c r="I22" s="13" t="s">
        <v>18</v>
      </c>
    </row>
    <row r="23">
      <c r="A23" s="4"/>
      <c r="B23" s="5" t="s">
        <v>8</v>
      </c>
      <c r="C23" s="6">
        <v>0.0</v>
      </c>
      <c r="D23" s="7" t="str">
        <f t="shared" ref="D23:D27" si="7">E23/C23</f>
        <v>#DIV/0!</v>
      </c>
      <c r="E23" s="6"/>
      <c r="F23" s="6"/>
      <c r="G23" s="8" t="str">
        <f t="shared" ref="G23:G27" si="8">F23/E23</f>
        <v>#DIV/0!</v>
      </c>
      <c r="I23" s="13" t="s">
        <v>18</v>
      </c>
    </row>
    <row r="24">
      <c r="A24" s="4"/>
      <c r="B24" s="5" t="s">
        <v>9</v>
      </c>
      <c r="C24" s="6">
        <v>523.0</v>
      </c>
      <c r="D24" s="7">
        <f t="shared" si="7"/>
        <v>0.9980879541</v>
      </c>
      <c r="E24" s="6">
        <v>522.0</v>
      </c>
      <c r="F24" s="6">
        <f>91+89+88+89+91+21</f>
        <v>469</v>
      </c>
      <c r="G24" s="8">
        <f t="shared" si="8"/>
        <v>0.898467433</v>
      </c>
      <c r="H24" s="11" t="s">
        <v>84</v>
      </c>
      <c r="I24" s="13" t="s">
        <v>18</v>
      </c>
    </row>
    <row r="25">
      <c r="A25" s="4"/>
      <c r="B25" s="5" t="s">
        <v>12</v>
      </c>
      <c r="C25" s="6">
        <v>267.0</v>
      </c>
      <c r="D25" s="9">
        <f t="shared" si="7"/>
        <v>1</v>
      </c>
      <c r="E25" s="6">
        <v>267.0</v>
      </c>
      <c r="F25" s="6">
        <f>93+92+61</f>
        <v>246</v>
      </c>
      <c r="G25" s="8">
        <f t="shared" si="8"/>
        <v>0.9213483146</v>
      </c>
      <c r="H25" s="11" t="s">
        <v>90</v>
      </c>
      <c r="I25" s="13" t="s">
        <v>18</v>
      </c>
    </row>
    <row r="26">
      <c r="A26" s="4"/>
      <c r="B26" s="5" t="s">
        <v>13</v>
      </c>
      <c r="C26" s="6">
        <v>168.0</v>
      </c>
      <c r="D26" s="9">
        <f t="shared" si="7"/>
        <v>0.994047619</v>
      </c>
      <c r="E26" s="6">
        <v>167.0</v>
      </c>
      <c r="F26" s="6">
        <f>83+60</f>
        <v>143</v>
      </c>
      <c r="G26" s="8">
        <f t="shared" si="8"/>
        <v>0.8562874251</v>
      </c>
      <c r="H26" s="11" t="s">
        <v>106</v>
      </c>
      <c r="I26" s="13" t="s">
        <v>18</v>
      </c>
    </row>
    <row r="27">
      <c r="A27" s="10"/>
      <c r="B27" s="5" t="s">
        <v>14</v>
      </c>
      <c r="C27" s="6">
        <f>497+531</f>
        <v>1028</v>
      </c>
      <c r="D27" s="9">
        <f t="shared" si="7"/>
        <v>0.969844358</v>
      </c>
      <c r="E27" s="6">
        <f>1028-31</f>
        <v>997</v>
      </c>
      <c r="F27" s="6">
        <f>62+71+76+61+54+71+65+67+65+52+7</f>
        <v>651</v>
      </c>
      <c r="G27" s="8">
        <f t="shared" si="8"/>
        <v>0.6529588766</v>
      </c>
      <c r="H27" s="11" t="s">
        <v>121</v>
      </c>
      <c r="I27" s="11" t="s">
        <v>134</v>
      </c>
      <c r="J27" s="13" t="s">
        <v>142</v>
      </c>
    </row>
    <row r="28">
      <c r="I28" s="13" t="s">
        <v>18</v>
      </c>
    </row>
    <row r="29">
      <c r="A29" s="1">
        <v>43783.0</v>
      </c>
      <c r="B29" s="2" t="s">
        <v>0</v>
      </c>
      <c r="C29" s="2" t="s">
        <v>1</v>
      </c>
      <c r="D29" s="2" t="s">
        <v>5</v>
      </c>
      <c r="E29" s="2" t="s">
        <v>3</v>
      </c>
      <c r="F29" s="2" t="s">
        <v>4</v>
      </c>
      <c r="G29" s="2" t="s">
        <v>7</v>
      </c>
      <c r="I29" s="13" t="s">
        <v>18</v>
      </c>
    </row>
    <row r="30">
      <c r="A30" s="4"/>
      <c r="B30" s="5" t="s">
        <v>8</v>
      </c>
      <c r="C30" s="6">
        <v>31.0</v>
      </c>
      <c r="D30" s="7">
        <f t="shared" ref="D30:D34" si="9">E30/C30</f>
        <v>1</v>
      </c>
      <c r="E30" s="6">
        <v>31.0</v>
      </c>
      <c r="F30" s="6">
        <v>26.0</v>
      </c>
      <c r="G30" s="8">
        <f t="shared" ref="G30:G34" si="10">F30/E30</f>
        <v>0.8387096774</v>
      </c>
      <c r="H30" s="11" t="s">
        <v>144</v>
      </c>
      <c r="I30" s="13" t="s">
        <v>18</v>
      </c>
    </row>
    <row r="31">
      <c r="A31" s="4"/>
      <c r="B31" s="5" t="s">
        <v>9</v>
      </c>
      <c r="C31" s="6">
        <v>399.0</v>
      </c>
      <c r="D31" s="7">
        <f t="shared" si="9"/>
        <v>1</v>
      </c>
      <c r="E31" s="6">
        <v>399.0</v>
      </c>
      <c r="F31" s="6">
        <f>86+86+86+92</f>
        <v>350</v>
      </c>
      <c r="G31" s="8">
        <f t="shared" si="10"/>
        <v>0.8771929825</v>
      </c>
      <c r="H31" s="11" t="s">
        <v>149</v>
      </c>
      <c r="I31" s="13" t="s">
        <v>150</v>
      </c>
    </row>
    <row r="32">
      <c r="A32" s="4"/>
      <c r="B32" s="5" t="s">
        <v>12</v>
      </c>
      <c r="C32" s="6">
        <v>152.0</v>
      </c>
      <c r="D32" s="9">
        <f t="shared" si="9"/>
        <v>1</v>
      </c>
      <c r="E32" s="6">
        <v>152.0</v>
      </c>
      <c r="F32" s="6">
        <f>86+39</f>
        <v>125</v>
      </c>
      <c r="G32" s="8">
        <f t="shared" si="10"/>
        <v>0.8223684211</v>
      </c>
      <c r="H32" s="11" t="s">
        <v>153</v>
      </c>
      <c r="I32" s="13" t="s">
        <v>157</v>
      </c>
    </row>
    <row r="33">
      <c r="A33" s="4"/>
      <c r="B33" s="5" t="s">
        <v>13</v>
      </c>
      <c r="C33" s="6">
        <f>166+135</f>
        <v>301</v>
      </c>
      <c r="D33" s="9">
        <f t="shared" si="9"/>
        <v>1</v>
      </c>
      <c r="E33" s="6">
        <v>301.0</v>
      </c>
      <c r="F33" s="6">
        <f>84+53+75+29</f>
        <v>241</v>
      </c>
      <c r="G33" s="8">
        <f t="shared" si="10"/>
        <v>0.8006644518</v>
      </c>
      <c r="I33" s="13" t="s">
        <v>30</v>
      </c>
    </row>
    <row r="34">
      <c r="A34" s="10"/>
      <c r="B34" s="5" t="s">
        <v>14</v>
      </c>
      <c r="C34" s="6">
        <f>204+285</f>
        <v>489</v>
      </c>
      <c r="D34" s="9">
        <f t="shared" si="9"/>
        <v>0.9979550102</v>
      </c>
      <c r="E34" s="6">
        <v>488.0</v>
      </c>
      <c r="F34" s="6">
        <f>73+61+2+70+62+52</f>
        <v>320</v>
      </c>
      <c r="G34" s="8">
        <f t="shared" si="10"/>
        <v>0.6557377049</v>
      </c>
      <c r="H34" s="11" t="s">
        <v>158</v>
      </c>
      <c r="I34" s="11" t="s">
        <v>164</v>
      </c>
      <c r="J34" s="18">
        <v>7.97835569E8</v>
      </c>
    </row>
    <row r="35">
      <c r="I35" s="13" t="s">
        <v>18</v>
      </c>
    </row>
    <row r="36">
      <c r="A36" s="1">
        <v>43784.0</v>
      </c>
      <c r="B36" s="2" t="s">
        <v>0</v>
      </c>
      <c r="C36" s="2" t="s">
        <v>1</v>
      </c>
      <c r="D36" s="2" t="s">
        <v>5</v>
      </c>
      <c r="E36" s="2" t="s">
        <v>3</v>
      </c>
      <c r="F36" s="2" t="s">
        <v>4</v>
      </c>
      <c r="G36" s="2" t="s">
        <v>7</v>
      </c>
      <c r="I36" s="13" t="s">
        <v>18</v>
      </c>
    </row>
    <row r="37">
      <c r="A37" s="4"/>
      <c r="B37" s="5" t="s">
        <v>8</v>
      </c>
      <c r="C37" s="12">
        <v>25.0</v>
      </c>
      <c r="D37" s="7">
        <f t="shared" ref="D37:D41" si="11">E37/C37</f>
        <v>1</v>
      </c>
      <c r="E37" s="6">
        <v>25.0</v>
      </c>
      <c r="F37" s="6">
        <v>20.0</v>
      </c>
      <c r="G37" s="8">
        <f t="shared" ref="G37:G41" si="12">F37/E37</f>
        <v>0.8</v>
      </c>
      <c r="H37" s="11" t="s">
        <v>170</v>
      </c>
      <c r="I37" s="13" t="s">
        <v>18</v>
      </c>
    </row>
    <row r="38">
      <c r="A38" s="4"/>
      <c r="B38" s="5" t="s">
        <v>9</v>
      </c>
      <c r="C38" s="6">
        <v>320.0</v>
      </c>
      <c r="D38" s="7">
        <f t="shared" si="11"/>
        <v>1</v>
      </c>
      <c r="E38" s="6">
        <v>320.0</v>
      </c>
      <c r="F38" s="6">
        <f>89+80+76+14</f>
        <v>259</v>
      </c>
      <c r="G38" s="8">
        <f t="shared" si="12"/>
        <v>0.809375</v>
      </c>
      <c r="H38" s="11" t="s">
        <v>173</v>
      </c>
      <c r="I38" s="13" t="s">
        <v>18</v>
      </c>
    </row>
    <row r="39">
      <c r="A39" s="4"/>
      <c r="B39" s="5" t="s">
        <v>12</v>
      </c>
      <c r="C39" s="6">
        <v>195.0</v>
      </c>
      <c r="D39" s="9">
        <f t="shared" si="11"/>
        <v>1</v>
      </c>
      <c r="E39" s="6">
        <v>195.0</v>
      </c>
      <c r="F39" s="6">
        <f>85+77</f>
        <v>162</v>
      </c>
      <c r="G39" s="8">
        <f t="shared" si="12"/>
        <v>0.8307692308</v>
      </c>
      <c r="H39" s="11" t="s">
        <v>175</v>
      </c>
      <c r="I39" s="13" t="s">
        <v>18</v>
      </c>
    </row>
    <row r="40">
      <c r="A40" s="4"/>
      <c r="B40" s="5" t="s">
        <v>13</v>
      </c>
      <c r="C40" s="6">
        <v>368.0</v>
      </c>
      <c r="D40" s="9">
        <f t="shared" si="11"/>
        <v>1</v>
      </c>
      <c r="E40" s="6">
        <v>368.0</v>
      </c>
      <c r="F40" s="6">
        <f>79+82+82+52</f>
        <v>295</v>
      </c>
      <c r="G40" s="8">
        <f t="shared" si="12"/>
        <v>0.8016304348</v>
      </c>
      <c r="I40" s="13" t="s">
        <v>18</v>
      </c>
    </row>
    <row r="41">
      <c r="A41" s="10"/>
      <c r="B41" s="5" t="s">
        <v>14</v>
      </c>
      <c r="C41" s="6">
        <v>383.0</v>
      </c>
      <c r="D41" s="9">
        <f t="shared" si="11"/>
        <v>1</v>
      </c>
      <c r="E41" s="6">
        <v>383.0</v>
      </c>
      <c r="F41" s="6">
        <f>76+82+80+54</f>
        <v>292</v>
      </c>
      <c r="G41" s="8">
        <f t="shared" si="12"/>
        <v>0.7624020888</v>
      </c>
      <c r="H41" s="11" t="s">
        <v>178</v>
      </c>
      <c r="I41" s="13" t="s">
        <v>18</v>
      </c>
    </row>
    <row r="42">
      <c r="I42" s="13" t="s">
        <v>18</v>
      </c>
    </row>
    <row r="43">
      <c r="I43" s="13" t="s">
        <v>18</v>
      </c>
    </row>
    <row r="44">
      <c r="A44" s="19" t="s">
        <v>37</v>
      </c>
      <c r="B44" s="20" t="s">
        <v>38</v>
      </c>
      <c r="C44" s="20" t="s">
        <v>39</v>
      </c>
      <c r="D44" s="20" t="s">
        <v>40</v>
      </c>
      <c r="E44" s="20" t="s">
        <v>41</v>
      </c>
      <c r="F44" s="20" t="s">
        <v>42</v>
      </c>
      <c r="G44" s="21" t="s">
        <v>43</v>
      </c>
      <c r="I44" s="13" t="s">
        <v>18</v>
      </c>
    </row>
    <row r="45">
      <c r="A45" s="22">
        <v>43778.0</v>
      </c>
      <c r="B45" s="6">
        <v>0.0</v>
      </c>
      <c r="C45" s="6">
        <v>306.0</v>
      </c>
      <c r="D45" s="6">
        <v>148.0</v>
      </c>
      <c r="E45" s="6">
        <v>283.0</v>
      </c>
      <c r="F45" s="6">
        <v>456.0</v>
      </c>
      <c r="G45" s="23">
        <f t="shared" ref="G45:G50" si="13">SUM(B45:F45)</f>
        <v>1193</v>
      </c>
      <c r="I45" s="13" t="s">
        <v>18</v>
      </c>
    </row>
    <row r="46">
      <c r="A46" s="22">
        <v>43780.0</v>
      </c>
      <c r="B46" s="6">
        <v>1.0</v>
      </c>
      <c r="C46" s="6">
        <v>0.0</v>
      </c>
      <c r="D46" s="6">
        <v>187.0</v>
      </c>
      <c r="E46" s="6">
        <v>75.0</v>
      </c>
      <c r="F46" s="6">
        <v>420.0</v>
      </c>
      <c r="G46" s="23">
        <f t="shared" si="13"/>
        <v>683</v>
      </c>
      <c r="I46" s="13" t="s">
        <v>18</v>
      </c>
    </row>
    <row r="47">
      <c r="A47" s="22">
        <v>43781.0</v>
      </c>
      <c r="B47" s="6">
        <v>8.0</v>
      </c>
      <c r="C47" s="6">
        <v>442.0</v>
      </c>
      <c r="D47" s="6">
        <f>503+476</f>
        <v>979</v>
      </c>
      <c r="E47" s="6">
        <v>148.0</v>
      </c>
      <c r="F47" s="6">
        <v>210.0</v>
      </c>
      <c r="G47" s="23">
        <f t="shared" si="13"/>
        <v>1787</v>
      </c>
      <c r="I47" s="13" t="s">
        <v>18</v>
      </c>
    </row>
    <row r="48">
      <c r="A48" s="22">
        <v>43782.0</v>
      </c>
      <c r="B48" s="6">
        <v>0.0</v>
      </c>
      <c r="C48" s="6">
        <v>523.0</v>
      </c>
      <c r="D48" s="6">
        <v>267.0</v>
      </c>
      <c r="E48" s="6">
        <v>168.0</v>
      </c>
      <c r="F48" s="6">
        <f>497+531</f>
        <v>1028</v>
      </c>
      <c r="G48" s="23">
        <f t="shared" si="13"/>
        <v>1986</v>
      </c>
      <c r="I48" s="13" t="s">
        <v>30</v>
      </c>
    </row>
    <row r="49">
      <c r="A49" s="22">
        <v>43783.0</v>
      </c>
      <c r="B49" s="6">
        <v>31.0</v>
      </c>
      <c r="C49" s="6">
        <v>399.0</v>
      </c>
      <c r="D49" s="6">
        <v>152.0</v>
      </c>
      <c r="E49" s="6">
        <f>166+135</f>
        <v>301</v>
      </c>
      <c r="F49" s="6">
        <f>204+285</f>
        <v>489</v>
      </c>
      <c r="G49" s="23">
        <f t="shared" si="13"/>
        <v>1372</v>
      </c>
      <c r="I49" s="13" t="s">
        <v>18</v>
      </c>
    </row>
    <row r="50">
      <c r="A50" s="22">
        <v>43784.0</v>
      </c>
      <c r="B50" s="12">
        <v>25.0</v>
      </c>
      <c r="C50" s="6">
        <v>320.0</v>
      </c>
      <c r="D50" s="6">
        <v>195.0</v>
      </c>
      <c r="E50" s="6">
        <v>368.0</v>
      </c>
      <c r="F50" s="6">
        <v>383.0</v>
      </c>
      <c r="G50" s="23">
        <f t="shared" si="13"/>
        <v>1291</v>
      </c>
      <c r="I50" s="13" t="s">
        <v>18</v>
      </c>
    </row>
    <row r="51">
      <c r="A51" s="24" t="s">
        <v>45</v>
      </c>
      <c r="B51" s="25">
        <f t="shared" ref="B51:G51" si="14">SUM(B45:B50)</f>
        <v>65</v>
      </c>
      <c r="C51" s="25">
        <f t="shared" si="14"/>
        <v>1990</v>
      </c>
      <c r="D51" s="25">
        <f t="shared" si="14"/>
        <v>1928</v>
      </c>
      <c r="E51" s="25">
        <f t="shared" si="14"/>
        <v>1343</v>
      </c>
      <c r="F51" s="25">
        <f t="shared" si="14"/>
        <v>2986</v>
      </c>
      <c r="G51" s="25">
        <f t="shared" si="14"/>
        <v>8312</v>
      </c>
      <c r="I51" s="13" t="s">
        <v>18</v>
      </c>
    </row>
    <row r="53">
      <c r="A53" s="26"/>
      <c r="B53" s="2" t="s">
        <v>47</v>
      </c>
      <c r="C53" s="2" t="s">
        <v>48</v>
      </c>
      <c r="D53" s="2" t="s">
        <v>49</v>
      </c>
      <c r="E53" s="2" t="s">
        <v>50</v>
      </c>
      <c r="F53" s="2" t="s">
        <v>52</v>
      </c>
    </row>
    <row r="54">
      <c r="A54" s="24" t="s">
        <v>53</v>
      </c>
      <c r="B54" s="25">
        <f t="shared" ref="B54:F54" si="15">B51</f>
        <v>65</v>
      </c>
      <c r="C54" s="25">
        <f t="shared" si="15"/>
        <v>1990</v>
      </c>
      <c r="D54" s="25">
        <f t="shared" si="15"/>
        <v>1928</v>
      </c>
      <c r="E54" s="25">
        <f t="shared" si="15"/>
        <v>1343</v>
      </c>
      <c r="F54" s="25">
        <f t="shared" si="15"/>
        <v>2986</v>
      </c>
    </row>
    <row r="55">
      <c r="A55" s="24" t="s">
        <v>5</v>
      </c>
      <c r="B55" s="27">
        <v>1.0</v>
      </c>
      <c r="C55" s="27">
        <v>1.0</v>
      </c>
      <c r="D55" s="27">
        <v>1.0</v>
      </c>
      <c r="E55" s="27">
        <v>0.9968</v>
      </c>
      <c r="F55" s="27">
        <v>0.9947</v>
      </c>
    </row>
    <row r="56">
      <c r="A56" s="24" t="s">
        <v>7</v>
      </c>
      <c r="B56" s="36">
        <v>0.7847</v>
      </c>
      <c r="C56" s="36">
        <v>0.8397</v>
      </c>
      <c r="D56" s="36">
        <v>0.7878</v>
      </c>
      <c r="E56" s="36">
        <v>0.7889</v>
      </c>
      <c r="F56" s="36">
        <v>0.6583</v>
      </c>
    </row>
  </sheetData>
  <mergeCells count="6">
    <mergeCell ref="A1:A6"/>
    <mergeCell ref="A8:A13"/>
    <mergeCell ref="A15:A20"/>
    <mergeCell ref="A22:A27"/>
    <mergeCell ref="A29:A34"/>
    <mergeCell ref="A36:A41"/>
  </mergeCells>
  <hyperlinks>
    <hyperlink r:id="rId1" ref="H3"/>
    <hyperlink r:id="rId2" ref="H4"/>
    <hyperlink r:id="rId3" ref="H5"/>
    <hyperlink r:id="rId4" ref="H6"/>
    <hyperlink r:id="rId5" ref="H11"/>
    <hyperlink r:id="rId6" ref="H12"/>
    <hyperlink r:id="rId7" ref="H13"/>
    <hyperlink r:id="rId8" ref="H17"/>
    <hyperlink r:id="rId9" ref="H18"/>
    <hyperlink r:id="rId10" ref="I18"/>
    <hyperlink r:id="rId11" ref="H19"/>
    <hyperlink r:id="rId12" ref="H20"/>
    <hyperlink r:id="rId13" ref="H24"/>
    <hyperlink r:id="rId14" ref="H25"/>
    <hyperlink r:id="rId15" ref="H26"/>
    <hyperlink r:id="rId16" ref="H27"/>
    <hyperlink r:id="rId17" ref="I27"/>
    <hyperlink r:id="rId18" ref="H30"/>
    <hyperlink r:id="rId19" ref="H31"/>
    <hyperlink r:id="rId20" ref="H32"/>
    <hyperlink r:id="rId21" ref="H34"/>
    <hyperlink r:id="rId22" ref="I34"/>
    <hyperlink r:id="rId23" ref="H37"/>
    <hyperlink r:id="rId24" ref="H38"/>
    <hyperlink r:id="rId25" ref="H39"/>
    <hyperlink r:id="rId26" ref="H41"/>
  </hyperlinks>
  <drawing r:id="rId27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62.0</v>
      </c>
      <c r="C8" s="7">
        <f t="shared" ref="C8:C12" si="1">D8/B8</f>
        <v>1</v>
      </c>
      <c r="D8" s="32" t="s">
        <v>181</v>
      </c>
      <c r="E8" s="32">
        <f>B8-3</f>
        <v>59</v>
      </c>
      <c r="F8" s="8">
        <f t="shared" ref="F8:F12" si="2">E8/D8</f>
        <v>0.9516129032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258.0</v>
      </c>
      <c r="C9" s="7">
        <f t="shared" si="1"/>
        <v>1</v>
      </c>
      <c r="D9" s="32" t="s">
        <v>182</v>
      </c>
      <c r="E9" s="32">
        <f>B9-40</f>
        <v>218</v>
      </c>
      <c r="F9" s="8">
        <f t="shared" si="2"/>
        <v>0.8449612403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202.0</v>
      </c>
      <c r="C10" s="7">
        <f t="shared" si="1"/>
        <v>1</v>
      </c>
      <c r="D10" s="5">
        <v>202.0</v>
      </c>
      <c r="E10" s="32">
        <f>B10-22</f>
        <v>180</v>
      </c>
      <c r="F10" s="8">
        <f t="shared" si="2"/>
        <v>0.8910891089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133.0</v>
      </c>
      <c r="C11" s="9">
        <f t="shared" si="1"/>
        <v>1</v>
      </c>
      <c r="D11" s="5">
        <v>133.0</v>
      </c>
      <c r="E11" s="32">
        <f>B11-28</f>
        <v>105</v>
      </c>
      <c r="F11" s="8">
        <f t="shared" si="2"/>
        <v>0.7894736842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649.0</v>
      </c>
      <c r="C12" s="9">
        <f t="shared" si="1"/>
        <v>0.998459168</v>
      </c>
      <c r="D12" s="32" t="s">
        <v>185</v>
      </c>
      <c r="E12" s="32">
        <f>B12-177</f>
        <v>472</v>
      </c>
      <c r="F12" s="8">
        <f t="shared" si="2"/>
        <v>0.7283950617</v>
      </c>
      <c r="G12" s="18">
        <v>6.7119656E8</v>
      </c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74.0</v>
      </c>
      <c r="C8" s="7">
        <f t="shared" ref="C8:C12" si="1">D8/B8</f>
        <v>1</v>
      </c>
      <c r="D8" s="32" t="s">
        <v>183</v>
      </c>
      <c r="E8" s="32">
        <f>B8-6</f>
        <v>68</v>
      </c>
      <c r="F8" s="8">
        <f t="shared" ref="F8:F12" si="2">E8/D8</f>
        <v>0.9189189189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401.0</v>
      </c>
      <c r="C9" s="7">
        <f t="shared" si="1"/>
        <v>1</v>
      </c>
      <c r="D9" s="32" t="s">
        <v>184</v>
      </c>
      <c r="E9" s="32">
        <f>B9-45</f>
        <v>356</v>
      </c>
      <c r="F9" s="8">
        <f t="shared" si="2"/>
        <v>0.8877805486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195.0</v>
      </c>
      <c r="C10" s="7">
        <f t="shared" si="1"/>
        <v>1</v>
      </c>
      <c r="D10" s="5">
        <v>195.0</v>
      </c>
      <c r="E10" s="32">
        <f>B10-23</f>
        <v>172</v>
      </c>
      <c r="F10" s="8">
        <f t="shared" si="2"/>
        <v>0.8820512821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48.0</v>
      </c>
      <c r="C11" s="9">
        <f t="shared" si="1"/>
        <v>1</v>
      </c>
      <c r="D11" s="5">
        <v>48.0</v>
      </c>
      <c r="E11" s="32">
        <f>B11-10</f>
        <v>38</v>
      </c>
      <c r="F11" s="8">
        <f t="shared" si="2"/>
        <v>0.7916666667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476.0</v>
      </c>
      <c r="C12" s="9">
        <f t="shared" si="1"/>
        <v>1</v>
      </c>
      <c r="D12" s="32" t="s">
        <v>186</v>
      </c>
      <c r="E12" s="32">
        <f>B12-70</f>
        <v>406</v>
      </c>
      <c r="F12" s="8">
        <f t="shared" si="2"/>
        <v>0.8529411765</v>
      </c>
      <c r="G12" s="18"/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33.0</v>
      </c>
      <c r="C8" s="7">
        <f t="shared" ref="C8:C12" si="1">D8/B8</f>
        <v>1</v>
      </c>
      <c r="D8" s="32" t="s">
        <v>187</v>
      </c>
      <c r="E8" s="32">
        <f>B8-3</f>
        <v>30</v>
      </c>
      <c r="F8" s="8">
        <f t="shared" ref="F8:F12" si="2">E8/D8</f>
        <v>0.9090909091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212.0</v>
      </c>
      <c r="C9" s="7">
        <f t="shared" si="1"/>
        <v>1</v>
      </c>
      <c r="D9" s="32" t="s">
        <v>188</v>
      </c>
      <c r="E9" s="32">
        <f>B9-21</f>
        <v>191</v>
      </c>
      <c r="F9" s="8">
        <f t="shared" si="2"/>
        <v>0.9009433962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250.0</v>
      </c>
      <c r="C10" s="7">
        <f t="shared" si="1"/>
        <v>1</v>
      </c>
      <c r="D10" s="5">
        <v>250.0</v>
      </c>
      <c r="E10" s="32">
        <f>B10-38</f>
        <v>212</v>
      </c>
      <c r="F10" s="8">
        <f t="shared" si="2"/>
        <v>0.848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203.0</v>
      </c>
      <c r="C11" s="9">
        <f t="shared" si="1"/>
        <v>1</v>
      </c>
      <c r="D11" s="5">
        <v>203.0</v>
      </c>
      <c r="E11" s="32">
        <f>B11-45</f>
        <v>158</v>
      </c>
      <c r="F11" s="8">
        <f t="shared" si="2"/>
        <v>0.7783251232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150.0</v>
      </c>
      <c r="C12" s="9">
        <f t="shared" si="1"/>
        <v>1</v>
      </c>
      <c r="D12" s="32" t="s">
        <v>189</v>
      </c>
      <c r="E12" s="32">
        <f>B12-32</f>
        <v>118</v>
      </c>
      <c r="F12" s="8">
        <f t="shared" si="2"/>
        <v>0.7866666667</v>
      </c>
      <c r="G12" s="18"/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2">
        <v>48.0</v>
      </c>
      <c r="C8" s="7">
        <f t="shared" ref="C8:C12" si="1">D8/B8</f>
        <v>1</v>
      </c>
      <c r="D8" s="6">
        <v>48.0</v>
      </c>
      <c r="E8" s="6">
        <f>B8-12</f>
        <v>36</v>
      </c>
      <c r="F8" s="8">
        <f t="shared" ref="F8:F12" si="2">E8/D8</f>
        <v>0.75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6">
        <v>325.0</v>
      </c>
      <c r="C9" s="7">
        <f t="shared" si="1"/>
        <v>0.9969230769</v>
      </c>
      <c r="D9" s="6">
        <v>324.0</v>
      </c>
      <c r="E9" s="6">
        <f>B9-42</f>
        <v>283</v>
      </c>
      <c r="F9" s="8">
        <f t="shared" si="2"/>
        <v>0.8734567901</v>
      </c>
      <c r="G9" s="18">
        <v>3.12836584E8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6">
        <v>293.0</v>
      </c>
      <c r="C10" s="7">
        <f t="shared" si="1"/>
        <v>1</v>
      </c>
      <c r="D10" s="6">
        <v>293.0</v>
      </c>
      <c r="E10" s="6">
        <f>B10-46</f>
        <v>247</v>
      </c>
      <c r="F10" s="8">
        <f t="shared" si="2"/>
        <v>0.843003413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6">
        <v>203.0</v>
      </c>
      <c r="C11" s="9">
        <f t="shared" si="1"/>
        <v>1</v>
      </c>
      <c r="D11" s="6">
        <v>203.0</v>
      </c>
      <c r="E11" s="6">
        <f>B11-35</f>
        <v>168</v>
      </c>
      <c r="F11" s="8">
        <f t="shared" si="2"/>
        <v>0.8275862069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6">
        <v>501.0</v>
      </c>
      <c r="C12" s="9">
        <f t="shared" si="1"/>
        <v>0.9920159681</v>
      </c>
      <c r="D12" s="6">
        <v>497.0</v>
      </c>
      <c r="E12" s="6">
        <f>B12-123</f>
        <v>378</v>
      </c>
      <c r="F12" s="8">
        <f t="shared" si="2"/>
        <v>0.7605633803</v>
      </c>
      <c r="G12" s="18" t="s">
        <v>190</v>
      </c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1" t="s">
        <v>43</v>
      </c>
    </row>
    <row r="2">
      <c r="A2" s="22">
        <v>43757.0</v>
      </c>
      <c r="B2" s="5">
        <v>96.0</v>
      </c>
      <c r="C2" s="5">
        <v>87.0</v>
      </c>
      <c r="D2" s="5">
        <v>165.0</v>
      </c>
      <c r="E2" s="5">
        <v>458.0</v>
      </c>
      <c r="F2" s="5">
        <v>438.0</v>
      </c>
      <c r="G2" s="42">
        <f t="shared" ref="G2:G7" si="1">SUM(B2:F2)</f>
        <v>1244</v>
      </c>
    </row>
    <row r="3">
      <c r="A3" s="22">
        <v>43759.0</v>
      </c>
      <c r="B3" s="5">
        <v>35.0</v>
      </c>
      <c r="C3" s="5">
        <v>186.0</v>
      </c>
      <c r="D3" s="5">
        <v>308.0</v>
      </c>
      <c r="E3" s="5">
        <v>255.0</v>
      </c>
      <c r="F3" s="5">
        <v>502.0</v>
      </c>
      <c r="G3" s="42">
        <f t="shared" si="1"/>
        <v>1286</v>
      </c>
    </row>
    <row r="4">
      <c r="A4" s="22">
        <v>43760.0</v>
      </c>
      <c r="B4" s="5">
        <v>62.0</v>
      </c>
      <c r="C4" s="5">
        <v>258.0</v>
      </c>
      <c r="D4" s="5">
        <v>202.0</v>
      </c>
      <c r="E4" s="5">
        <v>133.0</v>
      </c>
      <c r="F4" s="5">
        <v>649.0</v>
      </c>
      <c r="G4" s="42">
        <f t="shared" si="1"/>
        <v>1304</v>
      </c>
    </row>
    <row r="5">
      <c r="A5" s="22">
        <v>43761.0</v>
      </c>
      <c r="B5" s="5">
        <v>74.0</v>
      </c>
      <c r="C5" s="5">
        <v>401.0</v>
      </c>
      <c r="D5" s="5">
        <v>195.0</v>
      </c>
      <c r="E5" s="5">
        <v>48.0</v>
      </c>
      <c r="F5" s="5">
        <v>476.0</v>
      </c>
      <c r="G5" s="42">
        <f t="shared" si="1"/>
        <v>1194</v>
      </c>
    </row>
    <row r="6">
      <c r="A6" s="22">
        <v>43762.0</v>
      </c>
      <c r="B6" s="5">
        <v>33.0</v>
      </c>
      <c r="C6" s="5">
        <v>212.0</v>
      </c>
      <c r="D6" s="5">
        <v>250.0</v>
      </c>
      <c r="E6" s="5">
        <v>203.0</v>
      </c>
      <c r="F6" s="5">
        <v>150.0</v>
      </c>
      <c r="G6" s="42">
        <f t="shared" si="1"/>
        <v>848</v>
      </c>
    </row>
    <row r="7">
      <c r="A7" s="22">
        <v>43763.0</v>
      </c>
      <c r="B7" s="5">
        <v>48.0</v>
      </c>
      <c r="C7" s="5">
        <v>325.0</v>
      </c>
      <c r="D7" s="5">
        <v>293.0</v>
      </c>
      <c r="E7" s="5">
        <v>203.0</v>
      </c>
      <c r="F7" s="5">
        <v>501.0</v>
      </c>
      <c r="G7" s="42">
        <f t="shared" si="1"/>
        <v>1370</v>
      </c>
    </row>
    <row r="8">
      <c r="A8" s="24" t="s">
        <v>45</v>
      </c>
      <c r="B8" s="44">
        <f t="shared" ref="B8:G8" si="2">SUM(B2:B7)</f>
        <v>348</v>
      </c>
      <c r="C8" s="44">
        <f t="shared" si="2"/>
        <v>1469</v>
      </c>
      <c r="D8" s="44">
        <f t="shared" si="2"/>
        <v>1413</v>
      </c>
      <c r="E8" s="44">
        <f t="shared" si="2"/>
        <v>1300</v>
      </c>
      <c r="F8" s="44">
        <f t="shared" si="2"/>
        <v>2716</v>
      </c>
      <c r="G8" s="44">
        <f t="shared" si="2"/>
        <v>7246</v>
      </c>
    </row>
    <row r="9">
      <c r="B9" s="24" t="s">
        <v>47</v>
      </c>
      <c r="C9" s="24" t="s">
        <v>48</v>
      </c>
      <c r="D9" s="24" t="s">
        <v>49</v>
      </c>
      <c r="E9" s="24" t="s">
        <v>50</v>
      </c>
      <c r="F9" s="24" t="s">
        <v>52</v>
      </c>
    </row>
    <row r="10">
      <c r="A10" s="24" t="s">
        <v>53</v>
      </c>
      <c r="B10" s="44">
        <f t="shared" ref="B10:F10" si="3">B8</f>
        <v>348</v>
      </c>
      <c r="C10" s="44">
        <f t="shared" si="3"/>
        <v>1469</v>
      </c>
      <c r="D10" s="44">
        <f t="shared" si="3"/>
        <v>1413</v>
      </c>
      <c r="E10" s="44">
        <f t="shared" si="3"/>
        <v>1300</v>
      </c>
      <c r="F10" s="44">
        <f t="shared" si="3"/>
        <v>2716</v>
      </c>
    </row>
    <row r="11">
      <c r="A11" s="24" t="s">
        <v>2</v>
      </c>
      <c r="B11" s="45">
        <f t="shared" ref="B11:F11" si="4">G29/B10</f>
        <v>1</v>
      </c>
      <c r="C11" s="45">
        <f t="shared" si="4"/>
        <v>0.9993192648</v>
      </c>
      <c r="D11" s="45">
        <f t="shared" si="4"/>
        <v>1</v>
      </c>
      <c r="E11" s="45">
        <f t="shared" si="4"/>
        <v>1</v>
      </c>
      <c r="F11" s="45">
        <f t="shared" si="4"/>
        <v>0.9974226804</v>
      </c>
    </row>
    <row r="12">
      <c r="A12" s="24" t="s">
        <v>6</v>
      </c>
      <c r="B12" s="45">
        <f t="shared" ref="B12:F12" si="5">G36/G29</f>
        <v>0.816091954</v>
      </c>
      <c r="C12" s="45">
        <f t="shared" si="5"/>
        <v>0.863760218</v>
      </c>
      <c r="D12" s="45">
        <f t="shared" si="5"/>
        <v>0.8535031847</v>
      </c>
      <c r="E12" s="45">
        <f t="shared" si="5"/>
        <v>0.7546153846</v>
      </c>
      <c r="F12" s="45">
        <f t="shared" si="5"/>
        <v>0.7552602436</v>
      </c>
    </row>
    <row r="28">
      <c r="A28" s="54">
        <v>43757.0</v>
      </c>
      <c r="B28" s="54">
        <v>43759.0</v>
      </c>
      <c r="C28" s="54">
        <v>43760.0</v>
      </c>
      <c r="D28" s="54">
        <v>43761.0</v>
      </c>
      <c r="E28" s="54">
        <v>43762.0</v>
      </c>
      <c r="F28" s="54">
        <v>43763.0</v>
      </c>
    </row>
    <row r="29">
      <c r="A29" s="6">
        <v>96.0</v>
      </c>
      <c r="B29" s="6">
        <v>35.0</v>
      </c>
      <c r="C29" s="6">
        <v>62.0</v>
      </c>
      <c r="D29" s="6">
        <v>74.0</v>
      </c>
      <c r="E29" s="6">
        <v>33.0</v>
      </c>
      <c r="F29" s="6">
        <v>48.0</v>
      </c>
      <c r="G29" s="55">
        <f t="shared" ref="G29:G33" si="6">SUM(A29:F29)</f>
        <v>348</v>
      </c>
      <c r="H29" s="34">
        <v>1468.0</v>
      </c>
      <c r="I29" s="34">
        <v>1413.0</v>
      </c>
      <c r="J29" s="34">
        <v>1300.0</v>
      </c>
      <c r="K29" s="34">
        <v>2709.0</v>
      </c>
    </row>
    <row r="30">
      <c r="A30" s="6">
        <v>87.0</v>
      </c>
      <c r="B30" s="6">
        <v>186.0</v>
      </c>
      <c r="C30" s="6">
        <v>258.0</v>
      </c>
      <c r="D30" s="6">
        <v>401.0</v>
      </c>
      <c r="E30" s="6">
        <v>212.0</v>
      </c>
      <c r="F30" s="6">
        <v>324.0</v>
      </c>
      <c r="G30" s="55">
        <f t="shared" si="6"/>
        <v>1468</v>
      </c>
    </row>
    <row r="31">
      <c r="A31" s="6">
        <v>165.0</v>
      </c>
      <c r="B31" s="6">
        <v>308.0</v>
      </c>
      <c r="C31" s="6">
        <v>202.0</v>
      </c>
      <c r="D31" s="6">
        <v>195.0</v>
      </c>
      <c r="E31" s="6">
        <v>250.0</v>
      </c>
      <c r="F31" s="6">
        <v>293.0</v>
      </c>
      <c r="G31" s="55">
        <f t="shared" si="6"/>
        <v>1413</v>
      </c>
    </row>
    <row r="32">
      <c r="A32" s="6">
        <v>458.0</v>
      </c>
      <c r="B32" s="6">
        <v>255.0</v>
      </c>
      <c r="C32" s="6">
        <v>133.0</v>
      </c>
      <c r="D32" s="6">
        <v>48.0</v>
      </c>
      <c r="E32" s="6">
        <v>203.0</v>
      </c>
      <c r="F32" s="6">
        <v>203.0</v>
      </c>
      <c r="G32" s="55">
        <f t="shared" si="6"/>
        <v>1300</v>
      </c>
    </row>
    <row r="33">
      <c r="A33" s="6">
        <v>437.0</v>
      </c>
      <c r="B33" s="6">
        <v>501.0</v>
      </c>
      <c r="C33" s="6">
        <v>648.0</v>
      </c>
      <c r="D33" s="6">
        <v>476.0</v>
      </c>
      <c r="E33" s="6">
        <v>150.0</v>
      </c>
      <c r="F33" s="6">
        <v>497.0</v>
      </c>
      <c r="G33" s="55">
        <f t="shared" si="6"/>
        <v>2709</v>
      </c>
    </row>
    <row r="36">
      <c r="A36" s="56">
        <v>61.0</v>
      </c>
      <c r="B36" s="57">
        <v>30.0</v>
      </c>
      <c r="C36" s="32">
        <v>59.0</v>
      </c>
      <c r="D36" s="56">
        <v>68.0</v>
      </c>
      <c r="E36" s="56">
        <v>30.0</v>
      </c>
      <c r="F36" s="56">
        <v>36.0</v>
      </c>
      <c r="G36" s="34">
        <f t="shared" ref="G36:G40" si="7">SUM(A36:F36)</f>
        <v>284</v>
      </c>
      <c r="H36" s="34">
        <v>1268.0</v>
      </c>
      <c r="I36" s="34">
        <v>1206.0</v>
      </c>
      <c r="J36" s="34">
        <v>981.0</v>
      </c>
      <c r="K36" s="34">
        <v>2046.0</v>
      </c>
    </row>
    <row r="37">
      <c r="A37" s="56">
        <v>65.0</v>
      </c>
      <c r="B37" s="56">
        <v>155.0</v>
      </c>
      <c r="C37" s="32">
        <v>218.0</v>
      </c>
      <c r="D37" s="56">
        <v>356.0</v>
      </c>
      <c r="E37" s="56">
        <v>191.0</v>
      </c>
      <c r="F37" s="56">
        <v>283.0</v>
      </c>
      <c r="G37" s="34">
        <f t="shared" si="7"/>
        <v>1268</v>
      </c>
    </row>
    <row r="38">
      <c r="A38" s="56">
        <v>119.0</v>
      </c>
      <c r="B38" s="56">
        <v>276.0</v>
      </c>
      <c r="C38" s="32">
        <v>180.0</v>
      </c>
      <c r="D38" s="56">
        <v>172.0</v>
      </c>
      <c r="E38" s="56">
        <v>212.0</v>
      </c>
      <c r="F38" s="56">
        <v>247.0</v>
      </c>
      <c r="G38" s="34">
        <f t="shared" si="7"/>
        <v>1206</v>
      </c>
    </row>
    <row r="39">
      <c r="A39" s="56">
        <v>293.0</v>
      </c>
      <c r="B39" s="56">
        <v>219.0</v>
      </c>
      <c r="C39" s="32">
        <v>105.0</v>
      </c>
      <c r="D39" s="56">
        <v>38.0</v>
      </c>
      <c r="E39" s="56">
        <v>158.0</v>
      </c>
      <c r="F39" s="56">
        <v>168.0</v>
      </c>
      <c r="G39" s="34">
        <f t="shared" si="7"/>
        <v>981</v>
      </c>
    </row>
    <row r="40">
      <c r="A40" s="56">
        <v>250.0</v>
      </c>
      <c r="B40" s="56">
        <v>422.0</v>
      </c>
      <c r="C40" s="32">
        <v>472.0</v>
      </c>
      <c r="D40" s="56">
        <v>406.0</v>
      </c>
      <c r="E40" s="56">
        <v>118.0</v>
      </c>
      <c r="F40" s="56">
        <v>378.0</v>
      </c>
      <c r="G40" s="34">
        <f t="shared" si="7"/>
        <v>2046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2">
        <v>46.0</v>
      </c>
      <c r="C8" s="7">
        <f t="shared" ref="C8:C12" si="1">D8/B8</f>
        <v>1</v>
      </c>
      <c r="D8" s="6">
        <v>46.0</v>
      </c>
      <c r="E8" s="6">
        <f>B8-7</f>
        <v>39</v>
      </c>
      <c r="F8" s="8">
        <f t="shared" ref="F8:F12" si="2">E8/D8</f>
        <v>0.847826087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6">
        <v>177.0</v>
      </c>
      <c r="C9" s="7">
        <f t="shared" si="1"/>
        <v>1</v>
      </c>
      <c r="D9" s="6">
        <v>177.0</v>
      </c>
      <c r="E9" s="6">
        <f>B9-53</f>
        <v>124</v>
      </c>
      <c r="F9" s="8">
        <f t="shared" si="2"/>
        <v>0.7005649718</v>
      </c>
      <c r="G9" s="18"/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6">
        <v>269.0</v>
      </c>
      <c r="C10" s="7">
        <f t="shared" si="1"/>
        <v>1</v>
      </c>
      <c r="D10" s="6">
        <v>269.0</v>
      </c>
      <c r="E10" s="6">
        <f>B10-95</f>
        <v>174</v>
      </c>
      <c r="F10" s="8">
        <f t="shared" si="2"/>
        <v>0.6468401487</v>
      </c>
      <c r="G10" s="18"/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6">
        <v>110.0</v>
      </c>
      <c r="C11" s="9">
        <f t="shared" si="1"/>
        <v>1</v>
      </c>
      <c r="D11" s="6">
        <v>110.0</v>
      </c>
      <c r="E11" s="6">
        <f>B11-37</f>
        <v>73</v>
      </c>
      <c r="F11" s="8">
        <f t="shared" si="2"/>
        <v>0.6636363636</v>
      </c>
      <c r="G11" s="18"/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6">
        <v>375.0</v>
      </c>
      <c r="C12" s="9">
        <f t="shared" si="1"/>
        <v>1</v>
      </c>
      <c r="D12" s="6">
        <v>375.0</v>
      </c>
      <c r="E12" s="6">
        <f>B12-119</f>
        <v>256</v>
      </c>
      <c r="F12" s="8">
        <f t="shared" si="2"/>
        <v>0.6826666667</v>
      </c>
      <c r="G12" s="18"/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2">
        <v>56.0</v>
      </c>
      <c r="C8" s="7">
        <f t="shared" ref="C8:C12" si="1">D8/B8</f>
        <v>1</v>
      </c>
      <c r="D8" s="6">
        <v>56.0</v>
      </c>
      <c r="E8" s="6">
        <f>B8-3</f>
        <v>53</v>
      </c>
      <c r="F8" s="8">
        <f t="shared" ref="F8:F12" si="2">E8/D8</f>
        <v>0.9464285714</v>
      </c>
      <c r="H8" s="13" t="s">
        <v>18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6">
        <v>86.0</v>
      </c>
      <c r="C9" s="7">
        <f t="shared" si="1"/>
        <v>1</v>
      </c>
      <c r="D9" s="6">
        <v>86.0</v>
      </c>
      <c r="E9" s="6">
        <f>B9-11</f>
        <v>75</v>
      </c>
      <c r="F9" s="8">
        <f t="shared" si="2"/>
        <v>0.8720930233</v>
      </c>
      <c r="H9" s="13" t="s">
        <v>18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6">
        <v>497.0</v>
      </c>
      <c r="C10" s="9">
        <f t="shared" si="1"/>
        <v>0.9979879276</v>
      </c>
      <c r="D10" s="6">
        <v>496.0</v>
      </c>
      <c r="E10" s="6">
        <f>B10-58</f>
        <v>439</v>
      </c>
      <c r="F10" s="8">
        <f t="shared" si="2"/>
        <v>0.8850806452</v>
      </c>
      <c r="G10" s="18">
        <v>7.73923894E8</v>
      </c>
      <c r="H10" s="13" t="s">
        <v>18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6">
        <v>239.0</v>
      </c>
      <c r="C11" s="9">
        <f t="shared" si="1"/>
        <v>1</v>
      </c>
      <c r="D11" s="6">
        <v>239.0</v>
      </c>
      <c r="E11" s="6">
        <f>B11-42</f>
        <v>197</v>
      </c>
      <c r="F11" s="8">
        <f t="shared" si="2"/>
        <v>0.8242677824</v>
      </c>
      <c r="H11" s="13" t="s">
        <v>18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6">
        <v>559.0</v>
      </c>
      <c r="C12" s="9">
        <f t="shared" si="1"/>
        <v>0.9982110912</v>
      </c>
      <c r="D12" s="6">
        <v>558.0</v>
      </c>
      <c r="E12" s="6">
        <f>B12-132</f>
        <v>427</v>
      </c>
      <c r="F12" s="8">
        <f t="shared" si="2"/>
        <v>0.7652329749</v>
      </c>
      <c r="G12" s="18">
        <v>2.54229375E8</v>
      </c>
      <c r="H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2"/>
      <c r="C8" s="7" t="str">
        <f t="shared" ref="C8:C12" si="1">D8/B8</f>
        <v>#DIV/0!</v>
      </c>
      <c r="D8" s="6"/>
      <c r="E8" s="6"/>
      <c r="F8" s="8" t="str">
        <f t="shared" ref="F8:F12" si="2">E8/D8</f>
        <v>#DIV/0!</v>
      </c>
      <c r="G8" s="13" t="s">
        <v>191</v>
      </c>
      <c r="H8" s="13" t="s">
        <v>18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6">
        <v>223.0</v>
      </c>
      <c r="C9" s="7">
        <f t="shared" si="1"/>
        <v>1</v>
      </c>
      <c r="D9" s="6">
        <v>223.0</v>
      </c>
      <c r="E9" s="6">
        <f t="shared" ref="E9:E10" si="3">B9-33</f>
        <v>190</v>
      </c>
      <c r="F9" s="8">
        <f t="shared" si="2"/>
        <v>0.8520179372</v>
      </c>
      <c r="H9" s="13" t="s">
        <v>18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6">
        <v>232.0</v>
      </c>
      <c r="C10" s="9">
        <f t="shared" si="1"/>
        <v>0.9956896552</v>
      </c>
      <c r="D10" s="6">
        <v>231.0</v>
      </c>
      <c r="E10" s="6">
        <f t="shared" si="3"/>
        <v>199</v>
      </c>
      <c r="F10" s="8">
        <f t="shared" si="2"/>
        <v>0.8614718615</v>
      </c>
      <c r="G10" s="18">
        <v>4.04582863E8</v>
      </c>
      <c r="H10" s="13" t="s">
        <v>18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6">
        <v>82.0</v>
      </c>
      <c r="C11" s="9">
        <f t="shared" si="1"/>
        <v>1</v>
      </c>
      <c r="D11" s="6">
        <v>82.0</v>
      </c>
      <c r="E11" s="6">
        <f>B11-12</f>
        <v>70</v>
      </c>
      <c r="F11" s="8">
        <f t="shared" si="2"/>
        <v>0.8536585366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6">
        <f>562+70</f>
        <v>632</v>
      </c>
      <c r="C12" s="9">
        <f t="shared" si="1"/>
        <v>0.9984177215</v>
      </c>
      <c r="D12" s="6">
        <v>631.0</v>
      </c>
      <c r="E12" s="6">
        <f>B12-165</f>
        <v>467</v>
      </c>
      <c r="F12" s="8">
        <f t="shared" si="2"/>
        <v>0.7400950872</v>
      </c>
      <c r="G12" s="18">
        <v>3.3077108E8</v>
      </c>
      <c r="I12" s="13" t="s">
        <v>18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</row>
    <row r="8">
      <c r="A8" s="5" t="s">
        <v>8</v>
      </c>
      <c r="B8" s="12">
        <v>61.0</v>
      </c>
      <c r="C8" s="7">
        <f t="shared" ref="C8:C12" si="1">D8/B8</f>
        <v>1</v>
      </c>
      <c r="D8" s="6">
        <v>61.0</v>
      </c>
      <c r="E8" s="6">
        <f>B8-2</f>
        <v>59</v>
      </c>
      <c r="F8" s="8">
        <f t="shared" ref="F8:F12" si="2">E8/D8</f>
        <v>0.9672131148</v>
      </c>
      <c r="H8" s="13" t="s">
        <v>18</v>
      </c>
    </row>
    <row r="9">
      <c r="A9" s="5" t="s">
        <v>9</v>
      </c>
      <c r="B9" s="6">
        <v>247.0</v>
      </c>
      <c r="C9" s="7">
        <f t="shared" si="1"/>
        <v>1</v>
      </c>
      <c r="D9" s="6">
        <v>247.0</v>
      </c>
      <c r="E9" s="6">
        <f>B9-30</f>
        <v>217</v>
      </c>
      <c r="F9" s="8">
        <f t="shared" si="2"/>
        <v>0.8785425101</v>
      </c>
      <c r="H9" s="13" t="s">
        <v>18</v>
      </c>
    </row>
    <row r="10">
      <c r="A10" s="5" t="s">
        <v>12</v>
      </c>
      <c r="B10" s="6">
        <v>302.0</v>
      </c>
      <c r="C10" s="9">
        <f t="shared" si="1"/>
        <v>0.9966887417</v>
      </c>
      <c r="D10" s="6">
        <v>301.0</v>
      </c>
      <c r="E10" s="6">
        <f>B10-41</f>
        <v>261</v>
      </c>
      <c r="F10" s="8">
        <f t="shared" si="2"/>
        <v>0.8671096346</v>
      </c>
      <c r="G10" s="18">
        <v>9.59565783E8</v>
      </c>
      <c r="H10" s="13" t="s">
        <v>18</v>
      </c>
    </row>
    <row r="11">
      <c r="A11" s="5" t="s">
        <v>13</v>
      </c>
      <c r="B11" s="6">
        <v>106.0</v>
      </c>
      <c r="C11" s="9">
        <f t="shared" si="1"/>
        <v>1</v>
      </c>
      <c r="D11" s="6">
        <v>106.0</v>
      </c>
      <c r="E11" s="6">
        <f>B11-23</f>
        <v>83</v>
      </c>
      <c r="F11" s="8">
        <f t="shared" si="2"/>
        <v>0.7830188679</v>
      </c>
    </row>
    <row r="12">
      <c r="A12" s="5" t="s">
        <v>14</v>
      </c>
      <c r="B12" s="6">
        <f>562+189</f>
        <v>751</v>
      </c>
      <c r="C12" s="9">
        <f t="shared" si="1"/>
        <v>0.9986684421</v>
      </c>
      <c r="D12" s="6">
        <v>750.0</v>
      </c>
      <c r="E12" s="6">
        <f>B12-206</f>
        <v>545</v>
      </c>
      <c r="F12" s="8">
        <f t="shared" si="2"/>
        <v>0.7266666667</v>
      </c>
      <c r="G12" s="18">
        <v>8.48954017E8</v>
      </c>
    </row>
    <row r="13">
      <c r="A13" s="3" t="s">
        <v>78</v>
      </c>
    </row>
    <row r="14">
      <c r="A14" s="3" t="s"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4" max="4" width="17.29"/>
    <col customWidth="1" min="5" max="5" width="20.71"/>
    <col customWidth="1" min="6" max="6" width="25.14"/>
    <col customWidth="1" min="20" max="20" width="15.86"/>
  </cols>
  <sheetData>
    <row r="1">
      <c r="A1" s="1">
        <v>43771.0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M1" s="3"/>
    </row>
    <row r="2">
      <c r="A2" s="4"/>
      <c r="B2" s="5" t="s">
        <v>8</v>
      </c>
      <c r="C2" s="6">
        <v>28.0</v>
      </c>
      <c r="D2" s="7">
        <f t="shared" ref="D2:D6" si="1">E2/C2</f>
        <v>1</v>
      </c>
      <c r="E2" s="6">
        <v>28.0</v>
      </c>
      <c r="F2" s="6">
        <f>C2-2</f>
        <v>26</v>
      </c>
      <c r="G2" s="8">
        <f t="shared" ref="G2:G6" si="2">F2/E2</f>
        <v>0.9285714286</v>
      </c>
    </row>
    <row r="3">
      <c r="A3" s="4"/>
      <c r="B3" s="5" t="s">
        <v>9</v>
      </c>
      <c r="C3" s="6">
        <v>197.0</v>
      </c>
      <c r="D3" s="7">
        <f t="shared" si="1"/>
        <v>1</v>
      </c>
      <c r="E3" s="6">
        <v>197.0</v>
      </c>
      <c r="F3" s="6">
        <f>C3-70</f>
        <v>127</v>
      </c>
      <c r="G3" s="8">
        <f t="shared" si="2"/>
        <v>0.6446700508</v>
      </c>
    </row>
    <row r="4">
      <c r="A4" s="4"/>
      <c r="B4" s="5" t="s">
        <v>12</v>
      </c>
      <c r="C4" s="6">
        <v>553.0</v>
      </c>
      <c r="D4" s="9">
        <f t="shared" si="1"/>
        <v>0.9981916817</v>
      </c>
      <c r="E4" s="6">
        <v>552.0</v>
      </c>
      <c r="F4" s="6">
        <f>C4-225</f>
        <v>328</v>
      </c>
      <c r="G4" s="8">
        <f t="shared" si="2"/>
        <v>0.5942028986</v>
      </c>
    </row>
    <row r="5">
      <c r="A5" s="4"/>
      <c r="B5" s="5" t="s">
        <v>13</v>
      </c>
      <c r="C5" s="6">
        <v>206.0</v>
      </c>
      <c r="D5" s="9">
        <f t="shared" si="1"/>
        <v>1</v>
      </c>
      <c r="E5" s="6">
        <v>206.0</v>
      </c>
      <c r="F5" s="6">
        <f>C5-81</f>
        <v>125</v>
      </c>
      <c r="G5" s="8">
        <f t="shared" si="2"/>
        <v>0.6067961165</v>
      </c>
    </row>
    <row r="6">
      <c r="A6" s="10"/>
      <c r="B6" s="5" t="s">
        <v>14</v>
      </c>
      <c r="C6" s="6">
        <v>503.0</v>
      </c>
      <c r="D6" s="9">
        <f t="shared" si="1"/>
        <v>0.9980119284</v>
      </c>
      <c r="E6" s="6">
        <v>502.0</v>
      </c>
      <c r="F6" s="6">
        <f>C6-243</f>
        <v>260</v>
      </c>
      <c r="G6" s="8">
        <f t="shared" si="2"/>
        <v>0.5179282869</v>
      </c>
    </row>
    <row r="7">
      <c r="A7" s="3"/>
    </row>
    <row r="8">
      <c r="A8" s="1">
        <v>43773.0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6</v>
      </c>
    </row>
    <row r="9">
      <c r="A9" s="4"/>
      <c r="B9" s="5" t="s">
        <v>8</v>
      </c>
      <c r="C9" s="12">
        <v>30.0</v>
      </c>
      <c r="D9" s="7">
        <f t="shared" ref="D9:D13" si="3">E9/C9</f>
        <v>1</v>
      </c>
      <c r="E9" s="6">
        <v>30.0</v>
      </c>
      <c r="F9" s="6">
        <f>C9-2</f>
        <v>28</v>
      </c>
      <c r="G9" s="8">
        <f t="shared" ref="G9:G13" si="4">F9/E9</f>
        <v>0.9333333333</v>
      </c>
      <c r="H9" s="11" t="s">
        <v>16</v>
      </c>
    </row>
    <row r="10">
      <c r="A10" s="4"/>
      <c r="B10" s="5" t="s">
        <v>9</v>
      </c>
      <c r="C10" s="6">
        <v>257.0</v>
      </c>
      <c r="D10" s="7">
        <f t="shared" si="3"/>
        <v>1</v>
      </c>
      <c r="E10" s="6">
        <v>257.0</v>
      </c>
      <c r="F10" s="6">
        <f>C10-30</f>
        <v>227</v>
      </c>
      <c r="G10" s="8">
        <f t="shared" si="4"/>
        <v>0.8832684825</v>
      </c>
      <c r="H10" s="11" t="s">
        <v>19</v>
      </c>
    </row>
    <row r="11">
      <c r="A11" s="4"/>
      <c r="B11" s="5" t="s">
        <v>12</v>
      </c>
      <c r="C11" s="6">
        <v>668.0</v>
      </c>
      <c r="D11" s="9">
        <f t="shared" si="3"/>
        <v>1</v>
      </c>
      <c r="E11" s="6">
        <v>668.0</v>
      </c>
      <c r="F11" s="6">
        <f>C11-115</f>
        <v>553</v>
      </c>
      <c r="G11" s="8">
        <f t="shared" si="4"/>
        <v>0.8278443114</v>
      </c>
      <c r="H11" s="11" t="s">
        <v>22</v>
      </c>
    </row>
    <row r="12">
      <c r="A12" s="4"/>
      <c r="B12" s="5" t="s">
        <v>13</v>
      </c>
      <c r="C12" s="6">
        <v>231.0</v>
      </c>
      <c r="D12" s="9">
        <f t="shared" si="3"/>
        <v>1</v>
      </c>
      <c r="E12" s="6">
        <v>231.0</v>
      </c>
      <c r="F12" s="6">
        <f>C12-43</f>
        <v>188</v>
      </c>
      <c r="G12" s="8">
        <f t="shared" si="4"/>
        <v>0.8138528139</v>
      </c>
      <c r="H12" s="11" t="s">
        <v>25</v>
      </c>
      <c r="I12" s="13" t="s">
        <v>18</v>
      </c>
    </row>
    <row r="13">
      <c r="A13" s="10"/>
      <c r="B13" s="5" t="s">
        <v>14</v>
      </c>
      <c r="C13" s="6">
        <v>635.0</v>
      </c>
      <c r="D13" s="9">
        <f t="shared" si="3"/>
        <v>1</v>
      </c>
      <c r="E13" s="6">
        <v>635.0</v>
      </c>
      <c r="F13" s="6">
        <f>C13-158</f>
        <v>477</v>
      </c>
      <c r="G13" s="8">
        <f t="shared" si="4"/>
        <v>0.7511811024</v>
      </c>
      <c r="H13" s="11" t="s">
        <v>28</v>
      </c>
    </row>
    <row r="14">
      <c r="A14" s="15"/>
      <c r="B14" s="12"/>
      <c r="C14" s="16"/>
      <c r="D14" s="12"/>
      <c r="E14" s="12"/>
      <c r="F14" s="17"/>
      <c r="G14" s="18"/>
      <c r="H14" s="13" t="s">
        <v>18</v>
      </c>
      <c r="I14" s="13" t="s">
        <v>18</v>
      </c>
    </row>
    <row r="15">
      <c r="A15" s="1">
        <v>43774.0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6</v>
      </c>
    </row>
    <row r="16">
      <c r="A16" s="4"/>
      <c r="B16" s="5" t="s">
        <v>8</v>
      </c>
      <c r="C16" s="12"/>
      <c r="D16" s="7" t="str">
        <f t="shared" ref="D16:D20" si="5">E16/C16</f>
        <v>#DIV/0!</v>
      </c>
      <c r="E16" s="6"/>
      <c r="F16" s="6"/>
      <c r="G16" s="8" t="str">
        <f t="shared" ref="G16:G20" si="6">F16/E16</f>
        <v>#DIV/0!</v>
      </c>
    </row>
    <row r="17">
      <c r="A17" s="4"/>
      <c r="B17" s="5" t="s">
        <v>9</v>
      </c>
      <c r="C17" s="6">
        <v>129.0</v>
      </c>
      <c r="D17" s="7">
        <f t="shared" si="5"/>
        <v>1</v>
      </c>
      <c r="E17" s="6">
        <v>129.0</v>
      </c>
      <c r="F17" s="6">
        <v>111.0</v>
      </c>
      <c r="G17" s="8">
        <f t="shared" si="6"/>
        <v>0.8604651163</v>
      </c>
    </row>
    <row r="18">
      <c r="A18" s="4"/>
      <c r="B18" s="5" t="s">
        <v>12</v>
      </c>
      <c r="C18" s="6">
        <v>760.0</v>
      </c>
      <c r="D18" s="9">
        <f t="shared" si="5"/>
        <v>1</v>
      </c>
      <c r="E18" s="6">
        <v>760.0</v>
      </c>
      <c r="F18" s="6">
        <v>585.0</v>
      </c>
      <c r="G18" s="8">
        <f t="shared" si="6"/>
        <v>0.7697368421</v>
      </c>
    </row>
    <row r="19">
      <c r="A19" s="4"/>
      <c r="B19" s="5" t="s">
        <v>13</v>
      </c>
      <c r="C19" s="6">
        <v>425.0</v>
      </c>
      <c r="D19" s="9">
        <f t="shared" si="5"/>
        <v>1</v>
      </c>
      <c r="E19" s="6">
        <v>425.0</v>
      </c>
      <c r="F19" s="6">
        <v>337.0</v>
      </c>
      <c r="G19" s="8">
        <f t="shared" si="6"/>
        <v>0.7929411765</v>
      </c>
    </row>
    <row r="20">
      <c r="A20" s="10"/>
      <c r="B20" s="5" t="s">
        <v>14</v>
      </c>
      <c r="C20" s="6">
        <v>275.0</v>
      </c>
      <c r="D20" s="9">
        <f t="shared" si="5"/>
        <v>1</v>
      </c>
      <c r="E20" s="6">
        <v>275.0</v>
      </c>
      <c r="F20" s="6">
        <v>228.0</v>
      </c>
      <c r="G20" s="8">
        <f t="shared" si="6"/>
        <v>0.8290909091</v>
      </c>
    </row>
    <row r="22">
      <c r="A22" s="1">
        <v>43775.0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6</v>
      </c>
    </row>
    <row r="23">
      <c r="A23" s="4"/>
      <c r="B23" s="5" t="s">
        <v>8</v>
      </c>
      <c r="C23" s="6">
        <v>0.0</v>
      </c>
      <c r="D23" s="7" t="str">
        <f t="shared" ref="D23:D27" si="7">E23/C23</f>
        <v>#DIV/0!</v>
      </c>
      <c r="E23" s="6">
        <v>0.0</v>
      </c>
      <c r="F23" s="6">
        <v>0.0</v>
      </c>
      <c r="G23" s="8" t="str">
        <f t="shared" ref="G23:G27" si="8">F23/E23</f>
        <v>#DIV/0!</v>
      </c>
    </row>
    <row r="24">
      <c r="A24" s="4"/>
      <c r="B24" s="5" t="s">
        <v>9</v>
      </c>
      <c r="C24" s="6">
        <v>253.0</v>
      </c>
      <c r="D24" s="7">
        <f t="shared" si="7"/>
        <v>1</v>
      </c>
      <c r="E24" s="6">
        <v>253.0</v>
      </c>
      <c r="F24" s="6">
        <v>216.0</v>
      </c>
      <c r="G24" s="8">
        <f t="shared" si="8"/>
        <v>0.8537549407</v>
      </c>
    </row>
    <row r="25">
      <c r="A25" s="4"/>
      <c r="B25" s="5" t="s">
        <v>12</v>
      </c>
      <c r="C25" s="6">
        <f>345+375</f>
        <v>720</v>
      </c>
      <c r="D25" s="9">
        <f t="shared" si="7"/>
        <v>1</v>
      </c>
      <c r="E25" s="6">
        <v>720.0</v>
      </c>
      <c r="F25" s="6">
        <f>85+83+75+39+81+87+86+52</f>
        <v>588</v>
      </c>
      <c r="G25" s="8">
        <f t="shared" si="8"/>
        <v>0.8166666667</v>
      </c>
    </row>
    <row r="26">
      <c r="A26" s="4"/>
      <c r="B26" s="5" t="s">
        <v>13</v>
      </c>
      <c r="C26" s="6">
        <v>207.0</v>
      </c>
      <c r="D26" s="9">
        <f t="shared" si="7"/>
        <v>1</v>
      </c>
      <c r="E26" s="6">
        <v>207.0</v>
      </c>
      <c r="F26" s="6">
        <f>84+83+5</f>
        <v>172</v>
      </c>
      <c r="G26" s="8">
        <f t="shared" si="8"/>
        <v>0.8309178744</v>
      </c>
    </row>
    <row r="27">
      <c r="A27" s="10"/>
      <c r="B27" s="5" t="s">
        <v>14</v>
      </c>
      <c r="C27" s="6">
        <f>478+427</f>
        <v>905</v>
      </c>
      <c r="D27" s="9">
        <f t="shared" si="7"/>
        <v>0.9977900552</v>
      </c>
      <c r="E27" s="6">
        <v>903.0</v>
      </c>
      <c r="F27" s="6">
        <f>74+67+74+62+60+74+62+57+10</f>
        <v>540</v>
      </c>
      <c r="G27" s="8">
        <f t="shared" si="8"/>
        <v>0.5980066445</v>
      </c>
    </row>
    <row r="29">
      <c r="A29" s="1">
        <v>43776.0</v>
      </c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6</v>
      </c>
    </row>
    <row r="30">
      <c r="A30" s="4"/>
      <c r="B30" s="5" t="s">
        <v>8</v>
      </c>
      <c r="C30" s="6">
        <v>30.0</v>
      </c>
      <c r="D30" s="7">
        <f t="shared" ref="D30:D34" si="9">E30/C30</f>
        <v>1</v>
      </c>
      <c r="E30" s="6">
        <v>30.0</v>
      </c>
      <c r="F30" s="6">
        <v>25.0</v>
      </c>
      <c r="G30" s="8">
        <f t="shared" ref="G30:G34" si="10">F30/E30</f>
        <v>0.8333333333</v>
      </c>
    </row>
    <row r="31">
      <c r="A31" s="4"/>
      <c r="B31" s="5" t="s">
        <v>9</v>
      </c>
      <c r="C31" s="6">
        <v>383.0</v>
      </c>
      <c r="D31" s="7">
        <f t="shared" si="9"/>
        <v>1</v>
      </c>
      <c r="E31" s="6">
        <v>383.0</v>
      </c>
      <c r="F31" s="6">
        <f>89+88+79+65</f>
        <v>321</v>
      </c>
      <c r="G31" s="8">
        <f t="shared" si="10"/>
        <v>0.8381201044</v>
      </c>
    </row>
    <row r="32">
      <c r="A32" s="4"/>
      <c r="B32" s="5" t="s">
        <v>12</v>
      </c>
      <c r="C32" s="6">
        <f>296+271</f>
        <v>567</v>
      </c>
      <c r="D32" s="9">
        <f t="shared" si="9"/>
        <v>1</v>
      </c>
      <c r="E32" s="6">
        <f>296+271</f>
        <v>567</v>
      </c>
      <c r="F32" s="6">
        <v>460.0</v>
      </c>
      <c r="G32" s="8">
        <f t="shared" si="10"/>
        <v>0.811287478</v>
      </c>
    </row>
    <row r="33">
      <c r="A33" s="4"/>
      <c r="B33" s="5" t="s">
        <v>13</v>
      </c>
      <c r="C33" s="6">
        <v>368.0</v>
      </c>
      <c r="D33" s="9">
        <f t="shared" si="9"/>
        <v>1</v>
      </c>
      <c r="E33" s="6">
        <v>368.0</v>
      </c>
      <c r="F33" s="6">
        <v>294.0</v>
      </c>
      <c r="G33" s="8">
        <f t="shared" si="10"/>
        <v>0.7989130435</v>
      </c>
    </row>
    <row r="34">
      <c r="A34" s="10"/>
      <c r="B34" s="5" t="s">
        <v>14</v>
      </c>
      <c r="C34" s="6">
        <f>551+383</f>
        <v>934</v>
      </c>
      <c r="D34" s="9">
        <f t="shared" si="9"/>
        <v>1</v>
      </c>
      <c r="E34" s="6">
        <f>551+383</f>
        <v>934</v>
      </c>
      <c r="F34" s="6">
        <v>638.0</v>
      </c>
      <c r="G34" s="8">
        <f t="shared" si="10"/>
        <v>0.6830835118</v>
      </c>
    </row>
    <row r="36">
      <c r="A36" s="1">
        <v>43777.0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6</v>
      </c>
    </row>
    <row r="37">
      <c r="A37" s="4"/>
      <c r="B37" s="5" t="s">
        <v>8</v>
      </c>
      <c r="C37" s="12">
        <v>38.0</v>
      </c>
      <c r="D37" s="7">
        <f t="shared" ref="D37:D41" si="11">E37/C37</f>
        <v>1</v>
      </c>
      <c r="E37" s="6">
        <v>38.0</v>
      </c>
      <c r="F37" s="6">
        <v>37.0</v>
      </c>
      <c r="G37" s="8">
        <f t="shared" ref="G37:G41" si="12">F37/E37</f>
        <v>0.9736842105</v>
      </c>
    </row>
    <row r="38">
      <c r="A38" s="4"/>
      <c r="B38" s="5" t="s">
        <v>9</v>
      </c>
      <c r="C38" s="6">
        <v>255.0</v>
      </c>
      <c r="D38" s="7">
        <f t="shared" si="11"/>
        <v>0.9960784314</v>
      </c>
      <c r="E38" s="6">
        <v>254.0</v>
      </c>
      <c r="F38" s="6">
        <v>201.0</v>
      </c>
      <c r="G38" s="8">
        <f t="shared" si="12"/>
        <v>0.7913385827</v>
      </c>
    </row>
    <row r="39">
      <c r="A39" s="4"/>
      <c r="B39" s="5" t="s">
        <v>12</v>
      </c>
      <c r="C39" s="6">
        <f>464+389</f>
        <v>853</v>
      </c>
      <c r="D39" s="9">
        <f t="shared" si="11"/>
        <v>0.9988276671</v>
      </c>
      <c r="E39" s="6">
        <v>852.0</v>
      </c>
      <c r="F39" s="6">
        <v>676.0</v>
      </c>
      <c r="G39" s="8">
        <f t="shared" si="12"/>
        <v>0.79342723</v>
      </c>
    </row>
    <row r="40">
      <c r="A40" s="4"/>
      <c r="B40" s="5" t="s">
        <v>13</v>
      </c>
      <c r="C40" s="6">
        <v>361.0</v>
      </c>
      <c r="D40" s="9">
        <f t="shared" si="11"/>
        <v>0.9972299169</v>
      </c>
      <c r="E40" s="6">
        <v>360.0</v>
      </c>
      <c r="F40" s="6">
        <v>289.0</v>
      </c>
      <c r="G40" s="8">
        <f t="shared" si="12"/>
        <v>0.8027777778</v>
      </c>
    </row>
    <row r="41">
      <c r="A41" s="10"/>
      <c r="B41" s="5" t="s">
        <v>14</v>
      </c>
      <c r="C41" s="6">
        <f>329+407</f>
        <v>736</v>
      </c>
      <c r="D41" s="9">
        <f t="shared" si="11"/>
        <v>1</v>
      </c>
      <c r="E41" s="6">
        <f>329+407</f>
        <v>736</v>
      </c>
      <c r="F41" s="6">
        <v>522.0</v>
      </c>
      <c r="G41" s="8">
        <f t="shared" si="12"/>
        <v>0.7092391304</v>
      </c>
    </row>
    <row r="44">
      <c r="A44" s="19" t="s">
        <v>37</v>
      </c>
      <c r="B44" s="20" t="s">
        <v>38</v>
      </c>
      <c r="C44" s="20" t="s">
        <v>39</v>
      </c>
      <c r="D44" s="20" t="s">
        <v>40</v>
      </c>
      <c r="E44" s="20" t="s">
        <v>41</v>
      </c>
      <c r="F44" s="20" t="s">
        <v>42</v>
      </c>
      <c r="G44" s="21" t="s">
        <v>43</v>
      </c>
    </row>
    <row r="45">
      <c r="A45" s="22">
        <v>43771.0</v>
      </c>
      <c r="B45" s="6">
        <v>28.0</v>
      </c>
      <c r="C45" s="6">
        <v>197.0</v>
      </c>
      <c r="D45" s="6">
        <v>553.0</v>
      </c>
      <c r="E45" s="6">
        <v>206.0</v>
      </c>
      <c r="F45" s="6">
        <v>503.0</v>
      </c>
      <c r="G45" s="23">
        <f t="shared" ref="G45:G50" si="13">SUM(B45:F45)</f>
        <v>1487</v>
      </c>
    </row>
    <row r="46">
      <c r="A46" s="22">
        <v>43773.0</v>
      </c>
      <c r="B46" s="12">
        <v>30.0</v>
      </c>
      <c r="C46" s="6">
        <v>257.0</v>
      </c>
      <c r="D46" s="6">
        <v>668.0</v>
      </c>
      <c r="E46" s="6">
        <v>231.0</v>
      </c>
      <c r="F46" s="6">
        <v>635.0</v>
      </c>
      <c r="G46" s="23">
        <f t="shared" si="13"/>
        <v>1821</v>
      </c>
    </row>
    <row r="47">
      <c r="A47" s="22">
        <v>43774.0</v>
      </c>
      <c r="B47" s="6">
        <v>0.0</v>
      </c>
      <c r="C47" s="6">
        <v>129.0</v>
      </c>
      <c r="D47" s="6">
        <v>760.0</v>
      </c>
      <c r="E47" s="6">
        <v>425.0</v>
      </c>
      <c r="F47" s="6">
        <v>275.0</v>
      </c>
      <c r="G47" s="23">
        <f t="shared" si="13"/>
        <v>1589</v>
      </c>
    </row>
    <row r="48">
      <c r="A48" s="22">
        <v>43775.0</v>
      </c>
      <c r="B48" s="6">
        <v>0.0</v>
      </c>
      <c r="C48" s="6">
        <v>253.0</v>
      </c>
      <c r="D48" s="6">
        <f>345+375</f>
        <v>720</v>
      </c>
      <c r="E48" s="6">
        <v>207.0</v>
      </c>
      <c r="F48" s="6">
        <f>478+427</f>
        <v>905</v>
      </c>
      <c r="G48" s="23">
        <f t="shared" si="13"/>
        <v>2085</v>
      </c>
    </row>
    <row r="49">
      <c r="A49" s="22">
        <v>43776.0</v>
      </c>
      <c r="B49" s="6">
        <v>30.0</v>
      </c>
      <c r="C49" s="6">
        <v>383.0</v>
      </c>
      <c r="D49" s="6">
        <f>296+271</f>
        <v>567</v>
      </c>
      <c r="E49" s="6">
        <v>368.0</v>
      </c>
      <c r="F49" s="6">
        <f>551+383</f>
        <v>934</v>
      </c>
      <c r="G49" s="23">
        <f t="shared" si="13"/>
        <v>2282</v>
      </c>
    </row>
    <row r="50">
      <c r="A50" s="22">
        <v>43777.0</v>
      </c>
      <c r="B50" s="12">
        <v>38.0</v>
      </c>
      <c r="C50" s="6">
        <v>255.0</v>
      </c>
      <c r="D50" s="6">
        <f>464+389</f>
        <v>853</v>
      </c>
      <c r="E50" s="6">
        <v>361.0</v>
      </c>
      <c r="F50" s="6">
        <f>329+407</f>
        <v>736</v>
      </c>
      <c r="G50" s="23">
        <f t="shared" si="13"/>
        <v>2243</v>
      </c>
    </row>
    <row r="51">
      <c r="A51" s="24" t="s">
        <v>45</v>
      </c>
      <c r="B51" s="25">
        <f t="shared" ref="B51:G51" si="14">SUM(B45:B50)</f>
        <v>126</v>
      </c>
      <c r="C51" s="25">
        <f t="shared" si="14"/>
        <v>1474</v>
      </c>
      <c r="D51" s="25">
        <f t="shared" si="14"/>
        <v>4121</v>
      </c>
      <c r="E51" s="25">
        <f t="shared" si="14"/>
        <v>1798</v>
      </c>
      <c r="F51" s="25">
        <f t="shared" si="14"/>
        <v>3988</v>
      </c>
      <c r="G51" s="25">
        <f t="shared" si="14"/>
        <v>11507</v>
      </c>
    </row>
    <row r="53">
      <c r="A53" s="26"/>
      <c r="B53" s="2" t="s">
        <v>47</v>
      </c>
      <c r="C53" s="2" t="s">
        <v>48</v>
      </c>
      <c r="D53" s="2" t="s">
        <v>49</v>
      </c>
      <c r="E53" s="2" t="s">
        <v>50</v>
      </c>
      <c r="F53" s="2" t="s">
        <v>52</v>
      </c>
    </row>
    <row r="54">
      <c r="A54" s="24" t="s">
        <v>53</v>
      </c>
      <c r="B54" s="25">
        <f t="shared" ref="B54:F54" si="15">B51</f>
        <v>126</v>
      </c>
      <c r="C54" s="25">
        <f t="shared" si="15"/>
        <v>1474</v>
      </c>
      <c r="D54" s="25">
        <f t="shared" si="15"/>
        <v>4121</v>
      </c>
      <c r="E54" s="25">
        <f t="shared" si="15"/>
        <v>1798</v>
      </c>
      <c r="F54" s="25">
        <f t="shared" si="15"/>
        <v>3988</v>
      </c>
    </row>
    <row r="55">
      <c r="A55" s="24" t="s">
        <v>2</v>
      </c>
      <c r="B55" s="27">
        <v>1.0</v>
      </c>
      <c r="C55" s="27">
        <v>1.0</v>
      </c>
      <c r="D55" s="28" t="s">
        <v>54</v>
      </c>
      <c r="E55" s="28" t="s">
        <v>54</v>
      </c>
      <c r="F55" s="28" t="s">
        <v>55</v>
      </c>
    </row>
    <row r="56">
      <c r="A56" s="24" t="s">
        <v>6</v>
      </c>
      <c r="B56" s="28" t="s">
        <v>56</v>
      </c>
      <c r="C56" s="28" t="s">
        <v>57</v>
      </c>
      <c r="D56" s="28" t="s">
        <v>58</v>
      </c>
      <c r="E56" s="28" t="s">
        <v>59</v>
      </c>
      <c r="F56" s="28" t="s">
        <v>60</v>
      </c>
    </row>
  </sheetData>
  <mergeCells count="6">
    <mergeCell ref="A1:A6"/>
    <mergeCell ref="A8:A13"/>
    <mergeCell ref="A15:A20"/>
    <mergeCell ref="A22:A27"/>
    <mergeCell ref="A29:A34"/>
    <mergeCell ref="A36:A41"/>
  </mergeCells>
  <hyperlinks>
    <hyperlink r:id="rId1" ref="H9"/>
    <hyperlink r:id="rId2" ref="H10"/>
    <hyperlink r:id="rId3" ref="H11"/>
    <hyperlink r:id="rId4" ref="H12"/>
    <hyperlink r:id="rId5" ref="H13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5.29"/>
    <col customWidth="1" min="3" max="3" width="18.43"/>
    <col customWidth="1" min="4" max="4" width="20.14"/>
    <col customWidth="1" min="5" max="5" width="19.14"/>
    <col customWidth="1" min="6" max="6" width="19.86"/>
    <col customWidth="1" min="20" max="20" width="15.86"/>
  </cols>
  <sheetData>
    <row r="1">
      <c r="A1" s="3" t="s">
        <v>62</v>
      </c>
      <c r="M1" s="3"/>
    </row>
    <row r="2">
      <c r="A2" s="13" t="s">
        <v>63</v>
      </c>
      <c r="B2" s="13">
        <v>23.0</v>
      </c>
    </row>
    <row r="3">
      <c r="A3" s="13" t="s">
        <v>64</v>
      </c>
      <c r="B3" s="13" t="s">
        <v>65</v>
      </c>
    </row>
    <row r="4">
      <c r="A4" s="13" t="s">
        <v>66</v>
      </c>
      <c r="B4" s="13">
        <v>1.0</v>
      </c>
    </row>
    <row r="5">
      <c r="A5" s="13" t="s">
        <v>67</v>
      </c>
      <c r="B5" s="13">
        <v>9.0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31">
        <v>188.0</v>
      </c>
      <c r="C8" s="7">
        <f t="shared" ref="C8:C10" si="1">(G8+I8+K8)/B8</f>
        <v>0.5585106383</v>
      </c>
      <c r="D8" s="32" t="s">
        <v>70</v>
      </c>
      <c r="E8" s="32">
        <f t="shared" ref="E8:E12" si="2">sum(G8:N8)</f>
        <v>170</v>
      </c>
      <c r="F8" s="8">
        <f t="shared" ref="F8:F12" si="3">E8/D8</f>
        <v>0.9189189189</v>
      </c>
      <c r="G8" s="13">
        <v>105.0</v>
      </c>
      <c r="H8" s="13">
        <v>65.0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28">
        <v>1323.0</v>
      </c>
      <c r="C9" s="7">
        <f t="shared" si="1"/>
        <v>0.3779289494</v>
      </c>
      <c r="D9" s="32" t="s">
        <v>72</v>
      </c>
      <c r="E9" s="32">
        <f t="shared" si="2"/>
        <v>777</v>
      </c>
      <c r="F9" s="8">
        <f t="shared" si="3"/>
        <v>0.6573604061</v>
      </c>
      <c r="G9" s="13">
        <v>137.0</v>
      </c>
      <c r="H9" s="13">
        <v>139.0</v>
      </c>
      <c r="I9" s="13">
        <v>200.0</v>
      </c>
      <c r="J9" s="13">
        <v>138.0</v>
      </c>
      <c r="K9" s="13">
        <v>163.0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28">
        <v>985.0</v>
      </c>
      <c r="C10" s="7">
        <f t="shared" si="1"/>
        <v>0.5390862944</v>
      </c>
      <c r="D10" s="32" t="s">
        <v>73</v>
      </c>
      <c r="E10" s="32">
        <f t="shared" si="2"/>
        <v>914</v>
      </c>
      <c r="F10" s="8">
        <f t="shared" si="3"/>
        <v>0.9631190727</v>
      </c>
      <c r="G10" s="13">
        <v>169.0</v>
      </c>
      <c r="H10" s="13">
        <v>164.0</v>
      </c>
      <c r="I10" s="13">
        <v>210.0</v>
      </c>
      <c r="J10" s="13">
        <v>219.0</v>
      </c>
      <c r="K10" s="13">
        <v>152.0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28">
        <v>2033.0</v>
      </c>
      <c r="C11" s="7">
        <f t="shared" ref="C11:C12" si="4">(G11+I11+K11+M11)/B11</f>
        <v>0.389572061</v>
      </c>
      <c r="D11" s="32" t="s">
        <v>74</v>
      </c>
      <c r="E11" s="32">
        <f t="shared" si="2"/>
        <v>1813</v>
      </c>
      <c r="F11" s="8">
        <f t="shared" si="3"/>
        <v>0.9115133233</v>
      </c>
      <c r="G11" s="13">
        <v>184.0</v>
      </c>
      <c r="H11" s="13">
        <v>269.0</v>
      </c>
      <c r="I11" s="13">
        <v>172.0</v>
      </c>
      <c r="J11" s="13">
        <v>285.0</v>
      </c>
      <c r="K11" s="13">
        <v>255.0</v>
      </c>
      <c r="L11" s="13">
        <v>158.0</v>
      </c>
      <c r="M11" s="5">
        <v>181.0</v>
      </c>
      <c r="N11" s="5">
        <v>309.0</v>
      </c>
      <c r="O11" s="5">
        <v>68.0</v>
      </c>
      <c r="P11" s="33"/>
      <c r="Q11" s="7"/>
      <c r="R11" s="32"/>
      <c r="S11" s="32"/>
      <c r="T11" s="8"/>
      <c r="V11" s="32"/>
    </row>
    <row r="12">
      <c r="A12" s="5" t="s">
        <v>14</v>
      </c>
      <c r="B12" s="28">
        <v>631.0</v>
      </c>
      <c r="C12" s="7">
        <f t="shared" si="4"/>
        <v>0.3280507132</v>
      </c>
      <c r="D12" s="32" t="s">
        <v>77</v>
      </c>
      <c r="E12" s="32">
        <f t="shared" si="2"/>
        <v>464</v>
      </c>
      <c r="F12" s="8">
        <f t="shared" si="3"/>
        <v>0.7682119205</v>
      </c>
      <c r="G12" s="13">
        <v>207.0</v>
      </c>
      <c r="H12" s="13">
        <v>257.0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B13" s="34">
        <f>sum(B8:B12)</f>
        <v>5160</v>
      </c>
      <c r="M13" s="3"/>
    </row>
    <row r="14">
      <c r="A14" s="3" t="s">
        <v>79</v>
      </c>
      <c r="M1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2" max="22" width="15.86"/>
  </cols>
  <sheetData>
    <row r="1">
      <c r="A1" s="3" t="s">
        <v>62</v>
      </c>
      <c r="O1" s="3"/>
    </row>
    <row r="2">
      <c r="A2" s="13" t="s">
        <v>63</v>
      </c>
    </row>
    <row r="3">
      <c r="A3" s="13" t="s">
        <v>64</v>
      </c>
    </row>
    <row r="4">
      <c r="A4" s="13" t="s">
        <v>66</v>
      </c>
    </row>
    <row r="5">
      <c r="A5" s="13" t="s">
        <v>67</v>
      </c>
    </row>
    <row r="6">
      <c r="A6" s="3" t="s">
        <v>68</v>
      </c>
      <c r="O6" s="3"/>
    </row>
    <row r="7">
      <c r="A7" s="29" t="s">
        <v>0</v>
      </c>
      <c r="B7" s="29" t="s">
        <v>1</v>
      </c>
      <c r="C7" s="30" t="s">
        <v>82</v>
      </c>
      <c r="D7" s="30" t="s">
        <v>83</v>
      </c>
      <c r="E7" s="29" t="s">
        <v>2</v>
      </c>
      <c r="F7" s="29" t="s">
        <v>3</v>
      </c>
      <c r="G7" s="29" t="s">
        <v>4</v>
      </c>
      <c r="H7" s="29" t="s">
        <v>6</v>
      </c>
      <c r="O7" s="29"/>
      <c r="P7" s="29"/>
      <c r="Q7" s="30"/>
      <c r="R7" s="30"/>
      <c r="S7" s="29"/>
      <c r="T7" s="29"/>
      <c r="U7" s="29"/>
      <c r="V7" s="29"/>
    </row>
    <row r="8">
      <c r="A8" s="5" t="s">
        <v>8</v>
      </c>
      <c r="B8" s="35" t="str">
        <f>COUNTA(C6:BD1001)</f>
        <v>#REF!</v>
      </c>
      <c r="C8" s="33" t="str">
        <f t="shared" ref="C8:C13" si="1">B8-'12.8'!B8</f>
        <v>#REF!</v>
      </c>
      <c r="D8" s="33" t="str">
        <f t="shared" ref="D8:D13" si="2">B8-'6.8'!B8</f>
        <v>#REF!</v>
      </c>
      <c r="E8" s="7" t="str">
        <f t="shared" ref="E8:E10" si="3">(I8+K8+M8)/B8</f>
        <v>#REF!</v>
      </c>
      <c r="F8" s="32" t="str">
        <f t="shared" ref="F8:F13" si="4">E8*B8</f>
        <v>#REF!</v>
      </c>
      <c r="G8" s="32" t="str">
        <f t="shared" ref="G8:G13" si="5">H8*B8</f>
        <v>#REF!</v>
      </c>
      <c r="H8" s="8" t="str">
        <f t="shared" ref="H8:H10" si="6">(J8+L8+N8)/B8</f>
        <v>#REF!</v>
      </c>
      <c r="O8" s="5"/>
      <c r="P8" s="5"/>
      <c r="Q8" s="33"/>
      <c r="R8" s="33"/>
      <c r="S8" s="7"/>
      <c r="T8" s="5"/>
      <c r="U8" s="5"/>
      <c r="V8" s="8"/>
      <c r="X8" s="5"/>
    </row>
    <row r="9">
      <c r="A9" s="5" t="s">
        <v>9</v>
      </c>
      <c r="B9" s="5"/>
      <c r="C9" s="33" t="str">
        <f t="shared" si="1"/>
        <v>#REF!</v>
      </c>
      <c r="D9" s="33" t="str">
        <f t="shared" si="2"/>
        <v>#REF!</v>
      </c>
      <c r="E9" s="7" t="str">
        <f t="shared" si="3"/>
        <v>#DIV/0!</v>
      </c>
      <c r="F9" s="32" t="str">
        <f t="shared" si="4"/>
        <v>#DIV/0!</v>
      </c>
      <c r="G9" s="32" t="str">
        <f t="shared" si="5"/>
        <v>#DIV/0!</v>
      </c>
      <c r="H9" s="8" t="str">
        <f t="shared" si="6"/>
        <v>#DIV/0!</v>
      </c>
      <c r="O9" s="5"/>
      <c r="P9" s="5"/>
      <c r="Q9" s="33"/>
      <c r="R9" s="33"/>
      <c r="S9" s="7"/>
      <c r="T9" s="32"/>
      <c r="U9" s="5"/>
      <c r="V9" s="8"/>
      <c r="X9" s="5"/>
    </row>
    <row r="10">
      <c r="A10" s="5" t="s">
        <v>12</v>
      </c>
      <c r="B10" s="5"/>
      <c r="C10" s="33" t="str">
        <f t="shared" si="1"/>
        <v>#REF!</v>
      </c>
      <c r="D10" s="33" t="str">
        <f t="shared" si="2"/>
        <v>#REF!</v>
      </c>
      <c r="E10" s="7" t="str">
        <f t="shared" si="3"/>
        <v>#DIV/0!</v>
      </c>
      <c r="F10" s="32" t="str">
        <f t="shared" si="4"/>
        <v>#DIV/0!</v>
      </c>
      <c r="G10" s="32" t="str">
        <f t="shared" si="5"/>
        <v>#DIV/0!</v>
      </c>
      <c r="H10" s="8" t="str">
        <f t="shared" si="6"/>
        <v>#DIV/0!</v>
      </c>
      <c r="O10" s="5"/>
      <c r="P10" s="5"/>
      <c r="Q10" s="33"/>
      <c r="R10" s="33"/>
      <c r="S10" s="7"/>
      <c r="T10" s="32"/>
      <c r="U10" s="5"/>
      <c r="V10" s="8"/>
      <c r="X10" s="5"/>
    </row>
    <row r="11">
      <c r="A11" s="5" t="s">
        <v>13</v>
      </c>
      <c r="B11" s="5"/>
      <c r="C11" s="33" t="str">
        <f t="shared" si="1"/>
        <v>#REF!</v>
      </c>
      <c r="D11" s="33" t="str">
        <f t="shared" si="2"/>
        <v>#REF!</v>
      </c>
      <c r="E11" s="7" t="str">
        <f t="shared" ref="E11:E13" si="7">(I11+K11+M11+O11)/B11</f>
        <v>#DIV/0!</v>
      </c>
      <c r="F11" s="32" t="str">
        <f t="shared" si="4"/>
        <v>#DIV/0!</v>
      </c>
      <c r="G11" s="32" t="str">
        <f t="shared" si="5"/>
        <v>#DIV/0!</v>
      </c>
      <c r="H11" s="8" t="str">
        <f t="shared" ref="H11:H13" si="8">(J11+L11+N11+P11)/B11</f>
        <v>#DIV/0!</v>
      </c>
      <c r="O11" s="5"/>
      <c r="P11" s="5"/>
      <c r="Q11" s="33"/>
      <c r="R11" s="33"/>
      <c r="S11" s="7"/>
      <c r="T11" s="32"/>
      <c r="U11" s="32"/>
      <c r="V11" s="8"/>
      <c r="X11" s="32"/>
    </row>
    <row r="12">
      <c r="A12" s="5" t="s">
        <v>14</v>
      </c>
      <c r="B12" s="5"/>
      <c r="C12" s="33" t="str">
        <f t="shared" si="1"/>
        <v>#REF!</v>
      </c>
      <c r="D12" s="33" t="str">
        <f t="shared" si="2"/>
        <v>#REF!</v>
      </c>
      <c r="E12" s="7" t="str">
        <f t="shared" si="7"/>
        <v>#DIV/0!</v>
      </c>
      <c r="F12" s="32" t="str">
        <f t="shared" si="4"/>
        <v>#DIV/0!</v>
      </c>
      <c r="G12" s="32" t="str">
        <f t="shared" si="5"/>
        <v>#DIV/0!</v>
      </c>
      <c r="H12" s="8" t="str">
        <f t="shared" si="8"/>
        <v>#DIV/0!</v>
      </c>
      <c r="O12" s="5"/>
      <c r="P12" s="5"/>
      <c r="Q12" s="33"/>
      <c r="R12" s="33"/>
      <c r="S12" s="7"/>
      <c r="T12" s="32"/>
      <c r="U12" s="32"/>
      <c r="V12" s="8"/>
      <c r="X12" s="32"/>
    </row>
    <row r="13">
      <c r="A13" s="5" t="s">
        <v>87</v>
      </c>
      <c r="B13" s="5"/>
      <c r="C13" s="33" t="str">
        <f t="shared" si="1"/>
        <v>#REF!</v>
      </c>
      <c r="D13" s="33" t="str">
        <f t="shared" si="2"/>
        <v>#REF!</v>
      </c>
      <c r="E13" s="7" t="str">
        <f t="shared" si="7"/>
        <v>#DIV/0!</v>
      </c>
      <c r="F13" s="32" t="str">
        <f t="shared" si="4"/>
        <v>#DIV/0!</v>
      </c>
      <c r="G13" s="32" t="str">
        <f t="shared" si="5"/>
        <v>#DIV/0!</v>
      </c>
      <c r="H13" s="8" t="str">
        <f t="shared" si="8"/>
        <v>#DIV/0!</v>
      </c>
      <c r="O13" s="5"/>
      <c r="P13" s="5"/>
      <c r="Q13" s="33"/>
      <c r="R13" s="33"/>
      <c r="S13" s="7"/>
      <c r="T13" s="32"/>
      <c r="U13" s="32"/>
      <c r="V13" s="8"/>
      <c r="X13" s="32"/>
    </row>
    <row r="14">
      <c r="A14" s="3" t="s">
        <v>78</v>
      </c>
      <c r="O14" s="3"/>
    </row>
    <row r="15">
      <c r="A15" s="3" t="s">
        <v>79</v>
      </c>
      <c r="O15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4" max="4" width="16.29"/>
    <col customWidth="1" min="5" max="5" width="19.57"/>
    <col customWidth="1" min="20" max="20" width="15.86"/>
  </cols>
  <sheetData>
    <row r="1">
      <c r="A1" s="3" t="s">
        <v>62</v>
      </c>
      <c r="M1" s="3"/>
    </row>
    <row r="2">
      <c r="A2" s="13" t="s">
        <v>63</v>
      </c>
      <c r="B2" s="13">
        <v>23.0</v>
      </c>
    </row>
    <row r="3">
      <c r="A3" s="13" t="s">
        <v>64</v>
      </c>
      <c r="B3" s="13">
        <v>40.0</v>
      </c>
    </row>
    <row r="4">
      <c r="A4" s="13" t="s">
        <v>66</v>
      </c>
      <c r="B4" s="13">
        <v>0.0</v>
      </c>
    </row>
    <row r="5">
      <c r="A5" s="13" t="s">
        <v>67</v>
      </c>
      <c r="B5" s="13">
        <v>9.0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31">
        <v>165.0</v>
      </c>
      <c r="C8" s="7">
        <f t="shared" ref="C8:C12" si="1">D8/B8</f>
        <v>0.9878787879</v>
      </c>
      <c r="D8" s="32" t="s">
        <v>85</v>
      </c>
      <c r="E8" s="32" t="s">
        <v>86</v>
      </c>
      <c r="F8" s="8">
        <f t="shared" ref="F8:F12" si="2">E8/D8</f>
        <v>0.8466257669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605.0</v>
      </c>
      <c r="C9" s="7">
        <f t="shared" si="1"/>
        <v>0.9785123967</v>
      </c>
      <c r="D9" s="32" t="s">
        <v>88</v>
      </c>
      <c r="E9" s="32" t="s">
        <v>89</v>
      </c>
      <c r="F9" s="8">
        <f t="shared" si="2"/>
        <v>0.9087837838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581.0</v>
      </c>
      <c r="C10" s="7">
        <f t="shared" si="1"/>
        <v>0.925989673</v>
      </c>
      <c r="D10" s="32" t="s">
        <v>89</v>
      </c>
      <c r="E10" s="32" t="s">
        <v>91</v>
      </c>
      <c r="F10" s="8">
        <f t="shared" si="2"/>
        <v>0.7620817844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1297.0</v>
      </c>
      <c r="C11" s="7">
        <f t="shared" si="1"/>
        <v>0.9167309175</v>
      </c>
      <c r="D11" s="32" t="s">
        <v>92</v>
      </c>
      <c r="E11" s="32" t="s">
        <v>93</v>
      </c>
      <c r="F11" s="8">
        <f t="shared" si="2"/>
        <v>0.8704793944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37" t="s">
        <v>14</v>
      </c>
      <c r="B12" s="37">
        <v>1290.0</v>
      </c>
      <c r="C12" s="7">
        <f t="shared" si="1"/>
        <v>1</v>
      </c>
      <c r="D12" s="38" t="s">
        <v>94</v>
      </c>
      <c r="E12" s="38" t="s">
        <v>95</v>
      </c>
      <c r="F12" s="8">
        <f t="shared" si="2"/>
        <v>0.5937984496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5"/>
      <c r="B13" s="5"/>
      <c r="C13" s="5"/>
      <c r="D13" s="5"/>
      <c r="E13" s="5"/>
      <c r="F13" s="5"/>
      <c r="M13" s="5"/>
      <c r="N13" s="5"/>
      <c r="O13" s="33"/>
      <c r="P13" s="33"/>
      <c r="Q13" s="7"/>
      <c r="R13" s="32"/>
      <c r="S13" s="32"/>
      <c r="T13" s="8"/>
      <c r="V13" s="32"/>
    </row>
    <row r="14">
      <c r="A14" s="3" t="s">
        <v>78</v>
      </c>
      <c r="M14" s="3"/>
    </row>
    <row r="15">
      <c r="A15" s="3" t="s">
        <v>79</v>
      </c>
      <c r="B15" s="34">
        <f>sum(B8:B12)</f>
        <v>3938</v>
      </c>
      <c r="M15" s="3"/>
    </row>
    <row r="16">
      <c r="B16" s="13" t="s">
        <v>97</v>
      </c>
    </row>
    <row r="17">
      <c r="B17" s="13" t="s"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4" max="4" width="18.43"/>
    <col customWidth="1" min="20" max="20" width="15.86"/>
  </cols>
  <sheetData>
    <row r="1">
      <c r="A1" s="3" t="s">
        <v>62</v>
      </c>
      <c r="M1" s="3"/>
    </row>
    <row r="2">
      <c r="A2" s="13" t="s">
        <v>63</v>
      </c>
      <c r="B2" s="13">
        <v>23.0</v>
      </c>
    </row>
    <row r="3">
      <c r="A3" s="13" t="s">
        <v>64</v>
      </c>
      <c r="B3" s="13">
        <v>40.0</v>
      </c>
    </row>
    <row r="4">
      <c r="A4" s="13" t="s">
        <v>66</v>
      </c>
      <c r="B4" s="13">
        <v>0.0</v>
      </c>
    </row>
    <row r="5">
      <c r="A5" s="13" t="s">
        <v>67</v>
      </c>
      <c r="B5" s="13">
        <v>9.0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31">
        <v>108.0</v>
      </c>
      <c r="C8" s="7">
        <f t="shared" ref="C8:C12" si="1">D8/B8</f>
        <v>1.046296296</v>
      </c>
      <c r="D8" s="32" t="s">
        <v>96</v>
      </c>
      <c r="E8" s="32" t="s">
        <v>99</v>
      </c>
      <c r="F8" s="8">
        <f t="shared" ref="F8:F12" si="2">E8/D8</f>
        <v>0.9026548673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520.0</v>
      </c>
      <c r="C9" s="7">
        <f t="shared" si="1"/>
        <v>0.9865384615</v>
      </c>
      <c r="D9" s="32" t="s">
        <v>100</v>
      </c>
      <c r="E9" s="32" t="s">
        <v>101</v>
      </c>
      <c r="F9" s="8">
        <f t="shared" si="2"/>
        <v>0.8499025341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632.0</v>
      </c>
      <c r="C10" s="7">
        <f t="shared" si="1"/>
        <v>0.8734177215</v>
      </c>
      <c r="D10" s="32" t="s">
        <v>102</v>
      </c>
      <c r="E10" s="32" t="s">
        <v>103</v>
      </c>
      <c r="F10" s="8">
        <f t="shared" si="2"/>
        <v>0.9076086957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1707.0</v>
      </c>
      <c r="C11" s="7">
        <f t="shared" si="1"/>
        <v>0.9871118922</v>
      </c>
      <c r="D11" s="32" t="s">
        <v>104</v>
      </c>
      <c r="E11" s="32" t="s">
        <v>105</v>
      </c>
      <c r="F11" s="8">
        <f t="shared" si="2"/>
        <v>0.7121661721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925.0</v>
      </c>
      <c r="C12" s="7">
        <f t="shared" si="1"/>
        <v>0.9145945946</v>
      </c>
      <c r="D12" s="32" t="s">
        <v>107</v>
      </c>
      <c r="E12" s="32" t="s">
        <v>108</v>
      </c>
      <c r="F12" s="8">
        <f t="shared" si="2"/>
        <v>0.5472813239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B13" s="34">
        <f>sum(B8:B12)</f>
        <v>3892</v>
      </c>
      <c r="M13" s="3"/>
    </row>
    <row r="14">
      <c r="A14" s="3" t="s">
        <v>79</v>
      </c>
      <c r="M14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4" max="4" width="18.57"/>
    <col customWidth="1" min="5" max="5" width="19.14"/>
    <col customWidth="1" min="20" max="20" width="15.86"/>
  </cols>
  <sheetData>
    <row r="1">
      <c r="A1" s="3" t="s">
        <v>62</v>
      </c>
      <c r="M1" s="3"/>
    </row>
    <row r="2">
      <c r="A2" s="13" t="s">
        <v>63</v>
      </c>
      <c r="B2" s="13">
        <v>22.0</v>
      </c>
    </row>
    <row r="3">
      <c r="A3" s="13" t="s">
        <v>64</v>
      </c>
      <c r="B3" s="13">
        <v>40.0</v>
      </c>
    </row>
    <row r="4">
      <c r="A4" s="13" t="s">
        <v>66</v>
      </c>
      <c r="B4" s="13">
        <v>0.0</v>
      </c>
    </row>
    <row r="5">
      <c r="A5" s="13" t="s">
        <v>67</v>
      </c>
      <c r="B5" s="13">
        <v>9.0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477.0</v>
      </c>
      <c r="C8" s="7">
        <f t="shared" ref="C8:C12" si="1">D8/B8</f>
        <v>0.893081761</v>
      </c>
      <c r="D8" s="32" t="s">
        <v>109</v>
      </c>
      <c r="E8" s="32" t="s">
        <v>110</v>
      </c>
      <c r="F8" s="8">
        <f t="shared" ref="F8:F12" si="2">E8/D8</f>
        <v>0.9342723005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508.0</v>
      </c>
      <c r="C9" s="7">
        <f t="shared" si="1"/>
        <v>0.9724409449</v>
      </c>
      <c r="D9" s="32" t="s">
        <v>111</v>
      </c>
      <c r="E9" s="32" t="s">
        <v>112</v>
      </c>
      <c r="F9" s="8">
        <f t="shared" si="2"/>
        <v>0.8785425101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674.0</v>
      </c>
      <c r="C10" s="7">
        <f t="shared" si="1"/>
        <v>0.9272997033</v>
      </c>
      <c r="D10" s="32" t="s">
        <v>113</v>
      </c>
      <c r="E10" s="32" t="s">
        <v>114</v>
      </c>
      <c r="F10" s="8">
        <f t="shared" si="2"/>
        <v>0.84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1589.0</v>
      </c>
      <c r="C11" s="7">
        <f t="shared" si="1"/>
        <v>0.9779735683</v>
      </c>
      <c r="D11" s="32" t="s">
        <v>115</v>
      </c>
      <c r="E11" s="32" t="s">
        <v>116</v>
      </c>
      <c r="F11" s="8">
        <f t="shared" si="2"/>
        <v>0.8294723295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693.0</v>
      </c>
      <c r="C12" s="7">
        <f t="shared" si="1"/>
        <v>0.9509379509</v>
      </c>
      <c r="D12" s="32" t="s">
        <v>118</v>
      </c>
      <c r="E12" s="32" t="s">
        <v>120</v>
      </c>
      <c r="F12" s="8">
        <f t="shared" si="2"/>
        <v>0.6661608498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4" max="4" width="17.29"/>
    <col customWidth="1" min="5" max="5" width="20.71"/>
    <col customWidth="1" min="20" max="20" width="15.86"/>
  </cols>
  <sheetData>
    <row r="1">
      <c r="A1" s="3" t="s">
        <v>62</v>
      </c>
      <c r="M1" s="3"/>
    </row>
    <row r="2">
      <c r="A2" s="13" t="s">
        <v>63</v>
      </c>
      <c r="B2" s="13">
        <v>22.0</v>
      </c>
    </row>
    <row r="3">
      <c r="A3" s="13" t="s">
        <v>64</v>
      </c>
      <c r="B3" s="13">
        <v>40.0</v>
      </c>
    </row>
    <row r="4">
      <c r="A4" s="13" t="s">
        <v>66</v>
      </c>
      <c r="B4" s="13">
        <v>0.0</v>
      </c>
    </row>
    <row r="5">
      <c r="A5" s="13" t="s">
        <v>67</v>
      </c>
      <c r="B5" s="13">
        <v>9.0</v>
      </c>
    </row>
    <row r="6">
      <c r="A6" s="3" t="s">
        <v>68</v>
      </c>
      <c r="M6" s="3"/>
    </row>
    <row r="7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6</v>
      </c>
      <c r="M7" s="29"/>
      <c r="N7" s="29"/>
      <c r="O7" s="30"/>
      <c r="P7" s="30"/>
      <c r="Q7" s="29"/>
      <c r="R7" s="29"/>
      <c r="S7" s="29"/>
      <c r="T7" s="29"/>
    </row>
    <row r="8">
      <c r="A8" s="5" t="s">
        <v>8</v>
      </c>
      <c r="B8" s="15">
        <v>228.0</v>
      </c>
      <c r="C8" s="7">
        <f t="shared" ref="C8:C12" si="1">D8/B8</f>
        <v>0.9166666667</v>
      </c>
      <c r="D8" s="32" t="s">
        <v>117</v>
      </c>
      <c r="E8" s="32" t="s">
        <v>119</v>
      </c>
      <c r="F8" s="8">
        <f t="shared" ref="F8:F12" si="2">E8/D8</f>
        <v>0.8325358852</v>
      </c>
      <c r="M8" s="5"/>
      <c r="N8" s="5"/>
      <c r="O8" s="33"/>
      <c r="P8" s="33"/>
      <c r="Q8" s="7"/>
      <c r="R8" s="5"/>
      <c r="S8" s="5"/>
      <c r="T8" s="8"/>
      <c r="V8" s="5"/>
    </row>
    <row r="9">
      <c r="A9" s="5" t="s">
        <v>9</v>
      </c>
      <c r="B9" s="5">
        <v>564.0</v>
      </c>
      <c r="C9" s="7">
        <f t="shared" si="1"/>
        <v>0.9609929078</v>
      </c>
      <c r="D9" s="32" t="s">
        <v>122</v>
      </c>
      <c r="E9" s="32" t="s">
        <v>123</v>
      </c>
      <c r="F9" s="8">
        <f t="shared" si="2"/>
        <v>0.8726937269</v>
      </c>
      <c r="M9" s="5"/>
      <c r="N9" s="5"/>
      <c r="O9" s="33"/>
      <c r="P9" s="33"/>
      <c r="Q9" s="7"/>
      <c r="R9" s="32"/>
      <c r="S9" s="5"/>
      <c r="T9" s="8"/>
      <c r="V9" s="5"/>
    </row>
    <row r="10">
      <c r="A10" s="5" t="s">
        <v>12</v>
      </c>
      <c r="B10" s="5">
        <v>824.0</v>
      </c>
      <c r="C10" s="7">
        <f t="shared" si="1"/>
        <v>0.9733009709</v>
      </c>
      <c r="D10" s="32" t="s">
        <v>124</v>
      </c>
      <c r="E10" s="32" t="s">
        <v>125</v>
      </c>
      <c r="F10" s="8">
        <f t="shared" si="2"/>
        <v>0.6920199501</v>
      </c>
      <c r="M10" s="5"/>
      <c r="N10" s="5"/>
      <c r="O10" s="33"/>
      <c r="P10" s="33"/>
      <c r="Q10" s="7"/>
      <c r="R10" s="32"/>
      <c r="S10" s="5"/>
      <c r="T10" s="8"/>
      <c r="V10" s="5"/>
    </row>
    <row r="11">
      <c r="A11" s="5" t="s">
        <v>13</v>
      </c>
      <c r="B11" s="5">
        <v>943.0</v>
      </c>
      <c r="C11" s="7">
        <f t="shared" si="1"/>
        <v>0.9756097561</v>
      </c>
      <c r="D11" s="32" t="s">
        <v>126</v>
      </c>
      <c r="E11" s="32" t="s">
        <v>127</v>
      </c>
      <c r="F11" s="8">
        <f t="shared" si="2"/>
        <v>0.5826086957</v>
      </c>
      <c r="M11" s="5"/>
      <c r="N11" s="5"/>
      <c r="O11" s="33"/>
      <c r="P11" s="33"/>
      <c r="Q11" s="7"/>
      <c r="R11" s="32"/>
      <c r="S11" s="32"/>
      <c r="T11" s="8"/>
      <c r="V11" s="32"/>
    </row>
    <row r="12">
      <c r="A12" s="5" t="s">
        <v>14</v>
      </c>
      <c r="B12" s="5">
        <v>970.0</v>
      </c>
      <c r="C12" s="7">
        <f t="shared" si="1"/>
        <v>0.9762886598</v>
      </c>
      <c r="D12" s="32" t="s">
        <v>128</v>
      </c>
      <c r="E12" s="32" t="s">
        <v>129</v>
      </c>
      <c r="F12" s="8">
        <f t="shared" si="2"/>
        <v>0.4487856389</v>
      </c>
      <c r="M12" s="5"/>
      <c r="N12" s="5"/>
      <c r="O12" s="33"/>
      <c r="P12" s="33"/>
      <c r="Q12" s="7"/>
      <c r="R12" s="32"/>
      <c r="S12" s="32"/>
      <c r="T12" s="8"/>
      <c r="V12" s="32"/>
    </row>
    <row r="13">
      <c r="A13" s="3" t="s">
        <v>78</v>
      </c>
      <c r="M13" s="3"/>
    </row>
    <row r="14">
      <c r="A14" s="3" t="s">
        <v>79</v>
      </c>
      <c r="M14" s="3"/>
    </row>
  </sheetData>
  <drawing r:id="rId1"/>
</worksheet>
</file>