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M\Documents\Vu Quang Nguyen\VACP\Python NCC Min\Analysing Qty 4 Months\"/>
    </mc:Choice>
  </mc:AlternateContent>
  <bookViews>
    <workbookView xWindow="0" yWindow="0" windowWidth="20490" windowHeight="7230"/>
  </bookViews>
  <sheets>
    <sheet name="Tổng hợp" sheetId="1" r:id="rId1"/>
  </sheets>
  <definedNames>
    <definedName name="_xlnm._FilterDatabase" localSheetId="0" hidden="1">'Tổng hợp'!$A$1:$AD$52</definedName>
  </definedNames>
  <calcPr calcId="162913"/>
</workbook>
</file>

<file path=xl/calcChain.xml><?xml version="1.0" encoding="utf-8"?>
<calcChain xmlns="http://schemas.openxmlformats.org/spreadsheetml/2006/main">
  <c r="Z3" i="1" l="1"/>
  <c r="Z34" i="1"/>
  <c r="Z16" i="1"/>
  <c r="Z28" i="1"/>
  <c r="Z30" i="1"/>
  <c r="Z47" i="1"/>
  <c r="Z25" i="1"/>
  <c r="Z43" i="1"/>
  <c r="Z33" i="1"/>
  <c r="Z41" i="1"/>
  <c r="Z20" i="1"/>
  <c r="Z39" i="1"/>
  <c r="Z22" i="1"/>
  <c r="Z35" i="1"/>
  <c r="Z4" i="1"/>
  <c r="Y3" i="1"/>
  <c r="Y51" i="1"/>
  <c r="Z51" i="1" s="1"/>
  <c r="Y34" i="1"/>
  <c r="Y48" i="1"/>
  <c r="Z48" i="1" s="1"/>
  <c r="AE48" i="1" s="1"/>
  <c r="Y16" i="1"/>
  <c r="Y21" i="1"/>
  <c r="Z21" i="1" s="1"/>
  <c r="Y28" i="1"/>
  <c r="Y15" i="1"/>
  <c r="Z15" i="1" s="1"/>
  <c r="Y30" i="1"/>
  <c r="Y23" i="1"/>
  <c r="Z23" i="1" s="1"/>
  <c r="Y47" i="1"/>
  <c r="Y18" i="1"/>
  <c r="Z18" i="1" s="1"/>
  <c r="Y25" i="1"/>
  <c r="Y45" i="1"/>
  <c r="Z45" i="1" s="1"/>
  <c r="Y43" i="1"/>
  <c r="Y42" i="1"/>
  <c r="Z42" i="1" s="1"/>
  <c r="Y33" i="1"/>
  <c r="Y31" i="1"/>
  <c r="Z31" i="1" s="1"/>
  <c r="Y41" i="1"/>
  <c r="Y40" i="1"/>
  <c r="Z40" i="1" s="1"/>
  <c r="Y20" i="1"/>
  <c r="Y26" i="1"/>
  <c r="Z26" i="1" s="1"/>
  <c r="Y39" i="1"/>
  <c r="Y38" i="1"/>
  <c r="Z38" i="1" s="1"/>
  <c r="AE38" i="1" s="1"/>
  <c r="Y22" i="1"/>
  <c r="Y37" i="1"/>
  <c r="Z37" i="1" s="1"/>
  <c r="Y35" i="1"/>
  <c r="Y27" i="1"/>
  <c r="Z27" i="1" s="1"/>
  <c r="Y4" i="1"/>
  <c r="W51" i="1"/>
  <c r="W34" i="1"/>
  <c r="W33" i="1"/>
  <c r="W38" i="1"/>
  <c r="W45" i="1"/>
  <c r="W28" i="1"/>
  <c r="W35" i="1"/>
  <c r="W30" i="1"/>
  <c r="W27" i="1"/>
  <c r="W42" i="1"/>
  <c r="W26" i="1"/>
  <c r="W31" i="1"/>
  <c r="W23" i="1"/>
  <c r="W47" i="1"/>
  <c r="W41" i="1"/>
  <c r="W43" i="1"/>
  <c r="W40" i="1"/>
  <c r="W37" i="1"/>
  <c r="W22" i="1"/>
  <c r="W21" i="1"/>
  <c r="W39" i="1"/>
  <c r="W3" i="1"/>
  <c r="W18" i="1"/>
  <c r="W25" i="1"/>
  <c r="W15" i="1"/>
  <c r="W16" i="1"/>
  <c r="W20" i="1"/>
  <c r="W48" i="1"/>
  <c r="W4" i="1"/>
  <c r="AC51" i="1"/>
  <c r="AD51" i="1" s="1"/>
  <c r="AC50" i="1"/>
  <c r="AD50" i="1" s="1"/>
  <c r="AC34" i="1"/>
  <c r="AD34" i="1" s="1"/>
  <c r="AC33" i="1"/>
  <c r="AD33" i="1" s="1"/>
  <c r="AC38" i="1"/>
  <c r="AD38" i="1" s="1"/>
  <c r="AC45" i="1"/>
  <c r="AD45" i="1" s="1"/>
  <c r="AC28" i="1"/>
  <c r="AD28" i="1" s="1"/>
  <c r="AC35" i="1"/>
  <c r="AD35" i="1" s="1"/>
  <c r="AC30" i="1"/>
  <c r="AD30" i="1" s="1"/>
  <c r="AC27" i="1"/>
  <c r="AD27" i="1" s="1"/>
  <c r="AC42" i="1"/>
  <c r="AD42" i="1" s="1"/>
  <c r="AC26" i="1"/>
  <c r="AD26" i="1" s="1"/>
  <c r="AC31" i="1"/>
  <c r="AD31" i="1" s="1"/>
  <c r="AC23" i="1"/>
  <c r="AD23" i="1" s="1"/>
  <c r="AC47" i="1"/>
  <c r="AD47" i="1" s="1"/>
  <c r="AC41" i="1"/>
  <c r="AD41" i="1" s="1"/>
  <c r="AC43" i="1"/>
  <c r="AD43" i="1" s="1"/>
  <c r="AC40" i="1"/>
  <c r="AD40" i="1" s="1"/>
  <c r="AC37" i="1"/>
  <c r="AD37" i="1" s="1"/>
  <c r="AC22" i="1"/>
  <c r="AD22" i="1" s="1"/>
  <c r="AC21" i="1"/>
  <c r="AD21" i="1" s="1"/>
  <c r="AC39" i="1"/>
  <c r="AD39" i="1" s="1"/>
  <c r="AC3" i="1"/>
  <c r="AD3" i="1" s="1"/>
  <c r="AC18" i="1"/>
  <c r="AD18" i="1" s="1"/>
  <c r="AC25" i="1"/>
  <c r="AD25" i="1" s="1"/>
  <c r="AC15" i="1"/>
  <c r="AD15" i="1" s="1"/>
  <c r="AC16" i="1"/>
  <c r="AD16" i="1" s="1"/>
  <c r="AC20" i="1"/>
  <c r="AD20" i="1" s="1"/>
  <c r="AC48" i="1"/>
  <c r="AD48" i="1" s="1"/>
  <c r="AC4" i="1"/>
  <c r="AD4" i="1" s="1"/>
  <c r="AC5" i="1"/>
  <c r="AC6" i="1"/>
  <c r="AC7" i="1"/>
  <c r="AC8" i="1"/>
  <c r="AC9" i="1"/>
  <c r="AC10" i="1"/>
  <c r="AC11" i="1"/>
  <c r="AC12" i="1"/>
  <c r="AC13" i="1"/>
  <c r="AC14" i="1"/>
  <c r="AC17" i="1"/>
  <c r="AC19" i="1"/>
  <c r="AC24" i="1"/>
  <c r="AC29" i="1"/>
  <c r="AC32" i="1"/>
  <c r="AC36" i="1"/>
  <c r="AC44" i="1"/>
  <c r="AC46" i="1"/>
  <c r="AC49" i="1"/>
  <c r="AC52" i="1"/>
  <c r="AC2" i="1"/>
  <c r="W52" i="1"/>
  <c r="W49" i="1"/>
  <c r="W50" i="1"/>
  <c r="W46" i="1"/>
  <c r="W44" i="1"/>
  <c r="W36" i="1"/>
  <c r="W32" i="1"/>
  <c r="W29" i="1"/>
  <c r="W24" i="1"/>
  <c r="W19" i="1"/>
  <c r="W17" i="1"/>
  <c r="W14" i="1"/>
  <c r="V52" i="1"/>
  <c r="V51" i="1"/>
  <c r="V33" i="1"/>
  <c r="V49" i="1"/>
  <c r="V50" i="1"/>
  <c r="V38" i="1"/>
  <c r="V46" i="1"/>
  <c r="V45" i="1"/>
  <c r="V44" i="1"/>
  <c r="V48" i="1"/>
  <c r="V41" i="1"/>
  <c r="V37" i="1"/>
  <c r="V35" i="1"/>
  <c r="V40" i="1"/>
  <c r="V39" i="1"/>
  <c r="V42" i="1"/>
  <c r="V36" i="1"/>
  <c r="V34" i="1"/>
  <c r="V43" i="1"/>
  <c r="V47" i="1"/>
  <c r="V32" i="1"/>
  <c r="V31" i="1"/>
  <c r="V25" i="1"/>
  <c r="V29" i="1"/>
  <c r="V30" i="1"/>
  <c r="V28" i="1"/>
  <c r="V22" i="1"/>
  <c r="V23" i="1"/>
  <c r="V24" i="1"/>
  <c r="V21" i="1"/>
  <c r="V3" i="1"/>
  <c r="V15" i="1"/>
  <c r="V20" i="1"/>
  <c r="V19" i="1"/>
  <c r="V26" i="1"/>
  <c r="V17" i="1"/>
  <c r="V16" i="1"/>
  <c r="V18" i="1"/>
  <c r="V14" i="1"/>
  <c r="V27" i="1"/>
  <c r="V4" i="1"/>
  <c r="L51" i="1"/>
  <c r="S51" i="1" s="1"/>
  <c r="AE51" i="1" s="1"/>
  <c r="L34" i="1"/>
  <c r="S34" i="1" s="1"/>
  <c r="AE34" i="1" s="1"/>
  <c r="L48" i="1"/>
  <c r="S48" i="1" s="1"/>
  <c r="L16" i="1"/>
  <c r="S16" i="1" s="1"/>
  <c r="AE16" i="1" s="1"/>
  <c r="L19" i="1"/>
  <c r="S19" i="1" s="1"/>
  <c r="L21" i="1"/>
  <c r="S21" i="1" s="1"/>
  <c r="AE21" i="1" s="1"/>
  <c r="L28" i="1"/>
  <c r="S28" i="1" s="1"/>
  <c r="AE28" i="1" s="1"/>
  <c r="L44" i="1"/>
  <c r="S44" i="1" s="1"/>
  <c r="L15" i="1"/>
  <c r="S15" i="1" s="1"/>
  <c r="L30" i="1"/>
  <c r="S30" i="1" s="1"/>
  <c r="AE30" i="1" s="1"/>
  <c r="L24" i="1"/>
  <c r="S24" i="1" s="1"/>
  <c r="L23" i="1"/>
  <c r="S23" i="1" s="1"/>
  <c r="AE23" i="1" s="1"/>
  <c r="L47" i="1"/>
  <c r="S47" i="1" s="1"/>
  <c r="AE47" i="1" s="1"/>
  <c r="L18" i="1"/>
  <c r="S18" i="1" s="1"/>
  <c r="AE18" i="1" s="1"/>
  <c r="L17" i="1"/>
  <c r="S17" i="1" s="1"/>
  <c r="L32" i="1"/>
  <c r="S32" i="1" s="1"/>
  <c r="L25" i="1"/>
  <c r="S25" i="1" s="1"/>
  <c r="AE25" i="1" s="1"/>
  <c r="L45" i="1"/>
  <c r="S45" i="1" s="1"/>
  <c r="AE45" i="1" s="1"/>
  <c r="L43" i="1"/>
  <c r="S43" i="1" s="1"/>
  <c r="AE43" i="1" s="1"/>
  <c r="L42" i="1"/>
  <c r="S42" i="1" s="1"/>
  <c r="L29" i="1"/>
  <c r="S29" i="1" s="1"/>
  <c r="L33" i="1"/>
  <c r="S33" i="1" s="1"/>
  <c r="AE33" i="1" s="1"/>
  <c r="L31" i="1"/>
  <c r="S31" i="1" s="1"/>
  <c r="AE31" i="1" s="1"/>
  <c r="L41" i="1"/>
  <c r="S41" i="1" s="1"/>
  <c r="AE41" i="1" s="1"/>
  <c r="L40" i="1"/>
  <c r="S40" i="1" s="1"/>
  <c r="L20" i="1"/>
  <c r="S20" i="1" s="1"/>
  <c r="AE20" i="1" s="1"/>
  <c r="L26" i="1"/>
  <c r="S26" i="1" s="1"/>
  <c r="AE26" i="1" s="1"/>
  <c r="L39" i="1"/>
  <c r="S39" i="1" s="1"/>
  <c r="AE39" i="1" s="1"/>
  <c r="L38" i="1"/>
  <c r="S38" i="1" s="1"/>
  <c r="L22" i="1"/>
  <c r="S22" i="1" s="1"/>
  <c r="AE22" i="1" s="1"/>
  <c r="L37" i="1"/>
  <c r="S37" i="1" s="1"/>
  <c r="AE37" i="1" s="1"/>
  <c r="L52" i="1"/>
  <c r="S52" i="1" s="1"/>
  <c r="L35" i="1"/>
  <c r="S35" i="1" s="1"/>
  <c r="AE35" i="1" s="1"/>
  <c r="L46" i="1"/>
  <c r="S46" i="1" s="1"/>
  <c r="L2" i="1"/>
  <c r="S2" i="1" s="1"/>
  <c r="L50" i="1"/>
  <c r="S50" i="1" s="1"/>
  <c r="AE50" i="1" s="1"/>
  <c r="AA50" i="1" s="1"/>
  <c r="AB50" i="1" s="1"/>
  <c r="L49" i="1"/>
  <c r="S49" i="1" s="1"/>
  <c r="L36" i="1"/>
  <c r="S36" i="1" s="1"/>
  <c r="L27" i="1"/>
  <c r="S27" i="1" s="1"/>
  <c r="L4" i="1"/>
  <c r="S4" i="1" s="1"/>
  <c r="AE4" i="1" s="1"/>
  <c r="L14" i="1"/>
  <c r="S14" i="1" s="1"/>
  <c r="L5" i="1"/>
  <c r="S5" i="1" s="1"/>
  <c r="L6" i="1"/>
  <c r="S6" i="1" s="1"/>
  <c r="L7" i="1"/>
  <c r="S7" i="1" s="1"/>
  <c r="L8" i="1"/>
  <c r="S8" i="1" s="1"/>
  <c r="L9" i="1"/>
  <c r="S9" i="1" s="1"/>
  <c r="L10" i="1"/>
  <c r="S10" i="1" s="1"/>
  <c r="L11" i="1"/>
  <c r="S11" i="1" s="1"/>
  <c r="L12" i="1"/>
  <c r="S12" i="1" s="1"/>
  <c r="L13" i="1"/>
  <c r="S13" i="1" s="1"/>
  <c r="L3" i="1"/>
  <c r="S3" i="1" s="1"/>
  <c r="AE3" i="1" s="1"/>
  <c r="V2" i="1"/>
  <c r="V5" i="1"/>
  <c r="V6" i="1"/>
  <c r="V7" i="1"/>
  <c r="V8" i="1"/>
  <c r="V9" i="1"/>
  <c r="V10" i="1"/>
  <c r="V11" i="1"/>
  <c r="V12" i="1"/>
  <c r="V13" i="1"/>
  <c r="AE42" i="1" l="1"/>
  <c r="AE40" i="1"/>
  <c r="AA40" i="1" s="1"/>
  <c r="AB40" i="1" s="1"/>
  <c r="AE27" i="1"/>
  <c r="AE15" i="1"/>
  <c r="AA15" i="1" s="1"/>
  <c r="AB15" i="1" s="1"/>
  <c r="AA3" i="1"/>
  <c r="AB3" i="1" s="1"/>
  <c r="AA47" i="1"/>
  <c r="AB47" i="1" s="1"/>
  <c r="AA21" i="1"/>
  <c r="AB21" i="1" s="1"/>
  <c r="AA28" i="1"/>
  <c r="AB28" i="1" s="1"/>
  <c r="AA25" i="1"/>
  <c r="AB25" i="1" s="1"/>
  <c r="AA43" i="1"/>
  <c r="AB43" i="1" s="1"/>
  <c r="AA27" i="1"/>
  <c r="AB27" i="1" s="1"/>
  <c r="AA48" i="1"/>
  <c r="AB48" i="1" s="1"/>
  <c r="AA18" i="1"/>
  <c r="AB18" i="1" s="1"/>
  <c r="AA41" i="1"/>
  <c r="AB41" i="1" s="1"/>
  <c r="AA35" i="1"/>
  <c r="AB35" i="1" s="1"/>
  <c r="AA4" i="1"/>
  <c r="AB4" i="1" s="1"/>
  <c r="AA39" i="1"/>
  <c r="AB39" i="1" s="1"/>
  <c r="AA23" i="1"/>
  <c r="AB23" i="1" s="1"/>
  <c r="AA45" i="1"/>
  <c r="AB45" i="1" s="1"/>
  <c r="AA31" i="1"/>
  <c r="AB31" i="1" s="1"/>
  <c r="AA38" i="1"/>
  <c r="AB38" i="1" s="1"/>
  <c r="AA20" i="1"/>
  <c r="AB20" i="1" s="1"/>
  <c r="AA22" i="1"/>
  <c r="AB22" i="1" s="1"/>
  <c r="AA26" i="1"/>
  <c r="AB26" i="1" s="1"/>
  <c r="AA33" i="1"/>
  <c r="AB33" i="1" s="1"/>
  <c r="AA16" i="1"/>
  <c r="AB16" i="1" s="1"/>
  <c r="AA37" i="1"/>
  <c r="AB37" i="1" s="1"/>
  <c r="AA42" i="1"/>
  <c r="AB42" i="1" s="1"/>
  <c r="AA34" i="1"/>
  <c r="AB34" i="1" s="1"/>
  <c r="AA30" i="1"/>
  <c r="AB30" i="1" s="1"/>
  <c r="AA51" i="1"/>
  <c r="AB51" i="1" s="1"/>
</calcChain>
</file>

<file path=xl/sharedStrings.xml><?xml version="1.0" encoding="utf-8"?>
<sst xmlns="http://schemas.openxmlformats.org/spreadsheetml/2006/main" count="82" uniqueCount="78">
  <si>
    <t>ID</t>
  </si>
  <si>
    <t>Order Conf. Date</t>
  </si>
  <si>
    <t>Calculated Date</t>
  </si>
  <si>
    <t>Unit Price VND</t>
  </si>
  <si>
    <t>Giá vốn</t>
  </si>
  <si>
    <t>Giá bán giảm</t>
  </si>
  <si>
    <t>Order Qty</t>
  </si>
  <si>
    <t>Agt 22 Ready Stock</t>
  </si>
  <si>
    <t>Tổng đầu kỳ</t>
  </si>
  <si>
    <t>Tổng nhập</t>
  </si>
  <si>
    <t>Tổng xuất</t>
  </si>
  <si>
    <t>Tổng tồn</t>
  </si>
  <si>
    <t>Giá trị đầu kỳ</t>
  </si>
  <si>
    <t>Giá trị nhập</t>
  </si>
  <si>
    <t>Giá trị xuất</t>
  </si>
  <si>
    <t>Giá trị tồn</t>
  </si>
  <si>
    <t>Tổng bán</t>
  </si>
  <si>
    <t>90919-T1004</t>
  </si>
  <si>
    <t>90385-T0004</t>
  </si>
  <si>
    <t>90080-91232</t>
  </si>
  <si>
    <t>08889-80280</t>
  </si>
  <si>
    <t>JK272000-3380</t>
  </si>
  <si>
    <t>11115-0Y030</t>
  </si>
  <si>
    <t>90916-T2039</t>
  </si>
  <si>
    <t>48609-0K020</t>
  </si>
  <si>
    <t>04465-YZZZ1</t>
  </si>
  <si>
    <t>90916-T2024</t>
  </si>
  <si>
    <t>17801-0L050</t>
  </si>
  <si>
    <t>04495-YZZZ2</t>
  </si>
  <si>
    <t>90919-T2011</t>
  </si>
  <si>
    <t>48530-8Z036</t>
  </si>
  <si>
    <t>48531-09430</t>
  </si>
  <si>
    <t>31210-0D190</t>
  </si>
  <si>
    <t>31210-0D180</t>
  </si>
  <si>
    <t>31210-0D240</t>
  </si>
  <si>
    <t>13011-0Y030</t>
  </si>
  <si>
    <t>31210-0A010</t>
  </si>
  <si>
    <t>13011-0C030</t>
  </si>
  <si>
    <t>31250-0A011</t>
  </si>
  <si>
    <t>37230-0K021</t>
  </si>
  <si>
    <t>31250-0B021</t>
  </si>
  <si>
    <t>13408-0C030</t>
  </si>
  <si>
    <t>31210-0K300</t>
  </si>
  <si>
    <t>31210-0K101</t>
  </si>
  <si>
    <t>31210-0K023</t>
  </si>
  <si>
    <t>31210-0K310</t>
  </si>
  <si>
    <t>13011-0L030</t>
  </si>
  <si>
    <t>31250-0K301</t>
  </si>
  <si>
    <t>31210-0K040</t>
  </si>
  <si>
    <t>13011-0L070</t>
  </si>
  <si>
    <t>90363-T0008</t>
  </si>
  <si>
    <t>04495-BZ111</t>
  </si>
  <si>
    <t>31250-0D330</t>
  </si>
  <si>
    <t>11213-BZ011</t>
  </si>
  <si>
    <t>16502-0M020</t>
  </si>
  <si>
    <t>90919-T2008</t>
  </si>
  <si>
    <t>48510-8Z244</t>
  </si>
  <si>
    <t>04465-YZZQ5-82</t>
  </si>
  <si>
    <t>291000-9011 ND</t>
  </si>
  <si>
    <t>263500-6180ND AC</t>
  </si>
  <si>
    <t>263500-6170ND AC</t>
  </si>
  <si>
    <t>168000-5470ND AC</t>
  </si>
  <si>
    <t>168000-1070ND AC</t>
  </si>
  <si>
    <t>065000-2940ND AC</t>
  </si>
  <si>
    <t>Tổng hàng 
trong kỳ</t>
  </si>
  <si>
    <t>Số lượng
 cần nhập</t>
  </si>
  <si>
    <t>Số tháng
 tồn trong kho</t>
  </si>
  <si>
    <t>% Tổng xuất hàng</t>
  </si>
  <si>
    <t>Doanh số trung bình tháng</t>
  </si>
  <si>
    <t>Ước tính tăng</t>
  </si>
  <si>
    <t>Ngày dự kiến</t>
  </si>
  <si>
    <t xml:space="preserve">Số tháng dự kiến </t>
  </si>
  <si>
    <t>Tổng hàng dự kiến bán</t>
  </si>
  <si>
    <t>Tổng cần nhập dự kiến</t>
  </si>
  <si>
    <t>Biên lợi nhuận gộp</t>
  </si>
  <si>
    <t>Số vòng quay hàng tồn</t>
  </si>
  <si>
    <t>Khả năng bán chạy</t>
  </si>
  <si>
    <t>Tổng bán
 trung bình 1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</si>
</sst>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8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9" fontId="0" fillId="0" borderId="0" xfId="2" applyFont="1"/>
    <xf numFmtId="165" fontId="1" fillId="0" borderId="2" xfId="1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center"/>
    </xf>
    <xf numFmtId="165" fontId="1" fillId="0" borderId="1" xfId="1" applyNumberFormat="1" applyFont="1" applyBorder="1" applyAlignment="1">
      <alignment horizontal="center" vertical="center"/>
    </xf>
    <xf numFmtId="165" fontId="1" fillId="0" borderId="1" xfId="1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5" fontId="4" fillId="0" borderId="1" xfId="1" applyNumberFormat="1" applyFont="1" applyBorder="1" applyAlignment="1">
      <alignment horizontal="center" vertical="center" wrapText="1"/>
    </xf>
    <xf numFmtId="165" fontId="4" fillId="3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2" applyFont="1" applyAlignment="1">
      <alignment horizontal="center"/>
    </xf>
    <xf numFmtId="0" fontId="0" fillId="0" borderId="0" xfId="0" applyAlignment="1">
      <alignment horizontal="center"/>
    </xf>
    <xf numFmtId="164" fontId="4" fillId="0" borderId="1" xfId="1" applyNumberFormat="1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ill="1"/>
    <xf numFmtId="14" fontId="1" fillId="0" borderId="3" xfId="0" applyNumberFormat="1" applyFont="1" applyBorder="1" applyAlignment="1">
      <alignment horizontal="center" vertical="top"/>
    </xf>
    <xf numFmtId="165" fontId="1" fillId="0" borderId="3" xfId="1" applyNumberFormat="1" applyFont="1" applyBorder="1" applyAlignment="1">
      <alignment horizontal="center" vertical="top"/>
    </xf>
    <xf numFmtId="165" fontId="1" fillId="0" borderId="4" xfId="1" applyNumberFormat="1" applyFont="1" applyBorder="1" applyAlignment="1">
      <alignment horizontal="center" vertical="top"/>
    </xf>
    <xf numFmtId="9" fontId="4" fillId="0" borderId="4" xfId="2" applyFont="1" applyBorder="1" applyAlignment="1">
      <alignment horizontal="center" vertical="center" wrapText="1"/>
    </xf>
    <xf numFmtId="165" fontId="1" fillId="0" borderId="3" xfId="1" applyNumberFormat="1" applyFont="1" applyBorder="1" applyAlignment="1">
      <alignment horizontal="center" vertical="center" wrapText="1"/>
    </xf>
    <xf numFmtId="165" fontId="1" fillId="0" borderId="2" xfId="1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4" borderId="1" xfId="0" applyFill="1" applyBorder="1"/>
    <xf numFmtId="14" fontId="0" fillId="0" borderId="1" xfId="0" applyNumberFormat="1" applyBorder="1"/>
    <xf numFmtId="165" fontId="0" fillId="0" borderId="1" xfId="1" applyNumberFormat="1" applyFont="1" applyBorder="1"/>
    <xf numFmtId="9" fontId="0" fillId="0" borderId="1" xfId="2" applyFont="1" applyBorder="1"/>
    <xf numFmtId="165" fontId="0" fillId="0" borderId="1" xfId="1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165" fontId="1" fillId="4" borderId="1" xfId="1" applyNumberFormat="1" applyFont="1" applyFill="1" applyBorder="1" applyAlignment="1">
      <alignment horizontal="center" vertical="center"/>
    </xf>
    <xf numFmtId="165" fontId="1" fillId="4" borderId="1" xfId="1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52"/>
  <sheetViews>
    <sheetView tabSelected="1" topLeftCell="E1" zoomScaleNormal="100" workbookViewId="0">
      <pane ySplit="1" topLeftCell="A18" activePane="bottomLeft" state="frozen"/>
      <selection pane="bottomLeft" activeCell="AC28" sqref="AC28"/>
    </sheetView>
  </sheetViews>
  <sheetFormatPr defaultRowHeight="15" x14ac:dyDescent="0.25"/>
  <cols>
    <col min="1" max="1" width="13.5703125" style="20" customWidth="1"/>
    <col min="2" max="2" width="11.42578125" style="1" customWidth="1"/>
    <col min="3" max="3" width="12.5703125" style="1" hidden="1" customWidth="1"/>
    <col min="4" max="4" width="16.5703125" style="4" customWidth="1"/>
    <col min="5" max="5" width="14.42578125" style="4" customWidth="1"/>
    <col min="6" max="6" width="12.28515625" style="4" customWidth="1"/>
    <col min="7" max="7" width="9.7109375" style="4" hidden="1" customWidth="1"/>
    <col min="8" max="8" width="9.7109375" style="4" customWidth="1"/>
    <col min="9" max="9" width="12.7109375" style="4" hidden="1" customWidth="1"/>
    <col min="10" max="10" width="13.5703125" style="4" hidden="1" customWidth="1"/>
    <col min="11" max="11" width="9.7109375" style="4" hidden="1" customWidth="1"/>
    <col min="12" max="12" width="13.7109375" style="4" hidden="1" customWidth="1"/>
    <col min="13" max="14" width="9.7109375" style="4" customWidth="1"/>
    <col min="15" max="18" width="9.7109375" style="4" hidden="1" customWidth="1"/>
    <col min="19" max="19" width="17.140625" style="4" hidden="1" customWidth="1"/>
    <col min="20" max="20" width="9.7109375" style="4" hidden="1" customWidth="1"/>
    <col min="21" max="21" width="15.5703125" style="4" customWidth="1"/>
    <col min="22" max="22" width="16.140625" style="4" hidden="1" customWidth="1"/>
    <col min="23" max="23" width="11.85546875" style="4" customWidth="1"/>
    <col min="24" max="24" width="14.5703125" style="4" hidden="1" customWidth="1"/>
    <col min="25" max="25" width="14.5703125" style="2" hidden="1" customWidth="1"/>
    <col min="26" max="26" width="12.7109375" style="5" hidden="1" customWidth="1"/>
    <col min="27" max="27" width="14.5703125" style="4" hidden="1" customWidth="1"/>
    <col min="28" max="28" width="13.140625" style="17" customWidth="1"/>
    <col min="29" max="29" width="10.7109375" style="17" customWidth="1"/>
    <col min="30" max="30" width="0" hidden="1" customWidth="1"/>
    <col min="31" max="31" width="12.85546875" style="17" customWidth="1"/>
  </cols>
  <sheetData>
    <row r="1" spans="1:32" s="10" customFormat="1" ht="39.75" customHeight="1" x14ac:dyDescent="0.25">
      <c r="A1" s="19" t="s">
        <v>0</v>
      </c>
      <c r="B1" s="7" t="s">
        <v>1</v>
      </c>
      <c r="C1" s="21" t="s">
        <v>2</v>
      </c>
      <c r="D1" s="8" t="s">
        <v>3</v>
      </c>
      <c r="E1" s="36" t="s">
        <v>4</v>
      </c>
      <c r="F1" s="36" t="s">
        <v>5</v>
      </c>
      <c r="G1" s="22" t="s">
        <v>6</v>
      </c>
      <c r="H1" s="37" t="s">
        <v>65</v>
      </c>
      <c r="I1" s="6" t="s">
        <v>7</v>
      </c>
      <c r="J1" s="3" t="s">
        <v>8</v>
      </c>
      <c r="K1" s="23" t="s">
        <v>9</v>
      </c>
      <c r="L1" s="9" t="s">
        <v>64</v>
      </c>
      <c r="M1" s="8" t="s">
        <v>10</v>
      </c>
      <c r="N1" s="8" t="s">
        <v>11</v>
      </c>
      <c r="O1" s="6" t="s">
        <v>12</v>
      </c>
      <c r="P1" s="3" t="s">
        <v>13</v>
      </c>
      <c r="Q1" s="3" t="s">
        <v>14</v>
      </c>
      <c r="R1" s="3" t="s">
        <v>15</v>
      </c>
      <c r="S1" s="8" t="s">
        <v>67</v>
      </c>
      <c r="T1" s="22" t="s">
        <v>16</v>
      </c>
      <c r="U1" s="9" t="s">
        <v>77</v>
      </c>
      <c r="V1" s="25" t="s">
        <v>68</v>
      </c>
      <c r="W1" s="11" t="s">
        <v>74</v>
      </c>
      <c r="X1" s="26" t="s">
        <v>66</v>
      </c>
      <c r="Y1" s="18" t="s">
        <v>75</v>
      </c>
      <c r="Z1" s="24" t="s">
        <v>76</v>
      </c>
      <c r="AA1" s="12" t="s">
        <v>72</v>
      </c>
      <c r="AB1" s="13" t="s">
        <v>73</v>
      </c>
      <c r="AC1" s="13" t="s">
        <v>70</v>
      </c>
      <c r="AD1" s="27" t="s">
        <v>71</v>
      </c>
      <c r="AE1" s="13" t="s">
        <v>69</v>
      </c>
      <c r="AF1" s="28"/>
    </row>
    <row r="2" spans="1:32" hidden="1" x14ac:dyDescent="0.25">
      <c r="A2" t="s">
        <v>52</v>
      </c>
      <c r="B2" s="1">
        <v>44719</v>
      </c>
      <c r="C2" s="1">
        <v>44795</v>
      </c>
      <c r="D2" s="4">
        <v>714556</v>
      </c>
      <c r="E2" s="4">
        <v>708460</v>
      </c>
      <c r="G2" s="4">
        <v>300</v>
      </c>
      <c r="H2" s="4">
        <v>1000</v>
      </c>
      <c r="I2" s="4">
        <v>4</v>
      </c>
      <c r="J2" s="4">
        <v>0</v>
      </c>
      <c r="K2" s="4">
        <v>4</v>
      </c>
      <c r="L2" s="4">
        <f t="shared" ref="L2:L33" si="0">SUM(J2:K2)</f>
        <v>4</v>
      </c>
      <c r="M2" s="4">
        <v>0</v>
      </c>
      <c r="N2" s="4">
        <v>4</v>
      </c>
      <c r="O2" s="4">
        <v>0</v>
      </c>
      <c r="P2" s="4">
        <v>2698896</v>
      </c>
      <c r="Q2" s="4">
        <v>0</v>
      </c>
      <c r="R2" s="4">
        <v>2698896</v>
      </c>
      <c r="S2" s="5">
        <f t="shared" ref="S2:S33" si="1">IFERROR(M2/L2,0)</f>
        <v>0</v>
      </c>
      <c r="V2" s="5">
        <f>IFERROR(U2/T2,0)</f>
        <v>0</v>
      </c>
      <c r="W2" s="5"/>
      <c r="X2" s="4">
        <v>0</v>
      </c>
      <c r="Y2" s="4"/>
      <c r="Z2" s="4"/>
      <c r="AB2"/>
      <c r="AC2" s="1">
        <f>DATE(YEAR(B2),MONTH(B2)+4,DAY(B2))</f>
        <v>44841</v>
      </c>
      <c r="AE2"/>
    </row>
    <row r="3" spans="1:32" x14ac:dyDescent="0.25">
      <c r="A3" s="29" t="s">
        <v>17</v>
      </c>
      <c r="B3" s="30">
        <v>44719</v>
      </c>
      <c r="C3" s="1">
        <v>44795</v>
      </c>
      <c r="D3" s="31">
        <v>20185</v>
      </c>
      <c r="E3" s="31">
        <v>20701</v>
      </c>
      <c r="F3" s="31">
        <v>25000</v>
      </c>
      <c r="G3" s="4">
        <v>10000</v>
      </c>
      <c r="H3" s="31">
        <v>10000</v>
      </c>
      <c r="I3" s="4">
        <v>560</v>
      </c>
      <c r="J3" s="4">
        <v>7588</v>
      </c>
      <c r="K3" s="4">
        <v>34200</v>
      </c>
      <c r="L3" s="31">
        <f t="shared" si="0"/>
        <v>41788</v>
      </c>
      <c r="M3" s="31">
        <v>38961</v>
      </c>
      <c r="N3" s="31">
        <v>2827</v>
      </c>
      <c r="O3" s="4">
        <v>154632887</v>
      </c>
      <c r="P3" s="4">
        <v>669538420</v>
      </c>
      <c r="Q3" s="4">
        <v>768130222</v>
      </c>
      <c r="R3" s="4">
        <v>56041085</v>
      </c>
      <c r="S3" s="5">
        <f t="shared" si="1"/>
        <v>0.93234899971283625</v>
      </c>
      <c r="T3" s="4">
        <v>21901</v>
      </c>
      <c r="U3" s="31">
        <v>2190.1</v>
      </c>
      <c r="V3" s="4">
        <f>U3*F3</f>
        <v>54752500</v>
      </c>
      <c r="W3" s="32">
        <f>IFERROR(1-(E3*M3)/(F3*M3),0)</f>
        <v>0.17196</v>
      </c>
      <c r="X3" s="4">
        <v>185.6</v>
      </c>
      <c r="Y3" s="2">
        <f>IFERROR(365/(X3*12),100)</f>
        <v>0.16388290229885058</v>
      </c>
      <c r="Z3" s="5">
        <f>IF(Y3&gt;10,0.9,IF(Y3&gt;5,0.6,IF(Y3&gt;1,0.2,0)))</f>
        <v>0</v>
      </c>
      <c r="AA3" s="31">
        <f>U3*AD3*(1+AE3)</f>
        <v>8760.4</v>
      </c>
      <c r="AB3" s="33">
        <f>IF(N3&gt;AA3,0,IF(AA3&gt;N3,AA3-N3))</f>
        <v>5933.4</v>
      </c>
      <c r="AC3" s="34">
        <f>EDATE(B3,4)</f>
        <v>44841</v>
      </c>
      <c r="AD3">
        <f>MONTH(AC3)-MONTH(B3)</f>
        <v>4</v>
      </c>
      <c r="AE3" s="35">
        <f>S3*W3*Z3</f>
        <v>0</v>
      </c>
    </row>
    <row r="4" spans="1:32" x14ac:dyDescent="0.25">
      <c r="A4" s="29" t="s">
        <v>56</v>
      </c>
      <c r="B4" s="30">
        <v>44719</v>
      </c>
      <c r="C4" s="1">
        <v>44795</v>
      </c>
      <c r="D4" s="31">
        <v>662832</v>
      </c>
      <c r="E4" s="31">
        <v>676967</v>
      </c>
      <c r="F4" s="31">
        <v>850000</v>
      </c>
      <c r="G4" s="4">
        <v>500</v>
      </c>
      <c r="H4" s="31">
        <v>3000</v>
      </c>
      <c r="I4" s="4">
        <v>0</v>
      </c>
      <c r="J4" s="4">
        <v>421</v>
      </c>
      <c r="K4" s="4">
        <v>2281</v>
      </c>
      <c r="L4" s="31">
        <f t="shared" si="0"/>
        <v>2702</v>
      </c>
      <c r="M4" s="31">
        <v>2702</v>
      </c>
      <c r="N4" s="31">
        <v>0</v>
      </c>
      <c r="O4" s="4">
        <v>273985316</v>
      </c>
      <c r="P4" s="4">
        <v>1468077078</v>
      </c>
      <c r="Q4" s="4">
        <v>1742062394</v>
      </c>
      <c r="R4" s="4">
        <v>0</v>
      </c>
      <c r="S4" s="5">
        <f t="shared" si="1"/>
        <v>1</v>
      </c>
      <c r="T4" s="4">
        <v>1568</v>
      </c>
      <c r="U4" s="31">
        <v>156.80000000000001</v>
      </c>
      <c r="V4" s="4">
        <f>U4*F4</f>
        <v>133280000.00000001</v>
      </c>
      <c r="W4" s="32">
        <f>IFERROR(1-(E4*M4)/(F4*M4),0)</f>
        <v>0.20356823529411761</v>
      </c>
      <c r="X4" s="4">
        <v>0</v>
      </c>
      <c r="Y4" s="2">
        <f>IFERROR(365/(X4*12),100)</f>
        <v>100</v>
      </c>
      <c r="Z4" s="5">
        <f>IF(Y4&gt;10,0.9,IF(Y4&gt;5,0.6,IF(Y4&gt;1,0.2,0)))</f>
        <v>0.9</v>
      </c>
      <c r="AA4" s="31">
        <f>U4*AD4*(1+AE4)</f>
        <v>742.11019745882356</v>
      </c>
      <c r="AB4" s="33">
        <f>IF(N4&gt;AA4,0,IF(AA4&gt;N4,AA4-N4))</f>
        <v>742.11019745882356</v>
      </c>
      <c r="AC4" s="34">
        <f>EDATE(B4,4)</f>
        <v>44841</v>
      </c>
      <c r="AD4">
        <f>MONTH(AC4)-MONTH(B4)</f>
        <v>4</v>
      </c>
      <c r="AE4" s="35">
        <f>S4*W4*Z4</f>
        <v>0.18321141176470584</v>
      </c>
    </row>
    <row r="5" spans="1:32" hidden="1" x14ac:dyDescent="0.25">
      <c r="A5" t="s">
        <v>58</v>
      </c>
      <c r="B5" s="1">
        <v>44562</v>
      </c>
      <c r="C5" s="1">
        <v>44795</v>
      </c>
      <c r="D5" s="4">
        <v>630535</v>
      </c>
      <c r="G5" s="4">
        <v>15</v>
      </c>
      <c r="H5" s="4">
        <v>20</v>
      </c>
      <c r="I5" s="4">
        <v>0</v>
      </c>
      <c r="L5" s="4">
        <f t="shared" si="0"/>
        <v>0</v>
      </c>
      <c r="S5" s="5">
        <f t="shared" si="1"/>
        <v>0</v>
      </c>
      <c r="V5" s="5">
        <f t="shared" ref="V5:V13" si="2">IFERROR(U5/T5,0)</f>
        <v>0</v>
      </c>
      <c r="W5" s="5"/>
      <c r="Y5" s="4"/>
      <c r="Z5" s="4"/>
      <c r="AB5"/>
      <c r="AC5" s="1">
        <f t="shared" ref="AC5:AC14" si="3">DATE(YEAR(B5),MONTH(B5)+4,DAY(B5))</f>
        <v>44682</v>
      </c>
      <c r="AE5"/>
    </row>
    <row r="6" spans="1:32" hidden="1" x14ac:dyDescent="0.25">
      <c r="A6" t="s">
        <v>58</v>
      </c>
      <c r="B6" s="1">
        <v>44562</v>
      </c>
      <c r="C6" s="1">
        <v>44795</v>
      </c>
      <c r="D6" s="4">
        <v>630535</v>
      </c>
      <c r="G6" s="4">
        <v>20</v>
      </c>
      <c r="H6" s="4">
        <v>20</v>
      </c>
      <c r="I6" s="4">
        <v>0</v>
      </c>
      <c r="L6" s="4">
        <f t="shared" si="0"/>
        <v>0</v>
      </c>
      <c r="S6" s="5">
        <f t="shared" si="1"/>
        <v>0</v>
      </c>
      <c r="V6" s="5">
        <f t="shared" si="2"/>
        <v>0</v>
      </c>
      <c r="W6" s="5"/>
      <c r="Y6" s="4"/>
      <c r="Z6" s="4"/>
      <c r="AB6"/>
      <c r="AC6" s="1">
        <f t="shared" si="3"/>
        <v>44682</v>
      </c>
      <c r="AE6"/>
    </row>
    <row r="7" spans="1:32" hidden="1" x14ac:dyDescent="0.25">
      <c r="A7" t="s">
        <v>59</v>
      </c>
      <c r="C7" s="1">
        <v>44795</v>
      </c>
      <c r="D7" s="4">
        <v>367623</v>
      </c>
      <c r="G7" s="4">
        <v>10</v>
      </c>
      <c r="L7" s="4">
        <f t="shared" si="0"/>
        <v>0</v>
      </c>
      <c r="S7" s="5">
        <f t="shared" si="1"/>
        <v>0</v>
      </c>
      <c r="V7" s="5">
        <f t="shared" si="2"/>
        <v>0</v>
      </c>
      <c r="W7" s="5"/>
      <c r="Y7" s="4"/>
      <c r="Z7" s="4"/>
      <c r="AB7"/>
      <c r="AC7" s="1">
        <f t="shared" si="3"/>
        <v>121</v>
      </c>
      <c r="AE7"/>
    </row>
    <row r="8" spans="1:32" hidden="1" x14ac:dyDescent="0.25">
      <c r="A8" t="s">
        <v>59</v>
      </c>
      <c r="C8" s="1">
        <v>44795</v>
      </c>
      <c r="D8" s="4">
        <v>367623</v>
      </c>
      <c r="G8" s="4">
        <v>20</v>
      </c>
      <c r="L8" s="4">
        <f t="shared" si="0"/>
        <v>0</v>
      </c>
      <c r="S8" s="5">
        <f t="shared" si="1"/>
        <v>0</v>
      </c>
      <c r="V8" s="5">
        <f t="shared" si="2"/>
        <v>0</v>
      </c>
      <c r="W8" s="5"/>
      <c r="Y8" s="4"/>
      <c r="Z8" s="4"/>
      <c r="AB8"/>
      <c r="AC8" s="1">
        <f t="shared" si="3"/>
        <v>121</v>
      </c>
      <c r="AE8"/>
    </row>
    <row r="9" spans="1:32" hidden="1" x14ac:dyDescent="0.25">
      <c r="A9" t="s">
        <v>60</v>
      </c>
      <c r="C9" s="1">
        <v>44795</v>
      </c>
      <c r="D9" s="4">
        <v>394621</v>
      </c>
      <c r="G9" s="4">
        <v>10</v>
      </c>
      <c r="L9" s="4">
        <f t="shared" si="0"/>
        <v>0</v>
      </c>
      <c r="S9" s="5">
        <f t="shared" si="1"/>
        <v>0</v>
      </c>
      <c r="V9" s="5">
        <f t="shared" si="2"/>
        <v>0</v>
      </c>
      <c r="W9" s="5"/>
      <c r="Y9" s="4"/>
      <c r="Z9" s="4"/>
      <c r="AB9"/>
      <c r="AC9" s="1">
        <f t="shared" si="3"/>
        <v>121</v>
      </c>
      <c r="AE9"/>
    </row>
    <row r="10" spans="1:32" hidden="1" x14ac:dyDescent="0.25">
      <c r="A10" t="s">
        <v>60</v>
      </c>
      <c r="C10" s="1">
        <v>44795</v>
      </c>
      <c r="D10" s="4">
        <v>394621</v>
      </c>
      <c r="G10" s="4">
        <v>20</v>
      </c>
      <c r="L10" s="4">
        <f t="shared" si="0"/>
        <v>0</v>
      </c>
      <c r="S10" s="5">
        <f t="shared" si="1"/>
        <v>0</v>
      </c>
      <c r="V10" s="5">
        <f t="shared" si="2"/>
        <v>0</v>
      </c>
      <c r="W10" s="5"/>
      <c r="Y10" s="4"/>
      <c r="Z10" s="4"/>
      <c r="AB10"/>
      <c r="AC10" s="1">
        <f t="shared" si="3"/>
        <v>121</v>
      </c>
      <c r="AE10"/>
    </row>
    <row r="11" spans="1:32" hidden="1" x14ac:dyDescent="0.25">
      <c r="A11" t="s">
        <v>61</v>
      </c>
      <c r="C11" s="1">
        <v>44795</v>
      </c>
      <c r="D11" s="4">
        <v>856357</v>
      </c>
      <c r="G11" s="4">
        <v>20</v>
      </c>
      <c r="L11" s="4">
        <f t="shared" si="0"/>
        <v>0</v>
      </c>
      <c r="S11" s="5">
        <f t="shared" si="1"/>
        <v>0</v>
      </c>
      <c r="V11" s="5">
        <f t="shared" si="2"/>
        <v>0</v>
      </c>
      <c r="W11" s="5"/>
      <c r="Y11" s="4"/>
      <c r="Z11" s="4"/>
      <c r="AB11"/>
      <c r="AC11" s="1">
        <f t="shared" si="3"/>
        <v>121</v>
      </c>
      <c r="AE11"/>
    </row>
    <row r="12" spans="1:32" hidden="1" x14ac:dyDescent="0.25">
      <c r="A12" t="s">
        <v>62</v>
      </c>
      <c r="B12" s="1">
        <v>44562</v>
      </c>
      <c r="C12" s="1">
        <v>44795</v>
      </c>
      <c r="D12" s="4">
        <v>462998</v>
      </c>
      <c r="G12" s="4">
        <v>20</v>
      </c>
      <c r="H12" s="4">
        <v>20</v>
      </c>
      <c r="I12" s="4">
        <v>0</v>
      </c>
      <c r="L12" s="4">
        <f t="shared" si="0"/>
        <v>0</v>
      </c>
      <c r="S12" s="5">
        <f t="shared" si="1"/>
        <v>0</v>
      </c>
      <c r="V12" s="5">
        <f t="shared" si="2"/>
        <v>0</v>
      </c>
      <c r="W12" s="5"/>
      <c r="Y12" s="4"/>
      <c r="Z12" s="4"/>
      <c r="AB12"/>
      <c r="AC12" s="1">
        <f t="shared" si="3"/>
        <v>44682</v>
      </c>
      <c r="AE12"/>
    </row>
    <row r="13" spans="1:32" hidden="1" x14ac:dyDescent="0.25">
      <c r="A13" t="s">
        <v>63</v>
      </c>
      <c r="B13" s="1">
        <v>44562</v>
      </c>
      <c r="C13" s="1">
        <v>44795</v>
      </c>
      <c r="D13" s="4">
        <v>803623</v>
      </c>
      <c r="G13" s="4">
        <v>20</v>
      </c>
      <c r="H13" s="4">
        <v>20</v>
      </c>
      <c r="I13" s="4">
        <v>0</v>
      </c>
      <c r="L13" s="4">
        <f t="shared" si="0"/>
        <v>0</v>
      </c>
      <c r="S13" s="5">
        <f t="shared" si="1"/>
        <v>0</v>
      </c>
      <c r="V13" s="5">
        <f t="shared" si="2"/>
        <v>0</v>
      </c>
      <c r="W13" s="5"/>
      <c r="Y13" s="4"/>
      <c r="Z13" s="4"/>
      <c r="AB13"/>
      <c r="AC13" s="1">
        <f t="shared" si="3"/>
        <v>44682</v>
      </c>
      <c r="AE13"/>
    </row>
    <row r="14" spans="1:32" hidden="1" x14ac:dyDescent="0.25">
      <c r="A14" t="s">
        <v>57</v>
      </c>
      <c r="C14" s="1">
        <v>44795</v>
      </c>
      <c r="D14" s="4">
        <v>958797</v>
      </c>
      <c r="E14" s="4">
        <v>1083562</v>
      </c>
      <c r="F14" s="4">
        <v>1300000</v>
      </c>
      <c r="G14" s="4">
        <v>10</v>
      </c>
      <c r="J14" s="4">
        <v>0</v>
      </c>
      <c r="K14" s="4">
        <v>5</v>
      </c>
      <c r="L14" s="4">
        <f t="shared" si="0"/>
        <v>5</v>
      </c>
      <c r="M14" s="4">
        <v>5</v>
      </c>
      <c r="N14" s="4">
        <v>0</v>
      </c>
      <c r="O14" s="4">
        <v>0</v>
      </c>
      <c r="P14" s="4">
        <v>5159821</v>
      </c>
      <c r="Q14" s="4">
        <v>5159821</v>
      </c>
      <c r="R14" s="4">
        <v>0</v>
      </c>
      <c r="S14" s="5">
        <f t="shared" si="1"/>
        <v>1</v>
      </c>
      <c r="T14" s="4">
        <v>5</v>
      </c>
      <c r="U14" s="4">
        <v>1.666666666666667</v>
      </c>
      <c r="V14" s="4">
        <f t="shared" ref="V14:V51" si="4">U14*F14</f>
        <v>2166666.666666667</v>
      </c>
      <c r="W14" s="5">
        <f>IFERROR((E14*M14)/(F14*M14),0)</f>
        <v>0.83350923076923078</v>
      </c>
      <c r="X14" s="4">
        <v>0</v>
      </c>
      <c r="Y14" s="4"/>
      <c r="Z14" s="4"/>
      <c r="AB14"/>
      <c r="AC14" s="1">
        <f t="shared" si="3"/>
        <v>121</v>
      </c>
      <c r="AE14"/>
    </row>
    <row r="15" spans="1:32" x14ac:dyDescent="0.25">
      <c r="A15" s="29" t="s">
        <v>26</v>
      </c>
      <c r="B15" s="30">
        <v>44719</v>
      </c>
      <c r="C15" s="1">
        <v>44795</v>
      </c>
      <c r="D15" s="31">
        <v>261398</v>
      </c>
      <c r="E15" s="31">
        <v>355480</v>
      </c>
      <c r="F15" s="31">
        <v>450000</v>
      </c>
      <c r="G15" s="4">
        <v>1000</v>
      </c>
      <c r="H15" s="31">
        <v>1000</v>
      </c>
      <c r="I15" s="4">
        <v>0</v>
      </c>
      <c r="J15" s="4">
        <v>440</v>
      </c>
      <c r="K15" s="4">
        <v>1115</v>
      </c>
      <c r="L15" s="31">
        <f t="shared" si="0"/>
        <v>1555</v>
      </c>
      <c r="M15" s="31">
        <v>1463</v>
      </c>
      <c r="N15" s="31">
        <v>92</v>
      </c>
      <c r="O15" s="4">
        <v>163244052</v>
      </c>
      <c r="P15" s="4">
        <v>363204659</v>
      </c>
      <c r="Q15" s="4">
        <v>495301832</v>
      </c>
      <c r="R15" s="4">
        <v>31146879</v>
      </c>
      <c r="S15" s="5">
        <f t="shared" si="1"/>
        <v>0.94083601286173635</v>
      </c>
      <c r="T15" s="4">
        <v>1462</v>
      </c>
      <c r="U15" s="31">
        <v>146.19999999999999</v>
      </c>
      <c r="V15" s="4">
        <f t="shared" si="4"/>
        <v>65789999.999999993</v>
      </c>
      <c r="W15" s="32">
        <f>IFERROR(1-(E15*M15)/(F15*M15),0)</f>
        <v>0.21004444444444448</v>
      </c>
      <c r="X15" s="4">
        <v>10.8</v>
      </c>
      <c r="Y15" s="2">
        <f>IFERROR(365/(X15*12),100)</f>
        <v>2.8163580246913575</v>
      </c>
      <c r="Z15" s="5">
        <f>IF(Y15&gt;10,0.9,IF(Y15&gt;5,0.6,IF(Y15&gt;1,0.2,0)))</f>
        <v>0.2</v>
      </c>
      <c r="AA15" s="31">
        <f>U15*AD15*(1+AE15)</f>
        <v>607.91332848817433</v>
      </c>
      <c r="AB15" s="33">
        <f>IF(N15&gt;AA15,0,IF(AA15&gt;N15,AA15-N15))</f>
        <v>515.91332848817433</v>
      </c>
      <c r="AC15" s="34">
        <f>EDATE(B15,4)</f>
        <v>44841</v>
      </c>
      <c r="AD15">
        <f>MONTH(AC15)-MONTH(B15)</f>
        <v>4</v>
      </c>
      <c r="AE15" s="35">
        <f t="shared" ref="AE15:AE16" si="5">S15*W15*Z15</f>
        <v>3.9523475526973932E-2</v>
      </c>
    </row>
    <row r="16" spans="1:32" x14ac:dyDescent="0.25">
      <c r="A16" s="29" t="s">
        <v>21</v>
      </c>
      <c r="B16" s="30">
        <v>44609</v>
      </c>
      <c r="C16" s="1">
        <v>44795</v>
      </c>
      <c r="D16" s="31">
        <v>180153</v>
      </c>
      <c r="E16" s="31">
        <v>174329</v>
      </c>
      <c r="F16" s="31">
        <v>240000</v>
      </c>
      <c r="G16" s="4">
        <v>500</v>
      </c>
      <c r="H16" s="31"/>
      <c r="I16" s="4">
        <v>200</v>
      </c>
      <c r="J16" s="4">
        <v>158</v>
      </c>
      <c r="K16" s="4">
        <v>199</v>
      </c>
      <c r="L16" s="31">
        <f t="shared" si="0"/>
        <v>357</v>
      </c>
      <c r="M16" s="31">
        <v>353</v>
      </c>
      <c r="N16" s="31">
        <v>4</v>
      </c>
      <c r="O16" s="4">
        <v>25436277</v>
      </c>
      <c r="P16" s="4">
        <v>33851990</v>
      </c>
      <c r="Q16" s="4">
        <v>58607825</v>
      </c>
      <c r="R16" s="4">
        <v>680442</v>
      </c>
      <c r="S16" s="5">
        <f t="shared" si="1"/>
        <v>0.98879551820728295</v>
      </c>
      <c r="T16" s="4">
        <v>353</v>
      </c>
      <c r="U16" s="31">
        <v>117.6666666666667</v>
      </c>
      <c r="V16" s="4">
        <f t="shared" si="4"/>
        <v>28240000.000000007</v>
      </c>
      <c r="W16" s="32">
        <f>IFERROR(1-(E16*M16)/(F16*M16),0)</f>
        <v>0.2736291666666667</v>
      </c>
      <c r="X16" s="4">
        <v>22</v>
      </c>
      <c r="Y16" s="2">
        <f>IFERROR(365/(X16*12),100)</f>
        <v>1.3825757575757576</v>
      </c>
      <c r="Z16" s="5">
        <f>IF(Y16&gt;10,0.9,IF(Y16&gt;5,0.6,IF(Y16&gt;1,0.2,0)))</f>
        <v>0.2</v>
      </c>
      <c r="AA16" s="31">
        <f>U16*AD16*(1+AE16)</f>
        <v>496.13569137566157</v>
      </c>
      <c r="AB16" s="33">
        <f>IF(N16&gt;AA16,0,IF(AA16&gt;N16,AA16-N16))</f>
        <v>492.13569137566157</v>
      </c>
      <c r="AC16" s="34">
        <f>EDATE(B16,4)</f>
        <v>44729</v>
      </c>
      <c r="AD16">
        <f>MONTH(AC16)-MONTH(B16)</f>
        <v>4</v>
      </c>
      <c r="AE16" s="35">
        <f t="shared" si="5"/>
        <v>5.411265873015874E-2</v>
      </c>
    </row>
    <row r="17" spans="1:31" hidden="1" x14ac:dyDescent="0.25">
      <c r="A17" t="s">
        <v>32</v>
      </c>
      <c r="C17" s="1">
        <v>44795</v>
      </c>
      <c r="D17" s="4">
        <v>447607</v>
      </c>
      <c r="E17" s="4">
        <v>454426</v>
      </c>
      <c r="F17" s="4">
        <v>980000</v>
      </c>
      <c r="G17" s="4">
        <v>40</v>
      </c>
      <c r="J17" s="4">
        <v>12</v>
      </c>
      <c r="K17" s="4">
        <v>107</v>
      </c>
      <c r="L17" s="4">
        <f t="shared" si="0"/>
        <v>119</v>
      </c>
      <c r="M17" s="4">
        <v>117</v>
      </c>
      <c r="N17" s="4">
        <v>2</v>
      </c>
      <c r="O17" s="4">
        <v>6184610</v>
      </c>
      <c r="P17" s="4">
        <v>45327964</v>
      </c>
      <c r="Q17" s="4">
        <v>50636054</v>
      </c>
      <c r="R17" s="4">
        <v>876520</v>
      </c>
      <c r="S17" s="5">
        <f t="shared" si="1"/>
        <v>0.98319327731092432</v>
      </c>
      <c r="T17" s="4">
        <v>72</v>
      </c>
      <c r="U17" s="4">
        <v>9</v>
      </c>
      <c r="V17" s="4">
        <f t="shared" si="4"/>
        <v>8820000</v>
      </c>
      <c r="W17" s="5">
        <f>IFERROR((E17*M17)/(F17*M17),0)</f>
        <v>0.4637</v>
      </c>
      <c r="X17" s="4">
        <v>8.5</v>
      </c>
      <c r="Y17" s="4"/>
      <c r="Z17" s="4"/>
      <c r="AB17"/>
      <c r="AC17" s="1">
        <f>DATE(YEAR(B17),MONTH(B17)+4,DAY(B17))</f>
        <v>121</v>
      </c>
      <c r="AE17"/>
    </row>
    <row r="18" spans="1:31" x14ac:dyDescent="0.25">
      <c r="A18" s="29" t="s">
        <v>31</v>
      </c>
      <c r="B18" s="30">
        <v>44719</v>
      </c>
      <c r="C18" s="1">
        <v>44795</v>
      </c>
      <c r="D18" s="31">
        <v>441804</v>
      </c>
      <c r="E18" s="31">
        <v>446507</v>
      </c>
      <c r="F18" s="31">
        <v>520000</v>
      </c>
      <c r="G18" s="4">
        <v>200</v>
      </c>
      <c r="H18" s="31">
        <v>500</v>
      </c>
      <c r="I18" s="4">
        <v>200</v>
      </c>
      <c r="J18" s="4">
        <v>104</v>
      </c>
      <c r="K18" s="4">
        <v>1411</v>
      </c>
      <c r="L18" s="31">
        <f t="shared" si="0"/>
        <v>1515</v>
      </c>
      <c r="M18" s="31">
        <v>1512</v>
      </c>
      <c r="N18" s="31">
        <v>3</v>
      </c>
      <c r="O18" s="4">
        <v>46004767</v>
      </c>
      <c r="P18" s="4">
        <v>599132634</v>
      </c>
      <c r="Q18" s="4">
        <v>642970510</v>
      </c>
      <c r="R18" s="4">
        <v>2166891</v>
      </c>
      <c r="S18" s="5">
        <f t="shared" si="1"/>
        <v>0.99801980198019802</v>
      </c>
      <c r="T18" s="4">
        <v>1019</v>
      </c>
      <c r="U18" s="31">
        <v>113.2222222222222</v>
      </c>
      <c r="V18" s="4">
        <f t="shared" si="4"/>
        <v>58875555.555555545</v>
      </c>
      <c r="W18" s="32">
        <f>IFERROR(1-(E18*M18)/(F18*M18),0)</f>
        <v>0.1413326923076923</v>
      </c>
      <c r="X18" s="4">
        <v>8.6</v>
      </c>
      <c r="Y18" s="2">
        <f>IFERROR(365/(X18*12),100)</f>
        <v>3.5368217054263571</v>
      </c>
      <c r="Z18" s="5">
        <f>IF(Y18&gt;10,0.9,IF(Y18&gt;5,0.6,IF(Y18&gt;1,0.2,0)))</f>
        <v>0.2</v>
      </c>
      <c r="AA18" s="31">
        <f>U18*AD18*(1+AE18)</f>
        <v>465.6651403801302</v>
      </c>
      <c r="AB18" s="33">
        <f>IF(N18&gt;AA18,0,IF(AA18&gt;N18,AA18-N18))</f>
        <v>462.6651403801302</v>
      </c>
      <c r="AC18" s="34">
        <f>EDATE(B18,4)</f>
        <v>44841</v>
      </c>
      <c r="AD18">
        <f>MONTH(AC18)-MONTH(B18)</f>
        <v>4</v>
      </c>
      <c r="AE18" s="35">
        <f>S18*W18*Z18</f>
        <v>2.8210565118050264E-2</v>
      </c>
    </row>
    <row r="19" spans="1:31" hidden="1" x14ac:dyDescent="0.25">
      <c r="A19" t="s">
        <v>22</v>
      </c>
      <c r="C19" s="1">
        <v>44795</v>
      </c>
      <c r="D19" s="4">
        <v>254838</v>
      </c>
      <c r="E19" s="4">
        <v>256851</v>
      </c>
      <c r="F19" s="4">
        <v>400000</v>
      </c>
      <c r="G19" s="4">
        <v>10</v>
      </c>
      <c r="J19" s="4">
        <v>15</v>
      </c>
      <c r="K19" s="4">
        <v>25</v>
      </c>
      <c r="L19" s="4">
        <f t="shared" si="0"/>
        <v>40</v>
      </c>
      <c r="M19" s="4">
        <v>38</v>
      </c>
      <c r="N19" s="4">
        <v>2</v>
      </c>
      <c r="O19" s="4">
        <v>3669476</v>
      </c>
      <c r="P19" s="4">
        <v>6114617</v>
      </c>
      <c r="Q19" s="4">
        <v>9295577</v>
      </c>
      <c r="R19" s="4">
        <v>488516</v>
      </c>
      <c r="S19" s="5">
        <f t="shared" si="1"/>
        <v>0.95</v>
      </c>
      <c r="T19" s="4">
        <v>22</v>
      </c>
      <c r="U19" s="4">
        <v>2.75</v>
      </c>
      <c r="V19" s="4">
        <f t="shared" si="4"/>
        <v>1100000</v>
      </c>
      <c r="W19" s="5">
        <f>IFERROR((E19*M19)/(F19*M19),0)</f>
        <v>0.64212749999999996</v>
      </c>
      <c r="X19" s="4">
        <v>15</v>
      </c>
      <c r="Y19" s="4"/>
      <c r="Z19" s="4"/>
      <c r="AB19"/>
      <c r="AC19" s="1">
        <f>DATE(YEAR(B19),MONTH(B19)+4,DAY(B19))</f>
        <v>121</v>
      </c>
      <c r="AE19"/>
    </row>
    <row r="20" spans="1:31" x14ac:dyDescent="0.25">
      <c r="A20" s="29" t="s">
        <v>43</v>
      </c>
      <c r="B20" s="30">
        <v>44719</v>
      </c>
      <c r="C20" s="1">
        <v>44795</v>
      </c>
      <c r="D20" s="31">
        <v>951732</v>
      </c>
      <c r="E20" s="31">
        <v>979218</v>
      </c>
      <c r="F20" s="31">
        <v>1090000</v>
      </c>
      <c r="G20" s="4">
        <v>300</v>
      </c>
      <c r="H20" s="31">
        <v>1000</v>
      </c>
      <c r="I20" s="4">
        <v>0</v>
      </c>
      <c r="J20" s="4">
        <v>872</v>
      </c>
      <c r="K20" s="4">
        <v>1151</v>
      </c>
      <c r="L20" s="31">
        <f t="shared" si="0"/>
        <v>2023</v>
      </c>
      <c r="M20" s="31">
        <v>1914</v>
      </c>
      <c r="N20" s="31">
        <v>109</v>
      </c>
      <c r="O20" s="4">
        <v>811572010</v>
      </c>
      <c r="P20" s="4">
        <v>1075054705</v>
      </c>
      <c r="Q20" s="4">
        <v>1784974081</v>
      </c>
      <c r="R20" s="4">
        <v>101652634</v>
      </c>
      <c r="S20" s="5">
        <f t="shared" si="1"/>
        <v>0.94611962432031638</v>
      </c>
      <c r="T20" s="4">
        <v>968</v>
      </c>
      <c r="U20" s="31">
        <v>96.8</v>
      </c>
      <c r="V20" s="4">
        <f t="shared" si="4"/>
        <v>105512000</v>
      </c>
      <c r="W20" s="32">
        <f>IFERROR(1-(E20*M20)/(F20*M20),0)</f>
        <v>0.10163486238532116</v>
      </c>
      <c r="X20" s="4">
        <v>3.9</v>
      </c>
      <c r="Y20" s="2">
        <f>IFERROR(365/(X20*12),100)</f>
        <v>7.7991452991452999</v>
      </c>
      <c r="Z20" s="5">
        <f>IF(Y20&gt;10,0.9,IF(Y20&gt;5,0.6,IF(Y20&gt;1,0.2,0)))</f>
        <v>0.6</v>
      </c>
      <c r="AA20" s="31">
        <f>U20*AD20*(1+AE20)</f>
        <v>409.53959796984225</v>
      </c>
      <c r="AB20" s="33">
        <f>IF(N20&gt;AA20,0,IF(AA20&gt;N20,AA20-N20))</f>
        <v>300.53959796984225</v>
      </c>
      <c r="AC20" s="34">
        <f>EDATE(B20,4)</f>
        <v>44841</v>
      </c>
      <c r="AD20">
        <f>MONTH(AC20)-MONTH(B20)</f>
        <v>4</v>
      </c>
      <c r="AE20" s="35">
        <f t="shared" ref="AE20:AE23" si="6">S20*W20*Z20</f>
        <v>5.7695242690708262E-2</v>
      </c>
    </row>
    <row r="21" spans="1:31" x14ac:dyDescent="0.25">
      <c r="A21" s="29" t="s">
        <v>23</v>
      </c>
      <c r="B21" s="30">
        <v>44719</v>
      </c>
      <c r="C21" s="1">
        <v>44795</v>
      </c>
      <c r="D21" s="31">
        <v>230868</v>
      </c>
      <c r="E21" s="31">
        <v>274560</v>
      </c>
      <c r="F21" s="31">
        <v>430000</v>
      </c>
      <c r="G21" s="4">
        <v>500</v>
      </c>
      <c r="H21" s="31">
        <v>1000</v>
      </c>
      <c r="I21" s="4">
        <v>162</v>
      </c>
      <c r="J21" s="4">
        <v>633</v>
      </c>
      <c r="K21" s="4">
        <v>803</v>
      </c>
      <c r="L21" s="31">
        <f t="shared" si="0"/>
        <v>1436</v>
      </c>
      <c r="M21" s="31">
        <v>1315</v>
      </c>
      <c r="N21" s="31">
        <v>121</v>
      </c>
      <c r="O21" s="4">
        <v>181991846</v>
      </c>
      <c r="P21" s="4">
        <v>194370992</v>
      </c>
      <c r="Q21" s="4">
        <v>343853807</v>
      </c>
      <c r="R21" s="4">
        <v>32509031</v>
      </c>
      <c r="S21" s="5">
        <f t="shared" si="1"/>
        <v>0.91573816155988863</v>
      </c>
      <c r="T21" s="4">
        <v>917</v>
      </c>
      <c r="U21" s="31">
        <v>91.7</v>
      </c>
      <c r="V21" s="4">
        <f t="shared" si="4"/>
        <v>39431000</v>
      </c>
      <c r="W21" s="32">
        <f>IFERROR(1-(E21*M21)/(F21*M21),0)</f>
        <v>0.3614883720930232</v>
      </c>
      <c r="X21" s="4">
        <v>14</v>
      </c>
      <c r="Y21" s="2">
        <f>IFERROR(365/(X21*12),100)</f>
        <v>2.1726190476190474</v>
      </c>
      <c r="Z21" s="5">
        <f>IF(Y21&gt;10,0.9,IF(Y21&gt;5,0.6,IF(Y21&gt;1,0.2,0)))</f>
        <v>0.2</v>
      </c>
      <c r="AA21" s="31">
        <f>U21*AD21*(1+AE21)</f>
        <v>391.08426523288205</v>
      </c>
      <c r="AB21" s="33">
        <f>IF(N21&gt;AA21,0,IF(AA21&gt;N21,AA21-N21))</f>
        <v>270.08426523288205</v>
      </c>
      <c r="AC21" s="34">
        <f>EDATE(B21,4)</f>
        <v>44841</v>
      </c>
      <c r="AD21">
        <f>MONTH(AC21)-MONTH(B21)</f>
        <v>4</v>
      </c>
      <c r="AE21" s="35">
        <f t="shared" si="6"/>
        <v>6.6205739457148402E-2</v>
      </c>
    </row>
    <row r="22" spans="1:31" x14ac:dyDescent="0.25">
      <c r="A22" s="29" t="s">
        <v>47</v>
      </c>
      <c r="B22" s="30">
        <v>44719</v>
      </c>
      <c r="C22" s="1">
        <v>44795</v>
      </c>
      <c r="D22" s="31">
        <v>1223475</v>
      </c>
      <c r="E22" s="31">
        <v>1256487</v>
      </c>
      <c r="F22" s="31">
        <v>1500000</v>
      </c>
      <c r="G22" s="4">
        <v>17</v>
      </c>
      <c r="H22" s="31">
        <v>20</v>
      </c>
      <c r="I22" s="4">
        <v>17</v>
      </c>
      <c r="J22" s="4">
        <v>197</v>
      </c>
      <c r="K22" s="4">
        <v>32</v>
      </c>
      <c r="L22" s="31">
        <f t="shared" si="0"/>
        <v>229</v>
      </c>
      <c r="M22" s="31">
        <v>204</v>
      </c>
      <c r="N22" s="31">
        <v>25</v>
      </c>
      <c r="O22" s="4">
        <v>235583020</v>
      </c>
      <c r="P22" s="4">
        <v>37750621</v>
      </c>
      <c r="Q22" s="4">
        <v>244117553</v>
      </c>
      <c r="R22" s="4">
        <v>29216088</v>
      </c>
      <c r="S22" s="5">
        <f t="shared" si="1"/>
        <v>0.89082969432314407</v>
      </c>
      <c r="T22" s="4">
        <v>201</v>
      </c>
      <c r="U22" s="31">
        <v>22.333333333333329</v>
      </c>
      <c r="V22" s="4">
        <f t="shared" si="4"/>
        <v>33499999.999999993</v>
      </c>
      <c r="W22" s="32">
        <f>IFERROR(1-(E22*M22)/(F22*M22),0)</f>
        <v>0.16234199999999999</v>
      </c>
      <c r="X22" s="4">
        <v>3.1</v>
      </c>
      <c r="Y22" s="2">
        <f>IFERROR(365/(X22*12),100)</f>
        <v>9.8118279569892461</v>
      </c>
      <c r="Z22" s="5">
        <f>IF(Y22&gt;10,0.9,IF(Y22&gt;5,0.6,IF(Y22&gt;1,0.2,0)))</f>
        <v>0.6</v>
      </c>
      <c r="AA22" s="31">
        <f>U22*AD22*(1+AE22)</f>
        <v>97.084915712372606</v>
      </c>
      <c r="AB22" s="33">
        <f>IF(N22&gt;AA22,0,IF(AA22&gt;N22,AA22-N22))</f>
        <v>72.084915712372606</v>
      </c>
      <c r="AC22" s="34">
        <f>EDATE(B22,4)</f>
        <v>44841</v>
      </c>
      <c r="AD22">
        <f>MONTH(AC22)-MONTH(B22)</f>
        <v>4</v>
      </c>
      <c r="AE22" s="35">
        <f t="shared" si="6"/>
        <v>8.6771444541484694E-2</v>
      </c>
    </row>
    <row r="23" spans="1:31" x14ac:dyDescent="0.25">
      <c r="A23" s="29" t="s">
        <v>29</v>
      </c>
      <c r="B23" s="30">
        <v>44719</v>
      </c>
      <c r="C23" s="1">
        <v>44795</v>
      </c>
      <c r="D23" s="31">
        <v>397901</v>
      </c>
      <c r="E23" s="31">
        <v>415023</v>
      </c>
      <c r="F23" s="31">
        <v>550000</v>
      </c>
      <c r="G23" s="4">
        <v>300</v>
      </c>
      <c r="H23" s="31">
        <v>300</v>
      </c>
      <c r="I23" s="4">
        <v>0</v>
      </c>
      <c r="J23" s="4">
        <v>203</v>
      </c>
      <c r="K23" s="4">
        <v>7</v>
      </c>
      <c r="L23" s="31">
        <f t="shared" si="0"/>
        <v>210</v>
      </c>
      <c r="M23" s="31">
        <v>189</v>
      </c>
      <c r="N23" s="31">
        <v>21</v>
      </c>
      <c r="O23" s="4">
        <v>81591629</v>
      </c>
      <c r="P23" s="4">
        <v>2817659</v>
      </c>
      <c r="Q23" s="4">
        <v>74704055</v>
      </c>
      <c r="R23" s="4">
        <v>9705233</v>
      </c>
      <c r="S23" s="5">
        <f t="shared" si="1"/>
        <v>0.9</v>
      </c>
      <c r="T23" s="4">
        <v>187</v>
      </c>
      <c r="U23" s="31">
        <v>20.777777777777779</v>
      </c>
      <c r="V23" s="4">
        <f t="shared" si="4"/>
        <v>11427777.777777778</v>
      </c>
      <c r="W23" s="32">
        <f>IFERROR(1-(E23*M23)/(F23*M23),0)</f>
        <v>0.24541272727272723</v>
      </c>
      <c r="X23" s="4">
        <v>9.3000000000000007</v>
      </c>
      <c r="Y23" s="2">
        <f>IFERROR(365/(X23*12),100)</f>
        <v>3.2706093189964154</v>
      </c>
      <c r="Z23" s="5">
        <f>IF(Y23&gt;10,0.9,IF(Y23&gt;5,0.6,IF(Y23&gt;1,0.2,0)))</f>
        <v>0.2</v>
      </c>
      <c r="AA23" s="31">
        <f>U23*AD23*(1+AE23)</f>
        <v>86.782485511111119</v>
      </c>
      <c r="AB23" s="33">
        <f>IF(N23&gt;AA23,0,IF(AA23&gt;N23,AA23-N23))</f>
        <v>65.782485511111119</v>
      </c>
      <c r="AC23" s="34">
        <f>EDATE(B23,4)</f>
        <v>44841</v>
      </c>
      <c r="AD23">
        <f>MONTH(AC23)-MONTH(B23)</f>
        <v>4</v>
      </c>
      <c r="AE23" s="35">
        <f t="shared" si="6"/>
        <v>4.4174290909090905E-2</v>
      </c>
    </row>
    <row r="24" spans="1:31" hidden="1" x14ac:dyDescent="0.25">
      <c r="A24" t="s">
        <v>28</v>
      </c>
      <c r="C24" s="1">
        <v>44795</v>
      </c>
      <c r="D24" s="4">
        <v>416067</v>
      </c>
      <c r="E24" s="4">
        <v>390827</v>
      </c>
      <c r="F24" s="4">
        <v>500000</v>
      </c>
      <c r="G24" s="4">
        <v>300</v>
      </c>
      <c r="J24" s="4">
        <v>221</v>
      </c>
      <c r="K24" s="4">
        <v>308</v>
      </c>
      <c r="L24" s="4">
        <f t="shared" si="0"/>
        <v>529</v>
      </c>
      <c r="M24" s="4">
        <v>484</v>
      </c>
      <c r="N24" s="4">
        <v>45</v>
      </c>
      <c r="O24" s="4">
        <v>79063480</v>
      </c>
      <c r="P24" s="4">
        <v>118058876</v>
      </c>
      <c r="Q24" s="4">
        <v>180152862</v>
      </c>
      <c r="R24" s="4">
        <v>16969494</v>
      </c>
      <c r="S24" s="5">
        <f t="shared" si="1"/>
        <v>0.9149338374291115</v>
      </c>
      <c r="T24" s="4">
        <v>277</v>
      </c>
      <c r="U24" s="4">
        <v>27.7</v>
      </c>
      <c r="V24" s="4">
        <f t="shared" si="4"/>
        <v>13850000</v>
      </c>
      <c r="W24" s="5">
        <f>IFERROR((E24*M24)/(F24*M24),0)</f>
        <v>0.78165399999999996</v>
      </c>
      <c r="X24" s="4">
        <v>9.8000000000000007</v>
      </c>
      <c r="Y24" s="4"/>
      <c r="Z24" s="4"/>
      <c r="AB24"/>
      <c r="AC24" s="1">
        <f>DATE(YEAR(B24),MONTH(B24)+4,DAY(B24))</f>
        <v>121</v>
      </c>
      <c r="AE24"/>
    </row>
    <row r="25" spans="1:31" x14ac:dyDescent="0.25">
      <c r="A25" s="29" t="s">
        <v>34</v>
      </c>
      <c r="B25" s="30">
        <v>44719</v>
      </c>
      <c r="C25" s="1">
        <v>44795</v>
      </c>
      <c r="D25" s="31">
        <v>447607</v>
      </c>
      <c r="E25" s="31">
        <v>507965</v>
      </c>
      <c r="F25" s="31">
        <v>650000</v>
      </c>
      <c r="G25" s="4">
        <v>156</v>
      </c>
      <c r="H25" s="31">
        <v>800</v>
      </c>
      <c r="I25" s="4">
        <v>5</v>
      </c>
      <c r="J25" s="4">
        <v>752</v>
      </c>
      <c r="K25" s="4">
        <v>1050</v>
      </c>
      <c r="L25" s="31">
        <f t="shared" si="0"/>
        <v>1802</v>
      </c>
      <c r="M25" s="31">
        <v>1457</v>
      </c>
      <c r="N25" s="31">
        <v>345</v>
      </c>
      <c r="O25" s="4">
        <v>366525420</v>
      </c>
      <c r="P25" s="4">
        <v>502657988</v>
      </c>
      <c r="Q25" s="4">
        <v>704861936</v>
      </c>
      <c r="R25" s="4">
        <v>164321472</v>
      </c>
      <c r="S25" s="5">
        <f t="shared" si="1"/>
        <v>0.80854605993340734</v>
      </c>
      <c r="T25" s="4">
        <v>957</v>
      </c>
      <c r="U25" s="31">
        <v>95.7</v>
      </c>
      <c r="V25" s="4">
        <f t="shared" si="4"/>
        <v>62205000</v>
      </c>
      <c r="W25" s="32">
        <f>IFERROR(1-(E25*M25)/(F25*M25),0)</f>
        <v>0.21851538461538467</v>
      </c>
      <c r="X25" s="4">
        <v>7.6</v>
      </c>
      <c r="Y25" s="2">
        <f>IFERROR(365/(X25*12),100)</f>
        <v>4.0021929824561404</v>
      </c>
      <c r="Z25" s="5">
        <f>IF(Y25&gt;10,0.9,IF(Y25&gt;5,0.6,IF(Y25&gt;1,0.2,0)))</f>
        <v>0.2</v>
      </c>
      <c r="AA25" s="31">
        <f>U25*AD25*(1+AE25)</f>
        <v>396.32660191001457</v>
      </c>
      <c r="AB25" s="33">
        <f>IF(N25&gt;AA25,0,IF(AA25&gt;N25,AA25-N25))</f>
        <v>51.326601910014574</v>
      </c>
      <c r="AC25" s="34">
        <f>EDATE(B25,4)</f>
        <v>44841</v>
      </c>
      <c r="AD25">
        <f>MONTH(AC25)-MONTH(B25)</f>
        <v>4</v>
      </c>
      <c r="AE25" s="35">
        <f t="shared" ref="AE25:AE28" si="7">S25*W25*Z25</f>
        <v>3.5335950653120472E-2</v>
      </c>
    </row>
    <row r="26" spans="1:31" x14ac:dyDescent="0.25">
      <c r="A26" s="29" t="s">
        <v>44</v>
      </c>
      <c r="B26" s="30">
        <v>44719</v>
      </c>
      <c r="C26" s="1">
        <v>44795</v>
      </c>
      <c r="D26" s="31">
        <v>996897</v>
      </c>
      <c r="E26" s="31">
        <v>1031645</v>
      </c>
      <c r="F26" s="31">
        <v>1400000</v>
      </c>
      <c r="G26" s="4">
        <v>36</v>
      </c>
      <c r="H26" s="31">
        <v>40</v>
      </c>
      <c r="I26" s="4">
        <v>3</v>
      </c>
      <c r="J26" s="4">
        <v>10</v>
      </c>
      <c r="K26" s="4">
        <v>68</v>
      </c>
      <c r="L26" s="31">
        <f t="shared" si="0"/>
        <v>78</v>
      </c>
      <c r="M26" s="31">
        <v>75</v>
      </c>
      <c r="N26" s="31">
        <v>3</v>
      </c>
      <c r="O26" s="4">
        <v>9807923</v>
      </c>
      <c r="P26" s="4">
        <v>66828540</v>
      </c>
      <c r="Q26" s="4">
        <v>73688908</v>
      </c>
      <c r="R26" s="4">
        <v>2947555</v>
      </c>
      <c r="S26" s="5">
        <f t="shared" si="1"/>
        <v>0.96153846153846156</v>
      </c>
      <c r="T26" s="4">
        <v>41</v>
      </c>
      <c r="U26" s="31">
        <v>6.833333333333333</v>
      </c>
      <c r="V26" s="4">
        <f t="shared" si="4"/>
        <v>9566666.666666666</v>
      </c>
      <c r="W26" s="32">
        <f>IFERROR(1-(E26*M26)/(F26*M26),0)</f>
        <v>0.26311071428571431</v>
      </c>
      <c r="X26" s="4">
        <v>3.7</v>
      </c>
      <c r="Y26" s="2">
        <f>IFERROR(365/(X26*12),100)</f>
        <v>8.2207207207207205</v>
      </c>
      <c r="Z26" s="5">
        <f>IF(Y26&gt;10,0.9,IF(Y26&gt;5,0.6,IF(Y26&gt;1,0.2,0)))</f>
        <v>0.6</v>
      </c>
      <c r="AA26" s="31">
        <f>U26*AD26*(1+AE26)</f>
        <v>31.482386904761903</v>
      </c>
      <c r="AB26" s="33">
        <f>IF(N26&gt;AA26,0,IF(AA26&gt;N26,AA26-N26))</f>
        <v>28.482386904761903</v>
      </c>
      <c r="AC26" s="34">
        <f>EDATE(B26,4)</f>
        <v>44841</v>
      </c>
      <c r="AD26">
        <f>MONTH(AC26)-MONTH(B26)</f>
        <v>4</v>
      </c>
      <c r="AE26" s="35">
        <f t="shared" si="7"/>
        <v>0.15179464285714286</v>
      </c>
    </row>
    <row r="27" spans="1:31" x14ac:dyDescent="0.25">
      <c r="A27" s="29" t="s">
        <v>55</v>
      </c>
      <c r="B27" s="30">
        <v>44719</v>
      </c>
      <c r="C27" s="1">
        <v>44795</v>
      </c>
      <c r="D27" s="31">
        <v>379229</v>
      </c>
      <c r="E27" s="31">
        <v>961376</v>
      </c>
      <c r="F27" s="31">
        <v>1000000</v>
      </c>
      <c r="G27" s="4">
        <v>200</v>
      </c>
      <c r="H27" s="31">
        <v>200</v>
      </c>
      <c r="I27" s="4">
        <v>0</v>
      </c>
      <c r="J27" s="4">
        <v>19</v>
      </c>
      <c r="K27" s="4">
        <v>2</v>
      </c>
      <c r="L27" s="31">
        <f t="shared" si="0"/>
        <v>21</v>
      </c>
      <c r="M27" s="31">
        <v>21</v>
      </c>
      <c r="N27" s="31">
        <v>0</v>
      </c>
      <c r="O27" s="4">
        <v>17396331</v>
      </c>
      <c r="P27" s="4">
        <v>1831192</v>
      </c>
      <c r="Q27" s="4">
        <v>19227523</v>
      </c>
      <c r="R27" s="4">
        <v>0</v>
      </c>
      <c r="S27" s="5">
        <f t="shared" si="1"/>
        <v>1</v>
      </c>
      <c r="T27" s="4">
        <v>20</v>
      </c>
      <c r="U27" s="31">
        <v>6.666666666666667</v>
      </c>
      <c r="V27" s="4">
        <f t="shared" si="4"/>
        <v>6666666.666666667</v>
      </c>
      <c r="W27" s="32">
        <f>IFERROR(1-(E27*M27)/(F27*M27),0)</f>
        <v>3.8623999999999992E-2</v>
      </c>
      <c r="X27" s="4">
        <v>0</v>
      </c>
      <c r="Y27" s="2">
        <f>IFERROR(365/(X27*12),100)</f>
        <v>100</v>
      </c>
      <c r="Z27" s="5">
        <f>IF(Y27&gt;10,0.9,IF(Y27&gt;5,0.6,IF(Y27&gt;1,0.2,0)))</f>
        <v>0.9</v>
      </c>
      <c r="AA27" s="31">
        <f>U27*AD27*(1+AE27)</f>
        <v>27.593642666666668</v>
      </c>
      <c r="AB27" s="33">
        <f>IF(N27&gt;AA27,0,IF(AA27&gt;N27,AA27-N27))</f>
        <v>27.593642666666668</v>
      </c>
      <c r="AC27" s="34">
        <f>EDATE(B27,4)</f>
        <v>44841</v>
      </c>
      <c r="AD27">
        <f>MONTH(AC27)-MONTH(B27)</f>
        <v>4</v>
      </c>
      <c r="AE27" s="35">
        <f t="shared" si="7"/>
        <v>3.4761599999999997E-2</v>
      </c>
    </row>
    <row r="28" spans="1:31" x14ac:dyDescent="0.25">
      <c r="A28" s="29" t="s">
        <v>24</v>
      </c>
      <c r="B28" s="30">
        <v>44719</v>
      </c>
      <c r="C28" s="1">
        <v>44795</v>
      </c>
      <c r="D28" s="31">
        <v>287639</v>
      </c>
      <c r="E28" s="31">
        <v>304531</v>
      </c>
      <c r="F28" s="31">
        <v>400000</v>
      </c>
      <c r="G28" s="4">
        <v>20</v>
      </c>
      <c r="H28" s="31">
        <v>20</v>
      </c>
      <c r="I28" s="4">
        <v>0</v>
      </c>
      <c r="J28" s="4">
        <v>32</v>
      </c>
      <c r="K28" s="4">
        <v>42</v>
      </c>
      <c r="L28" s="31">
        <f t="shared" si="0"/>
        <v>74</v>
      </c>
      <c r="M28" s="31">
        <v>65</v>
      </c>
      <c r="N28" s="31">
        <v>9</v>
      </c>
      <c r="O28" s="4">
        <v>9529704</v>
      </c>
      <c r="P28" s="4">
        <v>11955576</v>
      </c>
      <c r="Q28" s="4">
        <v>18851928</v>
      </c>
      <c r="R28" s="4">
        <v>2633352</v>
      </c>
      <c r="S28" s="5">
        <f t="shared" si="1"/>
        <v>0.8783783783783784</v>
      </c>
      <c r="T28" s="4">
        <v>45</v>
      </c>
      <c r="U28" s="31">
        <v>5.625</v>
      </c>
      <c r="V28" s="4">
        <f t="shared" si="4"/>
        <v>2250000</v>
      </c>
      <c r="W28" s="32">
        <f>IFERROR(1-(E28*M28)/(F28*M28),0)</f>
        <v>0.23867249999999995</v>
      </c>
      <c r="X28" s="4">
        <v>12.6</v>
      </c>
      <c r="Y28" s="2">
        <f>IFERROR(365/(X28*12),100)</f>
        <v>2.4140211640211642</v>
      </c>
      <c r="Z28" s="5">
        <f>IF(Y28&gt;10,0.9,IF(Y28&gt;5,0.6,IF(Y28&gt;1,0.2,0)))</f>
        <v>0.2</v>
      </c>
      <c r="AA28" s="31">
        <f>U28*AD28*(1+AE28)</f>
        <v>23.443401435810809</v>
      </c>
      <c r="AB28" s="33">
        <f>IF(N28&gt;AA28,0,IF(AA28&gt;N28,AA28-N28))</f>
        <v>14.443401435810809</v>
      </c>
      <c r="AC28" s="34">
        <f>EDATE(B28,4)</f>
        <v>44841</v>
      </c>
      <c r="AD28">
        <f>MONTH(AC28)-MONTH(B28)</f>
        <v>4</v>
      </c>
      <c r="AE28" s="35">
        <f t="shared" si="7"/>
        <v>4.1928952702702693E-2</v>
      </c>
    </row>
    <row r="29" spans="1:31" hidden="1" x14ac:dyDescent="0.25">
      <c r="A29" t="s">
        <v>38</v>
      </c>
      <c r="C29" s="1">
        <v>44795</v>
      </c>
      <c r="D29" s="4">
        <v>781672</v>
      </c>
      <c r="E29" s="4">
        <v>790861</v>
      </c>
      <c r="F29" s="4">
        <v>950000</v>
      </c>
      <c r="G29" s="4">
        <v>250</v>
      </c>
      <c r="J29" s="4">
        <v>105</v>
      </c>
      <c r="K29" s="4">
        <v>789</v>
      </c>
      <c r="L29" s="4">
        <f t="shared" si="0"/>
        <v>894</v>
      </c>
      <c r="M29" s="4">
        <v>749</v>
      </c>
      <c r="N29" s="4">
        <v>145</v>
      </c>
      <c r="O29" s="4">
        <v>81171746</v>
      </c>
      <c r="P29" s="4">
        <v>592333746</v>
      </c>
      <c r="Q29" s="4">
        <v>564147744</v>
      </c>
      <c r="R29" s="4">
        <v>109357748</v>
      </c>
      <c r="S29" s="5">
        <f t="shared" si="1"/>
        <v>0.8378076062639821</v>
      </c>
      <c r="T29" s="4">
        <v>331</v>
      </c>
      <c r="U29" s="4">
        <v>36.777777777777779</v>
      </c>
      <c r="V29" s="4">
        <f t="shared" si="4"/>
        <v>34938888.888888888</v>
      </c>
      <c r="W29" s="5">
        <f>IFERROR((E29*M29)/(F29*M29),0)</f>
        <v>0.83248526315789473</v>
      </c>
      <c r="X29" s="4">
        <v>4.9000000000000004</v>
      </c>
      <c r="Y29" s="4"/>
      <c r="Z29" s="4"/>
      <c r="AB29"/>
      <c r="AC29" s="1">
        <f>DATE(YEAR(B29),MONTH(B29)+4,DAY(B29))</f>
        <v>121</v>
      </c>
      <c r="AE29"/>
    </row>
    <row r="30" spans="1:31" x14ac:dyDescent="0.25">
      <c r="A30" s="29" t="s">
        <v>27</v>
      </c>
      <c r="B30" s="30">
        <v>44719</v>
      </c>
      <c r="C30" s="1">
        <v>44795</v>
      </c>
      <c r="D30" s="31">
        <v>345167</v>
      </c>
      <c r="E30" s="31">
        <v>382602</v>
      </c>
      <c r="F30" s="31">
        <v>600000</v>
      </c>
      <c r="G30" s="4">
        <v>100</v>
      </c>
      <c r="H30" s="31">
        <v>100</v>
      </c>
      <c r="I30" s="4">
        <v>0</v>
      </c>
      <c r="J30" s="4">
        <v>35</v>
      </c>
      <c r="K30" s="4">
        <v>89</v>
      </c>
      <c r="L30" s="31">
        <f t="shared" si="0"/>
        <v>124</v>
      </c>
      <c r="M30" s="31">
        <v>107</v>
      </c>
      <c r="N30" s="31">
        <v>17</v>
      </c>
      <c r="O30" s="4">
        <v>12395891</v>
      </c>
      <c r="P30" s="4">
        <v>32718031</v>
      </c>
      <c r="Q30" s="4">
        <v>38988917</v>
      </c>
      <c r="R30" s="4">
        <v>6125005</v>
      </c>
      <c r="S30" s="5">
        <f t="shared" si="1"/>
        <v>0.86290322580645162</v>
      </c>
      <c r="T30" s="4">
        <v>52</v>
      </c>
      <c r="U30" s="31">
        <v>5.7777777777777777</v>
      </c>
      <c r="V30" s="4">
        <f t="shared" si="4"/>
        <v>3466666.6666666665</v>
      </c>
      <c r="W30" s="32">
        <f>IFERROR(1-(E30*M30)/(F30*M30),0)</f>
        <v>0.36233000000000004</v>
      </c>
      <c r="X30" s="4">
        <v>10</v>
      </c>
      <c r="Y30" s="2">
        <f>IFERROR(365/(X30*12),100)</f>
        <v>3.0416666666666665</v>
      </c>
      <c r="Z30" s="5">
        <f>IF(Y30&gt;10,0.9,IF(Y30&gt;5,0.6,IF(Y30&gt;1,0.2,0)))</f>
        <v>0.2</v>
      </c>
      <c r="AA30" s="31">
        <f>U30*AD30*(1+AE30)</f>
        <v>24.556275354838711</v>
      </c>
      <c r="AB30" s="33">
        <f>IF(N30&gt;AA30,0,IF(AA30&gt;N30,AA30-N30))</f>
        <v>7.5562753548387107</v>
      </c>
      <c r="AC30" s="34">
        <f>EDATE(B30,4)</f>
        <v>44841</v>
      </c>
      <c r="AD30">
        <f>MONTH(AC30)-MONTH(B30)</f>
        <v>4</v>
      </c>
      <c r="AE30" s="35">
        <f t="shared" ref="AE30:AE31" si="8">S30*W30*Z30</f>
        <v>6.2531145161290339E-2</v>
      </c>
    </row>
    <row r="31" spans="1:31" x14ac:dyDescent="0.25">
      <c r="A31" s="29" t="s">
        <v>40</v>
      </c>
      <c r="B31" s="30">
        <v>44719</v>
      </c>
      <c r="C31" s="1">
        <v>44795</v>
      </c>
      <c r="D31" s="31">
        <v>821285</v>
      </c>
      <c r="E31" s="31">
        <v>833670</v>
      </c>
      <c r="F31" s="31">
        <v>1100000</v>
      </c>
      <c r="G31" s="4">
        <v>50</v>
      </c>
      <c r="H31" s="31">
        <v>70</v>
      </c>
      <c r="I31" s="4">
        <v>50</v>
      </c>
      <c r="J31" s="4">
        <v>15</v>
      </c>
      <c r="K31" s="4">
        <v>135</v>
      </c>
      <c r="L31" s="31">
        <f t="shared" si="0"/>
        <v>150</v>
      </c>
      <c r="M31" s="31">
        <v>114</v>
      </c>
      <c r="N31" s="31">
        <v>36</v>
      </c>
      <c r="O31" s="4">
        <v>11970402</v>
      </c>
      <c r="P31" s="4">
        <v>106742574</v>
      </c>
      <c r="Q31" s="4">
        <v>90512785</v>
      </c>
      <c r="R31" s="4">
        <v>28200191</v>
      </c>
      <c r="S31" s="5">
        <f t="shared" si="1"/>
        <v>0.76</v>
      </c>
      <c r="T31" s="4">
        <v>74</v>
      </c>
      <c r="U31" s="31">
        <v>9.25</v>
      </c>
      <c r="V31" s="4">
        <f t="shared" si="4"/>
        <v>10175000</v>
      </c>
      <c r="W31" s="32">
        <f>IFERROR(1-(E31*M31)/(F31*M31),0)</f>
        <v>0.24211818181818179</v>
      </c>
      <c r="X31" s="4">
        <v>4.5999999999999996</v>
      </c>
      <c r="Y31" s="2">
        <f>IFERROR(365/(X31*12),100)</f>
        <v>6.6123188405797109</v>
      </c>
      <c r="Z31" s="5">
        <f>IF(Y31&gt;10,0.9,IF(Y31&gt;5,0.6,IF(Y31&gt;1,0.2,0)))</f>
        <v>0.6</v>
      </c>
      <c r="AA31" s="31">
        <f>U31*AD31*(1+AE31)</f>
        <v>41.085017963636361</v>
      </c>
      <c r="AB31" s="33">
        <f>IF(N31&gt;AA31,0,IF(AA31&gt;N31,AA31-N31))</f>
        <v>5.0850179636363606</v>
      </c>
      <c r="AC31" s="34">
        <f>EDATE(B31,4)</f>
        <v>44841</v>
      </c>
      <c r="AD31">
        <f>MONTH(AC31)-MONTH(B31)</f>
        <v>4</v>
      </c>
      <c r="AE31" s="35">
        <f t="shared" si="8"/>
        <v>0.11040589090909089</v>
      </c>
    </row>
    <row r="32" spans="1:31" hidden="1" x14ac:dyDescent="0.25">
      <c r="A32" t="s">
        <v>33</v>
      </c>
      <c r="C32" s="1">
        <v>44795</v>
      </c>
      <c r="D32" s="4">
        <v>487220</v>
      </c>
      <c r="E32" s="4">
        <v>494299</v>
      </c>
      <c r="F32" s="4">
        <v>700000</v>
      </c>
      <c r="G32" s="4">
        <v>300</v>
      </c>
      <c r="J32" s="4">
        <v>2</v>
      </c>
      <c r="K32" s="4">
        <v>479</v>
      </c>
      <c r="L32" s="4">
        <f t="shared" si="0"/>
        <v>481</v>
      </c>
      <c r="M32" s="4">
        <v>361</v>
      </c>
      <c r="N32" s="4">
        <v>120</v>
      </c>
      <c r="O32" s="4">
        <v>958397</v>
      </c>
      <c r="P32" s="4">
        <v>225016207</v>
      </c>
      <c r="Q32" s="4">
        <v>169944556</v>
      </c>
      <c r="R32" s="4">
        <v>56030048</v>
      </c>
      <c r="S32" s="5">
        <f t="shared" si="1"/>
        <v>0.75051975051975051</v>
      </c>
      <c r="T32" s="4">
        <v>262</v>
      </c>
      <c r="U32" s="4">
        <v>43.666666666666657</v>
      </c>
      <c r="V32" s="4">
        <f t="shared" si="4"/>
        <v>30566666.66666666</v>
      </c>
      <c r="W32" s="5">
        <f>IFERROR((E32*M32)/(F32*M32),0)</f>
        <v>0.70614142857142859</v>
      </c>
      <c r="X32" s="4">
        <v>7.8</v>
      </c>
      <c r="Y32" s="4"/>
      <c r="Z32" s="4"/>
      <c r="AB32"/>
      <c r="AC32" s="1">
        <f>DATE(YEAR(B32),MONTH(B32)+4,DAY(B32))</f>
        <v>121</v>
      </c>
      <c r="AE32"/>
    </row>
    <row r="33" spans="1:31" x14ac:dyDescent="0.25">
      <c r="A33" s="29" t="s">
        <v>39</v>
      </c>
      <c r="B33" s="30">
        <v>44719</v>
      </c>
      <c r="C33" s="1">
        <v>44795</v>
      </c>
      <c r="D33" s="31">
        <v>781672</v>
      </c>
      <c r="E33" s="31">
        <v>812040</v>
      </c>
      <c r="F33" s="31">
        <v>1130000</v>
      </c>
      <c r="G33" s="4">
        <v>4</v>
      </c>
      <c r="H33" s="31">
        <v>1</v>
      </c>
      <c r="I33" s="4">
        <v>3</v>
      </c>
      <c r="J33" s="4">
        <v>2</v>
      </c>
      <c r="K33" s="4">
        <v>4</v>
      </c>
      <c r="L33" s="31">
        <f t="shared" si="0"/>
        <v>6</v>
      </c>
      <c r="M33" s="31">
        <v>3</v>
      </c>
      <c r="N33" s="31">
        <v>3</v>
      </c>
      <c r="O33" s="4">
        <v>1597010</v>
      </c>
      <c r="P33" s="4">
        <v>2959893</v>
      </c>
      <c r="Q33" s="4">
        <v>2320113</v>
      </c>
      <c r="R33" s="4">
        <v>2236790</v>
      </c>
      <c r="S33" s="5">
        <f t="shared" si="1"/>
        <v>0.5</v>
      </c>
      <c r="T33" s="4">
        <v>2</v>
      </c>
      <c r="U33" s="31">
        <v>1</v>
      </c>
      <c r="V33" s="4">
        <f t="shared" si="4"/>
        <v>1130000</v>
      </c>
      <c r="W33" s="32">
        <f>IFERROR(1-(E33*M33)/(F33*M33),0)</f>
        <v>0.28138053097345128</v>
      </c>
      <c r="X33" s="4">
        <v>4.7</v>
      </c>
      <c r="Y33" s="2">
        <f>IFERROR(365/(X33*12),100)</f>
        <v>6.4716312056737584</v>
      </c>
      <c r="Z33" s="5">
        <f>IF(Y33&gt;10,0.9,IF(Y33&gt;5,0.6,IF(Y33&gt;1,0.2,0)))</f>
        <v>0.6</v>
      </c>
      <c r="AA33" s="31">
        <f>U33*AD33*(1+AE33)</f>
        <v>4.3376566371681413</v>
      </c>
      <c r="AB33" s="33">
        <f>IF(N33&gt;AA33,0,IF(AA33&gt;N33,AA33-N33))</f>
        <v>1.3376566371681413</v>
      </c>
      <c r="AC33" s="34">
        <f>EDATE(B33,4)</f>
        <v>44841</v>
      </c>
      <c r="AD33">
        <f>MONTH(AC33)-MONTH(B33)</f>
        <v>4</v>
      </c>
      <c r="AE33" s="35">
        <f t="shared" ref="AE33:AE35" si="9">S33*W33*Z33</f>
        <v>8.4414159292035384E-2</v>
      </c>
    </row>
    <row r="34" spans="1:31" x14ac:dyDescent="0.25">
      <c r="A34" s="29" t="s">
        <v>19</v>
      </c>
      <c r="B34" s="30">
        <v>44719</v>
      </c>
      <c r="C34" s="1">
        <v>44795</v>
      </c>
      <c r="D34" s="31">
        <v>42137</v>
      </c>
      <c r="E34" s="31">
        <v>34612</v>
      </c>
      <c r="F34" s="31">
        <v>100000</v>
      </c>
      <c r="G34" s="4">
        <v>20</v>
      </c>
      <c r="H34" s="31">
        <v>20</v>
      </c>
      <c r="I34" s="4">
        <v>0</v>
      </c>
      <c r="J34" s="4">
        <v>5</v>
      </c>
      <c r="K34" s="4">
        <v>28</v>
      </c>
      <c r="L34" s="31">
        <f t="shared" ref="L34:L52" si="10">SUM(J34:K34)</f>
        <v>33</v>
      </c>
      <c r="M34" s="31">
        <v>24</v>
      </c>
      <c r="N34" s="31">
        <v>9</v>
      </c>
      <c r="O34" s="4">
        <v>207975</v>
      </c>
      <c r="P34" s="4">
        <v>859372</v>
      </c>
      <c r="Q34" s="4">
        <v>791123</v>
      </c>
      <c r="R34" s="4">
        <v>276224</v>
      </c>
      <c r="S34" s="5">
        <f t="shared" ref="S34:S52" si="11">IFERROR(M34/L34,0)</f>
        <v>0.72727272727272729</v>
      </c>
      <c r="T34" s="4">
        <v>19</v>
      </c>
      <c r="U34" s="31">
        <v>2.375</v>
      </c>
      <c r="V34" s="4">
        <f t="shared" si="4"/>
        <v>237500</v>
      </c>
      <c r="W34" s="32">
        <f>IFERROR(1-(E34*M34)/(F34*M34),0)</f>
        <v>0.65388000000000002</v>
      </c>
      <c r="X34" s="4">
        <v>111</v>
      </c>
      <c r="Y34" s="2">
        <f>IFERROR(365/(X34*12),100)</f>
        <v>0.27402402402402404</v>
      </c>
      <c r="Z34" s="5">
        <f>IF(Y34&gt;10,0.9,IF(Y34&gt;5,0.6,IF(Y34&gt;1,0.2,0)))</f>
        <v>0</v>
      </c>
      <c r="AA34" s="31">
        <f>U34*AD34*(1+AE34)</f>
        <v>9.5</v>
      </c>
      <c r="AB34" s="33">
        <f>IF(N34&gt;AA34,0,IF(AA34&gt;N34,AA34-N34))</f>
        <v>0.5</v>
      </c>
      <c r="AC34" s="34">
        <f>EDATE(B34,4)</f>
        <v>44841</v>
      </c>
      <c r="AD34">
        <f>MONTH(AC34)-MONTH(B34)</f>
        <v>4</v>
      </c>
      <c r="AE34" s="35">
        <f t="shared" si="9"/>
        <v>0</v>
      </c>
    </row>
    <row r="35" spans="1:31" x14ac:dyDescent="0.25">
      <c r="A35" s="29" t="s">
        <v>50</v>
      </c>
      <c r="B35" s="30">
        <v>44719</v>
      </c>
      <c r="C35" s="1">
        <v>44795</v>
      </c>
      <c r="D35" s="31">
        <v>317160</v>
      </c>
      <c r="E35" s="31">
        <v>324015</v>
      </c>
      <c r="F35" s="31">
        <v>420000</v>
      </c>
      <c r="G35" s="4">
        <v>6</v>
      </c>
      <c r="H35" s="31">
        <v>6</v>
      </c>
      <c r="I35" s="4">
        <v>0</v>
      </c>
      <c r="J35" s="4">
        <v>0</v>
      </c>
      <c r="K35" s="4">
        <v>114</v>
      </c>
      <c r="L35" s="31">
        <f t="shared" si="10"/>
        <v>114</v>
      </c>
      <c r="M35" s="31">
        <v>78</v>
      </c>
      <c r="N35" s="31">
        <v>36</v>
      </c>
      <c r="O35" s="4">
        <v>0</v>
      </c>
      <c r="P35" s="4">
        <v>35178766</v>
      </c>
      <c r="Q35" s="4">
        <v>24069681</v>
      </c>
      <c r="R35" s="4">
        <v>11109085</v>
      </c>
      <c r="S35" s="5">
        <f t="shared" si="11"/>
        <v>0.68421052631578949</v>
      </c>
      <c r="T35" s="4">
        <v>24</v>
      </c>
      <c r="U35" s="31">
        <v>6</v>
      </c>
      <c r="V35" s="4">
        <f t="shared" si="4"/>
        <v>2520000</v>
      </c>
      <c r="W35" s="32">
        <f>IFERROR(1-(E35*M35)/(F35*M35),0)</f>
        <v>0.22853571428571429</v>
      </c>
      <c r="X35" s="4">
        <v>0</v>
      </c>
      <c r="Y35" s="2">
        <f>IFERROR(365/(X35*12),100)</f>
        <v>100</v>
      </c>
      <c r="Z35" s="5">
        <f>IF(Y35&gt;10,0.9,IF(Y35&gt;5,0.6,IF(Y35&gt;1,0.2,0)))</f>
        <v>0.9</v>
      </c>
      <c r="AA35" s="31">
        <f>U35*AD35*(1+AE35)</f>
        <v>27.377517293233083</v>
      </c>
      <c r="AB35" s="33">
        <f>IF(N35&gt;AA35,0,IF(AA35&gt;N35,AA35-N35))</f>
        <v>0</v>
      </c>
      <c r="AC35" s="34">
        <f>EDATE(B35,4)</f>
        <v>44841</v>
      </c>
      <c r="AD35">
        <f>MONTH(AC35)-MONTH(B35)</f>
        <v>4</v>
      </c>
      <c r="AE35" s="35">
        <f t="shared" si="9"/>
        <v>0.14072988721804511</v>
      </c>
    </row>
    <row r="36" spans="1:31" hidden="1" x14ac:dyDescent="0.25">
      <c r="A36" t="s">
        <v>54</v>
      </c>
      <c r="C36" s="1">
        <v>44795</v>
      </c>
      <c r="D36" s="4">
        <v>713799</v>
      </c>
      <c r="E36" s="4">
        <v>717424</v>
      </c>
      <c r="F36" s="4">
        <v>800000</v>
      </c>
      <c r="G36" s="4">
        <v>3</v>
      </c>
      <c r="J36" s="4">
        <v>0</v>
      </c>
      <c r="K36" s="4">
        <v>7</v>
      </c>
      <c r="L36" s="4">
        <f t="shared" si="10"/>
        <v>7</v>
      </c>
      <c r="M36" s="4">
        <v>5</v>
      </c>
      <c r="N36" s="4">
        <v>2</v>
      </c>
      <c r="O36" s="4">
        <v>0</v>
      </c>
      <c r="P36" s="4">
        <v>4784865</v>
      </c>
      <c r="Q36" s="4">
        <v>3416305</v>
      </c>
      <c r="R36" s="4">
        <v>1368560</v>
      </c>
      <c r="S36" s="5">
        <f t="shared" si="11"/>
        <v>0.7142857142857143</v>
      </c>
      <c r="T36" s="4">
        <v>2</v>
      </c>
      <c r="U36" s="4">
        <v>1</v>
      </c>
      <c r="V36" s="4">
        <f t="shared" si="4"/>
        <v>800000</v>
      </c>
      <c r="W36" s="5">
        <f>IFERROR((E36*M36)/(F36*M36),0)</f>
        <v>0.89678000000000002</v>
      </c>
      <c r="X36" s="4">
        <v>0</v>
      </c>
      <c r="Y36" s="4"/>
      <c r="Z36" s="4"/>
      <c r="AB36"/>
      <c r="AC36" s="1">
        <f>DATE(YEAR(B36),MONTH(B36)+4,DAY(B36))</f>
        <v>121</v>
      </c>
      <c r="AE36"/>
    </row>
    <row r="37" spans="1:31" x14ac:dyDescent="0.25">
      <c r="A37" s="29" t="s">
        <v>48</v>
      </c>
      <c r="B37" s="30">
        <v>44719</v>
      </c>
      <c r="C37" s="1">
        <v>44795</v>
      </c>
      <c r="D37" s="31">
        <v>1325663</v>
      </c>
      <c r="E37" s="31">
        <v>1346232</v>
      </c>
      <c r="F37" s="31">
        <v>1550000</v>
      </c>
      <c r="G37" s="4">
        <v>24</v>
      </c>
      <c r="H37" s="31">
        <v>150</v>
      </c>
      <c r="I37" s="4">
        <v>24</v>
      </c>
      <c r="J37" s="4">
        <v>163</v>
      </c>
      <c r="K37" s="4">
        <v>371</v>
      </c>
      <c r="L37" s="31">
        <f t="shared" si="10"/>
        <v>534</v>
      </c>
      <c r="M37" s="31">
        <v>365</v>
      </c>
      <c r="N37" s="31">
        <v>169</v>
      </c>
      <c r="O37" s="4">
        <v>212034936</v>
      </c>
      <c r="P37" s="4">
        <v>472523238</v>
      </c>
      <c r="Q37" s="4">
        <v>467975960</v>
      </c>
      <c r="R37" s="4">
        <v>216582214</v>
      </c>
      <c r="S37" s="5">
        <f t="shared" si="11"/>
        <v>0.68352059925093633</v>
      </c>
      <c r="T37" s="4">
        <v>179</v>
      </c>
      <c r="U37" s="31">
        <v>17.899999999999999</v>
      </c>
      <c r="V37" s="4">
        <f t="shared" si="4"/>
        <v>27744999.999999996</v>
      </c>
      <c r="W37" s="32">
        <f t="shared" ref="W37:W43" si="12">IFERROR(1-(E37*M37)/(F37*M37),0)</f>
        <v>0.13146322580645164</v>
      </c>
      <c r="X37" s="4">
        <v>2.9</v>
      </c>
      <c r="Y37" s="2">
        <f t="shared" ref="Y37:Y43" si="13">IFERROR(365/(X37*12),100)</f>
        <v>10.488505747126437</v>
      </c>
      <c r="Z37" s="5">
        <f t="shared" ref="Z37:Z43" si="14">IF(Y37&gt;10,0.9,IF(Y37&gt;5,0.6,IF(Y37&gt;1,0.2,0)))</f>
        <v>0.9</v>
      </c>
      <c r="AA37" s="31">
        <f t="shared" ref="AA37:AA43" si="15">U37*AD37*(1+AE37)</f>
        <v>77.390438106560353</v>
      </c>
      <c r="AB37" s="33">
        <f t="shared" ref="AB37:AB43" si="16">IF(N37&gt;AA37,0,IF(AA37&gt;N37,AA37-N37))</f>
        <v>0</v>
      </c>
      <c r="AC37" s="34">
        <f t="shared" ref="AC37:AC43" si="17">EDATE(B37,4)</f>
        <v>44841</v>
      </c>
      <c r="AD37">
        <f t="shared" ref="AD37:AD43" si="18">MONTH(AC37)-MONTH(B37)</f>
        <v>4</v>
      </c>
      <c r="AE37" s="35">
        <f t="shared" ref="AE37:AE43" si="19">S37*W37*Z37</f>
        <v>8.0872040594418285E-2</v>
      </c>
    </row>
    <row r="38" spans="1:31" x14ac:dyDescent="0.25">
      <c r="A38" s="29" t="s">
        <v>46</v>
      </c>
      <c r="B38" s="30">
        <v>44677</v>
      </c>
      <c r="C38" s="1">
        <v>44795</v>
      </c>
      <c r="D38" s="31">
        <v>1156360</v>
      </c>
      <c r="E38" s="31">
        <v>1113149</v>
      </c>
      <c r="F38" s="31">
        <v>1250000</v>
      </c>
      <c r="G38" s="4">
        <v>4</v>
      </c>
      <c r="H38" s="31">
        <v>4</v>
      </c>
      <c r="I38" s="4">
        <v>0</v>
      </c>
      <c r="J38" s="4">
        <v>5</v>
      </c>
      <c r="K38" s="4">
        <v>12</v>
      </c>
      <c r="L38" s="31">
        <f t="shared" si="10"/>
        <v>17</v>
      </c>
      <c r="M38" s="31">
        <v>9</v>
      </c>
      <c r="N38" s="31">
        <v>8</v>
      </c>
      <c r="O38" s="4">
        <v>5275045</v>
      </c>
      <c r="P38" s="4">
        <v>12867320</v>
      </c>
      <c r="Q38" s="4">
        <v>9541281</v>
      </c>
      <c r="R38" s="4">
        <v>8601084</v>
      </c>
      <c r="S38" s="5">
        <f t="shared" si="11"/>
        <v>0.52941176470588236</v>
      </c>
      <c r="T38" s="4">
        <v>1</v>
      </c>
      <c r="U38" s="31">
        <v>1</v>
      </c>
      <c r="V38" s="4">
        <f t="shared" si="4"/>
        <v>1250000</v>
      </c>
      <c r="W38" s="32">
        <f t="shared" si="12"/>
        <v>0.10948080000000004</v>
      </c>
      <c r="X38" s="4">
        <v>3.5</v>
      </c>
      <c r="Y38" s="2">
        <f t="shared" si="13"/>
        <v>8.6904761904761898</v>
      </c>
      <c r="Z38" s="5">
        <f t="shared" si="14"/>
        <v>0.6</v>
      </c>
      <c r="AA38" s="31">
        <f t="shared" si="15"/>
        <v>4.1391050164705883</v>
      </c>
      <c r="AB38" s="33">
        <f t="shared" si="16"/>
        <v>0</v>
      </c>
      <c r="AC38" s="34">
        <f t="shared" si="17"/>
        <v>44799</v>
      </c>
      <c r="AD38">
        <f t="shared" si="18"/>
        <v>4</v>
      </c>
      <c r="AE38" s="35">
        <f t="shared" si="19"/>
        <v>3.4776254117647072E-2</v>
      </c>
    </row>
    <row r="39" spans="1:31" x14ac:dyDescent="0.25">
      <c r="A39" s="29" t="s">
        <v>45</v>
      </c>
      <c r="B39" s="30">
        <v>44719</v>
      </c>
      <c r="C39" s="1">
        <v>44795</v>
      </c>
      <c r="D39" s="31">
        <v>996897</v>
      </c>
      <c r="E39" s="31">
        <v>1063137</v>
      </c>
      <c r="F39" s="31">
        <v>1190000</v>
      </c>
      <c r="G39" s="4">
        <v>300</v>
      </c>
      <c r="H39" s="31">
        <v>450</v>
      </c>
      <c r="I39" s="4">
        <v>0</v>
      </c>
      <c r="J39" s="4">
        <v>442</v>
      </c>
      <c r="K39" s="4">
        <v>658</v>
      </c>
      <c r="L39" s="31">
        <f t="shared" si="10"/>
        <v>1100</v>
      </c>
      <c r="M39" s="31">
        <v>779</v>
      </c>
      <c r="N39" s="31">
        <v>321</v>
      </c>
      <c r="O39" s="4">
        <v>432825285</v>
      </c>
      <c r="P39" s="4">
        <v>681724969</v>
      </c>
      <c r="Q39" s="4">
        <v>788746572</v>
      </c>
      <c r="R39" s="4">
        <v>325803682</v>
      </c>
      <c r="S39" s="5">
        <f t="shared" si="11"/>
        <v>0.70818181818181813</v>
      </c>
      <c r="T39" s="4">
        <v>450</v>
      </c>
      <c r="U39" s="31">
        <v>45</v>
      </c>
      <c r="V39" s="4">
        <f t="shared" si="4"/>
        <v>53550000</v>
      </c>
      <c r="W39" s="32">
        <f t="shared" si="12"/>
        <v>0.10660756302521013</v>
      </c>
      <c r="X39" s="4">
        <v>3.6</v>
      </c>
      <c r="Y39" s="2">
        <f t="shared" si="13"/>
        <v>8.4490740740740744</v>
      </c>
      <c r="Z39" s="5">
        <f t="shared" si="14"/>
        <v>0.6</v>
      </c>
      <c r="AA39" s="31">
        <f t="shared" si="15"/>
        <v>188.1537340840336</v>
      </c>
      <c r="AB39" s="33">
        <f t="shared" si="16"/>
        <v>0</v>
      </c>
      <c r="AC39" s="34">
        <f t="shared" si="17"/>
        <v>44841</v>
      </c>
      <c r="AD39">
        <f t="shared" si="18"/>
        <v>4</v>
      </c>
      <c r="AE39" s="35">
        <f t="shared" si="19"/>
        <v>4.5298522689075645E-2</v>
      </c>
    </row>
    <row r="40" spans="1:31" x14ac:dyDescent="0.25">
      <c r="A40" s="29" t="s">
        <v>42</v>
      </c>
      <c r="B40" s="30">
        <v>44719</v>
      </c>
      <c r="C40" s="1">
        <v>44795</v>
      </c>
      <c r="D40" s="31">
        <v>878561</v>
      </c>
      <c r="E40" s="31">
        <v>936034</v>
      </c>
      <c r="F40" s="31">
        <v>1050000</v>
      </c>
      <c r="G40" s="4">
        <v>186</v>
      </c>
      <c r="H40" s="31">
        <v>300</v>
      </c>
      <c r="I40" s="4">
        <v>0</v>
      </c>
      <c r="J40" s="4">
        <v>331</v>
      </c>
      <c r="K40" s="4">
        <v>331</v>
      </c>
      <c r="L40" s="31">
        <f t="shared" si="10"/>
        <v>662</v>
      </c>
      <c r="M40" s="31">
        <v>464</v>
      </c>
      <c r="N40" s="31">
        <v>198</v>
      </c>
      <c r="O40" s="4">
        <v>294966458</v>
      </c>
      <c r="P40" s="4">
        <v>289379679</v>
      </c>
      <c r="Q40" s="4">
        <v>413637839</v>
      </c>
      <c r="R40" s="4">
        <v>170708298</v>
      </c>
      <c r="S40" s="5">
        <f t="shared" si="11"/>
        <v>0.70090634441087618</v>
      </c>
      <c r="T40" s="4">
        <v>250</v>
      </c>
      <c r="U40" s="31">
        <v>25</v>
      </c>
      <c r="V40" s="4">
        <f t="shared" si="4"/>
        <v>26250000</v>
      </c>
      <c r="W40" s="32">
        <f t="shared" si="12"/>
        <v>0.10853904761904765</v>
      </c>
      <c r="X40" s="4">
        <v>4.0999999999999996</v>
      </c>
      <c r="Y40" s="2">
        <f t="shared" si="13"/>
        <v>7.4186991869918701</v>
      </c>
      <c r="Z40" s="5">
        <f t="shared" si="14"/>
        <v>0.6</v>
      </c>
      <c r="AA40" s="31">
        <f t="shared" si="15"/>
        <v>104.56454242555029</v>
      </c>
      <c r="AB40" s="33">
        <f t="shared" si="16"/>
        <v>0</v>
      </c>
      <c r="AC40" s="34">
        <f t="shared" si="17"/>
        <v>44841</v>
      </c>
      <c r="AD40">
        <f t="shared" si="18"/>
        <v>4</v>
      </c>
      <c r="AE40" s="35">
        <f t="shared" si="19"/>
        <v>4.5645424255502824E-2</v>
      </c>
    </row>
    <row r="41" spans="1:31" x14ac:dyDescent="0.25">
      <c r="A41" s="29" t="s">
        <v>41</v>
      </c>
      <c r="B41" s="30">
        <v>44719</v>
      </c>
      <c r="C41" s="1">
        <v>44795</v>
      </c>
      <c r="D41" s="31">
        <v>862665</v>
      </c>
      <c r="E41" s="31">
        <v>879840</v>
      </c>
      <c r="F41" s="31">
        <v>1200000</v>
      </c>
      <c r="G41" s="4">
        <v>54</v>
      </c>
      <c r="H41" s="31">
        <v>300</v>
      </c>
      <c r="I41" s="4">
        <v>54</v>
      </c>
      <c r="J41" s="4">
        <v>186</v>
      </c>
      <c r="K41" s="4">
        <v>391</v>
      </c>
      <c r="L41" s="31">
        <f t="shared" si="10"/>
        <v>577</v>
      </c>
      <c r="M41" s="31">
        <v>388</v>
      </c>
      <c r="N41" s="31">
        <v>189</v>
      </c>
      <c r="O41" s="4">
        <v>158516252</v>
      </c>
      <c r="P41" s="4">
        <v>324598197</v>
      </c>
      <c r="Q41" s="4">
        <v>325121750</v>
      </c>
      <c r="R41" s="4">
        <v>157992699</v>
      </c>
      <c r="S41" s="5">
        <f t="shared" si="11"/>
        <v>0.67244367417677642</v>
      </c>
      <c r="T41" s="4">
        <v>149</v>
      </c>
      <c r="U41" s="31">
        <v>14.9</v>
      </c>
      <c r="V41" s="4">
        <f t="shared" si="4"/>
        <v>17880000</v>
      </c>
      <c r="W41" s="32">
        <f t="shared" si="12"/>
        <v>0.26680000000000004</v>
      </c>
      <c r="X41" s="4">
        <v>4.4000000000000004</v>
      </c>
      <c r="Y41" s="2">
        <f t="shared" si="13"/>
        <v>6.9128787878787872</v>
      </c>
      <c r="Z41" s="5">
        <f t="shared" si="14"/>
        <v>0.6</v>
      </c>
      <c r="AA41" s="31">
        <f t="shared" si="15"/>
        <v>66.015629088388209</v>
      </c>
      <c r="AB41" s="33">
        <f t="shared" si="16"/>
        <v>0</v>
      </c>
      <c r="AC41" s="34">
        <f t="shared" si="17"/>
        <v>44841</v>
      </c>
      <c r="AD41">
        <f t="shared" si="18"/>
        <v>4</v>
      </c>
      <c r="AE41" s="35">
        <f t="shared" si="19"/>
        <v>0.10764478336221839</v>
      </c>
    </row>
    <row r="42" spans="1:31" x14ac:dyDescent="0.25">
      <c r="A42" s="29" t="s">
        <v>37</v>
      </c>
      <c r="B42" s="30">
        <v>44719</v>
      </c>
      <c r="C42" s="1">
        <v>44795</v>
      </c>
      <c r="D42" s="31">
        <v>714304</v>
      </c>
      <c r="E42" s="31">
        <v>738311</v>
      </c>
      <c r="F42" s="31">
        <v>1000000</v>
      </c>
      <c r="G42" s="4">
        <v>14</v>
      </c>
      <c r="H42" s="31">
        <v>20</v>
      </c>
      <c r="I42" s="4">
        <v>8</v>
      </c>
      <c r="J42" s="4">
        <v>71</v>
      </c>
      <c r="K42" s="4">
        <v>71</v>
      </c>
      <c r="L42" s="31">
        <f t="shared" si="10"/>
        <v>142</v>
      </c>
      <c r="M42" s="31">
        <v>101</v>
      </c>
      <c r="N42" s="31">
        <v>41</v>
      </c>
      <c r="O42" s="4">
        <v>50508553</v>
      </c>
      <c r="P42" s="4">
        <v>49406679</v>
      </c>
      <c r="Q42" s="4">
        <v>71018449</v>
      </c>
      <c r="R42" s="4">
        <v>28896783</v>
      </c>
      <c r="S42" s="5">
        <f t="shared" si="11"/>
        <v>0.71126760563380287</v>
      </c>
      <c r="T42" s="4">
        <v>55</v>
      </c>
      <c r="U42" s="31">
        <v>6.875</v>
      </c>
      <c r="V42" s="4">
        <f t="shared" si="4"/>
        <v>6875000</v>
      </c>
      <c r="W42" s="32">
        <f t="shared" si="12"/>
        <v>0.26168899999999995</v>
      </c>
      <c r="X42" s="4">
        <v>5.2</v>
      </c>
      <c r="Y42" s="2">
        <f t="shared" si="13"/>
        <v>5.8493589743589736</v>
      </c>
      <c r="Z42" s="5">
        <f t="shared" si="14"/>
        <v>0.6</v>
      </c>
      <c r="AA42" s="31">
        <f t="shared" si="15"/>
        <v>30.571159989436619</v>
      </c>
      <c r="AB42" s="33">
        <f t="shared" si="16"/>
        <v>0</v>
      </c>
      <c r="AC42" s="34">
        <f t="shared" si="17"/>
        <v>44841</v>
      </c>
      <c r="AD42">
        <f t="shared" si="18"/>
        <v>4</v>
      </c>
      <c r="AE42" s="35">
        <f t="shared" si="19"/>
        <v>0.11167854507042252</v>
      </c>
    </row>
    <row r="43" spans="1:31" x14ac:dyDescent="0.25">
      <c r="A43" s="29" t="s">
        <v>36</v>
      </c>
      <c r="B43" s="30">
        <v>44719</v>
      </c>
      <c r="C43" s="1">
        <v>44795</v>
      </c>
      <c r="D43" s="31">
        <v>713799</v>
      </c>
      <c r="E43" s="31">
        <v>726098</v>
      </c>
      <c r="F43" s="31">
        <v>950000</v>
      </c>
      <c r="G43" s="4">
        <v>137</v>
      </c>
      <c r="H43" s="31">
        <v>250</v>
      </c>
      <c r="I43" s="4">
        <v>0</v>
      </c>
      <c r="J43" s="4">
        <v>141</v>
      </c>
      <c r="K43" s="4">
        <v>299</v>
      </c>
      <c r="L43" s="31">
        <f t="shared" si="10"/>
        <v>440</v>
      </c>
      <c r="M43" s="31">
        <v>326</v>
      </c>
      <c r="N43" s="31">
        <v>114</v>
      </c>
      <c r="O43" s="4">
        <v>97219768</v>
      </c>
      <c r="P43" s="4">
        <v>206039484</v>
      </c>
      <c r="Q43" s="4">
        <v>225436098</v>
      </c>
      <c r="R43" s="4">
        <v>77823154</v>
      </c>
      <c r="S43" s="5">
        <f t="shared" si="11"/>
        <v>0.74090909090909096</v>
      </c>
      <c r="T43" s="4">
        <v>198</v>
      </c>
      <c r="U43" s="31">
        <v>19.8</v>
      </c>
      <c r="V43" s="4">
        <f t="shared" si="4"/>
        <v>18810000</v>
      </c>
      <c r="W43" s="32">
        <f t="shared" si="12"/>
        <v>0.23568631578947363</v>
      </c>
      <c r="X43" s="4">
        <v>5.3</v>
      </c>
      <c r="Y43" s="2">
        <f t="shared" si="13"/>
        <v>5.7389937106918243</v>
      </c>
      <c r="Z43" s="5">
        <f t="shared" si="14"/>
        <v>0.6</v>
      </c>
      <c r="AA43" s="31">
        <f t="shared" si="15"/>
        <v>87.498043806315778</v>
      </c>
      <c r="AB43" s="33">
        <f t="shared" si="16"/>
        <v>0</v>
      </c>
      <c r="AC43" s="34">
        <f t="shared" si="17"/>
        <v>44841</v>
      </c>
      <c r="AD43">
        <f t="shared" si="18"/>
        <v>4</v>
      </c>
      <c r="AE43" s="35">
        <f t="shared" si="19"/>
        <v>0.1047732803827751</v>
      </c>
    </row>
    <row r="44" spans="1:31" hidden="1" x14ac:dyDescent="0.25">
      <c r="A44" t="s">
        <v>25</v>
      </c>
      <c r="C44" s="1">
        <v>44795</v>
      </c>
      <c r="D44" s="4">
        <v>336588</v>
      </c>
      <c r="E44" s="4">
        <v>325461</v>
      </c>
      <c r="F44" s="4">
        <v>450000</v>
      </c>
      <c r="G44" s="4">
        <v>10</v>
      </c>
      <c r="J44" s="4">
        <v>2</v>
      </c>
      <c r="K44" s="4">
        <v>119</v>
      </c>
      <c r="L44" s="4">
        <f t="shared" si="10"/>
        <v>121</v>
      </c>
      <c r="M44" s="4">
        <v>78</v>
      </c>
      <c r="N44" s="4">
        <v>43</v>
      </c>
      <c r="O44" s="4">
        <v>600292</v>
      </c>
      <c r="P44" s="4">
        <v>36905187</v>
      </c>
      <c r="Q44" s="4">
        <v>24177091</v>
      </c>
      <c r="R44" s="4">
        <v>13328388</v>
      </c>
      <c r="S44" s="5">
        <f t="shared" si="11"/>
        <v>0.64462809917355368</v>
      </c>
      <c r="T44" s="4">
        <v>18</v>
      </c>
      <c r="U44" s="4">
        <v>2.5714285714285721</v>
      </c>
      <c r="V44" s="4">
        <f t="shared" si="4"/>
        <v>1157142.8571428575</v>
      </c>
      <c r="W44" s="5">
        <f>IFERROR((E44*M44)/(F44*M44),0)</f>
        <v>0.7232466666666667</v>
      </c>
      <c r="X44" s="4">
        <v>11.8</v>
      </c>
      <c r="Y44" s="4"/>
      <c r="Z44" s="4"/>
      <c r="AB44"/>
      <c r="AC44" s="1">
        <f>DATE(YEAR(B44),MONTH(B44)+4,DAY(B44))</f>
        <v>121</v>
      </c>
      <c r="AE44"/>
    </row>
    <row r="45" spans="1:31" x14ac:dyDescent="0.25">
      <c r="A45" s="29" t="s">
        <v>35</v>
      </c>
      <c r="B45" s="30">
        <v>44719</v>
      </c>
      <c r="C45" s="1">
        <v>44795</v>
      </c>
      <c r="D45" s="31">
        <v>465017</v>
      </c>
      <c r="E45" s="31">
        <v>565724</v>
      </c>
      <c r="F45" s="31">
        <v>1050000</v>
      </c>
      <c r="G45" s="4">
        <v>50</v>
      </c>
      <c r="H45" s="31">
        <v>50</v>
      </c>
      <c r="I45" s="4">
        <v>0</v>
      </c>
      <c r="J45" s="4">
        <v>2</v>
      </c>
      <c r="K45" s="4">
        <v>30</v>
      </c>
      <c r="L45" s="31">
        <f t="shared" si="10"/>
        <v>32</v>
      </c>
      <c r="M45" s="31">
        <v>20</v>
      </c>
      <c r="N45" s="31">
        <v>12</v>
      </c>
      <c r="O45" s="4">
        <v>1133857</v>
      </c>
      <c r="P45" s="4">
        <v>16572672</v>
      </c>
      <c r="Q45" s="4">
        <v>10775703</v>
      </c>
      <c r="R45" s="4">
        <v>6930826</v>
      </c>
      <c r="S45" s="5">
        <f t="shared" si="11"/>
        <v>0.625</v>
      </c>
      <c r="T45" s="4">
        <v>10</v>
      </c>
      <c r="U45" s="31">
        <v>1.428571428571429</v>
      </c>
      <c r="V45" s="4">
        <f t="shared" si="4"/>
        <v>1500000.0000000005</v>
      </c>
      <c r="W45" s="32">
        <f>IFERROR(1-(E45*M45)/(F45*M45),0)</f>
        <v>0.46121523809523812</v>
      </c>
      <c r="X45" s="4">
        <v>6.8</v>
      </c>
      <c r="Y45" s="2">
        <f>IFERROR(365/(X45*12),100)</f>
        <v>4.473039215686275</v>
      </c>
      <c r="Z45" s="5">
        <f>IF(Y45&gt;10,0.9,IF(Y45&gt;5,0.6,IF(Y45&gt;1,0.2,0)))</f>
        <v>0.2</v>
      </c>
      <c r="AA45" s="31">
        <f>U45*AD45*(1+AE45)</f>
        <v>6.0437251700680301</v>
      </c>
      <c r="AB45" s="33">
        <f>IF(N45&gt;AA45,0,IF(AA45&gt;N45,AA45-N45))</f>
        <v>0</v>
      </c>
      <c r="AC45" s="34">
        <f>EDATE(B45,4)</f>
        <v>44841</v>
      </c>
      <c r="AD45">
        <f>MONTH(AC45)-MONTH(B45)</f>
        <v>4</v>
      </c>
      <c r="AE45" s="35">
        <f>S45*W45*Z45</f>
        <v>5.7651904761904765E-2</v>
      </c>
    </row>
    <row r="46" spans="1:31" hidden="1" x14ac:dyDescent="0.25">
      <c r="A46" t="s">
        <v>51</v>
      </c>
      <c r="C46" s="1">
        <v>44795</v>
      </c>
      <c r="D46" s="4">
        <v>260894</v>
      </c>
      <c r="E46" s="4">
        <v>261958</v>
      </c>
      <c r="F46" s="4">
        <v>450000</v>
      </c>
      <c r="G46" s="4">
        <v>20</v>
      </c>
      <c r="J46" s="4">
        <v>0</v>
      </c>
      <c r="K46" s="4">
        <v>40</v>
      </c>
      <c r="L46" s="4">
        <f t="shared" si="10"/>
        <v>40</v>
      </c>
      <c r="M46" s="4">
        <v>25</v>
      </c>
      <c r="N46" s="4">
        <v>15</v>
      </c>
      <c r="O46" s="4">
        <v>0</v>
      </c>
      <c r="P46" s="4">
        <v>9979340</v>
      </c>
      <c r="Q46" s="4">
        <v>6237088</v>
      </c>
      <c r="R46" s="4">
        <v>3742252</v>
      </c>
      <c r="S46" s="5">
        <f t="shared" si="11"/>
        <v>0.625</v>
      </c>
      <c r="T46" s="4">
        <v>5</v>
      </c>
      <c r="U46" s="4">
        <v>5</v>
      </c>
      <c r="V46" s="4">
        <f t="shared" si="4"/>
        <v>2250000</v>
      </c>
      <c r="W46" s="5">
        <f>IFERROR((E46*M46)/(F46*M46),0)</f>
        <v>0.58212888888888892</v>
      </c>
      <c r="X46" s="4">
        <v>0</v>
      </c>
      <c r="Y46" s="4"/>
      <c r="Z46" s="4"/>
      <c r="AB46"/>
      <c r="AC46" s="1">
        <f>DATE(YEAR(B46),MONTH(B46)+4,DAY(B46))</f>
        <v>121</v>
      </c>
      <c r="AE46"/>
    </row>
    <row r="47" spans="1:31" x14ac:dyDescent="0.25">
      <c r="A47" s="29" t="s">
        <v>30</v>
      </c>
      <c r="B47" s="30">
        <v>44719</v>
      </c>
      <c r="C47" s="1">
        <v>44795</v>
      </c>
      <c r="D47" s="31">
        <v>441804</v>
      </c>
      <c r="E47" s="31">
        <v>440026</v>
      </c>
      <c r="F47" s="31">
        <v>510000</v>
      </c>
      <c r="G47" s="4">
        <v>210</v>
      </c>
      <c r="H47" s="31"/>
      <c r="I47" s="4">
        <v>210</v>
      </c>
      <c r="J47" s="4">
        <v>157</v>
      </c>
      <c r="K47" s="4">
        <v>1527</v>
      </c>
      <c r="L47" s="31">
        <f t="shared" si="10"/>
        <v>1684</v>
      </c>
      <c r="M47" s="31">
        <v>1248</v>
      </c>
      <c r="N47" s="31">
        <v>436</v>
      </c>
      <c r="O47" s="4">
        <v>67829797</v>
      </c>
      <c r="P47" s="4">
        <v>636811479</v>
      </c>
      <c r="Q47" s="4">
        <v>523001779</v>
      </c>
      <c r="R47" s="4">
        <v>181639497</v>
      </c>
      <c r="S47" s="5">
        <f t="shared" si="11"/>
        <v>0.74109263657957247</v>
      </c>
      <c r="T47" s="4">
        <v>768</v>
      </c>
      <c r="U47" s="31">
        <v>76.8</v>
      </c>
      <c r="V47" s="4">
        <f t="shared" si="4"/>
        <v>39168000</v>
      </c>
      <c r="W47" s="32">
        <f>IFERROR(1-(E47*M47)/(F47*M47),0)</f>
        <v>0.13720392156862748</v>
      </c>
      <c r="X47" s="4">
        <v>8.6999999999999993</v>
      </c>
      <c r="Y47" s="2">
        <f>IFERROR(365/(X47*12),100)</f>
        <v>3.4961685823754793</v>
      </c>
      <c r="Z47" s="5">
        <f>IF(Y47&gt;10,0.9,IF(Y47&gt;5,0.6,IF(Y47&gt;1,0.2,0)))</f>
        <v>0.2</v>
      </c>
      <c r="AA47" s="31">
        <f>U47*AD47*(1+AE47)</f>
        <v>313.4472693340785</v>
      </c>
      <c r="AB47" s="33">
        <f>IF(N47&gt;AA47,0,IF(AA47&gt;N47,AA47-N47))</f>
        <v>0</v>
      </c>
      <c r="AC47" s="34">
        <f>EDATE(B47,4)</f>
        <v>44841</v>
      </c>
      <c r="AD47">
        <f>MONTH(AC47)-MONTH(B47)</f>
        <v>4</v>
      </c>
      <c r="AE47" s="35">
        <f t="shared" ref="AE47:AE48" si="20">S47*W47*Z47</f>
        <v>2.0336163196870205E-2</v>
      </c>
    </row>
    <row r="48" spans="1:31" x14ac:dyDescent="0.25">
      <c r="A48" s="29" t="s">
        <v>20</v>
      </c>
      <c r="B48" s="30">
        <v>44719</v>
      </c>
      <c r="C48" s="1">
        <v>44795</v>
      </c>
      <c r="D48" s="31">
        <v>147352</v>
      </c>
      <c r="E48" s="31">
        <v>151673</v>
      </c>
      <c r="F48" s="31">
        <v>200000</v>
      </c>
      <c r="G48" s="4">
        <v>1500</v>
      </c>
      <c r="H48" s="31">
        <v>10000</v>
      </c>
      <c r="I48" s="4">
        <v>1200</v>
      </c>
      <c r="J48" s="4">
        <v>718</v>
      </c>
      <c r="K48" s="4">
        <v>10084</v>
      </c>
      <c r="L48" s="31">
        <f t="shared" si="10"/>
        <v>10802</v>
      </c>
      <c r="M48" s="31">
        <v>7182</v>
      </c>
      <c r="N48" s="31">
        <v>3620</v>
      </c>
      <c r="O48" s="4">
        <v>103624843</v>
      </c>
      <c r="P48" s="4">
        <v>1457485938</v>
      </c>
      <c r="Q48" s="4">
        <v>1037441827</v>
      </c>
      <c r="R48" s="4">
        <v>523668954</v>
      </c>
      <c r="S48" s="5">
        <f t="shared" si="11"/>
        <v>0.66487687465284206</v>
      </c>
      <c r="T48" s="4">
        <v>4909</v>
      </c>
      <c r="U48" s="31">
        <v>545.44444444444446</v>
      </c>
      <c r="V48" s="4">
        <f t="shared" si="4"/>
        <v>109088888.8888889</v>
      </c>
      <c r="W48" s="32">
        <f>IFERROR(1-(E48*M48)/(F48*M48),0)</f>
        <v>0.24163500000000004</v>
      </c>
      <c r="X48" s="4">
        <v>25.3</v>
      </c>
      <c r="Y48" s="2">
        <f>IFERROR(365/(X48*12),100)</f>
        <v>1.2022397891963108</v>
      </c>
      <c r="Z48" s="5">
        <f>IF(Y48&gt;10,0.9,IF(Y48&gt;5,0.6,IF(Y48&gt;1,0.2,0)))</f>
        <v>0.2</v>
      </c>
      <c r="AA48" s="31">
        <f>U48*AD48*(1+AE48)</f>
        <v>2251.8815807453766</v>
      </c>
      <c r="AB48" s="33">
        <f>IF(N48&gt;AA48,0,IF(AA48&gt;N48,AA48-N48))</f>
        <v>0</v>
      </c>
      <c r="AC48" s="34">
        <f>EDATE(B48,4)</f>
        <v>44841</v>
      </c>
      <c r="AD48">
        <f>MONTH(AC48)-MONTH(B48)</f>
        <v>4</v>
      </c>
      <c r="AE48" s="35">
        <f t="shared" si="20"/>
        <v>3.2131504721347903E-2</v>
      </c>
    </row>
    <row r="49" spans="1:31" hidden="1" x14ac:dyDescent="0.25">
      <c r="A49" t="s">
        <v>53</v>
      </c>
      <c r="C49" s="1">
        <v>44795</v>
      </c>
      <c r="D49" s="4">
        <v>123382</v>
      </c>
      <c r="E49" s="4">
        <v>112738</v>
      </c>
      <c r="G49" s="4">
        <v>2</v>
      </c>
      <c r="J49" s="4">
        <v>0</v>
      </c>
      <c r="K49" s="4">
        <v>8</v>
      </c>
      <c r="L49" s="4">
        <f t="shared" si="10"/>
        <v>8</v>
      </c>
      <c r="M49" s="4">
        <v>4</v>
      </c>
      <c r="N49" s="4">
        <v>4</v>
      </c>
      <c r="O49" s="4">
        <v>0</v>
      </c>
      <c r="P49" s="4">
        <v>858956</v>
      </c>
      <c r="Q49" s="4">
        <v>429478</v>
      </c>
      <c r="R49" s="4">
        <v>429478</v>
      </c>
      <c r="S49" s="5">
        <f t="shared" si="11"/>
        <v>0.5</v>
      </c>
      <c r="V49" s="4">
        <f t="shared" si="4"/>
        <v>0</v>
      </c>
      <c r="W49" s="5">
        <f>IFERROR((E49*M49)/(F49*M49),0)</f>
        <v>0</v>
      </c>
      <c r="X49" s="4">
        <v>0</v>
      </c>
      <c r="Y49" s="4"/>
      <c r="Z49" s="4"/>
      <c r="AB49"/>
      <c r="AC49" s="1">
        <f>DATE(YEAR(B49),MONTH(B49)+4,DAY(B49))</f>
        <v>121</v>
      </c>
      <c r="AE49"/>
    </row>
    <row r="50" spans="1:31" hidden="1" x14ac:dyDescent="0.25">
      <c r="A50" t="s">
        <v>53</v>
      </c>
      <c r="B50" s="1">
        <v>44719</v>
      </c>
      <c r="C50" s="1">
        <v>44795</v>
      </c>
      <c r="D50" s="4">
        <v>112280</v>
      </c>
      <c r="E50" s="4">
        <v>112738</v>
      </c>
      <c r="G50" s="4">
        <v>6</v>
      </c>
      <c r="H50" s="4">
        <v>6</v>
      </c>
      <c r="I50" s="4">
        <v>0</v>
      </c>
      <c r="J50" s="4">
        <v>0</v>
      </c>
      <c r="K50" s="4">
        <v>8</v>
      </c>
      <c r="L50" s="4">
        <f t="shared" si="10"/>
        <v>8</v>
      </c>
      <c r="M50" s="4">
        <v>4</v>
      </c>
      <c r="N50" s="4">
        <v>4</v>
      </c>
      <c r="O50" s="4">
        <v>0</v>
      </c>
      <c r="P50" s="4">
        <v>858956</v>
      </c>
      <c r="Q50" s="4">
        <v>429478</v>
      </c>
      <c r="R50" s="4">
        <v>429478</v>
      </c>
      <c r="S50" s="5">
        <f t="shared" si="11"/>
        <v>0.5</v>
      </c>
      <c r="V50" s="4">
        <f t="shared" si="4"/>
        <v>0</v>
      </c>
      <c r="W50" s="5">
        <f>IFERROR((E50*M50)/(F50*M50),0)</f>
        <v>0</v>
      </c>
      <c r="X50" s="4">
        <v>0</v>
      </c>
      <c r="Y50" s="4"/>
      <c r="Z50" s="4"/>
      <c r="AA50" s="4">
        <f>U50*AD50*(1+AE50)</f>
        <v>0</v>
      </c>
      <c r="AB50" s="14">
        <f>IF(N50&gt;AA50,0,IF(AA50&gt;N50,AA50-N50))</f>
        <v>0</v>
      </c>
      <c r="AC50" s="15">
        <f>EDATE(B50,4)</f>
        <v>44841</v>
      </c>
      <c r="AD50">
        <f>MONTH(AC50)-MONTH(B50)</f>
        <v>4</v>
      </c>
      <c r="AE50" s="16">
        <f>IF(S50&gt;90%,0.2,IF(S50&gt;60%,0.1,IF(S50&gt;40%,0.05,0)))</f>
        <v>0.05</v>
      </c>
    </row>
    <row r="51" spans="1:31" x14ac:dyDescent="0.25">
      <c r="A51" s="29" t="s">
        <v>18</v>
      </c>
      <c r="B51" s="30">
        <v>44719</v>
      </c>
      <c r="C51" s="1">
        <v>44795</v>
      </c>
      <c r="D51" s="31">
        <v>16400</v>
      </c>
      <c r="E51" s="31">
        <v>21440</v>
      </c>
      <c r="F51" s="31">
        <v>40000</v>
      </c>
      <c r="G51" s="4">
        <v>250</v>
      </c>
      <c r="H51" s="31"/>
      <c r="I51" s="4">
        <v>250</v>
      </c>
      <c r="J51" s="4">
        <v>117</v>
      </c>
      <c r="K51" s="4">
        <v>450</v>
      </c>
      <c r="L51" s="31">
        <f t="shared" si="10"/>
        <v>567</v>
      </c>
      <c r="M51" s="31">
        <v>276</v>
      </c>
      <c r="N51" s="31">
        <v>291</v>
      </c>
      <c r="O51" s="4">
        <v>2185792</v>
      </c>
      <c r="P51" s="4">
        <v>8166397</v>
      </c>
      <c r="Q51" s="4">
        <v>5635731</v>
      </c>
      <c r="R51" s="4">
        <v>4716458</v>
      </c>
      <c r="S51" s="5">
        <f t="shared" si="11"/>
        <v>0.48677248677248675</v>
      </c>
      <c r="T51" s="4">
        <v>256</v>
      </c>
      <c r="U51" s="31">
        <v>25.6</v>
      </c>
      <c r="V51" s="4">
        <f t="shared" si="4"/>
        <v>1024000</v>
      </c>
      <c r="W51" s="32">
        <f>IFERROR(1-(E51*M51)/(F51*M51),0)</f>
        <v>0.46399999999999997</v>
      </c>
      <c r="X51" s="4">
        <v>179.2</v>
      </c>
      <c r="Y51" s="2">
        <f>IFERROR(365/(X51*12),100)</f>
        <v>0.16973586309523814</v>
      </c>
      <c r="Z51" s="5">
        <f>IF(Y51&gt;10,0.9,IF(Y51&gt;5,0.6,IF(Y51&gt;1,0.2,0)))</f>
        <v>0</v>
      </c>
      <c r="AA51" s="31">
        <f>U51*AD51*(1+AE51)</f>
        <v>102.4</v>
      </c>
      <c r="AB51" s="33">
        <f>IF(N51&gt;AA51,0,IF(AA51&gt;N51,AA51-N51))</f>
        <v>0</v>
      </c>
      <c r="AC51" s="34">
        <f>EDATE(B51,4)</f>
        <v>44841</v>
      </c>
      <c r="AD51">
        <f>MONTH(AC51)-MONTH(B51)</f>
        <v>4</v>
      </c>
      <c r="AE51" s="35">
        <f>S51*W51*Z51</f>
        <v>0</v>
      </c>
    </row>
    <row r="52" spans="1:31" hidden="1" x14ac:dyDescent="0.25">
      <c r="A52" t="s">
        <v>49</v>
      </c>
      <c r="C52" s="1">
        <v>44795</v>
      </c>
      <c r="D52" s="4">
        <v>1391013</v>
      </c>
      <c r="E52" s="4">
        <v>1416435</v>
      </c>
      <c r="F52" s="4">
        <v>2300000</v>
      </c>
      <c r="G52" s="4">
        <v>5</v>
      </c>
      <c r="J52" s="4">
        <v>9</v>
      </c>
      <c r="K52" s="4">
        <v>14</v>
      </c>
      <c r="L52" s="4">
        <f t="shared" si="10"/>
        <v>23</v>
      </c>
      <c r="M52" s="4">
        <v>11</v>
      </c>
      <c r="N52" s="4">
        <v>12</v>
      </c>
      <c r="O52" s="4">
        <v>12261602</v>
      </c>
      <c r="P52" s="4">
        <v>18787939</v>
      </c>
      <c r="Q52" s="4">
        <v>14838840</v>
      </c>
      <c r="R52" s="4">
        <v>16210701</v>
      </c>
      <c r="S52" s="5">
        <f t="shared" si="11"/>
        <v>0.47826086956521741</v>
      </c>
      <c r="T52" s="4">
        <v>2</v>
      </c>
      <c r="U52" s="4">
        <v>1</v>
      </c>
      <c r="V52" s="4">
        <f t="shared" ref="V52" si="21">U52*F52</f>
        <v>2300000</v>
      </c>
      <c r="W52" s="5">
        <f t="shared" ref="W52" si="22">IFERROR((E52*M52)/(F52*M52),0)</f>
        <v>0.61584130434782614</v>
      </c>
      <c r="X52" s="4">
        <v>2.7</v>
      </c>
      <c r="Y52" s="4"/>
      <c r="Z52" s="4"/>
      <c r="AB52"/>
      <c r="AC52" s="1">
        <f>DATE(YEAR(B52),MONTH(B52)+4,DAY(B52))</f>
        <v>121</v>
      </c>
      <c r="AE52"/>
    </row>
  </sheetData>
  <autoFilter ref="A1:AD52">
    <filterColumn colId="1">
      <customFilters>
        <customFilter operator="notEqual" val=" "/>
      </customFilters>
    </filterColumn>
    <filterColumn colId="18">
      <customFilters>
        <customFilter operator="greaterThan" val="0"/>
      </customFilters>
    </filterColumn>
    <filterColumn colId="22">
      <customFilters>
        <customFilter operator="greaterThan" val="0"/>
      </customFilters>
    </filterColumn>
    <sortState ref="A3:AD51">
      <sortCondition descending="1" ref="AB1:AB52"/>
    </sortState>
  </autoFilter>
  <conditionalFormatting sqref="W1:W1048576">
    <cfRule type="colorScale" priority="6">
      <colorScale>
        <cfvo type="min"/>
        <cfvo type="max"/>
        <color rgb="FFF8696B"/>
        <color rgb="FFFCFCFF"/>
      </colorScale>
    </cfRule>
  </conditionalFormatting>
  <conditionalFormatting sqref="V1:V1048576">
    <cfRule type="colorScale" priority="8">
      <colorScale>
        <cfvo type="min"/>
        <cfvo type="max"/>
        <color rgb="FFFCFCFF"/>
        <color rgb="FFF8696B"/>
      </colorScale>
    </cfRule>
  </conditionalFormatting>
  <conditionalFormatting sqref="S1:S1048576">
    <cfRule type="colorScale" priority="7">
      <colorScale>
        <cfvo type="min"/>
        <cfvo type="max"/>
        <color rgb="FFFCFCFF"/>
        <color rgb="FFF8696B"/>
      </colorScale>
    </cfRule>
  </conditionalFormatting>
  <conditionalFormatting sqref="W3:W51">
    <cfRule type="colorScale" priority="4">
      <colorScale>
        <cfvo type="min"/>
        <cfvo type="max"/>
        <color rgb="FFFCFCFF"/>
        <color rgb="FFF8696B"/>
      </colorScale>
    </cfRule>
  </conditionalFormatting>
  <conditionalFormatting sqref="Y1:Z1048576">
    <cfRule type="colorScale" priority="3">
      <colorScale>
        <cfvo type="min"/>
        <cfvo type="max"/>
        <color rgb="FFF8696B"/>
        <color rgb="FFFCFCFF"/>
      </colorScale>
    </cfRule>
  </conditionalFormatting>
  <conditionalFormatting sqref="Y1:Z1048576">
    <cfRule type="colorScale" priority="2">
      <colorScale>
        <cfvo type="min"/>
        <cfvo type="max"/>
        <color rgb="FFFCFCFF"/>
        <color rgb="FFF8696B"/>
      </colorScale>
    </cfRule>
  </conditionalFormatting>
  <conditionalFormatting sqref="AE1:AE1048576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Tổng hợp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</cp:lastModifiedBy>
  <dcterms:created xsi:type="dcterms:W3CDTF">2022-10-07T06:16:56Z</dcterms:created>
  <dcterms:modified xsi:type="dcterms:W3CDTF">2022-10-07T08:54:03Z</dcterms:modified>
</cp:coreProperties>
</file>