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EC82584E-F75E-406E-BAB6-5729A4CA81C3}" xr6:coauthVersionLast="47" xr6:coauthVersionMax="47" xr10:uidLastSave="{00000000-0000-0000-0000-000000000000}"/>
  <bookViews>
    <workbookView xWindow="15360" yWindow="600" windowWidth="15360" windowHeight="16680" xr2:uid="{06B5E846-C6F9-4207-9A3B-27BAB40AA77D}"/>
  </bookViews>
  <sheets>
    <sheet name="Overview" sheetId="1" r:id="rId1"/>
    <sheet name="Regulation" sheetId="2" r:id="rId2"/>
    <sheet name="0.Setting" sheetId="3" r:id="rId3"/>
    <sheet name="1.EE_List" sheetId="4" r:id="rId4"/>
    <sheet name="2.WorkLog" sheetId="5" r:id="rId5"/>
    <sheet name="3.Payslip" sheetId="6" r:id="rId6"/>
    <sheet name="4.PaySummary" sheetId="7" r:id="rId7"/>
    <sheet name="5.Tax_SI" sheetId="8" r:id="rId8"/>
    <sheet name="6.Accounti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7" l="1"/>
  <c r="G7" i="7"/>
  <c r="H5" i="7" a="1"/>
  <c r="H5" i="7" s="1"/>
  <c r="G5" i="7" a="1"/>
  <c r="G5" i="7" s="1"/>
  <c r="H6" i="7"/>
  <c r="G6" i="7"/>
  <c r="M11" i="7" a="1"/>
  <c r="M11" i="7" s="1"/>
  <c r="B11" i="7" a="1"/>
  <c r="B11" i="7" s="1"/>
  <c r="B11" i="8" a="1"/>
  <c r="B11" i="8" s="1"/>
  <c r="S16" i="7"/>
  <c r="S17" i="7"/>
  <c r="S18" i="7"/>
  <c r="S19" i="7"/>
  <c r="S20" i="7"/>
  <c r="S21" i="7"/>
  <c r="S22" i="7"/>
  <c r="S23" i="7"/>
  <c r="S24" i="7"/>
  <c r="S25" i="7"/>
  <c r="S26" i="7"/>
  <c r="D12" i="8"/>
  <c r="D13" i="8"/>
  <c r="D14" i="8"/>
  <c r="D15" i="8"/>
  <c r="D16" i="8"/>
  <c r="D17" i="8"/>
  <c r="D11" i="8"/>
  <c r="C1" i="8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E1" i="8" a="1"/>
  <c r="E1" i="8" s="1"/>
  <c r="I6" i="7" l="1"/>
  <c r="I5" i="7"/>
  <c r="I7" i="7"/>
  <c r="C34" i="5"/>
  <c r="P34" i="5" s="1"/>
  <c r="Q34" i="5" s="1"/>
  <c r="C36" i="5"/>
  <c r="P36" i="5" s="1"/>
  <c r="Q36" i="5" s="1"/>
  <c r="C38" i="5"/>
  <c r="P38" i="5" s="1"/>
  <c r="Q38" i="5" s="1"/>
  <c r="C40" i="5"/>
  <c r="P40" i="5" s="1"/>
  <c r="Q40" i="5" s="1"/>
  <c r="C42" i="5"/>
  <c r="P42" i="5" s="1"/>
  <c r="Q42" i="5" s="1"/>
  <c r="C44" i="5"/>
  <c r="P44" i="5" s="1"/>
  <c r="Q44" i="5" s="1"/>
  <c r="C45" i="5"/>
  <c r="P45" i="5" s="1"/>
  <c r="Q45" i="5" s="1"/>
  <c r="C47" i="5"/>
  <c r="P47" i="5" s="1"/>
  <c r="Q47" i="5" s="1"/>
  <c r="C49" i="5"/>
  <c r="P49" i="5" s="1"/>
  <c r="Q49" i="5" s="1"/>
  <c r="C51" i="5"/>
  <c r="P51" i="5" s="1"/>
  <c r="Q51" i="5" s="1"/>
  <c r="C53" i="5"/>
  <c r="P53" i="5" s="1"/>
  <c r="Q53" i="5" s="1"/>
  <c r="C54" i="5"/>
  <c r="P54" i="5" s="1"/>
  <c r="Q54" i="5" s="1"/>
  <c r="C57" i="5"/>
  <c r="P57" i="5" s="1"/>
  <c r="Q57" i="5" s="1"/>
  <c r="C58" i="5"/>
  <c r="P58" i="5" s="1"/>
  <c r="Q58" i="5" s="1"/>
  <c r="C59" i="5"/>
  <c r="P59" i="5" s="1"/>
  <c r="Q59" i="5" s="1"/>
  <c r="C61" i="5"/>
  <c r="P61" i="5" s="1"/>
  <c r="Q61" i="5" s="1"/>
  <c r="C62" i="5"/>
  <c r="P62" i="5" s="1"/>
  <c r="Q62" i="5" s="1"/>
  <c r="C65" i="5"/>
  <c r="P65" i="5" s="1"/>
  <c r="Q65" i="5" s="1"/>
  <c r="C66" i="5"/>
  <c r="P66" i="5" s="1"/>
  <c r="Q66" i="5" s="1"/>
  <c r="C68" i="5"/>
  <c r="P68" i="5" s="1"/>
  <c r="Q68" i="5" s="1"/>
  <c r="C69" i="5"/>
  <c r="P69" i="5" s="1"/>
  <c r="Q69" i="5" s="1"/>
  <c r="C70" i="5"/>
  <c r="P70" i="5" s="1"/>
  <c r="Q70" i="5" s="1"/>
  <c r="C72" i="5"/>
  <c r="P72" i="5" s="1"/>
  <c r="Q72" i="5" s="1"/>
  <c r="C73" i="5"/>
  <c r="P73" i="5" s="1"/>
  <c r="Q73" i="5" s="1"/>
  <c r="C75" i="5"/>
  <c r="P75" i="5" s="1"/>
  <c r="Q75" i="5" s="1"/>
  <c r="C76" i="5"/>
  <c r="P76" i="5" s="1"/>
  <c r="Q76" i="5" s="1"/>
  <c r="C78" i="5"/>
  <c r="P78" i="5" s="1"/>
  <c r="Q78" i="5" s="1"/>
  <c r="C79" i="5"/>
  <c r="P79" i="5" s="1"/>
  <c r="Q79" i="5" s="1"/>
  <c r="C81" i="5"/>
  <c r="P81" i="5" s="1"/>
  <c r="Q81" i="5" s="1"/>
  <c r="C83" i="5"/>
  <c r="P83" i="5" s="1"/>
  <c r="Q83" i="5" s="1"/>
  <c r="C86" i="5"/>
  <c r="P86" i="5" s="1"/>
  <c r="Q86" i="5" s="1"/>
  <c r="C88" i="5"/>
  <c r="P88" i="5" s="1"/>
  <c r="Q88" i="5" s="1"/>
  <c r="C89" i="5"/>
  <c r="P89" i="5" s="1"/>
  <c r="Q89" i="5" s="1"/>
  <c r="C93" i="5"/>
  <c r="P93" i="5" s="1"/>
  <c r="Q93" i="5" s="1"/>
  <c r="C94" i="5"/>
  <c r="P94" i="5" s="1"/>
  <c r="Q94" i="5" s="1"/>
  <c r="C96" i="5"/>
  <c r="P96" i="5" s="1"/>
  <c r="Q96" i="5" s="1"/>
  <c r="C97" i="5"/>
  <c r="P97" i="5" s="1"/>
  <c r="Q97" i="5" s="1"/>
  <c r="C99" i="5"/>
  <c r="P99" i="5" s="1"/>
  <c r="Q99" i="5" s="1"/>
  <c r="C100" i="5"/>
  <c r="P100" i="5" s="1"/>
  <c r="Q100" i="5" s="1"/>
  <c r="C101" i="5"/>
  <c r="P101" i="5" s="1"/>
  <c r="Q101" i="5" s="1"/>
  <c r="C102" i="5"/>
  <c r="P102" i="5" s="1"/>
  <c r="Q102" i="5" s="1"/>
  <c r="C103" i="5"/>
  <c r="P103" i="5" s="1"/>
  <c r="Q103" i="5" s="1"/>
  <c r="C104" i="5"/>
  <c r="P104" i="5" s="1"/>
  <c r="Q104" i="5" s="1"/>
  <c r="C105" i="5"/>
  <c r="P105" i="5" s="1"/>
  <c r="Q105" i="5" s="1"/>
  <c r="C106" i="5"/>
  <c r="P106" i="5" s="1"/>
  <c r="Q106" i="5" s="1"/>
  <c r="C107" i="5"/>
  <c r="P107" i="5" s="1"/>
  <c r="Q107" i="5" s="1"/>
  <c r="C108" i="5"/>
  <c r="P108" i="5" s="1"/>
  <c r="Q108" i="5" s="1"/>
  <c r="C110" i="5"/>
  <c r="P110" i="5" s="1"/>
  <c r="Q110" i="5" s="1"/>
  <c r="C112" i="5"/>
  <c r="P112" i="5" s="1"/>
  <c r="Q112" i="5" s="1"/>
  <c r="C113" i="5"/>
  <c r="P113" i="5" s="1"/>
  <c r="Q113" i="5" s="1"/>
  <c r="C114" i="5"/>
  <c r="P114" i="5" s="1"/>
  <c r="Q114" i="5" s="1"/>
  <c r="C115" i="5"/>
  <c r="P115" i="5" s="1"/>
  <c r="Q115" i="5" s="1"/>
  <c r="C116" i="5"/>
  <c r="P116" i="5" s="1"/>
  <c r="Q116" i="5" s="1"/>
  <c r="C117" i="5"/>
  <c r="P117" i="5" s="1"/>
  <c r="Q117" i="5" s="1"/>
  <c r="C118" i="5"/>
  <c r="P118" i="5" s="1"/>
  <c r="Q118" i="5" s="1"/>
  <c r="C119" i="5"/>
  <c r="P119" i="5" s="1"/>
  <c r="Q119" i="5" s="1"/>
  <c r="C120" i="5"/>
  <c r="P120" i="5" s="1"/>
  <c r="Q120" i="5" s="1"/>
  <c r="C121" i="5"/>
  <c r="P121" i="5" s="1"/>
  <c r="Q121" i="5" s="1"/>
  <c r="C122" i="5"/>
  <c r="P122" i="5" s="1"/>
  <c r="Q122" i="5" s="1"/>
  <c r="C124" i="5"/>
  <c r="P124" i="5" s="1"/>
  <c r="Q124" i="5" s="1"/>
  <c r="C125" i="5"/>
  <c r="P125" i="5" s="1"/>
  <c r="Q125" i="5" s="1"/>
  <c r="C160" i="5"/>
  <c r="P160" i="5" s="1"/>
  <c r="Q160" i="5" s="1"/>
  <c r="C127" i="5"/>
  <c r="P127" i="5" s="1"/>
  <c r="Q127" i="5" s="1"/>
  <c r="C129" i="5"/>
  <c r="P129" i="5" s="1"/>
  <c r="Q129" i="5" s="1"/>
  <c r="C130" i="5"/>
  <c r="P130" i="5" s="1"/>
  <c r="Q130" i="5" s="1"/>
  <c r="C131" i="5"/>
  <c r="P131" i="5" s="1"/>
  <c r="Q131" i="5" s="1"/>
  <c r="C133" i="5"/>
  <c r="P133" i="5" s="1"/>
  <c r="Q133" i="5" s="1"/>
  <c r="C134" i="5"/>
  <c r="P134" i="5" s="1"/>
  <c r="Q134" i="5" s="1"/>
  <c r="C136" i="5"/>
  <c r="P136" i="5" s="1"/>
  <c r="Q136" i="5" s="1"/>
  <c r="C138" i="5"/>
  <c r="P138" i="5" s="1"/>
  <c r="Q138" i="5" s="1"/>
  <c r="C140" i="5"/>
  <c r="P140" i="5" s="1"/>
  <c r="Q140" i="5" s="1"/>
  <c r="C141" i="5"/>
  <c r="P141" i="5" s="1"/>
  <c r="Q141" i="5" s="1"/>
  <c r="C142" i="5"/>
  <c r="P142" i="5" s="1"/>
  <c r="Q142" i="5" s="1"/>
  <c r="C143" i="5"/>
  <c r="P143" i="5" s="1"/>
  <c r="Q143" i="5" s="1"/>
  <c r="C144" i="5"/>
  <c r="P144" i="5" s="1"/>
  <c r="Q144" i="5" s="1"/>
  <c r="C146" i="5"/>
  <c r="P146" i="5" s="1"/>
  <c r="Q146" i="5" s="1"/>
  <c r="C147" i="5"/>
  <c r="P147" i="5" s="1"/>
  <c r="Q147" i="5" s="1"/>
  <c r="C148" i="5"/>
  <c r="P148" i="5" s="1"/>
  <c r="Q148" i="5" s="1"/>
  <c r="C149" i="5"/>
  <c r="P149" i="5" s="1"/>
  <c r="Q149" i="5" s="1"/>
  <c r="C151" i="5"/>
  <c r="P151" i="5" s="1"/>
  <c r="Q151" i="5" s="1"/>
  <c r="C152" i="5"/>
  <c r="P152" i="5" s="1"/>
  <c r="Q152" i="5" s="1"/>
  <c r="C153" i="5"/>
  <c r="P153" i="5" s="1"/>
  <c r="Q153" i="5" s="1"/>
  <c r="C154" i="5"/>
  <c r="P154" i="5" s="1"/>
  <c r="Q154" i="5" s="1"/>
  <c r="C156" i="5"/>
  <c r="P156" i="5" s="1"/>
  <c r="Q156" i="5" s="1"/>
  <c r="C157" i="5"/>
  <c r="P157" i="5" s="1"/>
  <c r="Q157" i="5" s="1"/>
  <c r="C158" i="5"/>
  <c r="P158" i="5" s="1"/>
  <c r="Q158" i="5" s="1"/>
  <c r="C159" i="5"/>
  <c r="P159" i="5" s="1"/>
  <c r="Q159" i="5" s="1"/>
  <c r="C161" i="5"/>
  <c r="P161" i="5" s="1"/>
  <c r="Q161" i="5" s="1"/>
  <c r="C162" i="5"/>
  <c r="P162" i="5" s="1"/>
  <c r="Q162" i="5" s="1"/>
  <c r="C163" i="5"/>
  <c r="P163" i="5" s="1"/>
  <c r="Q163" i="5" s="1"/>
  <c r="C164" i="5"/>
  <c r="P164" i="5" s="1"/>
  <c r="Q164" i="5" s="1"/>
  <c r="C165" i="5"/>
  <c r="P165" i="5" s="1"/>
  <c r="Q165" i="5" s="1"/>
  <c r="C167" i="5"/>
  <c r="P167" i="5" s="1"/>
  <c r="Q167" i="5" s="1"/>
  <c r="C168" i="5"/>
  <c r="P168" i="5" s="1"/>
  <c r="Q168" i="5" s="1"/>
  <c r="C169" i="5"/>
  <c r="P169" i="5" s="1"/>
  <c r="Q169" i="5" s="1"/>
  <c r="C166" i="5"/>
  <c r="P166" i="5" s="1"/>
  <c r="Q166" i="5" s="1"/>
  <c r="C170" i="5"/>
  <c r="P170" i="5" s="1"/>
  <c r="Q170" i="5" s="1"/>
  <c r="C171" i="5"/>
  <c r="P171" i="5" s="1"/>
  <c r="Q171" i="5" s="1"/>
  <c r="C172" i="5"/>
  <c r="P172" i="5" s="1"/>
  <c r="Q172" i="5" s="1"/>
  <c r="C175" i="5"/>
  <c r="P175" i="5" s="1"/>
  <c r="Q175" i="5" s="1"/>
  <c r="C176" i="5"/>
  <c r="P176" i="5" s="1"/>
  <c r="Q176" i="5" s="1"/>
  <c r="C179" i="5"/>
  <c r="P179" i="5" s="1"/>
  <c r="Q179" i="5" s="1"/>
  <c r="C183" i="5"/>
  <c r="P183" i="5" s="1"/>
  <c r="Q183" i="5" s="1"/>
  <c r="C185" i="5"/>
  <c r="P185" i="5" s="1"/>
  <c r="Q185" i="5" s="1"/>
  <c r="C186" i="5"/>
  <c r="P186" i="5" s="1"/>
  <c r="Q186" i="5" s="1"/>
  <c r="C187" i="5"/>
  <c r="P187" i="5" s="1"/>
  <c r="Q187" i="5" s="1"/>
  <c r="C188" i="5"/>
  <c r="P188" i="5" s="1"/>
  <c r="Q188" i="5" s="1"/>
  <c r="C189" i="5"/>
  <c r="P189" i="5" s="1"/>
  <c r="Q189" i="5" s="1"/>
  <c r="C190" i="5"/>
  <c r="P190" i="5" s="1"/>
  <c r="Q190" i="5" s="1"/>
  <c r="C191" i="5"/>
  <c r="P191" i="5" s="1"/>
  <c r="Q191" i="5" s="1"/>
  <c r="C173" i="5"/>
  <c r="P173" i="5" s="1"/>
  <c r="Q173" i="5" s="1"/>
  <c r="C174" i="5"/>
  <c r="P174" i="5" s="1"/>
  <c r="Q174" i="5" s="1"/>
  <c r="C177" i="5"/>
  <c r="P177" i="5" s="1"/>
  <c r="Q177" i="5" s="1"/>
  <c r="C178" i="5"/>
  <c r="P178" i="5" s="1"/>
  <c r="Q178" i="5" s="1"/>
  <c r="C180" i="5"/>
  <c r="P180" i="5" s="1"/>
  <c r="Q180" i="5" s="1"/>
  <c r="C181" i="5"/>
  <c r="P181" i="5" s="1"/>
  <c r="Q181" i="5" s="1"/>
  <c r="C184" i="5"/>
  <c r="P184" i="5" s="1"/>
  <c r="Q184" i="5" s="1"/>
  <c r="C192" i="5"/>
  <c r="P192" i="5" s="1"/>
  <c r="Q192" i="5" s="1"/>
  <c r="C193" i="5"/>
  <c r="P193" i="5" s="1"/>
  <c r="Q193" i="5" s="1"/>
  <c r="C196" i="5"/>
  <c r="P196" i="5" s="1"/>
  <c r="Q196" i="5" s="1"/>
  <c r="C197" i="5"/>
  <c r="P197" i="5" s="1"/>
  <c r="Q197" i="5" s="1"/>
  <c r="C200" i="5"/>
  <c r="P200" i="5" s="1"/>
  <c r="Q200" i="5" s="1"/>
  <c r="C201" i="5"/>
  <c r="P201" i="5" s="1"/>
  <c r="Q201" i="5" s="1"/>
  <c r="C204" i="5"/>
  <c r="P204" i="5" s="1"/>
  <c r="Q204" i="5" s="1"/>
  <c r="C205" i="5"/>
  <c r="P205" i="5" s="1"/>
  <c r="Q205" i="5" s="1"/>
  <c r="C207" i="5"/>
  <c r="P207" i="5" s="1"/>
  <c r="Q207" i="5" s="1"/>
  <c r="C209" i="5"/>
  <c r="P209" i="5" s="1"/>
  <c r="Q209" i="5" s="1"/>
  <c r="C194" i="5"/>
  <c r="P194" i="5" s="1"/>
  <c r="Q194" i="5" s="1"/>
  <c r="C198" i="5"/>
  <c r="P198" i="5" s="1"/>
  <c r="Q198" i="5" s="1"/>
  <c r="C202" i="5"/>
  <c r="P202" i="5" s="1"/>
  <c r="Q202" i="5" s="1"/>
  <c r="C203" i="5"/>
  <c r="P203" i="5" s="1"/>
  <c r="Q203" i="5" s="1"/>
  <c r="C132" i="5"/>
  <c r="P132" i="5" s="1"/>
  <c r="Q132" i="5" s="1"/>
  <c r="C206" i="5"/>
  <c r="P206" i="5" s="1"/>
  <c r="Q206" i="5" s="1"/>
  <c r="C208" i="5"/>
  <c r="P208" i="5" s="1"/>
  <c r="Q208" i="5" s="1"/>
  <c r="C210" i="5"/>
  <c r="P210" i="5" s="1"/>
  <c r="Q210" i="5" s="1"/>
  <c r="C211" i="5"/>
  <c r="P211" i="5" s="1"/>
  <c r="Q211" i="5" s="1"/>
  <c r="C212" i="5"/>
  <c r="P212" i="5" s="1"/>
  <c r="Q212" i="5" s="1"/>
  <c r="C213" i="5"/>
  <c r="P213" i="5" s="1"/>
  <c r="Q213" i="5" s="1"/>
  <c r="C216" i="5"/>
  <c r="P216" i="5" s="1"/>
  <c r="Q216" i="5" s="1"/>
  <c r="C220" i="5"/>
  <c r="P220" i="5" s="1"/>
  <c r="Q220" i="5" s="1"/>
  <c r="C223" i="5"/>
  <c r="P223" i="5" s="1"/>
  <c r="Q223" i="5" s="1"/>
  <c r="C225" i="5"/>
  <c r="P225" i="5" s="1"/>
  <c r="Q225" i="5" s="1"/>
  <c r="C214" i="5"/>
  <c r="P214" i="5" s="1"/>
  <c r="Q214" i="5" s="1"/>
  <c r="C217" i="5"/>
  <c r="P217" i="5" s="1"/>
  <c r="Q217" i="5" s="1"/>
  <c r="C218" i="5"/>
  <c r="P218" i="5" s="1"/>
  <c r="Q218" i="5" s="1"/>
  <c r="C221" i="5"/>
  <c r="P221" i="5" s="1"/>
  <c r="Q221" i="5" s="1"/>
  <c r="C224" i="5"/>
  <c r="P224" i="5" s="1"/>
  <c r="Q224" i="5" s="1"/>
  <c r="C226" i="5"/>
  <c r="P226" i="5" s="1"/>
  <c r="Q226" i="5" s="1"/>
  <c r="C150" i="5"/>
  <c r="P150" i="5" s="1"/>
  <c r="Q150" i="5" s="1"/>
  <c r="C227" i="5"/>
  <c r="P227" i="5" s="1"/>
  <c r="Q227" i="5" s="1"/>
  <c r="C228" i="5"/>
  <c r="P228" i="5" s="1"/>
  <c r="Q228" i="5" s="1"/>
  <c r="C229" i="5"/>
  <c r="P229" i="5" s="1"/>
  <c r="Q229" i="5" s="1"/>
  <c r="C230" i="5"/>
  <c r="P230" i="5" s="1"/>
  <c r="Q230" i="5" s="1"/>
  <c r="C231" i="5"/>
  <c r="P231" i="5" s="1"/>
  <c r="Q231" i="5" s="1"/>
  <c r="C233" i="5"/>
  <c r="P233" i="5" s="1"/>
  <c r="Q233" i="5" s="1"/>
  <c r="C235" i="5"/>
  <c r="P235" i="5" s="1"/>
  <c r="Q235" i="5" s="1"/>
  <c r="C236" i="5"/>
  <c r="P236" i="5" s="1"/>
  <c r="Q236" i="5" s="1"/>
  <c r="C237" i="5"/>
  <c r="P237" i="5" s="1"/>
  <c r="Q237" i="5" s="1"/>
  <c r="C238" i="5"/>
  <c r="P238" i="5" s="1"/>
  <c r="Q238" i="5" s="1"/>
  <c r="C239" i="5"/>
  <c r="P239" i="5" s="1"/>
  <c r="Q239" i="5" s="1"/>
  <c r="C240" i="5"/>
  <c r="P240" i="5" s="1"/>
  <c r="Q240" i="5" s="1"/>
  <c r="C241" i="5"/>
  <c r="P241" i="5" s="1"/>
  <c r="Q241" i="5" s="1"/>
  <c r="C242" i="5"/>
  <c r="P242" i="5" s="1"/>
  <c r="Q242" i="5" s="1"/>
  <c r="C243" i="5"/>
  <c r="P243" i="5" s="1"/>
  <c r="Q243" i="5" s="1"/>
  <c r="C244" i="5"/>
  <c r="P244" i="5" s="1"/>
  <c r="Q244" i="5" s="1"/>
  <c r="C245" i="5"/>
  <c r="P245" i="5" s="1"/>
  <c r="Q245" i="5" s="1"/>
  <c r="C246" i="5"/>
  <c r="P246" i="5" s="1"/>
  <c r="Q246" i="5" s="1"/>
  <c r="C247" i="5"/>
  <c r="P247" i="5" s="1"/>
  <c r="Q247" i="5" s="1"/>
  <c r="C249" i="5"/>
  <c r="P249" i="5" s="1"/>
  <c r="Q249" i="5" s="1"/>
  <c r="C250" i="5"/>
  <c r="P250" i="5" s="1"/>
  <c r="Q250" i="5" s="1"/>
  <c r="C182" i="5"/>
  <c r="P182" i="5" s="1"/>
  <c r="Q182" i="5" s="1"/>
  <c r="C251" i="5"/>
  <c r="P251" i="5" s="1"/>
  <c r="Q251" i="5" s="1"/>
  <c r="C252" i="5"/>
  <c r="P252" i="5" s="1"/>
  <c r="Q252" i="5" s="1"/>
  <c r="C253" i="5"/>
  <c r="P253" i="5" s="1"/>
  <c r="Q253" i="5" s="1"/>
  <c r="C254" i="5"/>
  <c r="P254" i="5" s="1"/>
  <c r="Q254" i="5" s="1"/>
  <c r="C255" i="5"/>
  <c r="P255" i="5" s="1"/>
  <c r="Q255" i="5" s="1"/>
  <c r="C256" i="5"/>
  <c r="P256" i="5" s="1"/>
  <c r="Q256" i="5" s="1"/>
  <c r="C257" i="5"/>
  <c r="P257" i="5" s="1"/>
  <c r="Q257" i="5" s="1"/>
  <c r="C258" i="5"/>
  <c r="P258" i="5" s="1"/>
  <c r="Q258" i="5" s="1"/>
  <c r="C195" i="5"/>
  <c r="P195" i="5" s="1"/>
  <c r="Q195" i="5" s="1"/>
  <c r="C259" i="5"/>
  <c r="P259" i="5" s="1"/>
  <c r="Q259" i="5" s="1"/>
  <c r="C260" i="5"/>
  <c r="P260" i="5" s="1"/>
  <c r="Q260" i="5" s="1"/>
  <c r="C261" i="5"/>
  <c r="P261" i="5" s="1"/>
  <c r="Q261" i="5" s="1"/>
  <c r="C262" i="5"/>
  <c r="P262" i="5" s="1"/>
  <c r="Q262" i="5" s="1"/>
  <c r="C199" i="5"/>
  <c r="P199" i="5" s="1"/>
  <c r="Q199" i="5" s="1"/>
  <c r="C263" i="5"/>
  <c r="P263" i="5" s="1"/>
  <c r="Q263" i="5" s="1"/>
  <c r="C264" i="5"/>
  <c r="P264" i="5" s="1"/>
  <c r="Q264" i="5" s="1"/>
  <c r="C265" i="5"/>
  <c r="P265" i="5" s="1"/>
  <c r="Q265" i="5" s="1"/>
  <c r="C266" i="5"/>
  <c r="P266" i="5" s="1"/>
  <c r="Q266" i="5" s="1"/>
  <c r="C267" i="5"/>
  <c r="P267" i="5" s="1"/>
  <c r="Q267" i="5" s="1"/>
  <c r="C215" i="5"/>
  <c r="P215" i="5" s="1"/>
  <c r="Q215" i="5" s="1"/>
  <c r="C268" i="5"/>
  <c r="P268" i="5" s="1"/>
  <c r="Q268" i="5" s="1"/>
  <c r="C219" i="5"/>
  <c r="P219" i="5" s="1"/>
  <c r="Q219" i="5" s="1"/>
  <c r="C222" i="5"/>
  <c r="P222" i="5" s="1"/>
  <c r="Q222" i="5" s="1"/>
  <c r="C269" i="5"/>
  <c r="P269" i="5" s="1"/>
  <c r="Q269" i="5" s="1"/>
  <c r="C270" i="5"/>
  <c r="P270" i="5" s="1"/>
  <c r="Q270" i="5" s="1"/>
  <c r="C271" i="5"/>
  <c r="P271" i="5" s="1"/>
  <c r="Q271" i="5" s="1"/>
  <c r="C272" i="5"/>
  <c r="P272" i="5" s="1"/>
  <c r="Q272" i="5" s="1"/>
  <c r="C273" i="5"/>
  <c r="P273" i="5" s="1"/>
  <c r="Q273" i="5" s="1"/>
  <c r="C232" i="5"/>
  <c r="P232" i="5" s="1"/>
  <c r="Q232" i="5" s="1"/>
  <c r="C274" i="5"/>
  <c r="P274" i="5" s="1"/>
  <c r="Q274" i="5" s="1"/>
  <c r="C234" i="5"/>
  <c r="P234" i="5" s="1"/>
  <c r="Q234" i="5" s="1"/>
  <c r="C275" i="5"/>
  <c r="P275" i="5" s="1"/>
  <c r="Q275" i="5" s="1"/>
  <c r="C276" i="5"/>
  <c r="P276" i="5" s="1"/>
  <c r="Q276" i="5" s="1"/>
  <c r="C277" i="5"/>
  <c r="P277" i="5" s="1"/>
  <c r="Q277" i="5" s="1"/>
  <c r="C278" i="5"/>
  <c r="P278" i="5" s="1"/>
  <c r="Q278" i="5" s="1"/>
  <c r="C279" i="5"/>
  <c r="P279" i="5" s="1"/>
  <c r="Q279" i="5" s="1"/>
  <c r="C280" i="5"/>
  <c r="P280" i="5" s="1"/>
  <c r="Q280" i="5" s="1"/>
  <c r="C281" i="5"/>
  <c r="P281" i="5" s="1"/>
  <c r="Q281" i="5" s="1"/>
  <c r="C282" i="5"/>
  <c r="P282" i="5" s="1"/>
  <c r="Q282" i="5" s="1"/>
  <c r="C248" i="5"/>
  <c r="P248" i="5" s="1"/>
  <c r="Q248" i="5" s="1"/>
  <c r="C283" i="5"/>
  <c r="P283" i="5" s="1"/>
  <c r="Q283" i="5" s="1"/>
  <c r="C284" i="5"/>
  <c r="P284" i="5" s="1"/>
  <c r="Q284" i="5" s="1"/>
  <c r="C285" i="5"/>
  <c r="P285" i="5" s="1"/>
  <c r="Q285" i="5" s="1"/>
  <c r="C286" i="5"/>
  <c r="P286" i="5" s="1"/>
  <c r="Q286" i="5" s="1"/>
  <c r="C63" i="5"/>
  <c r="P63" i="5" s="1"/>
  <c r="Q63" i="5" s="1"/>
  <c r="C287" i="5"/>
  <c r="P287" i="5" s="1"/>
  <c r="Q287" i="5" s="1"/>
  <c r="C288" i="5"/>
  <c r="P288" i="5" s="1"/>
  <c r="Q288" i="5" s="1"/>
  <c r="C289" i="5"/>
  <c r="P289" i="5" s="1"/>
  <c r="Q289" i="5" s="1"/>
  <c r="C290" i="5"/>
  <c r="P290" i="5" s="1"/>
  <c r="Q290" i="5" s="1"/>
  <c r="C35" i="5"/>
  <c r="P35" i="5" s="1"/>
  <c r="Q35" i="5" s="1"/>
  <c r="C37" i="5"/>
  <c r="P37" i="5" s="1"/>
  <c r="Q37" i="5" s="1"/>
  <c r="C39" i="5"/>
  <c r="P39" i="5" s="1"/>
  <c r="Q39" i="5" s="1"/>
  <c r="C291" i="5"/>
  <c r="P291" i="5" s="1"/>
  <c r="Q291" i="5" s="1"/>
  <c r="C71" i="5"/>
  <c r="P71" i="5" s="1"/>
  <c r="Q71" i="5" s="1"/>
  <c r="C292" i="5"/>
  <c r="P292" i="5" s="1"/>
  <c r="Q292" i="5" s="1"/>
  <c r="C293" i="5"/>
  <c r="P293" i="5" s="1"/>
  <c r="Q293" i="5" s="1"/>
  <c r="C294" i="5"/>
  <c r="P294" i="5" s="1"/>
  <c r="Q294" i="5" s="1"/>
  <c r="C295" i="5"/>
  <c r="P295" i="5" s="1"/>
  <c r="Q295" i="5" s="1"/>
  <c r="C85" i="5"/>
  <c r="P85" i="5" s="1"/>
  <c r="Q85" i="5" s="1"/>
  <c r="C41" i="5"/>
  <c r="P41" i="5" s="1"/>
  <c r="Q41" i="5" s="1"/>
  <c r="C46" i="5"/>
  <c r="P46" i="5" s="1"/>
  <c r="Q46" i="5" s="1"/>
  <c r="C87" i="5"/>
  <c r="P87" i="5" s="1"/>
  <c r="Q87" i="5" s="1"/>
  <c r="C95" i="5"/>
  <c r="P95" i="5" s="1"/>
  <c r="Q95" i="5" s="1"/>
  <c r="C48" i="5"/>
  <c r="P48" i="5" s="1"/>
  <c r="Q48" i="5" s="1"/>
  <c r="C50" i="5"/>
  <c r="P50" i="5" s="1"/>
  <c r="Q50" i="5" s="1"/>
  <c r="C98" i="5"/>
  <c r="P98" i="5" s="1"/>
  <c r="Q98" i="5" s="1"/>
  <c r="C109" i="5"/>
  <c r="P109" i="5" s="1"/>
  <c r="Q109" i="5" s="1"/>
  <c r="C52" i="5"/>
  <c r="P52" i="5" s="1"/>
  <c r="Q52" i="5" s="1"/>
  <c r="C55" i="5"/>
  <c r="P55" i="5" s="1"/>
  <c r="Q55" i="5" s="1"/>
  <c r="C56" i="5"/>
  <c r="P56" i="5" s="1"/>
  <c r="Q56" i="5" s="1"/>
  <c r="C60" i="5"/>
  <c r="P60" i="5" s="1"/>
  <c r="Q60" i="5" s="1"/>
  <c r="C64" i="5"/>
  <c r="P64" i="5" s="1"/>
  <c r="Q64" i="5" s="1"/>
  <c r="C111" i="5"/>
  <c r="P111" i="5" s="1"/>
  <c r="Q111" i="5" s="1"/>
  <c r="C32" i="5"/>
  <c r="P32" i="5" s="1"/>
  <c r="Q32" i="5" s="1"/>
  <c r="C67" i="5"/>
  <c r="P67" i="5" s="1"/>
  <c r="Q67" i="5" s="1"/>
  <c r="C74" i="5"/>
  <c r="P74" i="5" s="1"/>
  <c r="Q74" i="5" s="1"/>
  <c r="C77" i="5"/>
  <c r="P77" i="5" s="1"/>
  <c r="Q77" i="5" s="1"/>
  <c r="C80" i="5"/>
  <c r="P80" i="5" s="1"/>
  <c r="Q80" i="5" s="1"/>
  <c r="C33" i="5"/>
  <c r="P33" i="5" s="1"/>
  <c r="Q33" i="5" s="1"/>
  <c r="C43" i="5"/>
  <c r="P43" i="5" s="1"/>
  <c r="Q43" i="5" s="1"/>
  <c r="C82" i="5"/>
  <c r="P82" i="5" s="1"/>
  <c r="Q82" i="5" s="1"/>
  <c r="C84" i="5"/>
  <c r="P84" i="5" s="1"/>
  <c r="Q84" i="5" s="1"/>
  <c r="C90" i="5"/>
  <c r="P90" i="5" s="1"/>
  <c r="Q90" i="5" s="1"/>
  <c r="C91" i="5"/>
  <c r="P91" i="5" s="1"/>
  <c r="Q91" i="5" s="1"/>
  <c r="C92" i="5"/>
  <c r="P92" i="5" s="1"/>
  <c r="Q92" i="5" s="1"/>
  <c r="C123" i="5"/>
  <c r="P123" i="5" s="1"/>
  <c r="Q123" i="5" s="1"/>
  <c r="C126" i="5"/>
  <c r="P126" i="5" s="1"/>
  <c r="Q126" i="5" s="1"/>
  <c r="C128" i="5"/>
  <c r="P128" i="5" s="1"/>
  <c r="Q128" i="5" s="1"/>
  <c r="C135" i="5"/>
  <c r="P135" i="5" s="1"/>
  <c r="Q135" i="5" s="1"/>
  <c r="C137" i="5"/>
  <c r="P137" i="5" s="1"/>
  <c r="Q137" i="5" s="1"/>
  <c r="C139" i="5"/>
  <c r="P139" i="5" s="1"/>
  <c r="Q139" i="5" s="1"/>
  <c r="C145" i="5"/>
  <c r="P145" i="5" s="1"/>
  <c r="Q145" i="5" s="1"/>
  <c r="C155" i="5"/>
  <c r="P155" i="5" s="1"/>
  <c r="Q155" i="5" s="1"/>
  <c r="S34" i="5"/>
  <c r="S36" i="5"/>
  <c r="S38" i="5"/>
  <c r="S40" i="5"/>
  <c r="S42" i="5"/>
  <c r="S44" i="5"/>
  <c r="S45" i="5"/>
  <c r="S47" i="5"/>
  <c r="S49" i="5"/>
  <c r="S51" i="5"/>
  <c r="S53" i="5"/>
  <c r="S54" i="5"/>
  <c r="S57" i="5"/>
  <c r="S58" i="5"/>
  <c r="S59" i="5"/>
  <c r="S61" i="5"/>
  <c r="S62" i="5"/>
  <c r="S65" i="5"/>
  <c r="S66" i="5"/>
  <c r="S68" i="5"/>
  <c r="S69" i="5"/>
  <c r="S70" i="5"/>
  <c r="S72" i="5"/>
  <c r="S73" i="5"/>
  <c r="S75" i="5"/>
  <c r="S76" i="5"/>
  <c r="S78" i="5"/>
  <c r="S79" i="5"/>
  <c r="S81" i="5"/>
  <c r="S83" i="5"/>
  <c r="S86" i="5"/>
  <c r="S88" i="5"/>
  <c r="S89" i="5"/>
  <c r="S93" i="5"/>
  <c r="S94" i="5"/>
  <c r="S96" i="5"/>
  <c r="S97" i="5"/>
  <c r="S99" i="5"/>
  <c r="S100" i="5"/>
  <c r="S101" i="5"/>
  <c r="S102" i="5"/>
  <c r="S103" i="5"/>
  <c r="S104" i="5"/>
  <c r="S105" i="5"/>
  <c r="S106" i="5"/>
  <c r="S107" i="5"/>
  <c r="S108" i="5"/>
  <c r="S110" i="5"/>
  <c r="S112" i="5"/>
  <c r="S113" i="5"/>
  <c r="S114" i="5"/>
  <c r="S115" i="5"/>
  <c r="S116" i="5"/>
  <c r="S117" i="5"/>
  <c r="S118" i="5"/>
  <c r="S119" i="5"/>
  <c r="S120" i="5"/>
  <c r="S121" i="5"/>
  <c r="S122" i="5"/>
  <c r="S124" i="5"/>
  <c r="S125" i="5"/>
  <c r="S160" i="5"/>
  <c r="S127" i="5"/>
  <c r="S129" i="5"/>
  <c r="S130" i="5"/>
  <c r="S131" i="5"/>
  <c r="S133" i="5"/>
  <c r="S134" i="5"/>
  <c r="S136" i="5"/>
  <c r="S138" i="5"/>
  <c r="S140" i="5"/>
  <c r="S141" i="5"/>
  <c r="S142" i="5"/>
  <c r="S143" i="5"/>
  <c r="S144" i="5"/>
  <c r="S146" i="5"/>
  <c r="S147" i="5"/>
  <c r="S148" i="5"/>
  <c r="S149" i="5"/>
  <c r="S151" i="5"/>
  <c r="S152" i="5"/>
  <c r="S153" i="5"/>
  <c r="S154" i="5"/>
  <c r="S156" i="5"/>
  <c r="S157" i="5"/>
  <c r="S158" i="5"/>
  <c r="S159" i="5"/>
  <c r="S161" i="5"/>
  <c r="S162" i="5"/>
  <c r="S163" i="5"/>
  <c r="S164" i="5"/>
  <c r="S165" i="5"/>
  <c r="S167" i="5"/>
  <c r="S168" i="5"/>
  <c r="S169" i="5"/>
  <c r="S166" i="5"/>
  <c r="S170" i="5"/>
  <c r="S171" i="5"/>
  <c r="S172" i="5"/>
  <c r="S175" i="5"/>
  <c r="S176" i="5"/>
  <c r="S179" i="5"/>
  <c r="S183" i="5"/>
  <c r="S185" i="5"/>
  <c r="S186" i="5"/>
  <c r="S187" i="5"/>
  <c r="S188" i="5"/>
  <c r="S189" i="5"/>
  <c r="S190" i="5"/>
  <c r="S191" i="5"/>
  <c r="S173" i="5"/>
  <c r="S174" i="5"/>
  <c r="S177" i="5"/>
  <c r="S178" i="5"/>
  <c r="S180" i="5"/>
  <c r="S181" i="5"/>
  <c r="S184" i="5"/>
  <c r="S192" i="5"/>
  <c r="S193" i="5"/>
  <c r="S196" i="5"/>
  <c r="S197" i="5"/>
  <c r="S200" i="5"/>
  <c r="S201" i="5"/>
  <c r="S204" i="5"/>
  <c r="S205" i="5"/>
  <c r="S207" i="5"/>
  <c r="S209" i="5"/>
  <c r="S194" i="5"/>
  <c r="S198" i="5"/>
  <c r="S202" i="5"/>
  <c r="S203" i="5"/>
  <c r="S132" i="5"/>
  <c r="S206" i="5"/>
  <c r="S208" i="5"/>
  <c r="S210" i="5"/>
  <c r="S211" i="5"/>
  <c r="S212" i="5"/>
  <c r="S213" i="5"/>
  <c r="S216" i="5"/>
  <c r="S220" i="5"/>
  <c r="S223" i="5"/>
  <c r="S225" i="5"/>
  <c r="S214" i="5"/>
  <c r="S217" i="5"/>
  <c r="S218" i="5"/>
  <c r="S221" i="5"/>
  <c r="S224" i="5"/>
  <c r="S226" i="5"/>
  <c r="S150" i="5"/>
  <c r="S227" i="5"/>
  <c r="S228" i="5"/>
  <c r="S229" i="5"/>
  <c r="S230" i="5"/>
  <c r="S231" i="5"/>
  <c r="S233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9" i="5"/>
  <c r="S250" i="5"/>
  <c r="S182" i="5"/>
  <c r="S251" i="5"/>
  <c r="S252" i="5"/>
  <c r="S253" i="5"/>
  <c r="S254" i="5"/>
  <c r="S255" i="5"/>
  <c r="S256" i="5"/>
  <c r="S257" i="5"/>
  <c r="S258" i="5"/>
  <c r="S195" i="5"/>
  <c r="S259" i="5"/>
  <c r="S260" i="5"/>
  <c r="S261" i="5"/>
  <c r="S262" i="5"/>
  <c r="S199" i="5"/>
  <c r="S263" i="5"/>
  <c r="S264" i="5"/>
  <c r="S265" i="5"/>
  <c r="S266" i="5"/>
  <c r="S267" i="5"/>
  <c r="S215" i="5"/>
  <c r="S268" i="5"/>
  <c r="S219" i="5"/>
  <c r="S222" i="5"/>
  <c r="S269" i="5"/>
  <c r="S270" i="5"/>
  <c r="S271" i="5"/>
  <c r="S272" i="5"/>
  <c r="S273" i="5"/>
  <c r="S232" i="5"/>
  <c r="S274" i="5"/>
  <c r="S234" i="5"/>
  <c r="S275" i="5"/>
  <c r="S276" i="5"/>
  <c r="S277" i="5"/>
  <c r="S278" i="5"/>
  <c r="S279" i="5"/>
  <c r="S280" i="5"/>
  <c r="S281" i="5"/>
  <c r="S282" i="5"/>
  <c r="S248" i="5"/>
  <c r="S283" i="5"/>
  <c r="S284" i="5"/>
  <c r="S285" i="5"/>
  <c r="S286" i="5"/>
  <c r="S63" i="5"/>
  <c r="S287" i="5"/>
  <c r="S288" i="5"/>
  <c r="S289" i="5"/>
  <c r="S290" i="5"/>
  <c r="S35" i="5"/>
  <c r="S37" i="5"/>
  <c r="S39" i="5"/>
  <c r="S291" i="5"/>
  <c r="S71" i="5"/>
  <c r="S292" i="5"/>
  <c r="S293" i="5"/>
  <c r="S294" i="5"/>
  <c r="S295" i="5"/>
  <c r="S85" i="5"/>
  <c r="S41" i="5"/>
  <c r="S46" i="5"/>
  <c r="S87" i="5"/>
  <c r="S95" i="5"/>
  <c r="S48" i="5"/>
  <c r="S50" i="5"/>
  <c r="S98" i="5"/>
  <c r="S109" i="5"/>
  <c r="S52" i="5"/>
  <c r="S55" i="5"/>
  <c r="S56" i="5"/>
  <c r="S60" i="5"/>
  <c r="S64" i="5"/>
  <c r="S111" i="5"/>
  <c r="S32" i="5"/>
  <c r="S67" i="5"/>
  <c r="S74" i="5"/>
  <c r="S77" i="5"/>
  <c r="S80" i="5"/>
  <c r="S33" i="5"/>
  <c r="S43" i="5"/>
  <c r="S82" i="5"/>
  <c r="S84" i="5"/>
  <c r="S90" i="5"/>
  <c r="S91" i="5"/>
  <c r="S92" i="5"/>
  <c r="S123" i="5"/>
  <c r="S126" i="5"/>
  <c r="S128" i="5"/>
  <c r="S135" i="5"/>
  <c r="S137" i="5"/>
  <c r="S139" i="5"/>
  <c r="S145" i="5"/>
  <c r="S155" i="5"/>
  <c r="U34" i="5"/>
  <c r="V34" i="5" s="1"/>
  <c r="AK34" i="5" s="1" a="1"/>
  <c r="AK34" i="5" s="1"/>
  <c r="U36" i="5"/>
  <c r="V36" i="5" s="1"/>
  <c r="AK36" i="5" s="1" a="1"/>
  <c r="AK36" i="5" s="1"/>
  <c r="U38" i="5"/>
  <c r="V38" i="5" s="1"/>
  <c r="AK38" i="5" s="1" a="1"/>
  <c r="AK38" i="5" s="1"/>
  <c r="U40" i="5"/>
  <c r="V40" i="5" s="1"/>
  <c r="AK40" i="5" s="1" a="1"/>
  <c r="AK40" i="5" s="1"/>
  <c r="U42" i="5"/>
  <c r="V42" i="5" s="1"/>
  <c r="AK42" i="5" s="1" a="1"/>
  <c r="AK42" i="5" s="1"/>
  <c r="U44" i="5"/>
  <c r="V44" i="5" s="1"/>
  <c r="AK44" i="5" s="1" a="1"/>
  <c r="AK44" i="5" s="1"/>
  <c r="U45" i="5"/>
  <c r="V45" i="5" s="1"/>
  <c r="AK45" i="5" s="1" a="1"/>
  <c r="AK45" i="5" s="1"/>
  <c r="U47" i="5"/>
  <c r="V47" i="5" s="1"/>
  <c r="AK47" i="5" s="1" a="1"/>
  <c r="AK47" i="5" s="1"/>
  <c r="U49" i="5"/>
  <c r="U51" i="5"/>
  <c r="V51" i="5" s="1"/>
  <c r="AK51" i="5" s="1" a="1"/>
  <c r="AK51" i="5" s="1"/>
  <c r="U53" i="5"/>
  <c r="U54" i="5"/>
  <c r="V54" i="5" s="1"/>
  <c r="AK54" i="5" s="1" a="1"/>
  <c r="AK54" i="5" s="1"/>
  <c r="U57" i="5"/>
  <c r="V57" i="5" s="1"/>
  <c r="AK57" i="5" s="1" a="1"/>
  <c r="AK57" i="5" s="1"/>
  <c r="U58" i="5"/>
  <c r="V58" i="5" s="1"/>
  <c r="AK58" i="5" s="1" a="1"/>
  <c r="AK58" i="5" s="1"/>
  <c r="U59" i="5"/>
  <c r="V59" i="5" s="1"/>
  <c r="AK59" i="5" s="1" a="1"/>
  <c r="AK59" i="5" s="1"/>
  <c r="U61" i="5"/>
  <c r="U62" i="5"/>
  <c r="U65" i="5"/>
  <c r="V65" i="5" s="1"/>
  <c r="AK65" i="5" s="1" a="1"/>
  <c r="AK65" i="5" s="1"/>
  <c r="U66" i="5"/>
  <c r="V66" i="5" s="1"/>
  <c r="AK66" i="5" s="1" a="1"/>
  <c r="AK66" i="5" s="1"/>
  <c r="U68" i="5"/>
  <c r="V68" i="5" s="1"/>
  <c r="AK68" i="5" s="1" a="1"/>
  <c r="AK68" i="5" s="1"/>
  <c r="U69" i="5"/>
  <c r="V69" i="5" s="1"/>
  <c r="AK69" i="5" s="1" a="1"/>
  <c r="AK69" i="5" s="1"/>
  <c r="U70" i="5"/>
  <c r="V70" i="5" s="1"/>
  <c r="AK70" i="5" s="1" a="1"/>
  <c r="AK70" i="5" s="1"/>
  <c r="U72" i="5"/>
  <c r="U73" i="5"/>
  <c r="U75" i="5"/>
  <c r="V75" i="5" s="1"/>
  <c r="AK75" i="5" s="1" a="1"/>
  <c r="AK75" i="5" s="1"/>
  <c r="U76" i="5"/>
  <c r="V76" i="5" s="1"/>
  <c r="AK76" i="5" s="1" a="1"/>
  <c r="AK76" i="5" s="1"/>
  <c r="U78" i="5"/>
  <c r="V78" i="5" s="1"/>
  <c r="AK78" i="5" s="1" a="1"/>
  <c r="AK78" i="5" s="1"/>
  <c r="U79" i="5"/>
  <c r="V79" i="5" s="1"/>
  <c r="AK79" i="5" s="1" a="1"/>
  <c r="AK79" i="5" s="1"/>
  <c r="U81" i="5"/>
  <c r="V81" i="5" s="1"/>
  <c r="AK81" i="5" s="1" a="1"/>
  <c r="AK81" i="5" s="1"/>
  <c r="U83" i="5"/>
  <c r="V83" i="5" s="1"/>
  <c r="AK83" i="5" s="1" a="1"/>
  <c r="AK83" i="5" s="1"/>
  <c r="U86" i="5"/>
  <c r="V86" i="5" s="1"/>
  <c r="AK86" i="5" s="1" a="1"/>
  <c r="AK86" i="5" s="1"/>
  <c r="U88" i="5"/>
  <c r="V88" i="5" s="1"/>
  <c r="AK88" i="5" s="1" a="1"/>
  <c r="AK88" i="5" s="1"/>
  <c r="U89" i="5"/>
  <c r="V89" i="5" s="1"/>
  <c r="AK89" i="5" s="1" a="1"/>
  <c r="AK89" i="5" s="1"/>
  <c r="U93" i="5"/>
  <c r="V93" i="5" s="1"/>
  <c r="AK93" i="5" s="1" a="1"/>
  <c r="AK93" i="5" s="1"/>
  <c r="U94" i="5"/>
  <c r="V94" i="5" s="1"/>
  <c r="AK94" i="5" s="1" a="1"/>
  <c r="AK94" i="5" s="1"/>
  <c r="U96" i="5"/>
  <c r="V96" i="5" s="1"/>
  <c r="AK96" i="5" s="1" a="1"/>
  <c r="AK96" i="5" s="1"/>
  <c r="U97" i="5"/>
  <c r="U99" i="5"/>
  <c r="U100" i="5"/>
  <c r="U101" i="5"/>
  <c r="V101" i="5" s="1"/>
  <c r="AK101" i="5" s="1" a="1"/>
  <c r="AK101" i="5" s="1"/>
  <c r="U102" i="5"/>
  <c r="V102" i="5" s="1"/>
  <c r="AK102" i="5" s="1" a="1"/>
  <c r="AK102" i="5" s="1"/>
  <c r="U103" i="5"/>
  <c r="V103" i="5" s="1"/>
  <c r="AK103" i="5" s="1" a="1"/>
  <c r="AK103" i="5" s="1"/>
  <c r="U104" i="5"/>
  <c r="V104" i="5" s="1"/>
  <c r="AK104" i="5" s="1" a="1"/>
  <c r="AK104" i="5" s="1"/>
  <c r="U105" i="5"/>
  <c r="V105" i="5" s="1"/>
  <c r="AK105" i="5" s="1" a="1"/>
  <c r="AK105" i="5" s="1"/>
  <c r="U106" i="5"/>
  <c r="V106" i="5" s="1"/>
  <c r="AK106" i="5" s="1" a="1"/>
  <c r="AK106" i="5" s="1"/>
  <c r="U107" i="5"/>
  <c r="V107" i="5" s="1"/>
  <c r="AK107" i="5" s="1" a="1"/>
  <c r="AK107" i="5" s="1"/>
  <c r="U108" i="5"/>
  <c r="U110" i="5"/>
  <c r="V110" i="5" s="1"/>
  <c r="AK110" i="5" s="1" a="1"/>
  <c r="AK110" i="5" s="1"/>
  <c r="U112" i="5"/>
  <c r="V112" i="5" s="1"/>
  <c r="AK112" i="5" s="1" a="1"/>
  <c r="AK112" i="5" s="1"/>
  <c r="U113" i="5"/>
  <c r="V113" i="5" s="1"/>
  <c r="AK113" i="5" s="1" a="1"/>
  <c r="AK113" i="5" s="1"/>
  <c r="U114" i="5"/>
  <c r="U115" i="5"/>
  <c r="V115" i="5" s="1"/>
  <c r="AK115" i="5" s="1" a="1"/>
  <c r="AK115" i="5" s="1"/>
  <c r="U116" i="5"/>
  <c r="U117" i="5"/>
  <c r="V117" i="5" s="1"/>
  <c r="AK117" i="5" s="1" a="1"/>
  <c r="AK117" i="5" s="1"/>
  <c r="U118" i="5"/>
  <c r="V118" i="5" s="1"/>
  <c r="AK118" i="5" s="1" a="1"/>
  <c r="AK118" i="5" s="1"/>
  <c r="U119" i="5"/>
  <c r="V119" i="5" s="1"/>
  <c r="AK119" i="5" s="1" a="1"/>
  <c r="AK119" i="5" s="1"/>
  <c r="U120" i="5"/>
  <c r="V120" i="5" s="1"/>
  <c r="AK120" i="5" s="1" a="1"/>
  <c r="AK120" i="5" s="1"/>
  <c r="U121" i="5"/>
  <c r="V121" i="5" s="1"/>
  <c r="AK121" i="5" s="1" a="1"/>
  <c r="AK121" i="5" s="1"/>
  <c r="U122" i="5"/>
  <c r="V122" i="5" s="1"/>
  <c r="AK122" i="5" s="1" a="1"/>
  <c r="AK122" i="5" s="1"/>
  <c r="U124" i="5"/>
  <c r="V124" i="5" s="1"/>
  <c r="AK124" i="5" s="1" a="1"/>
  <c r="AK124" i="5" s="1"/>
  <c r="U125" i="5"/>
  <c r="U160" i="5"/>
  <c r="V160" i="5" s="1"/>
  <c r="AK160" i="5" s="1" a="1"/>
  <c r="AK160" i="5" s="1"/>
  <c r="U127" i="5"/>
  <c r="U129" i="5"/>
  <c r="U130" i="5"/>
  <c r="U131" i="5"/>
  <c r="U133" i="5"/>
  <c r="U134" i="5"/>
  <c r="V134" i="5" s="1"/>
  <c r="AK134" i="5" s="1" a="1"/>
  <c r="AK134" i="5" s="1"/>
  <c r="U136" i="5"/>
  <c r="V136" i="5" s="1"/>
  <c r="AK136" i="5" s="1" a="1"/>
  <c r="AK136" i="5" s="1"/>
  <c r="U138" i="5"/>
  <c r="V138" i="5" s="1"/>
  <c r="AK138" i="5" s="1" a="1"/>
  <c r="AK138" i="5" s="1"/>
  <c r="U140" i="5"/>
  <c r="V140" i="5" s="1"/>
  <c r="AK140" i="5" s="1" a="1"/>
  <c r="AK140" i="5" s="1"/>
  <c r="U141" i="5"/>
  <c r="V141" i="5" s="1"/>
  <c r="AK141" i="5" s="1" a="1"/>
  <c r="AK141" i="5" s="1"/>
  <c r="U142" i="5"/>
  <c r="V142" i="5" s="1"/>
  <c r="AK142" i="5" s="1" a="1"/>
  <c r="AK142" i="5" s="1"/>
  <c r="U143" i="5"/>
  <c r="V143" i="5" s="1"/>
  <c r="AK143" i="5" s="1" a="1"/>
  <c r="AK143" i="5" s="1"/>
  <c r="U144" i="5"/>
  <c r="V144" i="5" s="1"/>
  <c r="AK144" i="5" s="1" a="1"/>
  <c r="AK144" i="5" s="1"/>
  <c r="U146" i="5"/>
  <c r="V146" i="5" s="1"/>
  <c r="AK146" i="5" s="1" a="1"/>
  <c r="AK146" i="5" s="1"/>
  <c r="U147" i="5"/>
  <c r="V147" i="5" s="1"/>
  <c r="AK147" i="5" s="1" a="1"/>
  <c r="AK147" i="5" s="1"/>
  <c r="U148" i="5"/>
  <c r="V148" i="5" s="1"/>
  <c r="AK148" i="5" s="1" a="1"/>
  <c r="AK148" i="5" s="1"/>
  <c r="U149" i="5"/>
  <c r="U151" i="5"/>
  <c r="V151" i="5" s="1"/>
  <c r="AK151" i="5" s="1" a="1"/>
  <c r="AK151" i="5" s="1"/>
  <c r="U152" i="5"/>
  <c r="V152" i="5" s="1"/>
  <c r="AK152" i="5" s="1" a="1"/>
  <c r="AK152" i="5" s="1"/>
  <c r="U153" i="5"/>
  <c r="V153" i="5" s="1"/>
  <c r="AK153" i="5" s="1" a="1"/>
  <c r="AK153" i="5" s="1"/>
  <c r="U154" i="5"/>
  <c r="V154" i="5" s="1"/>
  <c r="AK154" i="5" s="1" a="1"/>
  <c r="AK154" i="5" s="1"/>
  <c r="U156" i="5"/>
  <c r="V156" i="5" s="1"/>
  <c r="AK156" i="5" s="1" a="1"/>
  <c r="AK156" i="5" s="1"/>
  <c r="U157" i="5"/>
  <c r="V157" i="5" s="1"/>
  <c r="AK157" i="5" s="1" a="1"/>
  <c r="AK157" i="5" s="1"/>
  <c r="U158" i="5"/>
  <c r="V158" i="5" s="1"/>
  <c r="AK158" i="5" s="1" a="1"/>
  <c r="AK158" i="5" s="1"/>
  <c r="U159" i="5"/>
  <c r="V159" i="5" s="1"/>
  <c r="AK159" i="5" s="1" a="1"/>
  <c r="AK159" i="5" s="1"/>
  <c r="U161" i="5"/>
  <c r="V161" i="5" s="1"/>
  <c r="AK161" i="5" s="1" a="1"/>
  <c r="AK161" i="5" s="1"/>
  <c r="U162" i="5"/>
  <c r="V162" i="5" s="1"/>
  <c r="AK162" i="5" s="1" a="1"/>
  <c r="AK162" i="5" s="1"/>
  <c r="U163" i="5"/>
  <c r="V163" i="5" s="1"/>
  <c r="AK163" i="5" s="1" a="1"/>
  <c r="AK163" i="5" s="1"/>
  <c r="U164" i="5"/>
  <c r="V164" i="5" s="1"/>
  <c r="AK164" i="5" s="1" a="1"/>
  <c r="AK164" i="5" s="1"/>
  <c r="U165" i="5"/>
  <c r="V165" i="5" s="1"/>
  <c r="AK165" i="5" s="1" a="1"/>
  <c r="AK165" i="5" s="1"/>
  <c r="U167" i="5"/>
  <c r="U168" i="5"/>
  <c r="V168" i="5" s="1"/>
  <c r="AK168" i="5" s="1" a="1"/>
  <c r="AK168" i="5" s="1"/>
  <c r="U169" i="5"/>
  <c r="U166" i="5"/>
  <c r="V166" i="5" s="1"/>
  <c r="AK166" i="5" s="1" a="1"/>
  <c r="AK166" i="5" s="1"/>
  <c r="U170" i="5"/>
  <c r="V170" i="5" s="1"/>
  <c r="AK170" i="5" s="1" a="1"/>
  <c r="AK170" i="5" s="1"/>
  <c r="U171" i="5"/>
  <c r="V171" i="5" s="1"/>
  <c r="AK171" i="5" s="1" a="1"/>
  <c r="AK171" i="5" s="1"/>
  <c r="U172" i="5"/>
  <c r="V172" i="5" s="1"/>
  <c r="AK172" i="5" s="1" a="1"/>
  <c r="AK172" i="5" s="1"/>
  <c r="U175" i="5"/>
  <c r="V175" i="5" s="1"/>
  <c r="AK175" i="5" s="1" a="1"/>
  <c r="AK175" i="5" s="1"/>
  <c r="U176" i="5"/>
  <c r="V176" i="5" s="1"/>
  <c r="AK176" i="5" s="1" a="1"/>
  <c r="AK176" i="5" s="1"/>
  <c r="U179" i="5"/>
  <c r="V179" i="5" s="1"/>
  <c r="AK179" i="5" s="1" a="1"/>
  <c r="AK179" i="5" s="1"/>
  <c r="U183" i="5"/>
  <c r="U185" i="5"/>
  <c r="V185" i="5" s="1"/>
  <c r="AK185" i="5" s="1" a="1"/>
  <c r="AK185" i="5" s="1"/>
  <c r="U186" i="5"/>
  <c r="V186" i="5" s="1"/>
  <c r="AK186" i="5" s="1" a="1"/>
  <c r="AK186" i="5" s="1"/>
  <c r="U187" i="5"/>
  <c r="V187" i="5" s="1"/>
  <c r="AK187" i="5" s="1" a="1"/>
  <c r="AK187" i="5" s="1"/>
  <c r="U188" i="5"/>
  <c r="U189" i="5"/>
  <c r="U190" i="5"/>
  <c r="U191" i="5"/>
  <c r="V191" i="5" s="1"/>
  <c r="AK191" i="5" s="1" a="1"/>
  <c r="AK191" i="5" s="1"/>
  <c r="U173" i="5"/>
  <c r="V173" i="5" s="1"/>
  <c r="AK173" i="5" s="1" a="1"/>
  <c r="AK173" i="5" s="1"/>
  <c r="U174" i="5"/>
  <c r="V174" i="5" s="1"/>
  <c r="AK174" i="5" s="1" a="1"/>
  <c r="AK174" i="5" s="1"/>
  <c r="U177" i="5"/>
  <c r="V177" i="5" s="1"/>
  <c r="AK177" i="5" s="1" a="1"/>
  <c r="AK177" i="5" s="1"/>
  <c r="U178" i="5"/>
  <c r="V178" i="5" s="1"/>
  <c r="AK178" i="5" s="1" a="1"/>
  <c r="AK178" i="5" s="1"/>
  <c r="U180" i="5"/>
  <c r="V180" i="5" s="1"/>
  <c r="AK180" i="5" s="1" a="1"/>
  <c r="AK180" i="5" s="1"/>
  <c r="U181" i="5"/>
  <c r="V181" i="5" s="1"/>
  <c r="AK181" i="5" s="1" a="1"/>
  <c r="AK181" i="5" s="1"/>
  <c r="U184" i="5"/>
  <c r="U192" i="5"/>
  <c r="V192" i="5" s="1"/>
  <c r="AK192" i="5" s="1" a="1"/>
  <c r="AK192" i="5" s="1"/>
  <c r="U193" i="5"/>
  <c r="V193" i="5" s="1"/>
  <c r="AK193" i="5" s="1" a="1"/>
  <c r="AK193" i="5" s="1"/>
  <c r="U196" i="5"/>
  <c r="U197" i="5"/>
  <c r="V197" i="5" s="1"/>
  <c r="AK197" i="5" s="1" a="1"/>
  <c r="AK197" i="5" s="1"/>
  <c r="U200" i="5"/>
  <c r="V200" i="5" s="1"/>
  <c r="AK200" i="5" s="1" a="1"/>
  <c r="AK200" i="5" s="1"/>
  <c r="U201" i="5"/>
  <c r="U204" i="5"/>
  <c r="V204" i="5" s="1"/>
  <c r="AK204" i="5" s="1" a="1"/>
  <c r="AK204" i="5" s="1"/>
  <c r="U205" i="5"/>
  <c r="V205" i="5" s="1"/>
  <c r="AK205" i="5" s="1" a="1"/>
  <c r="AK205" i="5" s="1"/>
  <c r="U207" i="5"/>
  <c r="V207" i="5" s="1"/>
  <c r="AK207" i="5" s="1" a="1"/>
  <c r="AK207" i="5" s="1"/>
  <c r="U209" i="5"/>
  <c r="V209" i="5" s="1"/>
  <c r="AK209" i="5" s="1" a="1"/>
  <c r="AK209" i="5" s="1"/>
  <c r="U194" i="5"/>
  <c r="U198" i="5"/>
  <c r="V198" i="5" s="1"/>
  <c r="AK198" i="5" s="1" a="1"/>
  <c r="AK198" i="5" s="1"/>
  <c r="U202" i="5"/>
  <c r="V202" i="5" s="1"/>
  <c r="AK202" i="5" s="1" a="1"/>
  <c r="AK202" i="5" s="1"/>
  <c r="U203" i="5"/>
  <c r="V203" i="5" s="1"/>
  <c r="AK203" i="5" s="1" a="1"/>
  <c r="AK203" i="5" s="1"/>
  <c r="U132" i="5"/>
  <c r="V132" i="5" s="1"/>
  <c r="AK132" i="5" s="1" a="1"/>
  <c r="AK132" i="5" s="1"/>
  <c r="U206" i="5"/>
  <c r="V206" i="5" s="1"/>
  <c r="AK206" i="5" s="1" a="1"/>
  <c r="AK206" i="5" s="1"/>
  <c r="U208" i="5"/>
  <c r="U210" i="5"/>
  <c r="U211" i="5"/>
  <c r="V211" i="5" s="1"/>
  <c r="AK211" i="5" s="1" a="1"/>
  <c r="AK211" i="5" s="1"/>
  <c r="U212" i="5"/>
  <c r="U213" i="5"/>
  <c r="V213" i="5" s="1"/>
  <c r="AK213" i="5" s="1" a="1"/>
  <c r="AK213" i="5" s="1"/>
  <c r="U216" i="5"/>
  <c r="V216" i="5" s="1"/>
  <c r="AK216" i="5" s="1" a="1"/>
  <c r="AK216" i="5" s="1"/>
  <c r="U220" i="5"/>
  <c r="V220" i="5" s="1"/>
  <c r="AK220" i="5" s="1" a="1"/>
  <c r="AK220" i="5" s="1"/>
  <c r="U223" i="5"/>
  <c r="V223" i="5" s="1"/>
  <c r="AK223" i="5" s="1" a="1"/>
  <c r="AK223" i="5" s="1"/>
  <c r="U225" i="5"/>
  <c r="V225" i="5" s="1"/>
  <c r="AK225" i="5" s="1" a="1"/>
  <c r="AK225" i="5" s="1"/>
  <c r="U214" i="5"/>
  <c r="V214" i="5" s="1"/>
  <c r="AK214" i="5" s="1" a="1"/>
  <c r="AK214" i="5" s="1"/>
  <c r="U217" i="5"/>
  <c r="V217" i="5" s="1"/>
  <c r="AK217" i="5" s="1" a="1"/>
  <c r="AK217" i="5" s="1"/>
  <c r="U218" i="5"/>
  <c r="V218" i="5" s="1"/>
  <c r="AK218" i="5" s="1" a="1"/>
  <c r="AK218" i="5" s="1"/>
  <c r="U221" i="5"/>
  <c r="V221" i="5" s="1"/>
  <c r="AK221" i="5" s="1" a="1"/>
  <c r="AK221" i="5" s="1"/>
  <c r="U224" i="5"/>
  <c r="V224" i="5" s="1"/>
  <c r="AK224" i="5" s="1" a="1"/>
  <c r="AK224" i="5" s="1"/>
  <c r="U226" i="5"/>
  <c r="V226" i="5" s="1"/>
  <c r="AK226" i="5" s="1" a="1"/>
  <c r="AK226" i="5" s="1"/>
  <c r="U150" i="5"/>
  <c r="U227" i="5"/>
  <c r="U228" i="5"/>
  <c r="U229" i="5"/>
  <c r="V229" i="5" s="1"/>
  <c r="AK229" i="5" s="1" a="1"/>
  <c r="AK229" i="5" s="1"/>
  <c r="U230" i="5"/>
  <c r="V230" i="5" s="1"/>
  <c r="AK230" i="5" s="1" a="1"/>
  <c r="AK230" i="5" s="1"/>
  <c r="U231" i="5"/>
  <c r="V231" i="5" s="1"/>
  <c r="AK231" i="5" s="1" a="1"/>
  <c r="AK231" i="5" s="1"/>
  <c r="U233" i="5"/>
  <c r="V233" i="5" s="1"/>
  <c r="AK233" i="5" s="1" a="1"/>
  <c r="AK233" i="5" s="1"/>
  <c r="U235" i="5"/>
  <c r="V235" i="5" s="1"/>
  <c r="AK235" i="5" s="1" a="1"/>
  <c r="AK235" i="5" s="1"/>
  <c r="U236" i="5"/>
  <c r="V236" i="5" s="1"/>
  <c r="AK236" i="5" s="1" a="1"/>
  <c r="AK236" i="5" s="1"/>
  <c r="U237" i="5"/>
  <c r="V237" i="5" s="1"/>
  <c r="AK237" i="5" s="1" a="1"/>
  <c r="AK237" i="5" s="1"/>
  <c r="U238" i="5"/>
  <c r="V238" i="5" s="1"/>
  <c r="AK238" i="5" s="1" a="1"/>
  <c r="AK238" i="5" s="1"/>
  <c r="U239" i="5"/>
  <c r="V239" i="5" s="1"/>
  <c r="AK239" i="5" s="1" a="1"/>
  <c r="AK239" i="5" s="1"/>
  <c r="U240" i="5"/>
  <c r="V240" i="5" s="1"/>
  <c r="AK240" i="5" s="1" a="1"/>
  <c r="AK240" i="5" s="1"/>
  <c r="U241" i="5"/>
  <c r="U242" i="5"/>
  <c r="U243" i="5"/>
  <c r="U244" i="5"/>
  <c r="U245" i="5"/>
  <c r="V245" i="5" s="1"/>
  <c r="AK245" i="5" s="1" a="1"/>
  <c r="AK245" i="5" s="1"/>
  <c r="U246" i="5"/>
  <c r="V246" i="5" s="1"/>
  <c r="AK246" i="5" s="1" a="1"/>
  <c r="AK246" i="5" s="1"/>
  <c r="U247" i="5"/>
  <c r="V247" i="5" s="1"/>
  <c r="AK247" i="5" s="1" a="1"/>
  <c r="AK247" i="5" s="1"/>
  <c r="U249" i="5"/>
  <c r="V249" i="5" s="1"/>
  <c r="AK249" i="5" s="1" a="1"/>
  <c r="AK249" i="5" s="1"/>
  <c r="U250" i="5"/>
  <c r="V250" i="5" s="1"/>
  <c r="AK250" i="5" s="1" a="1"/>
  <c r="AK250" i="5" s="1"/>
  <c r="U182" i="5"/>
  <c r="V182" i="5" s="1"/>
  <c r="AK182" i="5" s="1" a="1"/>
  <c r="AK182" i="5" s="1"/>
  <c r="U251" i="5"/>
  <c r="U252" i="5"/>
  <c r="V252" i="5" s="1"/>
  <c r="AK252" i="5" s="1" a="1"/>
  <c r="AK252" i="5" s="1"/>
  <c r="U253" i="5"/>
  <c r="V253" i="5" s="1"/>
  <c r="AK253" i="5" s="1" a="1"/>
  <c r="AK253" i="5" s="1"/>
  <c r="U254" i="5"/>
  <c r="V254" i="5" s="1"/>
  <c r="AK254" i="5" s="1" a="1"/>
  <c r="AK254" i="5" s="1"/>
  <c r="U255" i="5"/>
  <c r="U256" i="5"/>
  <c r="V256" i="5" s="1"/>
  <c r="AK256" i="5" s="1" a="1"/>
  <c r="AK256" i="5" s="1"/>
  <c r="U257" i="5"/>
  <c r="V257" i="5" s="1"/>
  <c r="AK257" i="5" s="1" a="1"/>
  <c r="AK257" i="5" s="1"/>
  <c r="U258" i="5"/>
  <c r="V258" i="5" s="1"/>
  <c r="AK258" i="5" s="1" a="1"/>
  <c r="AK258" i="5" s="1"/>
  <c r="U195" i="5"/>
  <c r="V195" i="5" s="1"/>
  <c r="AK195" i="5" s="1" a="1"/>
  <c r="AK195" i="5" s="1"/>
  <c r="U259" i="5"/>
  <c r="V259" i="5" s="1"/>
  <c r="AK259" i="5" s="1" a="1"/>
  <c r="AK259" i="5" s="1"/>
  <c r="U260" i="5"/>
  <c r="V260" i="5" s="1"/>
  <c r="AK260" i="5" s="1" a="1"/>
  <c r="AK260" i="5" s="1"/>
  <c r="U261" i="5"/>
  <c r="V261" i="5" s="1"/>
  <c r="AK261" i="5" s="1" a="1"/>
  <c r="AK261" i="5" s="1"/>
  <c r="U262" i="5"/>
  <c r="V262" i="5" s="1"/>
  <c r="AK262" i="5" s="1" a="1"/>
  <c r="AK262" i="5" s="1"/>
  <c r="U199" i="5"/>
  <c r="U263" i="5"/>
  <c r="V263" i="5" s="1"/>
  <c r="AK263" i="5" s="1" a="1"/>
  <c r="AK263" i="5" s="1"/>
  <c r="U264" i="5"/>
  <c r="V264" i="5" s="1"/>
  <c r="AK264" i="5" s="1" a="1"/>
  <c r="AK264" i="5" s="1"/>
  <c r="U265" i="5"/>
  <c r="V265" i="5" s="1"/>
  <c r="AK265" i="5" s="1" a="1"/>
  <c r="AK265" i="5" s="1"/>
  <c r="U266" i="5"/>
  <c r="V266" i="5" s="1"/>
  <c r="AK266" i="5" s="1" a="1"/>
  <c r="AK266" i="5" s="1"/>
  <c r="U267" i="5"/>
  <c r="U215" i="5"/>
  <c r="U268" i="5"/>
  <c r="U219" i="5"/>
  <c r="V219" i="5" s="1"/>
  <c r="AK219" i="5" s="1" a="1"/>
  <c r="AK219" i="5" s="1"/>
  <c r="U222" i="5"/>
  <c r="V222" i="5" s="1"/>
  <c r="AK222" i="5" s="1" a="1"/>
  <c r="AK222" i="5" s="1"/>
  <c r="U269" i="5"/>
  <c r="V269" i="5" s="1"/>
  <c r="AK269" i="5" s="1" a="1"/>
  <c r="AK269" i="5" s="1"/>
  <c r="U270" i="5"/>
  <c r="V270" i="5" s="1"/>
  <c r="AK270" i="5" s="1" a="1"/>
  <c r="AK270" i="5" s="1"/>
  <c r="U271" i="5"/>
  <c r="V271" i="5" s="1"/>
  <c r="AK271" i="5" s="1" a="1"/>
  <c r="AK271" i="5" s="1"/>
  <c r="U272" i="5"/>
  <c r="V272" i="5" s="1"/>
  <c r="AK272" i="5" s="1" a="1"/>
  <c r="AK272" i="5" s="1"/>
  <c r="U273" i="5"/>
  <c r="V273" i="5" s="1"/>
  <c r="AK273" i="5" s="1" a="1"/>
  <c r="AK273" i="5" s="1"/>
  <c r="U232" i="5"/>
  <c r="U274" i="5"/>
  <c r="V274" i="5" s="1"/>
  <c r="AK274" i="5" s="1" a="1"/>
  <c r="AK274" i="5" s="1"/>
  <c r="U234" i="5"/>
  <c r="V234" i="5" s="1"/>
  <c r="AK234" i="5" s="1" a="1"/>
  <c r="AK234" i="5" s="1"/>
  <c r="U275" i="5"/>
  <c r="V275" i="5" s="1"/>
  <c r="AK275" i="5" s="1" a="1"/>
  <c r="AK275" i="5" s="1"/>
  <c r="U276" i="5"/>
  <c r="U277" i="5"/>
  <c r="U278" i="5"/>
  <c r="U279" i="5"/>
  <c r="V279" i="5" s="1"/>
  <c r="AK279" i="5" s="1" a="1"/>
  <c r="AK279" i="5" s="1"/>
  <c r="U280" i="5"/>
  <c r="V280" i="5" s="1"/>
  <c r="AK280" i="5" s="1" a="1"/>
  <c r="AK280" i="5" s="1"/>
  <c r="U281" i="5"/>
  <c r="V281" i="5" s="1"/>
  <c r="AK281" i="5" s="1" a="1"/>
  <c r="AK281" i="5" s="1"/>
  <c r="U282" i="5"/>
  <c r="V282" i="5" s="1"/>
  <c r="AK282" i="5" s="1" a="1"/>
  <c r="AK282" i="5" s="1"/>
  <c r="U248" i="5"/>
  <c r="V248" i="5" s="1"/>
  <c r="AK248" i="5" s="1" a="1"/>
  <c r="AK248" i="5" s="1"/>
  <c r="U283" i="5"/>
  <c r="V283" i="5" s="1"/>
  <c r="AK283" i="5" s="1" a="1"/>
  <c r="AK283" i="5" s="1"/>
  <c r="U284" i="5"/>
  <c r="V284" i="5" s="1"/>
  <c r="AK284" i="5" s="1" a="1"/>
  <c r="AK284" i="5" s="1"/>
  <c r="U285" i="5"/>
  <c r="U286" i="5"/>
  <c r="V286" i="5" s="1"/>
  <c r="AK286" i="5" s="1" a="1"/>
  <c r="AK286" i="5" s="1"/>
  <c r="U63" i="5"/>
  <c r="V63" i="5" s="1"/>
  <c r="AK63" i="5" s="1" a="1"/>
  <c r="AK63" i="5" s="1"/>
  <c r="U287" i="5"/>
  <c r="V287" i="5" s="1"/>
  <c r="AK287" i="5" s="1" a="1"/>
  <c r="AK287" i="5" s="1"/>
  <c r="U288" i="5"/>
  <c r="V288" i="5" s="1"/>
  <c r="AK288" i="5" s="1" a="1"/>
  <c r="AK288" i="5" s="1"/>
  <c r="U289" i="5"/>
  <c r="V289" i="5" s="1"/>
  <c r="AK289" i="5" s="1" a="1"/>
  <c r="AK289" i="5" s="1"/>
  <c r="U290" i="5"/>
  <c r="U35" i="5"/>
  <c r="V35" i="5" s="1"/>
  <c r="AK35" i="5" s="1" a="1"/>
  <c r="AK35" i="5" s="1"/>
  <c r="U37" i="5"/>
  <c r="V37" i="5" s="1"/>
  <c r="AK37" i="5" s="1" a="1"/>
  <c r="AK37" i="5" s="1"/>
  <c r="U39" i="5"/>
  <c r="V39" i="5" s="1"/>
  <c r="AK39" i="5" s="1" a="1"/>
  <c r="AK39" i="5" s="1"/>
  <c r="U291" i="5"/>
  <c r="V291" i="5" s="1"/>
  <c r="AK291" i="5" s="1" a="1"/>
  <c r="AK291" i="5" s="1"/>
  <c r="U71" i="5"/>
  <c r="V71" i="5" s="1"/>
  <c r="AK71" i="5" s="1" a="1"/>
  <c r="AK71" i="5" s="1"/>
  <c r="U292" i="5"/>
  <c r="V292" i="5" s="1"/>
  <c r="AK292" i="5" s="1" a="1"/>
  <c r="AK292" i="5" s="1"/>
  <c r="U293" i="5"/>
  <c r="V293" i="5" s="1"/>
  <c r="AK293" i="5" s="1" a="1"/>
  <c r="AK293" i="5" s="1"/>
  <c r="U294" i="5"/>
  <c r="V294" i="5" s="1"/>
  <c r="U295" i="5"/>
  <c r="V295" i="5" s="1"/>
  <c r="U85" i="5"/>
  <c r="V85" i="5" s="1"/>
  <c r="AK85" i="5" s="1" a="1"/>
  <c r="AK85" i="5" s="1"/>
  <c r="U41" i="5"/>
  <c r="V41" i="5" s="1"/>
  <c r="AK41" i="5" s="1" a="1"/>
  <c r="AK41" i="5" s="1"/>
  <c r="U46" i="5"/>
  <c r="V46" i="5" s="1"/>
  <c r="AK46" i="5" s="1" a="1"/>
  <c r="AK46" i="5" s="1"/>
  <c r="U87" i="5"/>
  <c r="U95" i="5"/>
  <c r="U48" i="5"/>
  <c r="V48" i="5" s="1"/>
  <c r="AK48" i="5" s="1" a="1"/>
  <c r="AK48" i="5" s="1"/>
  <c r="U50" i="5"/>
  <c r="V50" i="5" s="1"/>
  <c r="AK50" i="5" s="1" a="1"/>
  <c r="AK50" i="5" s="1"/>
  <c r="U98" i="5"/>
  <c r="V98" i="5" s="1"/>
  <c r="AK98" i="5" s="1" a="1"/>
  <c r="AK98" i="5" s="1"/>
  <c r="U109" i="5"/>
  <c r="V109" i="5" s="1"/>
  <c r="AK109" i="5" s="1" a="1"/>
  <c r="AK109" i="5" s="1"/>
  <c r="U52" i="5"/>
  <c r="U55" i="5"/>
  <c r="V55" i="5" s="1"/>
  <c r="AK55" i="5" s="1" a="1"/>
  <c r="AK55" i="5" s="1"/>
  <c r="U56" i="5"/>
  <c r="V56" i="5" s="1"/>
  <c r="AK56" i="5" s="1" a="1"/>
  <c r="AK56" i="5" s="1"/>
  <c r="U60" i="5"/>
  <c r="V60" i="5" s="1"/>
  <c r="AK60" i="5" s="1" a="1"/>
  <c r="AK60" i="5" s="1"/>
  <c r="U64" i="5"/>
  <c r="V64" i="5" s="1"/>
  <c r="AK64" i="5" s="1" a="1"/>
  <c r="AK64" i="5" s="1"/>
  <c r="U111" i="5"/>
  <c r="V111" i="5" s="1"/>
  <c r="AK111" i="5" s="1" a="1"/>
  <c r="AK111" i="5" s="1"/>
  <c r="U32" i="5"/>
  <c r="V32" i="5" s="1"/>
  <c r="AK32" i="5" s="1" a="1"/>
  <c r="AK32" i="5" s="1"/>
  <c r="U67" i="5"/>
  <c r="V67" i="5" s="1"/>
  <c r="AK67" i="5" s="1" a="1"/>
  <c r="AK67" i="5" s="1"/>
  <c r="U74" i="5"/>
  <c r="U77" i="5"/>
  <c r="V77" i="5" s="1"/>
  <c r="AK77" i="5" s="1" a="1"/>
  <c r="AK77" i="5" s="1"/>
  <c r="U80" i="5"/>
  <c r="V80" i="5" s="1"/>
  <c r="AK80" i="5" s="1" a="1"/>
  <c r="AK80" i="5" s="1"/>
  <c r="U33" i="5"/>
  <c r="V33" i="5" s="1"/>
  <c r="AK33" i="5" s="1" a="1"/>
  <c r="AK33" i="5" s="1"/>
  <c r="U43" i="5"/>
  <c r="V43" i="5" s="1"/>
  <c r="AK43" i="5" s="1" a="1"/>
  <c r="AK43" i="5" s="1"/>
  <c r="U82" i="5"/>
  <c r="V82" i="5" s="1"/>
  <c r="AK82" i="5" s="1" a="1"/>
  <c r="AK82" i="5" s="1"/>
  <c r="U84" i="5"/>
  <c r="V84" i="5" s="1"/>
  <c r="AK84" i="5" s="1" a="1"/>
  <c r="AK84" i="5" s="1"/>
  <c r="U90" i="5"/>
  <c r="V90" i="5" s="1"/>
  <c r="AK90" i="5" s="1" a="1"/>
  <c r="AK90" i="5" s="1"/>
  <c r="U91" i="5"/>
  <c r="V91" i="5" s="1"/>
  <c r="AK91" i="5" s="1" a="1"/>
  <c r="AK91" i="5" s="1"/>
  <c r="U92" i="5"/>
  <c r="V92" i="5" s="1"/>
  <c r="AK92" i="5" s="1" a="1"/>
  <c r="AK92" i="5" s="1"/>
  <c r="U123" i="5"/>
  <c r="V123" i="5" s="1"/>
  <c r="AK123" i="5" s="1" a="1"/>
  <c r="AK123" i="5" s="1"/>
  <c r="U126" i="5"/>
  <c r="V126" i="5" s="1"/>
  <c r="AK126" i="5" s="1" a="1"/>
  <c r="AK126" i="5" s="1"/>
  <c r="U128" i="5"/>
  <c r="V128" i="5" s="1"/>
  <c r="AK128" i="5" s="1" a="1"/>
  <c r="AK128" i="5" s="1"/>
  <c r="U135" i="5"/>
  <c r="U137" i="5"/>
  <c r="V137" i="5" s="1"/>
  <c r="AK137" i="5" s="1" a="1"/>
  <c r="AK137" i="5" s="1"/>
  <c r="U139" i="5"/>
  <c r="U145" i="5"/>
  <c r="V145" i="5" s="1"/>
  <c r="AK145" i="5" s="1" a="1"/>
  <c r="AK145" i="5" s="1"/>
  <c r="U155" i="5"/>
  <c r="V155" i="5" s="1"/>
  <c r="AK155" i="5" s="1" a="1"/>
  <c r="AK155" i="5" s="1"/>
  <c r="W34" i="5"/>
  <c r="AI34" i="5" s="1" a="1"/>
  <c r="AI34" i="5" s="1"/>
  <c r="W36" i="5"/>
  <c r="AI36" i="5" s="1" a="1"/>
  <c r="AI36" i="5" s="1"/>
  <c r="W38" i="5"/>
  <c r="AI38" i="5" s="1" a="1"/>
  <c r="AI38" i="5" s="1"/>
  <c r="W40" i="5"/>
  <c r="AI40" i="5" s="1" a="1"/>
  <c r="AI40" i="5" s="1"/>
  <c r="W42" i="5"/>
  <c r="AI42" i="5" s="1" a="1"/>
  <c r="AI42" i="5" s="1"/>
  <c r="W44" i="5"/>
  <c r="AI44" i="5" s="1" a="1"/>
  <c r="AI44" i="5" s="1"/>
  <c r="W45" i="5"/>
  <c r="AI45" i="5" s="1" a="1"/>
  <c r="AI45" i="5" s="1"/>
  <c r="W47" i="5"/>
  <c r="AI47" i="5" s="1" a="1"/>
  <c r="AI47" i="5" s="1"/>
  <c r="W49" i="5"/>
  <c r="AI49" i="5" s="1" a="1"/>
  <c r="AI49" i="5" s="1"/>
  <c r="W51" i="5"/>
  <c r="AI51" i="5" s="1" a="1"/>
  <c r="AI51" i="5" s="1"/>
  <c r="W53" i="5"/>
  <c r="AI53" i="5" s="1" a="1"/>
  <c r="AI53" i="5" s="1"/>
  <c r="W54" i="5"/>
  <c r="AI54" i="5" s="1" a="1"/>
  <c r="AI54" i="5" s="1"/>
  <c r="W57" i="5"/>
  <c r="AI57" i="5" s="1" a="1"/>
  <c r="AI57" i="5" s="1"/>
  <c r="W58" i="5"/>
  <c r="W59" i="5"/>
  <c r="W61" i="5"/>
  <c r="AI61" i="5" s="1" a="1"/>
  <c r="AI61" i="5" s="1"/>
  <c r="W62" i="5"/>
  <c r="AI62" i="5" s="1" a="1"/>
  <c r="AI62" i="5" s="1"/>
  <c r="W65" i="5"/>
  <c r="W66" i="5"/>
  <c r="W68" i="5"/>
  <c r="AI68" i="5" s="1" a="1"/>
  <c r="AI68" i="5" s="1"/>
  <c r="W69" i="5"/>
  <c r="AI69" i="5" s="1" a="1"/>
  <c r="AI69" i="5" s="1"/>
  <c r="W70" i="5"/>
  <c r="AI70" i="5" s="1" a="1"/>
  <c r="AI70" i="5" s="1"/>
  <c r="W72" i="5"/>
  <c r="AI72" i="5" s="1" a="1"/>
  <c r="AI72" i="5" s="1"/>
  <c r="W73" i="5"/>
  <c r="AI73" i="5" s="1" a="1"/>
  <c r="AI73" i="5" s="1"/>
  <c r="W75" i="5"/>
  <c r="AI75" i="5" s="1" a="1"/>
  <c r="AI75" i="5" s="1"/>
  <c r="W76" i="5"/>
  <c r="AI76" i="5" s="1" a="1"/>
  <c r="AI76" i="5" s="1"/>
  <c r="W78" i="5"/>
  <c r="AI78" i="5" s="1" a="1"/>
  <c r="AI78" i="5" s="1"/>
  <c r="W79" i="5"/>
  <c r="AI79" i="5" s="1" a="1"/>
  <c r="AI79" i="5" s="1"/>
  <c r="W81" i="5"/>
  <c r="AI81" i="5" s="1" a="1"/>
  <c r="AI81" i="5" s="1"/>
  <c r="W83" i="5"/>
  <c r="AI83" i="5" s="1" a="1"/>
  <c r="AI83" i="5" s="1"/>
  <c r="W86" i="5"/>
  <c r="AI86" i="5" s="1" a="1"/>
  <c r="AI86" i="5" s="1"/>
  <c r="W88" i="5"/>
  <c r="AI88" i="5" s="1" a="1"/>
  <c r="AI88" i="5" s="1"/>
  <c r="W89" i="5"/>
  <c r="AI89" i="5" s="1" a="1"/>
  <c r="AI89" i="5" s="1"/>
  <c r="W93" i="5"/>
  <c r="AI93" i="5" s="1" a="1"/>
  <c r="AI93" i="5" s="1"/>
  <c r="W94" i="5"/>
  <c r="AI94" i="5" s="1" a="1"/>
  <c r="AI94" i="5" s="1"/>
  <c r="W96" i="5"/>
  <c r="AI96" i="5" s="1" a="1"/>
  <c r="AI96" i="5" s="1"/>
  <c r="W97" i="5"/>
  <c r="AI97" i="5" s="1" a="1"/>
  <c r="AI97" i="5" s="1"/>
  <c r="W99" i="5"/>
  <c r="AI99" i="5" s="1" a="1"/>
  <c r="AI99" i="5" s="1"/>
  <c r="W100" i="5"/>
  <c r="AI100" i="5" s="1" a="1"/>
  <c r="AI100" i="5" s="1"/>
  <c r="W101" i="5"/>
  <c r="AI101" i="5" s="1" a="1"/>
  <c r="AI101" i="5" s="1"/>
  <c r="W102" i="5"/>
  <c r="AI102" i="5" s="1" a="1"/>
  <c r="AI102" i="5" s="1"/>
  <c r="W103" i="5"/>
  <c r="AI103" i="5" s="1" a="1"/>
  <c r="AI103" i="5" s="1"/>
  <c r="W104" i="5"/>
  <c r="AI104" i="5" s="1" a="1"/>
  <c r="AI104" i="5" s="1"/>
  <c r="W105" i="5"/>
  <c r="AI105" i="5" s="1" a="1"/>
  <c r="AI105" i="5" s="1"/>
  <c r="W106" i="5"/>
  <c r="AI106" i="5" s="1" a="1"/>
  <c r="AI106" i="5" s="1"/>
  <c r="W107" i="5"/>
  <c r="AI107" i="5" s="1" a="1"/>
  <c r="AI107" i="5" s="1"/>
  <c r="W108" i="5"/>
  <c r="AI108" i="5" s="1" a="1"/>
  <c r="AI108" i="5" s="1"/>
  <c r="W110" i="5"/>
  <c r="AI110" i="5" s="1" a="1"/>
  <c r="AI110" i="5" s="1"/>
  <c r="W112" i="5"/>
  <c r="AI112" i="5" s="1" a="1"/>
  <c r="AI112" i="5" s="1"/>
  <c r="W113" i="5"/>
  <c r="AI113" i="5" s="1" a="1"/>
  <c r="AI113" i="5" s="1"/>
  <c r="W114" i="5"/>
  <c r="AI114" i="5" s="1" a="1"/>
  <c r="AI114" i="5" s="1"/>
  <c r="W115" i="5"/>
  <c r="AI115" i="5" s="1" a="1"/>
  <c r="AI115" i="5" s="1"/>
  <c r="W116" i="5"/>
  <c r="AI116" i="5" s="1" a="1"/>
  <c r="AI116" i="5" s="1"/>
  <c r="W117" i="5"/>
  <c r="AI117" i="5" s="1" a="1"/>
  <c r="AI117" i="5" s="1"/>
  <c r="W118" i="5"/>
  <c r="AI118" i="5" s="1" a="1"/>
  <c r="AI118" i="5" s="1"/>
  <c r="W119" i="5"/>
  <c r="AI119" i="5" s="1" a="1"/>
  <c r="AI119" i="5" s="1"/>
  <c r="W120" i="5"/>
  <c r="AI120" i="5" s="1" a="1"/>
  <c r="AI120" i="5" s="1"/>
  <c r="W121" i="5"/>
  <c r="AI121" i="5" s="1" a="1"/>
  <c r="AI121" i="5" s="1"/>
  <c r="W122" i="5"/>
  <c r="AI122" i="5" s="1" a="1"/>
  <c r="AI122" i="5" s="1"/>
  <c r="W124" i="5"/>
  <c r="AI124" i="5" s="1" a="1"/>
  <c r="AI124" i="5" s="1"/>
  <c r="W125" i="5"/>
  <c r="AI125" i="5" s="1" a="1"/>
  <c r="AI125" i="5" s="1"/>
  <c r="W160" i="5"/>
  <c r="AI160" i="5" s="1" a="1"/>
  <c r="AI160" i="5" s="1"/>
  <c r="W127" i="5"/>
  <c r="AI127" i="5" s="1" a="1"/>
  <c r="AI127" i="5" s="1"/>
  <c r="W129" i="5"/>
  <c r="AI129" i="5" s="1" a="1"/>
  <c r="AI129" i="5" s="1"/>
  <c r="W130" i="5"/>
  <c r="AI130" i="5" s="1" a="1"/>
  <c r="AI130" i="5" s="1"/>
  <c r="W131" i="5"/>
  <c r="AI131" i="5" s="1" a="1"/>
  <c r="AI131" i="5" s="1"/>
  <c r="W133" i="5"/>
  <c r="AI133" i="5" s="1" a="1"/>
  <c r="AI133" i="5" s="1"/>
  <c r="W134" i="5"/>
  <c r="AI134" i="5" s="1" a="1"/>
  <c r="AI134" i="5" s="1"/>
  <c r="W136" i="5"/>
  <c r="AI136" i="5" s="1" a="1"/>
  <c r="AI136" i="5" s="1"/>
  <c r="W138" i="5"/>
  <c r="AI138" i="5" s="1" a="1"/>
  <c r="AI138" i="5" s="1"/>
  <c r="W140" i="5"/>
  <c r="AI140" i="5" s="1" a="1"/>
  <c r="AI140" i="5" s="1"/>
  <c r="W141" i="5"/>
  <c r="AI141" i="5" s="1" a="1"/>
  <c r="AI141" i="5" s="1"/>
  <c r="W142" i="5"/>
  <c r="AI142" i="5" s="1" a="1"/>
  <c r="AI142" i="5" s="1"/>
  <c r="W143" i="5"/>
  <c r="AI143" i="5" s="1" a="1"/>
  <c r="AI143" i="5" s="1"/>
  <c r="W144" i="5"/>
  <c r="AI144" i="5" s="1" a="1"/>
  <c r="AI144" i="5" s="1"/>
  <c r="W146" i="5"/>
  <c r="AI146" i="5" s="1" a="1"/>
  <c r="AI146" i="5" s="1"/>
  <c r="W147" i="5"/>
  <c r="AI147" i="5" s="1" a="1"/>
  <c r="AI147" i="5" s="1"/>
  <c r="W148" i="5"/>
  <c r="AI148" i="5" s="1" a="1"/>
  <c r="AI148" i="5" s="1"/>
  <c r="W149" i="5"/>
  <c r="AI149" i="5" s="1" a="1"/>
  <c r="AI149" i="5" s="1"/>
  <c r="W151" i="5"/>
  <c r="AI151" i="5" s="1" a="1"/>
  <c r="AI151" i="5" s="1"/>
  <c r="W152" i="5"/>
  <c r="AI152" i="5" s="1" a="1"/>
  <c r="AI152" i="5" s="1"/>
  <c r="W153" i="5"/>
  <c r="AI153" i="5" s="1" a="1"/>
  <c r="AI153" i="5" s="1"/>
  <c r="W154" i="5"/>
  <c r="AI154" i="5" s="1" a="1"/>
  <c r="AI154" i="5" s="1"/>
  <c r="W156" i="5"/>
  <c r="AI156" i="5" s="1" a="1"/>
  <c r="AI156" i="5" s="1"/>
  <c r="W157" i="5"/>
  <c r="AI157" i="5" s="1" a="1"/>
  <c r="AI157" i="5" s="1"/>
  <c r="W158" i="5"/>
  <c r="AI158" i="5" s="1" a="1"/>
  <c r="AI158" i="5" s="1"/>
  <c r="W159" i="5"/>
  <c r="AI159" i="5" s="1" a="1"/>
  <c r="AI159" i="5" s="1"/>
  <c r="W161" i="5"/>
  <c r="AI161" i="5" s="1" a="1"/>
  <c r="AI161" i="5" s="1"/>
  <c r="W162" i="5"/>
  <c r="AI162" i="5" s="1" a="1"/>
  <c r="AI162" i="5" s="1"/>
  <c r="W163" i="5"/>
  <c r="AI163" i="5" s="1" a="1"/>
  <c r="AI163" i="5" s="1"/>
  <c r="W164" i="5"/>
  <c r="AI164" i="5" s="1" a="1"/>
  <c r="AI164" i="5" s="1"/>
  <c r="W165" i="5"/>
  <c r="AI165" i="5" s="1" a="1"/>
  <c r="AI165" i="5" s="1"/>
  <c r="W167" i="5"/>
  <c r="AI167" i="5" s="1" a="1"/>
  <c r="AI167" i="5" s="1"/>
  <c r="W168" i="5"/>
  <c r="AI168" i="5" s="1" a="1"/>
  <c r="AI168" i="5" s="1"/>
  <c r="W169" i="5"/>
  <c r="AI169" i="5" s="1" a="1"/>
  <c r="AI169" i="5" s="1"/>
  <c r="W166" i="5"/>
  <c r="AI166" i="5" s="1" a="1"/>
  <c r="AI166" i="5" s="1"/>
  <c r="W170" i="5"/>
  <c r="AI170" i="5" s="1" a="1"/>
  <c r="AI170" i="5" s="1"/>
  <c r="W171" i="5"/>
  <c r="AI171" i="5" s="1" a="1"/>
  <c r="AI171" i="5" s="1"/>
  <c r="W172" i="5"/>
  <c r="AI172" i="5" s="1" a="1"/>
  <c r="AI172" i="5" s="1"/>
  <c r="W175" i="5"/>
  <c r="AI175" i="5" s="1" a="1"/>
  <c r="AI175" i="5" s="1"/>
  <c r="W176" i="5"/>
  <c r="AI176" i="5" s="1" a="1"/>
  <c r="AI176" i="5" s="1"/>
  <c r="W179" i="5"/>
  <c r="AI179" i="5" s="1" a="1"/>
  <c r="AI179" i="5" s="1"/>
  <c r="W183" i="5"/>
  <c r="AI183" i="5" s="1" a="1"/>
  <c r="AI183" i="5" s="1"/>
  <c r="W185" i="5"/>
  <c r="AI185" i="5" s="1" a="1"/>
  <c r="AI185" i="5" s="1"/>
  <c r="W186" i="5"/>
  <c r="AI186" i="5" s="1" a="1"/>
  <c r="AI186" i="5" s="1"/>
  <c r="W187" i="5"/>
  <c r="AI187" i="5" s="1" a="1"/>
  <c r="AI187" i="5" s="1"/>
  <c r="W188" i="5"/>
  <c r="AI188" i="5" s="1" a="1"/>
  <c r="AI188" i="5" s="1"/>
  <c r="W189" i="5"/>
  <c r="AI189" i="5" s="1" a="1"/>
  <c r="AI189" i="5" s="1"/>
  <c r="W190" i="5"/>
  <c r="AI190" i="5" s="1" a="1"/>
  <c r="AI190" i="5" s="1"/>
  <c r="W191" i="5"/>
  <c r="AI191" i="5" s="1" a="1"/>
  <c r="AI191" i="5" s="1"/>
  <c r="W173" i="5"/>
  <c r="AI173" i="5" s="1" a="1"/>
  <c r="AI173" i="5" s="1"/>
  <c r="W174" i="5"/>
  <c r="AI174" i="5" s="1" a="1"/>
  <c r="AI174" i="5" s="1"/>
  <c r="W177" i="5"/>
  <c r="AI177" i="5" s="1" a="1"/>
  <c r="AI177" i="5" s="1"/>
  <c r="W178" i="5"/>
  <c r="AI178" i="5" s="1" a="1"/>
  <c r="AI178" i="5" s="1"/>
  <c r="W180" i="5"/>
  <c r="AI180" i="5" s="1" a="1"/>
  <c r="AI180" i="5" s="1"/>
  <c r="W181" i="5"/>
  <c r="AI181" i="5" s="1" a="1"/>
  <c r="AI181" i="5" s="1"/>
  <c r="W184" i="5"/>
  <c r="AI184" i="5" s="1" a="1"/>
  <c r="AI184" i="5" s="1"/>
  <c r="W192" i="5"/>
  <c r="AI192" i="5" s="1" a="1"/>
  <c r="AI192" i="5" s="1"/>
  <c r="W193" i="5"/>
  <c r="AI193" i="5" s="1" a="1"/>
  <c r="AI193" i="5" s="1"/>
  <c r="W196" i="5"/>
  <c r="W197" i="5"/>
  <c r="W200" i="5"/>
  <c r="W201" i="5"/>
  <c r="W204" i="5"/>
  <c r="AI204" i="5" s="1" a="1"/>
  <c r="AI204" i="5" s="1"/>
  <c r="W205" i="5"/>
  <c r="AI205" i="5" s="1" a="1"/>
  <c r="AI205" i="5" s="1"/>
  <c r="W207" i="5"/>
  <c r="AI207" i="5" s="1" a="1"/>
  <c r="AI207" i="5" s="1"/>
  <c r="W209" i="5"/>
  <c r="AI209" i="5" s="1" a="1"/>
  <c r="AI209" i="5" s="1"/>
  <c r="W194" i="5"/>
  <c r="AI194" i="5" s="1" a="1"/>
  <c r="AI194" i="5" s="1"/>
  <c r="W198" i="5"/>
  <c r="W202" i="5"/>
  <c r="W203" i="5"/>
  <c r="W132" i="5"/>
  <c r="W206" i="5"/>
  <c r="AI206" i="5" s="1" a="1"/>
  <c r="AI206" i="5" s="1"/>
  <c r="W208" i="5"/>
  <c r="AI208" i="5" s="1" a="1"/>
  <c r="AI208" i="5" s="1"/>
  <c r="W210" i="5"/>
  <c r="AI210" i="5" s="1" a="1"/>
  <c r="AI210" i="5" s="1"/>
  <c r="W211" i="5"/>
  <c r="AI211" i="5" s="1" a="1"/>
  <c r="AI211" i="5" s="1"/>
  <c r="W212" i="5"/>
  <c r="AI212" i="5" s="1" a="1"/>
  <c r="AI212" i="5" s="1"/>
  <c r="W213" i="5"/>
  <c r="AI213" i="5" s="1" a="1"/>
  <c r="AI213" i="5" s="1"/>
  <c r="W216" i="5"/>
  <c r="AI216" i="5" s="1" a="1"/>
  <c r="AI216" i="5" s="1"/>
  <c r="W220" i="5"/>
  <c r="AI220" i="5" s="1" a="1"/>
  <c r="AI220" i="5" s="1"/>
  <c r="W223" i="5"/>
  <c r="AI223" i="5" s="1" a="1"/>
  <c r="AI223" i="5" s="1"/>
  <c r="W225" i="5"/>
  <c r="AI225" i="5" s="1" a="1"/>
  <c r="AI225" i="5" s="1"/>
  <c r="W214" i="5"/>
  <c r="AI214" i="5" s="1" a="1"/>
  <c r="AI214" i="5" s="1"/>
  <c r="W217" i="5"/>
  <c r="AI217" i="5" s="1" a="1"/>
  <c r="AI217" i="5" s="1"/>
  <c r="W218" i="5"/>
  <c r="AI218" i="5" s="1" a="1"/>
  <c r="AI218" i="5" s="1"/>
  <c r="W221" i="5"/>
  <c r="AI221" i="5" s="1" a="1"/>
  <c r="AI221" i="5" s="1"/>
  <c r="W224" i="5"/>
  <c r="AI224" i="5" s="1" a="1"/>
  <c r="AI224" i="5" s="1"/>
  <c r="W226" i="5"/>
  <c r="AI226" i="5" s="1" a="1"/>
  <c r="AI226" i="5" s="1"/>
  <c r="W150" i="5"/>
  <c r="AI150" i="5" s="1" a="1"/>
  <c r="AI150" i="5" s="1"/>
  <c r="W227" i="5"/>
  <c r="AI227" i="5" s="1" a="1"/>
  <c r="AI227" i="5" s="1"/>
  <c r="W228" i="5"/>
  <c r="AI228" i="5" s="1" a="1"/>
  <c r="AI228" i="5" s="1"/>
  <c r="W229" i="5"/>
  <c r="AI229" i="5" s="1" a="1"/>
  <c r="AI229" i="5" s="1"/>
  <c r="W230" i="5"/>
  <c r="AI230" i="5" s="1" a="1"/>
  <c r="AI230" i="5" s="1"/>
  <c r="W231" i="5"/>
  <c r="AI231" i="5" s="1" a="1"/>
  <c r="AI231" i="5" s="1"/>
  <c r="W233" i="5"/>
  <c r="AI233" i="5" s="1" a="1"/>
  <c r="AI233" i="5" s="1"/>
  <c r="W235" i="5"/>
  <c r="AI235" i="5" s="1" a="1"/>
  <c r="AI235" i="5" s="1"/>
  <c r="W236" i="5"/>
  <c r="AI236" i="5" s="1" a="1"/>
  <c r="AI236" i="5" s="1"/>
  <c r="W237" i="5"/>
  <c r="AI237" i="5" s="1" a="1"/>
  <c r="AI237" i="5" s="1"/>
  <c r="W238" i="5"/>
  <c r="AI238" i="5" s="1" a="1"/>
  <c r="AI238" i="5" s="1"/>
  <c r="W239" i="5"/>
  <c r="AI239" i="5" s="1" a="1"/>
  <c r="AI239" i="5" s="1"/>
  <c r="W240" i="5"/>
  <c r="AI240" i="5" s="1" a="1"/>
  <c r="AI240" i="5" s="1"/>
  <c r="W241" i="5"/>
  <c r="AI241" i="5" s="1" a="1"/>
  <c r="AI241" i="5" s="1"/>
  <c r="W242" i="5"/>
  <c r="AI242" i="5" s="1" a="1"/>
  <c r="AI242" i="5" s="1"/>
  <c r="W243" i="5"/>
  <c r="AI243" i="5" s="1" a="1"/>
  <c r="AI243" i="5" s="1"/>
  <c r="W244" i="5"/>
  <c r="AI244" i="5" s="1" a="1"/>
  <c r="AI244" i="5" s="1"/>
  <c r="W245" i="5"/>
  <c r="AI245" i="5" s="1" a="1"/>
  <c r="AI245" i="5" s="1"/>
  <c r="W246" i="5"/>
  <c r="AI246" i="5" s="1" a="1"/>
  <c r="AI246" i="5" s="1"/>
  <c r="W247" i="5"/>
  <c r="AI247" i="5" s="1" a="1"/>
  <c r="AI247" i="5" s="1"/>
  <c r="W249" i="5"/>
  <c r="AI249" i="5" s="1" a="1"/>
  <c r="AI249" i="5" s="1"/>
  <c r="W250" i="5"/>
  <c r="AI250" i="5" s="1" a="1"/>
  <c r="AI250" i="5" s="1"/>
  <c r="W182" i="5"/>
  <c r="AI182" i="5" s="1" a="1"/>
  <c r="AI182" i="5" s="1"/>
  <c r="W251" i="5"/>
  <c r="AI251" i="5" s="1" a="1"/>
  <c r="AI251" i="5" s="1"/>
  <c r="W252" i="5"/>
  <c r="AI252" i="5" s="1" a="1"/>
  <c r="AI252" i="5" s="1"/>
  <c r="W253" i="5"/>
  <c r="AI253" i="5" s="1" a="1"/>
  <c r="AI253" i="5" s="1"/>
  <c r="W254" i="5"/>
  <c r="AI254" i="5" s="1" a="1"/>
  <c r="AI254" i="5" s="1"/>
  <c r="W255" i="5"/>
  <c r="AI255" i="5" s="1" a="1"/>
  <c r="AI255" i="5" s="1"/>
  <c r="W256" i="5"/>
  <c r="W257" i="5"/>
  <c r="W258" i="5"/>
  <c r="AI258" i="5" s="1" a="1"/>
  <c r="AI258" i="5" s="1"/>
  <c r="W195" i="5"/>
  <c r="AI195" i="5" s="1" a="1"/>
  <c r="AI195" i="5" s="1"/>
  <c r="W259" i="5"/>
  <c r="AI259" i="5" s="1" a="1"/>
  <c r="AI259" i="5" s="1"/>
  <c r="W260" i="5"/>
  <c r="AI260" i="5" s="1" a="1"/>
  <c r="AI260" i="5" s="1"/>
  <c r="W261" i="5"/>
  <c r="W262" i="5"/>
  <c r="W199" i="5"/>
  <c r="W263" i="5"/>
  <c r="AI263" i="5" s="1" a="1"/>
  <c r="AI263" i="5" s="1"/>
  <c r="W264" i="5"/>
  <c r="AI264" i="5" s="1" a="1"/>
  <c r="AI264" i="5" s="1"/>
  <c r="W265" i="5"/>
  <c r="AI265" i="5" s="1" a="1"/>
  <c r="AI265" i="5" s="1"/>
  <c r="W266" i="5"/>
  <c r="AI266" i="5" s="1" a="1"/>
  <c r="AI266" i="5" s="1"/>
  <c r="W267" i="5"/>
  <c r="AI267" i="5" s="1" a="1"/>
  <c r="AI267" i="5" s="1"/>
  <c r="W215" i="5"/>
  <c r="AI215" i="5" s="1" a="1"/>
  <c r="AI215" i="5" s="1"/>
  <c r="W268" i="5"/>
  <c r="AI268" i="5" s="1" a="1"/>
  <c r="AI268" i="5" s="1"/>
  <c r="W219" i="5"/>
  <c r="AI219" i="5" s="1" a="1"/>
  <c r="AI219" i="5" s="1"/>
  <c r="W222" i="5"/>
  <c r="AI222" i="5" s="1" a="1"/>
  <c r="AI222" i="5" s="1"/>
  <c r="W269" i="5"/>
  <c r="AI269" i="5" s="1" a="1"/>
  <c r="AI269" i="5" s="1"/>
  <c r="W270" i="5"/>
  <c r="AI270" i="5" s="1" a="1"/>
  <c r="AI270" i="5" s="1"/>
  <c r="W271" i="5"/>
  <c r="AI271" i="5" s="1" a="1"/>
  <c r="AI271" i="5" s="1"/>
  <c r="W272" i="5"/>
  <c r="AI272" i="5" s="1" a="1"/>
  <c r="AI272" i="5" s="1"/>
  <c r="W273" i="5"/>
  <c r="AI273" i="5" s="1" a="1"/>
  <c r="AI273" i="5" s="1"/>
  <c r="W232" i="5"/>
  <c r="AI232" i="5" s="1" a="1"/>
  <c r="AI232" i="5" s="1"/>
  <c r="W274" i="5"/>
  <c r="AI274" i="5" s="1" a="1"/>
  <c r="AI274" i="5" s="1"/>
  <c r="W234" i="5"/>
  <c r="AI234" i="5" s="1" a="1"/>
  <c r="AI234" i="5" s="1"/>
  <c r="W275" i="5"/>
  <c r="AI275" i="5" s="1" a="1"/>
  <c r="AI275" i="5" s="1"/>
  <c r="W276" i="5"/>
  <c r="AI276" i="5" s="1" a="1"/>
  <c r="AI276" i="5" s="1"/>
  <c r="W277" i="5"/>
  <c r="AI277" i="5" s="1" a="1"/>
  <c r="AI277" i="5" s="1"/>
  <c r="W278" i="5"/>
  <c r="AI278" i="5" s="1" a="1"/>
  <c r="AI278" i="5" s="1"/>
  <c r="W279" i="5"/>
  <c r="AI279" i="5" s="1" a="1"/>
  <c r="AI279" i="5" s="1"/>
  <c r="W280" i="5"/>
  <c r="AI280" i="5" s="1" a="1"/>
  <c r="AI280" i="5" s="1"/>
  <c r="W281" i="5"/>
  <c r="AI281" i="5" s="1" a="1"/>
  <c r="AI281" i="5" s="1"/>
  <c r="W282" i="5"/>
  <c r="AI282" i="5" s="1" a="1"/>
  <c r="AI282" i="5" s="1"/>
  <c r="W248" i="5"/>
  <c r="AI248" i="5" s="1" a="1"/>
  <c r="AI248" i="5" s="1"/>
  <c r="W283" i="5"/>
  <c r="AI283" i="5" s="1" a="1"/>
  <c r="AI283" i="5" s="1"/>
  <c r="W284" i="5"/>
  <c r="AI284" i="5" s="1" a="1"/>
  <c r="AI284" i="5" s="1"/>
  <c r="W285" i="5"/>
  <c r="AI285" i="5" s="1" a="1"/>
  <c r="AI285" i="5" s="1"/>
  <c r="W286" i="5"/>
  <c r="AI286" i="5" s="1" a="1"/>
  <c r="AI286" i="5" s="1"/>
  <c r="W63" i="5"/>
  <c r="AI63" i="5" s="1" a="1"/>
  <c r="AI63" i="5" s="1"/>
  <c r="W287" i="5"/>
  <c r="AI287" i="5" s="1" a="1"/>
  <c r="AI287" i="5" s="1"/>
  <c r="W288" i="5"/>
  <c r="AI288" i="5" s="1" a="1"/>
  <c r="AI288" i="5" s="1"/>
  <c r="W289" i="5"/>
  <c r="AI289" i="5" s="1" a="1"/>
  <c r="AI289" i="5" s="1"/>
  <c r="W290" i="5"/>
  <c r="AI290" i="5" s="1" a="1"/>
  <c r="AI290" i="5" s="1"/>
  <c r="W35" i="5"/>
  <c r="AI35" i="5" s="1" a="1"/>
  <c r="AI35" i="5" s="1"/>
  <c r="W37" i="5"/>
  <c r="AI37" i="5" s="1" a="1"/>
  <c r="AI37" i="5" s="1"/>
  <c r="W39" i="5"/>
  <c r="AI39" i="5" s="1" a="1"/>
  <c r="AI39" i="5" s="1"/>
  <c r="W291" i="5"/>
  <c r="AI291" i="5" s="1" a="1"/>
  <c r="AI291" i="5" s="1"/>
  <c r="W71" i="5"/>
  <c r="AI71" i="5" s="1" a="1"/>
  <c r="AI71" i="5" s="1"/>
  <c r="W292" i="5"/>
  <c r="AI292" i="5" s="1" a="1"/>
  <c r="AI292" i="5" s="1"/>
  <c r="W293" i="5"/>
  <c r="AI293" i="5" s="1" a="1"/>
  <c r="AI293" i="5" s="1"/>
  <c r="W294" i="5"/>
  <c r="AI294" i="5" s="1" a="1"/>
  <c r="AI294" i="5" s="1"/>
  <c r="W295" i="5"/>
  <c r="AI295" i="5" s="1" a="1"/>
  <c r="AI295" i="5" s="1"/>
  <c r="W85" i="5"/>
  <c r="AI85" i="5" s="1" a="1"/>
  <c r="AI85" i="5" s="1"/>
  <c r="W41" i="5"/>
  <c r="AI41" i="5" s="1" a="1"/>
  <c r="AI41" i="5" s="1"/>
  <c r="W46" i="5"/>
  <c r="AI46" i="5" s="1" a="1"/>
  <c r="AI46" i="5" s="1"/>
  <c r="W87" i="5"/>
  <c r="AI87" i="5" s="1" a="1"/>
  <c r="AI87" i="5" s="1"/>
  <c r="W95" i="5"/>
  <c r="AI95" i="5" s="1" a="1"/>
  <c r="AI95" i="5" s="1"/>
  <c r="W48" i="5"/>
  <c r="AI48" i="5" s="1" a="1"/>
  <c r="AI48" i="5" s="1"/>
  <c r="W50" i="5"/>
  <c r="AI50" i="5" s="1" a="1"/>
  <c r="AI50" i="5" s="1"/>
  <c r="W98" i="5"/>
  <c r="AI98" i="5" s="1" a="1"/>
  <c r="AI98" i="5" s="1"/>
  <c r="W109" i="5"/>
  <c r="AI109" i="5" s="1" a="1"/>
  <c r="AI109" i="5" s="1"/>
  <c r="W52" i="5"/>
  <c r="AI52" i="5" s="1" a="1"/>
  <c r="AI52" i="5" s="1"/>
  <c r="W55" i="5"/>
  <c r="AI55" i="5" s="1" a="1"/>
  <c r="AI55" i="5" s="1"/>
  <c r="W56" i="5"/>
  <c r="AI56" i="5" s="1" a="1"/>
  <c r="AI56" i="5" s="1"/>
  <c r="W60" i="5"/>
  <c r="W64" i="5"/>
  <c r="AI64" i="5" s="1" a="1"/>
  <c r="AI64" i="5" s="1"/>
  <c r="W111" i="5"/>
  <c r="AI111" i="5" s="1" a="1"/>
  <c r="AI111" i="5" s="1"/>
  <c r="W32" i="5"/>
  <c r="AI32" i="5" s="1" a="1"/>
  <c r="AI32" i="5" s="1"/>
  <c r="W67" i="5"/>
  <c r="W74" i="5"/>
  <c r="AI74" i="5" s="1" a="1"/>
  <c r="AI74" i="5" s="1"/>
  <c r="W77" i="5"/>
  <c r="AI77" i="5" s="1" a="1"/>
  <c r="AI77" i="5" s="1"/>
  <c r="W80" i="5"/>
  <c r="AI80" i="5" s="1" a="1"/>
  <c r="AI80" i="5" s="1"/>
  <c r="W33" i="5"/>
  <c r="AI33" i="5" s="1" a="1"/>
  <c r="AI33" i="5" s="1"/>
  <c r="W43" i="5"/>
  <c r="W82" i="5"/>
  <c r="AI82" i="5" s="1" a="1"/>
  <c r="AI82" i="5" s="1"/>
  <c r="W84" i="5"/>
  <c r="AI84" i="5" s="1" a="1"/>
  <c r="AI84" i="5" s="1"/>
  <c r="W90" i="5"/>
  <c r="W91" i="5"/>
  <c r="AI91" i="5" s="1" a="1"/>
  <c r="AI91" i="5" s="1"/>
  <c r="W92" i="5"/>
  <c r="AI92" i="5" s="1" a="1"/>
  <c r="AI92" i="5" s="1"/>
  <c r="W123" i="5"/>
  <c r="W126" i="5"/>
  <c r="AI126" i="5" s="1" a="1"/>
  <c r="AI126" i="5" s="1"/>
  <c r="W128" i="5"/>
  <c r="W135" i="5"/>
  <c r="W137" i="5"/>
  <c r="W139" i="5"/>
  <c r="W145" i="5"/>
  <c r="AI145" i="5" s="1" a="1"/>
  <c r="AI145" i="5" s="1"/>
  <c r="W155" i="5"/>
  <c r="AI155" i="5" s="1" a="1"/>
  <c r="AI155" i="5" s="1"/>
  <c r="AC34" i="5" a="1"/>
  <c r="AC34" i="5" s="1"/>
  <c r="AC36" i="5" a="1"/>
  <c r="AC36" i="5" s="1"/>
  <c r="AC38" i="5" a="1"/>
  <c r="AC38" i="5" s="1"/>
  <c r="AC40" i="5" a="1"/>
  <c r="AC40" i="5" s="1"/>
  <c r="AC42" i="5" a="1"/>
  <c r="AC42" i="5" s="1"/>
  <c r="AC44" i="5" a="1"/>
  <c r="AC44" i="5" s="1"/>
  <c r="AC45" i="5" a="1"/>
  <c r="AC45" i="5" s="1"/>
  <c r="AC47" i="5" a="1"/>
  <c r="AC47" i="5" s="1"/>
  <c r="AC49" i="5" a="1"/>
  <c r="AC49" i="5" s="1"/>
  <c r="AC51" i="5" a="1"/>
  <c r="AC51" i="5" s="1"/>
  <c r="AC53" i="5" a="1"/>
  <c r="AC53" i="5" s="1"/>
  <c r="AC54" i="5" a="1"/>
  <c r="AC54" i="5" s="1"/>
  <c r="AC57" i="5" a="1"/>
  <c r="AC57" i="5" s="1"/>
  <c r="AC58" i="5" a="1"/>
  <c r="AC58" i="5" s="1"/>
  <c r="AC59" i="5" a="1"/>
  <c r="AC59" i="5" s="1"/>
  <c r="AC61" i="5" a="1"/>
  <c r="AC61" i="5" s="1"/>
  <c r="AC62" i="5" a="1"/>
  <c r="AC62" i="5" s="1"/>
  <c r="AC65" i="5" a="1"/>
  <c r="AC65" i="5" s="1"/>
  <c r="AC66" i="5" a="1"/>
  <c r="AC66" i="5" s="1"/>
  <c r="AC68" i="5" a="1"/>
  <c r="AC68" i="5" s="1"/>
  <c r="AC69" i="5" a="1"/>
  <c r="AC69" i="5" s="1"/>
  <c r="AC70" i="5" a="1"/>
  <c r="AC70" i="5" s="1"/>
  <c r="AC72" i="5" a="1"/>
  <c r="AC72" i="5" s="1"/>
  <c r="AC73" i="5" a="1"/>
  <c r="AC73" i="5" s="1"/>
  <c r="AC75" i="5" a="1"/>
  <c r="AC75" i="5" s="1"/>
  <c r="AC76" i="5" a="1"/>
  <c r="AC76" i="5" s="1"/>
  <c r="AC78" i="5" a="1"/>
  <c r="AC78" i="5" s="1"/>
  <c r="AC79" i="5" a="1"/>
  <c r="AC79" i="5" s="1"/>
  <c r="AC81" i="5" a="1"/>
  <c r="AC81" i="5" s="1"/>
  <c r="AC83" i="5" a="1"/>
  <c r="AC83" i="5" s="1"/>
  <c r="AC86" i="5" a="1"/>
  <c r="AC86" i="5" s="1"/>
  <c r="AC88" i="5" a="1"/>
  <c r="AC88" i="5" s="1"/>
  <c r="AC89" i="5" a="1"/>
  <c r="AC89" i="5" s="1"/>
  <c r="AC93" i="5" a="1"/>
  <c r="AC93" i="5" s="1"/>
  <c r="AC94" i="5" a="1"/>
  <c r="AC94" i="5" s="1"/>
  <c r="AC96" i="5" a="1"/>
  <c r="AC96" i="5" s="1"/>
  <c r="AC97" i="5" a="1"/>
  <c r="AC97" i="5" s="1"/>
  <c r="AC99" i="5" a="1"/>
  <c r="AC99" i="5" s="1"/>
  <c r="AC100" i="5" a="1"/>
  <c r="AC100" i="5" s="1"/>
  <c r="AC101" i="5" a="1"/>
  <c r="AC101" i="5" s="1"/>
  <c r="AC102" i="5" a="1"/>
  <c r="AC102" i="5" s="1"/>
  <c r="AC103" i="5" a="1"/>
  <c r="AC103" i="5" s="1"/>
  <c r="AC104" i="5" a="1"/>
  <c r="AC104" i="5" s="1"/>
  <c r="AC105" i="5" a="1"/>
  <c r="AC105" i="5" s="1"/>
  <c r="AC106" i="5" a="1"/>
  <c r="AC106" i="5" s="1"/>
  <c r="AC107" i="5" a="1"/>
  <c r="AC107" i="5" s="1"/>
  <c r="AC108" i="5" a="1"/>
  <c r="AC108" i="5" s="1"/>
  <c r="AC110" i="5" a="1"/>
  <c r="AC110" i="5" s="1"/>
  <c r="AC112" i="5" a="1"/>
  <c r="AC112" i="5" s="1"/>
  <c r="AC113" i="5" a="1"/>
  <c r="AC113" i="5" s="1"/>
  <c r="AC114" i="5" a="1"/>
  <c r="AC114" i="5" s="1"/>
  <c r="AC115" i="5" a="1"/>
  <c r="AC115" i="5" s="1"/>
  <c r="AC116" i="5" a="1"/>
  <c r="AC116" i="5" s="1"/>
  <c r="AC117" i="5" a="1"/>
  <c r="AC117" i="5" s="1"/>
  <c r="AC118" i="5" a="1"/>
  <c r="AC118" i="5" s="1"/>
  <c r="AC119" i="5" a="1"/>
  <c r="AC119" i="5" s="1"/>
  <c r="AC120" i="5" a="1"/>
  <c r="AC120" i="5" s="1"/>
  <c r="AC121" i="5" a="1"/>
  <c r="AC121" i="5" s="1"/>
  <c r="AC122" i="5" a="1"/>
  <c r="AC122" i="5" s="1"/>
  <c r="AC124" i="5" a="1"/>
  <c r="AC124" i="5" s="1"/>
  <c r="AC125" i="5" a="1"/>
  <c r="AC125" i="5" s="1"/>
  <c r="AC160" i="5" a="1"/>
  <c r="AC160" i="5" s="1"/>
  <c r="AC127" i="5" a="1"/>
  <c r="AC127" i="5" s="1"/>
  <c r="AC129" i="5" a="1"/>
  <c r="AC129" i="5" s="1"/>
  <c r="AC130" i="5" a="1"/>
  <c r="AC130" i="5" s="1"/>
  <c r="AC131" i="5" a="1"/>
  <c r="AC131" i="5" s="1"/>
  <c r="AC133" i="5" a="1"/>
  <c r="AC133" i="5" s="1"/>
  <c r="AC134" i="5" a="1"/>
  <c r="AC134" i="5" s="1"/>
  <c r="AC136" i="5" a="1"/>
  <c r="AC136" i="5" s="1"/>
  <c r="AC138" i="5" a="1"/>
  <c r="AC138" i="5" s="1"/>
  <c r="AC140" i="5" a="1"/>
  <c r="AC140" i="5" s="1"/>
  <c r="AC141" i="5" a="1"/>
  <c r="AC141" i="5" s="1"/>
  <c r="AC142" i="5" a="1"/>
  <c r="AC142" i="5" s="1"/>
  <c r="AC143" i="5" a="1"/>
  <c r="AC143" i="5" s="1"/>
  <c r="AC144" i="5" a="1"/>
  <c r="AC144" i="5" s="1"/>
  <c r="AC146" i="5" a="1"/>
  <c r="AC146" i="5" s="1"/>
  <c r="AC147" i="5" a="1"/>
  <c r="AC147" i="5" s="1"/>
  <c r="AC148" i="5" a="1"/>
  <c r="AC148" i="5" s="1"/>
  <c r="AC149" i="5" a="1"/>
  <c r="AC149" i="5" s="1"/>
  <c r="AC151" i="5" a="1"/>
  <c r="AC151" i="5" s="1"/>
  <c r="AC152" i="5" a="1"/>
  <c r="AC152" i="5" s="1"/>
  <c r="AC153" i="5" a="1"/>
  <c r="AC153" i="5" s="1"/>
  <c r="AC154" i="5" a="1"/>
  <c r="AC154" i="5" s="1"/>
  <c r="AC156" i="5" a="1"/>
  <c r="AC156" i="5" s="1"/>
  <c r="AC157" i="5" a="1"/>
  <c r="AC157" i="5" s="1"/>
  <c r="AC158" i="5" a="1"/>
  <c r="AC158" i="5" s="1"/>
  <c r="AC159" i="5" a="1"/>
  <c r="AC159" i="5" s="1"/>
  <c r="AC161" i="5" a="1"/>
  <c r="AC161" i="5" s="1"/>
  <c r="AC162" i="5" a="1"/>
  <c r="AC162" i="5" s="1"/>
  <c r="AC163" i="5" a="1"/>
  <c r="AC163" i="5" s="1"/>
  <c r="AC164" i="5" a="1"/>
  <c r="AC164" i="5" s="1"/>
  <c r="AC165" i="5" a="1"/>
  <c r="AC165" i="5" s="1"/>
  <c r="AC167" i="5" a="1"/>
  <c r="AC167" i="5" s="1"/>
  <c r="AC168" i="5" a="1"/>
  <c r="AC168" i="5" s="1"/>
  <c r="AC169" i="5" a="1"/>
  <c r="AC169" i="5" s="1"/>
  <c r="AC166" i="5" a="1"/>
  <c r="AC166" i="5" s="1"/>
  <c r="AC170" i="5" a="1"/>
  <c r="AC170" i="5" s="1"/>
  <c r="AC171" i="5" a="1"/>
  <c r="AC171" i="5" s="1"/>
  <c r="AC172" i="5" a="1"/>
  <c r="AC172" i="5" s="1"/>
  <c r="AC175" i="5" a="1"/>
  <c r="AC175" i="5" s="1"/>
  <c r="AC176" i="5" a="1"/>
  <c r="AC176" i="5" s="1"/>
  <c r="AC179" i="5" a="1"/>
  <c r="AC179" i="5" s="1"/>
  <c r="AC183" i="5" a="1"/>
  <c r="AC183" i="5" s="1"/>
  <c r="AC185" i="5" a="1"/>
  <c r="AC185" i="5" s="1"/>
  <c r="AC186" i="5" a="1"/>
  <c r="AC186" i="5" s="1"/>
  <c r="AC187" i="5" a="1"/>
  <c r="AC187" i="5" s="1"/>
  <c r="AC188" i="5" a="1"/>
  <c r="AC188" i="5" s="1"/>
  <c r="AC189" i="5" a="1"/>
  <c r="AC189" i="5" s="1"/>
  <c r="AC190" i="5" a="1"/>
  <c r="AC190" i="5" s="1"/>
  <c r="AC191" i="5" a="1"/>
  <c r="AC191" i="5" s="1"/>
  <c r="AC173" i="5" a="1"/>
  <c r="AC173" i="5" s="1"/>
  <c r="AC174" i="5" a="1"/>
  <c r="AC174" i="5" s="1"/>
  <c r="AC177" i="5" a="1"/>
  <c r="AC177" i="5" s="1"/>
  <c r="AC178" i="5" a="1"/>
  <c r="AC178" i="5" s="1"/>
  <c r="AC180" i="5" a="1"/>
  <c r="AC180" i="5" s="1"/>
  <c r="AC181" i="5" a="1"/>
  <c r="AC181" i="5" s="1"/>
  <c r="AC184" i="5" a="1"/>
  <c r="AC184" i="5" s="1"/>
  <c r="AC192" i="5" a="1"/>
  <c r="AC192" i="5" s="1"/>
  <c r="AC193" i="5" a="1"/>
  <c r="AC193" i="5" s="1"/>
  <c r="AC196" i="5" a="1"/>
  <c r="AC196" i="5" s="1"/>
  <c r="AC197" i="5" a="1"/>
  <c r="AC197" i="5" s="1"/>
  <c r="AC200" i="5" a="1"/>
  <c r="AC200" i="5" s="1"/>
  <c r="AC201" i="5" a="1"/>
  <c r="AC201" i="5" s="1"/>
  <c r="AC204" i="5" a="1"/>
  <c r="AC204" i="5" s="1"/>
  <c r="AC205" i="5" a="1"/>
  <c r="AC205" i="5" s="1"/>
  <c r="AC207" i="5" a="1"/>
  <c r="AC207" i="5" s="1"/>
  <c r="AC209" i="5" a="1"/>
  <c r="AC209" i="5" s="1"/>
  <c r="AC194" i="5" a="1"/>
  <c r="AC194" i="5" s="1"/>
  <c r="AC198" i="5" a="1"/>
  <c r="AC198" i="5" s="1"/>
  <c r="AC202" i="5" a="1"/>
  <c r="AC202" i="5" s="1"/>
  <c r="AC203" i="5" a="1"/>
  <c r="AC203" i="5" s="1"/>
  <c r="AC132" i="5" a="1"/>
  <c r="AC132" i="5" s="1"/>
  <c r="AC206" i="5" a="1"/>
  <c r="AC206" i="5" s="1"/>
  <c r="AC208" i="5" a="1"/>
  <c r="AC208" i="5" s="1"/>
  <c r="AC210" i="5" a="1"/>
  <c r="AC210" i="5" s="1"/>
  <c r="AC211" i="5" a="1"/>
  <c r="AC211" i="5" s="1"/>
  <c r="AC212" i="5" a="1"/>
  <c r="AC212" i="5" s="1"/>
  <c r="AC213" i="5" a="1"/>
  <c r="AC213" i="5" s="1"/>
  <c r="AC216" i="5" a="1"/>
  <c r="AC216" i="5" s="1"/>
  <c r="AC220" i="5" a="1"/>
  <c r="AC220" i="5" s="1"/>
  <c r="AC223" i="5" a="1"/>
  <c r="AC223" i="5" s="1"/>
  <c r="AC225" i="5" a="1"/>
  <c r="AC225" i="5" s="1"/>
  <c r="AC214" i="5" a="1"/>
  <c r="AC214" i="5" s="1"/>
  <c r="AC217" i="5" a="1"/>
  <c r="AC217" i="5" s="1"/>
  <c r="AC218" i="5" a="1"/>
  <c r="AC218" i="5" s="1"/>
  <c r="AC221" i="5" a="1"/>
  <c r="AC221" i="5" s="1"/>
  <c r="AC224" i="5" a="1"/>
  <c r="AC224" i="5" s="1"/>
  <c r="AC226" i="5" a="1"/>
  <c r="AC226" i="5" s="1"/>
  <c r="AC150" i="5" a="1"/>
  <c r="AC150" i="5" s="1"/>
  <c r="AC227" i="5" a="1"/>
  <c r="AC227" i="5" s="1"/>
  <c r="AC228" i="5" a="1"/>
  <c r="AC228" i="5" s="1"/>
  <c r="AC229" i="5" a="1"/>
  <c r="AC229" i="5" s="1"/>
  <c r="AC230" i="5" a="1"/>
  <c r="AC230" i="5" s="1"/>
  <c r="AC231" i="5" a="1"/>
  <c r="AC231" i="5" s="1"/>
  <c r="AC233" i="5" a="1"/>
  <c r="AC233" i="5" s="1"/>
  <c r="AC235" i="5" a="1"/>
  <c r="AC235" i="5" s="1"/>
  <c r="AC236" i="5" a="1"/>
  <c r="AC236" i="5" s="1"/>
  <c r="AC237" i="5" a="1"/>
  <c r="AC237" i="5" s="1"/>
  <c r="AC238" i="5" a="1"/>
  <c r="AC238" i="5" s="1"/>
  <c r="AC239" i="5" a="1"/>
  <c r="AC239" i="5" s="1"/>
  <c r="AC240" i="5" a="1"/>
  <c r="AC240" i="5" s="1"/>
  <c r="AC241" i="5" a="1"/>
  <c r="AC241" i="5" s="1"/>
  <c r="AC242" i="5" a="1"/>
  <c r="AC242" i="5" s="1"/>
  <c r="AC243" i="5" a="1"/>
  <c r="AC243" i="5" s="1"/>
  <c r="AC244" i="5" a="1"/>
  <c r="AC244" i="5" s="1"/>
  <c r="AC245" i="5" a="1"/>
  <c r="AC245" i="5" s="1"/>
  <c r="AC246" i="5" a="1"/>
  <c r="AC246" i="5" s="1"/>
  <c r="AC247" i="5" a="1"/>
  <c r="AC247" i="5" s="1"/>
  <c r="AC249" i="5" a="1"/>
  <c r="AC249" i="5" s="1"/>
  <c r="AC250" i="5" a="1"/>
  <c r="AC250" i="5" s="1"/>
  <c r="AC182" i="5" a="1"/>
  <c r="AC182" i="5" s="1"/>
  <c r="AC251" i="5" a="1"/>
  <c r="AC251" i="5" s="1"/>
  <c r="AC252" i="5" a="1"/>
  <c r="AC252" i="5" s="1"/>
  <c r="AC253" i="5" a="1"/>
  <c r="AC253" i="5" s="1"/>
  <c r="AC254" i="5" a="1"/>
  <c r="AC254" i="5" s="1"/>
  <c r="AC255" i="5" a="1"/>
  <c r="AC255" i="5" s="1"/>
  <c r="AC256" i="5" a="1"/>
  <c r="AC256" i="5" s="1"/>
  <c r="AC257" i="5" a="1"/>
  <c r="AC257" i="5" s="1"/>
  <c r="AC258" i="5" a="1"/>
  <c r="AC258" i="5" s="1"/>
  <c r="AC195" i="5" a="1"/>
  <c r="AC195" i="5" s="1"/>
  <c r="AC259" i="5" a="1"/>
  <c r="AC259" i="5" s="1"/>
  <c r="AC260" i="5" a="1"/>
  <c r="AC260" i="5" s="1"/>
  <c r="AC261" i="5" a="1"/>
  <c r="AC261" i="5" s="1"/>
  <c r="AC262" i="5" a="1"/>
  <c r="AC262" i="5" s="1"/>
  <c r="AC199" i="5" a="1"/>
  <c r="AC199" i="5" s="1"/>
  <c r="AC263" i="5" a="1"/>
  <c r="AC263" i="5" s="1"/>
  <c r="AC264" i="5" a="1"/>
  <c r="AC264" i="5" s="1"/>
  <c r="AC265" i="5" a="1"/>
  <c r="AC265" i="5" s="1"/>
  <c r="AC266" i="5" a="1"/>
  <c r="AC266" i="5" s="1"/>
  <c r="AC267" i="5" a="1"/>
  <c r="AC267" i="5" s="1"/>
  <c r="AC215" i="5" a="1"/>
  <c r="AC215" i="5" s="1"/>
  <c r="AC268" i="5" a="1"/>
  <c r="AC268" i="5" s="1"/>
  <c r="AC219" i="5" a="1"/>
  <c r="AC219" i="5" s="1"/>
  <c r="AC222" i="5" a="1"/>
  <c r="AC222" i="5" s="1"/>
  <c r="AC269" i="5" a="1"/>
  <c r="AC269" i="5" s="1"/>
  <c r="AC270" i="5" a="1"/>
  <c r="AC270" i="5" s="1"/>
  <c r="AC271" i="5" a="1"/>
  <c r="AC271" i="5" s="1"/>
  <c r="AC272" i="5" a="1"/>
  <c r="AC272" i="5" s="1"/>
  <c r="AC273" i="5" a="1"/>
  <c r="AC273" i="5" s="1"/>
  <c r="AC232" i="5" a="1"/>
  <c r="AC232" i="5" s="1"/>
  <c r="AC274" i="5" a="1"/>
  <c r="AC274" i="5" s="1"/>
  <c r="AC234" i="5" a="1"/>
  <c r="AC234" i="5" s="1"/>
  <c r="AC275" i="5" a="1"/>
  <c r="AC275" i="5" s="1"/>
  <c r="AC276" i="5" a="1"/>
  <c r="AC276" i="5" s="1"/>
  <c r="AC277" i="5" a="1"/>
  <c r="AC277" i="5" s="1"/>
  <c r="AC278" i="5" a="1"/>
  <c r="AC278" i="5" s="1"/>
  <c r="AC279" i="5" a="1"/>
  <c r="AC279" i="5" s="1"/>
  <c r="AC280" i="5" a="1"/>
  <c r="AC280" i="5" s="1"/>
  <c r="AC281" i="5" a="1"/>
  <c r="AC281" i="5" s="1"/>
  <c r="AC282" i="5" a="1"/>
  <c r="AC282" i="5" s="1"/>
  <c r="AC248" i="5" a="1"/>
  <c r="AC248" i="5" s="1"/>
  <c r="AC283" i="5" a="1"/>
  <c r="AC283" i="5" s="1"/>
  <c r="AC284" i="5" a="1"/>
  <c r="AC284" i="5" s="1"/>
  <c r="AC285" i="5" a="1"/>
  <c r="AC285" i="5" s="1"/>
  <c r="AC286" i="5" a="1"/>
  <c r="AC286" i="5" s="1"/>
  <c r="AC63" i="5" a="1"/>
  <c r="AC63" i="5" s="1"/>
  <c r="AC287" i="5" a="1"/>
  <c r="AC287" i="5" s="1"/>
  <c r="AC288" i="5" a="1"/>
  <c r="AC288" i="5" s="1"/>
  <c r="AC289" i="5" a="1"/>
  <c r="AC289" i="5" s="1"/>
  <c r="AC290" i="5" a="1"/>
  <c r="AC290" i="5" s="1"/>
  <c r="AC35" i="5" a="1"/>
  <c r="AC35" i="5" s="1"/>
  <c r="AC37" i="5" a="1"/>
  <c r="AC37" i="5" s="1"/>
  <c r="AC39" i="5" a="1"/>
  <c r="AC39" i="5" s="1"/>
  <c r="AC291" i="5" a="1"/>
  <c r="AC291" i="5" s="1"/>
  <c r="AC71" i="5" a="1"/>
  <c r="AC71" i="5" s="1"/>
  <c r="AC292" i="5" a="1"/>
  <c r="AC292" i="5" s="1"/>
  <c r="AC293" i="5" a="1"/>
  <c r="AC293" i="5" s="1"/>
  <c r="AC294" i="5" a="1"/>
  <c r="AC294" i="5" s="1"/>
  <c r="AC295" i="5" a="1"/>
  <c r="AC295" i="5" s="1"/>
  <c r="AC85" i="5" a="1"/>
  <c r="AC85" i="5" s="1"/>
  <c r="AC41" i="5" a="1"/>
  <c r="AC41" i="5" s="1"/>
  <c r="AC46" i="5" a="1"/>
  <c r="AC46" i="5" s="1"/>
  <c r="AC87" i="5" a="1"/>
  <c r="AC87" i="5" s="1"/>
  <c r="AC95" i="5" a="1"/>
  <c r="AC95" i="5" s="1"/>
  <c r="AC48" i="5" a="1"/>
  <c r="AC48" i="5" s="1"/>
  <c r="AC50" i="5" a="1"/>
  <c r="AC50" i="5" s="1"/>
  <c r="AC98" i="5" a="1"/>
  <c r="AC98" i="5" s="1"/>
  <c r="AC109" i="5" a="1"/>
  <c r="AC109" i="5" s="1"/>
  <c r="AC52" i="5" a="1"/>
  <c r="AC52" i="5" s="1"/>
  <c r="AC55" i="5" a="1"/>
  <c r="AC55" i="5" s="1"/>
  <c r="AC56" i="5" a="1"/>
  <c r="AC56" i="5" s="1"/>
  <c r="AC60" i="5" a="1"/>
  <c r="AC60" i="5" s="1"/>
  <c r="AC64" i="5" a="1"/>
  <c r="AC64" i="5" s="1"/>
  <c r="AC111" i="5" a="1"/>
  <c r="AC111" i="5" s="1"/>
  <c r="AC32" i="5" a="1"/>
  <c r="AC32" i="5" s="1"/>
  <c r="AC67" i="5" a="1"/>
  <c r="AC67" i="5" s="1"/>
  <c r="AC74" i="5" a="1"/>
  <c r="AC74" i="5" s="1"/>
  <c r="AC77" i="5" a="1"/>
  <c r="AC77" i="5" s="1"/>
  <c r="AC80" i="5" a="1"/>
  <c r="AC80" i="5" s="1"/>
  <c r="AC33" i="5" a="1"/>
  <c r="AC33" i="5" s="1"/>
  <c r="AC43" i="5" a="1"/>
  <c r="AC43" i="5" s="1"/>
  <c r="AC82" i="5" a="1"/>
  <c r="AC82" i="5" s="1"/>
  <c r="AC84" i="5" a="1"/>
  <c r="AC84" i="5" s="1"/>
  <c r="AC90" i="5" a="1"/>
  <c r="AC90" i="5" s="1"/>
  <c r="AC91" i="5" a="1"/>
  <c r="AC91" i="5" s="1"/>
  <c r="AC92" i="5" a="1"/>
  <c r="AC92" i="5" s="1"/>
  <c r="AC123" i="5" a="1"/>
  <c r="AC123" i="5" s="1"/>
  <c r="AC126" i="5" a="1"/>
  <c r="AC126" i="5" s="1"/>
  <c r="AC128" i="5" a="1"/>
  <c r="AC128" i="5" s="1"/>
  <c r="AC135" i="5" a="1"/>
  <c r="AC135" i="5" s="1"/>
  <c r="AC137" i="5" a="1"/>
  <c r="AC137" i="5" s="1"/>
  <c r="AC139" i="5" a="1"/>
  <c r="AC139" i="5" s="1"/>
  <c r="AC145" i="5" a="1"/>
  <c r="AC145" i="5" s="1"/>
  <c r="AC155" i="5" a="1"/>
  <c r="AC155" i="5" s="1"/>
  <c r="BI34" i="5" a="1"/>
  <c r="BI34" i="5" s="1"/>
  <c r="BJ34" i="5" s="1"/>
  <c r="BI36" i="5" a="1"/>
  <c r="BI36" i="5" s="1"/>
  <c r="BJ36" i="5" s="1"/>
  <c r="BI38" i="5" a="1"/>
  <c r="BI38" i="5" s="1"/>
  <c r="BJ38" i="5" s="1"/>
  <c r="BI40" i="5" a="1"/>
  <c r="BI40" i="5" s="1"/>
  <c r="BJ40" i="5" s="1"/>
  <c r="BI42" i="5" a="1"/>
  <c r="BI42" i="5" s="1"/>
  <c r="BJ42" i="5" s="1"/>
  <c r="BI44" i="5" a="1"/>
  <c r="BI44" i="5" s="1"/>
  <c r="BJ44" i="5" s="1"/>
  <c r="BI45" i="5" a="1"/>
  <c r="BI45" i="5" s="1"/>
  <c r="BJ45" i="5" s="1"/>
  <c r="BI47" i="5" a="1"/>
  <c r="BI47" i="5" s="1"/>
  <c r="BJ47" i="5" s="1"/>
  <c r="BI49" i="5" a="1"/>
  <c r="BI49" i="5" s="1"/>
  <c r="BJ49" i="5" s="1"/>
  <c r="BI51" i="5" a="1"/>
  <c r="BI51" i="5" s="1"/>
  <c r="BJ51" i="5" s="1"/>
  <c r="BI53" i="5" a="1"/>
  <c r="BI53" i="5" s="1"/>
  <c r="BJ53" i="5" s="1"/>
  <c r="BI54" i="5" a="1"/>
  <c r="BI54" i="5" s="1"/>
  <c r="BJ54" i="5" s="1"/>
  <c r="BI57" i="5" a="1"/>
  <c r="BI57" i="5" s="1"/>
  <c r="BJ57" i="5" s="1"/>
  <c r="BI58" i="5" a="1"/>
  <c r="BI58" i="5" s="1"/>
  <c r="BJ58" i="5" s="1"/>
  <c r="BI59" i="5" a="1"/>
  <c r="BI59" i="5" s="1"/>
  <c r="BJ59" i="5" s="1"/>
  <c r="BI61" i="5" a="1"/>
  <c r="BI61" i="5" s="1"/>
  <c r="BJ61" i="5" s="1"/>
  <c r="BI62" i="5" a="1"/>
  <c r="BI62" i="5" s="1"/>
  <c r="BJ62" i="5" s="1"/>
  <c r="BI65" i="5" a="1"/>
  <c r="BI65" i="5" s="1"/>
  <c r="BJ65" i="5" s="1"/>
  <c r="BI66" i="5" a="1"/>
  <c r="BI66" i="5" s="1"/>
  <c r="BJ66" i="5" s="1"/>
  <c r="BI68" i="5" a="1"/>
  <c r="BI68" i="5" s="1"/>
  <c r="BJ68" i="5" s="1"/>
  <c r="BI69" i="5" a="1"/>
  <c r="BI69" i="5" s="1"/>
  <c r="BJ69" i="5" s="1"/>
  <c r="BI70" i="5" a="1"/>
  <c r="BI70" i="5" s="1"/>
  <c r="BJ70" i="5" s="1"/>
  <c r="BI72" i="5" a="1"/>
  <c r="BI72" i="5" s="1"/>
  <c r="BJ72" i="5" s="1"/>
  <c r="BI73" i="5" a="1"/>
  <c r="BI73" i="5" s="1"/>
  <c r="BJ73" i="5" s="1"/>
  <c r="BI75" i="5" a="1"/>
  <c r="BI75" i="5" s="1"/>
  <c r="BJ75" i="5" s="1"/>
  <c r="BI76" i="5" a="1"/>
  <c r="BI76" i="5" s="1"/>
  <c r="BJ76" i="5" s="1"/>
  <c r="BI78" i="5" a="1"/>
  <c r="BI78" i="5" s="1"/>
  <c r="BJ78" i="5" s="1"/>
  <c r="BI79" i="5" a="1"/>
  <c r="BI79" i="5" s="1"/>
  <c r="BJ79" i="5" s="1"/>
  <c r="BI81" i="5" a="1"/>
  <c r="BI81" i="5" s="1"/>
  <c r="BJ81" i="5" s="1"/>
  <c r="BI83" i="5" a="1"/>
  <c r="BI83" i="5" s="1"/>
  <c r="BJ83" i="5" s="1"/>
  <c r="BI86" i="5" a="1"/>
  <c r="BI86" i="5" s="1"/>
  <c r="BJ86" i="5" s="1"/>
  <c r="BI88" i="5" a="1"/>
  <c r="BI88" i="5" s="1"/>
  <c r="BJ88" i="5" s="1"/>
  <c r="BI89" i="5" a="1"/>
  <c r="BI89" i="5" s="1"/>
  <c r="BJ89" i="5" s="1"/>
  <c r="BI93" i="5" a="1"/>
  <c r="BI93" i="5" s="1"/>
  <c r="BJ93" i="5" s="1"/>
  <c r="BI94" i="5" a="1"/>
  <c r="BI94" i="5" s="1"/>
  <c r="BJ94" i="5" s="1"/>
  <c r="BI96" i="5" a="1"/>
  <c r="BI96" i="5" s="1"/>
  <c r="BJ96" i="5" s="1"/>
  <c r="BI97" i="5" a="1"/>
  <c r="BI97" i="5" s="1"/>
  <c r="BJ97" i="5" s="1"/>
  <c r="BI99" i="5" a="1"/>
  <c r="BI99" i="5" s="1"/>
  <c r="BJ99" i="5" s="1"/>
  <c r="BI100" i="5" a="1"/>
  <c r="BI100" i="5" s="1"/>
  <c r="BJ100" i="5" s="1"/>
  <c r="BI101" i="5" a="1"/>
  <c r="BI101" i="5" s="1"/>
  <c r="BJ101" i="5" s="1"/>
  <c r="BI102" i="5" a="1"/>
  <c r="BI102" i="5" s="1"/>
  <c r="BJ102" i="5" s="1"/>
  <c r="BI103" i="5" a="1"/>
  <c r="BI103" i="5" s="1"/>
  <c r="BJ103" i="5" s="1"/>
  <c r="BI104" i="5" a="1"/>
  <c r="BI104" i="5" s="1"/>
  <c r="BJ104" i="5" s="1"/>
  <c r="BI105" i="5" a="1"/>
  <c r="BI105" i="5" s="1"/>
  <c r="BJ105" i="5" s="1"/>
  <c r="BI106" i="5" a="1"/>
  <c r="BI106" i="5" s="1"/>
  <c r="BJ106" i="5" s="1"/>
  <c r="BI107" i="5" a="1"/>
  <c r="BI107" i="5" s="1"/>
  <c r="BJ107" i="5" s="1"/>
  <c r="BI108" i="5" a="1"/>
  <c r="BI108" i="5" s="1"/>
  <c r="BJ108" i="5" s="1"/>
  <c r="BI110" i="5" a="1"/>
  <c r="BI110" i="5" s="1"/>
  <c r="BJ110" i="5" s="1"/>
  <c r="BI112" i="5" a="1"/>
  <c r="BI112" i="5" s="1"/>
  <c r="BJ112" i="5" s="1"/>
  <c r="BI113" i="5" a="1"/>
  <c r="BI113" i="5" s="1"/>
  <c r="BJ113" i="5" s="1"/>
  <c r="BI114" i="5" a="1"/>
  <c r="BI114" i="5" s="1"/>
  <c r="BJ114" i="5" s="1"/>
  <c r="BI115" i="5" a="1"/>
  <c r="BI115" i="5" s="1"/>
  <c r="BJ115" i="5" s="1"/>
  <c r="BI116" i="5" a="1"/>
  <c r="BI116" i="5" s="1"/>
  <c r="BJ116" i="5" s="1"/>
  <c r="BI117" i="5" a="1"/>
  <c r="BI117" i="5" s="1"/>
  <c r="BJ117" i="5" s="1"/>
  <c r="BI118" i="5" a="1"/>
  <c r="BI118" i="5" s="1"/>
  <c r="BJ118" i="5" s="1"/>
  <c r="BI119" i="5" a="1"/>
  <c r="BI119" i="5" s="1"/>
  <c r="BJ119" i="5" s="1"/>
  <c r="BI120" i="5" a="1"/>
  <c r="BI120" i="5" s="1"/>
  <c r="BJ120" i="5" s="1"/>
  <c r="BI121" i="5" a="1"/>
  <c r="BI121" i="5" s="1"/>
  <c r="BJ121" i="5" s="1"/>
  <c r="BI122" i="5" a="1"/>
  <c r="BI122" i="5" s="1"/>
  <c r="BJ122" i="5" s="1"/>
  <c r="BI124" i="5" a="1"/>
  <c r="BI124" i="5" s="1"/>
  <c r="BJ124" i="5" s="1"/>
  <c r="BI125" i="5" a="1"/>
  <c r="BI125" i="5" s="1"/>
  <c r="BJ125" i="5" s="1"/>
  <c r="BI160" i="5" a="1"/>
  <c r="BI160" i="5" s="1"/>
  <c r="BJ160" i="5" s="1"/>
  <c r="BI127" i="5" a="1"/>
  <c r="BI127" i="5" s="1"/>
  <c r="BJ127" i="5" s="1"/>
  <c r="BI129" i="5" a="1"/>
  <c r="BI129" i="5" s="1"/>
  <c r="BJ129" i="5" s="1"/>
  <c r="BI130" i="5" a="1"/>
  <c r="BI130" i="5" s="1"/>
  <c r="BJ130" i="5" s="1"/>
  <c r="BI131" i="5" a="1"/>
  <c r="BI131" i="5" s="1"/>
  <c r="BJ131" i="5" s="1"/>
  <c r="BI133" i="5" a="1"/>
  <c r="BI133" i="5" s="1"/>
  <c r="BJ133" i="5" s="1"/>
  <c r="BI134" i="5" a="1"/>
  <c r="BI134" i="5" s="1"/>
  <c r="BJ134" i="5" s="1"/>
  <c r="BI136" i="5" a="1"/>
  <c r="BI136" i="5" s="1"/>
  <c r="BJ136" i="5" s="1"/>
  <c r="BI138" i="5" a="1"/>
  <c r="BI138" i="5" s="1"/>
  <c r="BJ138" i="5" s="1"/>
  <c r="BI140" i="5" a="1"/>
  <c r="BI140" i="5" s="1"/>
  <c r="BJ140" i="5" s="1"/>
  <c r="BI141" i="5" a="1"/>
  <c r="BI141" i="5" s="1"/>
  <c r="BJ141" i="5" s="1"/>
  <c r="BI142" i="5" a="1"/>
  <c r="BI142" i="5" s="1"/>
  <c r="BJ142" i="5" s="1"/>
  <c r="BI143" i="5" a="1"/>
  <c r="BI143" i="5" s="1"/>
  <c r="BJ143" i="5" s="1"/>
  <c r="BI144" i="5" a="1"/>
  <c r="BI144" i="5" s="1"/>
  <c r="BJ144" i="5" s="1"/>
  <c r="BI146" i="5" a="1"/>
  <c r="BI146" i="5" s="1"/>
  <c r="BJ146" i="5" s="1"/>
  <c r="BI147" i="5" a="1"/>
  <c r="BI147" i="5" s="1"/>
  <c r="BJ147" i="5" s="1"/>
  <c r="BI148" i="5" a="1"/>
  <c r="BI148" i="5" s="1"/>
  <c r="BJ148" i="5" s="1"/>
  <c r="BI149" i="5" a="1"/>
  <c r="BI149" i="5" s="1"/>
  <c r="BJ149" i="5" s="1"/>
  <c r="BI151" i="5" a="1"/>
  <c r="BI151" i="5" s="1"/>
  <c r="BJ151" i="5" s="1"/>
  <c r="BI152" i="5" a="1"/>
  <c r="BI152" i="5" s="1"/>
  <c r="BJ152" i="5" s="1"/>
  <c r="BI153" i="5" a="1"/>
  <c r="BI153" i="5" s="1"/>
  <c r="BJ153" i="5" s="1"/>
  <c r="BI154" i="5" a="1"/>
  <c r="BI154" i="5" s="1"/>
  <c r="BJ154" i="5" s="1"/>
  <c r="BI156" i="5" a="1"/>
  <c r="BI156" i="5" s="1"/>
  <c r="BJ156" i="5" s="1"/>
  <c r="BI157" i="5" a="1"/>
  <c r="BI157" i="5" s="1"/>
  <c r="BJ157" i="5" s="1"/>
  <c r="BI158" i="5" a="1"/>
  <c r="BI158" i="5" s="1"/>
  <c r="BJ158" i="5" s="1"/>
  <c r="BI159" i="5" a="1"/>
  <c r="BI159" i="5" s="1"/>
  <c r="BJ159" i="5" s="1"/>
  <c r="BI161" i="5" a="1"/>
  <c r="BI161" i="5" s="1"/>
  <c r="BJ161" i="5" s="1"/>
  <c r="BI162" i="5" a="1"/>
  <c r="BI162" i="5" s="1"/>
  <c r="BJ162" i="5" s="1"/>
  <c r="BI163" i="5" a="1"/>
  <c r="BI163" i="5" s="1"/>
  <c r="BJ163" i="5" s="1"/>
  <c r="BI164" i="5" a="1"/>
  <c r="BI164" i="5" s="1"/>
  <c r="BJ164" i="5" s="1"/>
  <c r="BI165" i="5" a="1"/>
  <c r="BI165" i="5" s="1"/>
  <c r="BJ165" i="5" s="1"/>
  <c r="BI167" i="5" a="1"/>
  <c r="BI167" i="5" s="1"/>
  <c r="BJ167" i="5" s="1"/>
  <c r="BI168" i="5" a="1"/>
  <c r="BI168" i="5" s="1"/>
  <c r="BJ168" i="5" s="1"/>
  <c r="BI169" i="5" a="1"/>
  <c r="BI169" i="5" s="1"/>
  <c r="BJ169" i="5" s="1"/>
  <c r="BI166" i="5" a="1"/>
  <c r="BI166" i="5" s="1"/>
  <c r="BJ166" i="5" s="1"/>
  <c r="BI170" i="5" a="1"/>
  <c r="BI170" i="5" s="1"/>
  <c r="BJ170" i="5" s="1"/>
  <c r="BI171" i="5" a="1"/>
  <c r="BI171" i="5" s="1"/>
  <c r="BJ171" i="5" s="1"/>
  <c r="BI172" i="5" a="1"/>
  <c r="BI172" i="5" s="1"/>
  <c r="BJ172" i="5" s="1"/>
  <c r="BI175" i="5" a="1"/>
  <c r="BI175" i="5" s="1"/>
  <c r="BJ175" i="5" s="1"/>
  <c r="BI176" i="5" a="1"/>
  <c r="BI176" i="5" s="1"/>
  <c r="BJ176" i="5" s="1"/>
  <c r="BI179" i="5" a="1"/>
  <c r="BI179" i="5" s="1"/>
  <c r="BJ179" i="5" s="1"/>
  <c r="BI183" i="5" a="1"/>
  <c r="BI183" i="5" s="1"/>
  <c r="BJ183" i="5" s="1"/>
  <c r="BI185" i="5" a="1"/>
  <c r="BI185" i="5" s="1"/>
  <c r="BJ185" i="5" s="1"/>
  <c r="BI186" i="5" a="1"/>
  <c r="BI186" i="5" s="1"/>
  <c r="BJ186" i="5" s="1"/>
  <c r="BI187" i="5" a="1"/>
  <c r="BI187" i="5" s="1"/>
  <c r="BJ187" i="5" s="1"/>
  <c r="BI188" i="5" a="1"/>
  <c r="BI188" i="5" s="1"/>
  <c r="BJ188" i="5" s="1"/>
  <c r="BI189" i="5" a="1"/>
  <c r="BI189" i="5" s="1"/>
  <c r="BJ189" i="5" s="1"/>
  <c r="BI190" i="5" a="1"/>
  <c r="BI190" i="5" s="1"/>
  <c r="BJ190" i="5" s="1"/>
  <c r="BI191" i="5" a="1"/>
  <c r="BI191" i="5" s="1"/>
  <c r="BJ191" i="5" s="1"/>
  <c r="BI173" i="5" a="1"/>
  <c r="BI173" i="5" s="1"/>
  <c r="BJ173" i="5" s="1"/>
  <c r="BI174" i="5" a="1"/>
  <c r="BI174" i="5" s="1"/>
  <c r="BJ174" i="5" s="1"/>
  <c r="BI177" i="5" a="1"/>
  <c r="BI177" i="5" s="1"/>
  <c r="BJ177" i="5" s="1"/>
  <c r="BI178" i="5" a="1"/>
  <c r="BI178" i="5" s="1"/>
  <c r="BJ178" i="5" s="1"/>
  <c r="BI180" i="5" a="1"/>
  <c r="BI180" i="5" s="1"/>
  <c r="BJ180" i="5" s="1"/>
  <c r="BI181" i="5" a="1"/>
  <c r="BI181" i="5" s="1"/>
  <c r="BJ181" i="5" s="1"/>
  <c r="BI184" i="5" a="1"/>
  <c r="BI184" i="5" s="1"/>
  <c r="BJ184" i="5" s="1"/>
  <c r="BI192" i="5" a="1"/>
  <c r="BI192" i="5" s="1"/>
  <c r="BJ192" i="5" s="1"/>
  <c r="BI193" i="5" a="1"/>
  <c r="BI193" i="5" s="1"/>
  <c r="BJ193" i="5" s="1"/>
  <c r="BI196" i="5" a="1"/>
  <c r="BI196" i="5" s="1"/>
  <c r="BJ196" i="5" s="1"/>
  <c r="BI197" i="5" a="1"/>
  <c r="BI197" i="5" s="1"/>
  <c r="BJ197" i="5" s="1"/>
  <c r="BI200" i="5" a="1"/>
  <c r="BI200" i="5" s="1"/>
  <c r="BJ200" i="5" s="1"/>
  <c r="BI201" i="5" a="1"/>
  <c r="BI201" i="5" s="1"/>
  <c r="BJ201" i="5" s="1"/>
  <c r="BI204" i="5" a="1"/>
  <c r="BI204" i="5" s="1"/>
  <c r="BJ204" i="5" s="1"/>
  <c r="BI205" i="5" a="1"/>
  <c r="BI205" i="5" s="1"/>
  <c r="BJ205" i="5" s="1"/>
  <c r="BI207" i="5" a="1"/>
  <c r="BI207" i="5" s="1"/>
  <c r="BJ207" i="5" s="1"/>
  <c r="BI209" i="5" a="1"/>
  <c r="BI209" i="5" s="1"/>
  <c r="BJ209" i="5" s="1"/>
  <c r="BI194" i="5" a="1"/>
  <c r="BI194" i="5" s="1"/>
  <c r="BJ194" i="5" s="1"/>
  <c r="BI198" i="5" a="1"/>
  <c r="BI198" i="5" s="1"/>
  <c r="BJ198" i="5" s="1"/>
  <c r="BI202" i="5" a="1"/>
  <c r="BI202" i="5" s="1"/>
  <c r="BJ202" i="5" s="1"/>
  <c r="BI203" i="5" a="1"/>
  <c r="BI203" i="5" s="1"/>
  <c r="BJ203" i="5" s="1"/>
  <c r="BI132" i="5" a="1"/>
  <c r="BI132" i="5" s="1"/>
  <c r="BJ132" i="5" s="1"/>
  <c r="BI206" i="5" a="1"/>
  <c r="BI206" i="5" s="1"/>
  <c r="BJ206" i="5" s="1"/>
  <c r="BI208" i="5" a="1"/>
  <c r="BI208" i="5" s="1"/>
  <c r="BJ208" i="5" s="1"/>
  <c r="BI210" i="5" a="1"/>
  <c r="BI210" i="5" s="1"/>
  <c r="BJ210" i="5" s="1"/>
  <c r="BI211" i="5" a="1"/>
  <c r="BI211" i="5" s="1"/>
  <c r="BJ211" i="5" s="1"/>
  <c r="BI212" i="5" a="1"/>
  <c r="BI212" i="5" s="1"/>
  <c r="BJ212" i="5" s="1"/>
  <c r="BI213" i="5" a="1"/>
  <c r="BI213" i="5" s="1"/>
  <c r="BJ213" i="5" s="1"/>
  <c r="BI216" i="5" a="1"/>
  <c r="BI216" i="5" s="1"/>
  <c r="BJ216" i="5" s="1"/>
  <c r="BI220" i="5" a="1"/>
  <c r="BI220" i="5" s="1"/>
  <c r="BJ220" i="5" s="1"/>
  <c r="BI223" i="5" a="1"/>
  <c r="BI223" i="5" s="1"/>
  <c r="BJ223" i="5" s="1"/>
  <c r="BI225" i="5" a="1"/>
  <c r="BI225" i="5" s="1"/>
  <c r="BJ225" i="5" s="1"/>
  <c r="BI214" i="5" a="1"/>
  <c r="BI214" i="5" s="1"/>
  <c r="BJ214" i="5" s="1"/>
  <c r="BI217" i="5" a="1"/>
  <c r="BI217" i="5" s="1"/>
  <c r="BJ217" i="5" s="1"/>
  <c r="BI218" i="5" a="1"/>
  <c r="BI218" i="5" s="1"/>
  <c r="BJ218" i="5" s="1"/>
  <c r="BI221" i="5" a="1"/>
  <c r="BI221" i="5" s="1"/>
  <c r="BJ221" i="5" s="1"/>
  <c r="BI224" i="5" a="1"/>
  <c r="BI224" i="5" s="1"/>
  <c r="BJ224" i="5" s="1"/>
  <c r="BI226" i="5" a="1"/>
  <c r="BI226" i="5" s="1"/>
  <c r="BJ226" i="5" s="1"/>
  <c r="BI150" i="5" a="1"/>
  <c r="BI150" i="5" s="1"/>
  <c r="BJ150" i="5" s="1"/>
  <c r="BI227" i="5" a="1"/>
  <c r="BI227" i="5" s="1"/>
  <c r="BJ227" i="5" s="1"/>
  <c r="BI228" i="5" a="1"/>
  <c r="BI228" i="5" s="1"/>
  <c r="BJ228" i="5" s="1"/>
  <c r="BI229" i="5" a="1"/>
  <c r="BI229" i="5" s="1"/>
  <c r="BJ229" i="5" s="1"/>
  <c r="BI230" i="5" a="1"/>
  <c r="BI230" i="5" s="1"/>
  <c r="BJ230" i="5" s="1"/>
  <c r="BI231" i="5" a="1"/>
  <c r="BI231" i="5" s="1"/>
  <c r="BJ231" i="5" s="1"/>
  <c r="BI233" i="5" a="1"/>
  <c r="BI233" i="5" s="1"/>
  <c r="BJ233" i="5" s="1"/>
  <c r="BI235" i="5" a="1"/>
  <c r="BI235" i="5" s="1"/>
  <c r="BJ235" i="5" s="1"/>
  <c r="BI236" i="5" a="1"/>
  <c r="BI236" i="5" s="1"/>
  <c r="BJ236" i="5" s="1"/>
  <c r="BI237" i="5" a="1"/>
  <c r="BI237" i="5" s="1"/>
  <c r="BJ237" i="5" s="1"/>
  <c r="BI238" i="5" a="1"/>
  <c r="BI238" i="5" s="1"/>
  <c r="BJ238" i="5" s="1"/>
  <c r="BI239" i="5" a="1"/>
  <c r="BI239" i="5" s="1"/>
  <c r="BJ239" i="5" s="1"/>
  <c r="BI240" i="5" a="1"/>
  <c r="BI240" i="5" s="1"/>
  <c r="BJ240" i="5" s="1"/>
  <c r="BI241" i="5" a="1"/>
  <c r="BI241" i="5" s="1"/>
  <c r="BJ241" i="5" s="1"/>
  <c r="BI242" i="5" a="1"/>
  <c r="BI242" i="5" s="1"/>
  <c r="BJ242" i="5" s="1"/>
  <c r="BI243" i="5" a="1"/>
  <c r="BI243" i="5" s="1"/>
  <c r="BJ243" i="5" s="1"/>
  <c r="BI244" i="5" a="1"/>
  <c r="BI244" i="5" s="1"/>
  <c r="BJ244" i="5" s="1"/>
  <c r="BI245" i="5" a="1"/>
  <c r="BI245" i="5" s="1"/>
  <c r="BJ245" i="5" s="1"/>
  <c r="BI246" i="5" a="1"/>
  <c r="BI246" i="5" s="1"/>
  <c r="BJ246" i="5" s="1"/>
  <c r="BI247" i="5" a="1"/>
  <c r="BI247" i="5" s="1"/>
  <c r="BJ247" i="5" s="1"/>
  <c r="BI249" i="5" a="1"/>
  <c r="BI249" i="5" s="1"/>
  <c r="BJ249" i="5" s="1"/>
  <c r="BI250" i="5" a="1"/>
  <c r="BI250" i="5" s="1"/>
  <c r="BJ250" i="5" s="1"/>
  <c r="BI182" i="5" a="1"/>
  <c r="BI182" i="5" s="1"/>
  <c r="BJ182" i="5" s="1"/>
  <c r="BI251" i="5" a="1"/>
  <c r="BI251" i="5" s="1"/>
  <c r="BJ251" i="5" s="1"/>
  <c r="BI252" i="5" a="1"/>
  <c r="BI252" i="5" s="1"/>
  <c r="BJ252" i="5" s="1"/>
  <c r="BI253" i="5" a="1"/>
  <c r="BI253" i="5" s="1"/>
  <c r="BJ253" i="5" s="1"/>
  <c r="BI254" i="5" a="1"/>
  <c r="BI254" i="5" s="1"/>
  <c r="BJ254" i="5" s="1"/>
  <c r="BI255" i="5" a="1"/>
  <c r="BI255" i="5" s="1"/>
  <c r="BJ255" i="5" s="1"/>
  <c r="BI256" i="5" a="1"/>
  <c r="BI256" i="5" s="1"/>
  <c r="BJ256" i="5" s="1"/>
  <c r="BI257" i="5" a="1"/>
  <c r="BI257" i="5" s="1"/>
  <c r="BJ257" i="5" s="1"/>
  <c r="BI258" i="5" a="1"/>
  <c r="BI258" i="5" s="1"/>
  <c r="BJ258" i="5" s="1"/>
  <c r="BI195" i="5" a="1"/>
  <c r="BI195" i="5" s="1"/>
  <c r="BJ195" i="5" s="1"/>
  <c r="BI259" i="5" a="1"/>
  <c r="BI259" i="5" s="1"/>
  <c r="BJ259" i="5" s="1"/>
  <c r="BI260" i="5" a="1"/>
  <c r="BI260" i="5" s="1"/>
  <c r="BJ260" i="5" s="1"/>
  <c r="BI261" i="5" a="1"/>
  <c r="BI261" i="5" s="1"/>
  <c r="BJ261" i="5" s="1"/>
  <c r="BI262" i="5" a="1"/>
  <c r="BI262" i="5" s="1"/>
  <c r="BJ262" i="5" s="1"/>
  <c r="BI199" i="5" a="1"/>
  <c r="BI199" i="5" s="1"/>
  <c r="BJ199" i="5" s="1"/>
  <c r="BI263" i="5" a="1"/>
  <c r="BI263" i="5" s="1"/>
  <c r="BJ263" i="5" s="1"/>
  <c r="BI264" i="5" a="1"/>
  <c r="BI264" i="5" s="1"/>
  <c r="BJ264" i="5" s="1"/>
  <c r="BI265" i="5" a="1"/>
  <c r="BI265" i="5" s="1"/>
  <c r="BJ265" i="5" s="1"/>
  <c r="BI266" i="5" a="1"/>
  <c r="BI266" i="5" s="1"/>
  <c r="BJ266" i="5" s="1"/>
  <c r="BI267" i="5" a="1"/>
  <c r="BI267" i="5" s="1"/>
  <c r="BJ267" i="5" s="1"/>
  <c r="BI215" i="5" a="1"/>
  <c r="BI215" i="5" s="1"/>
  <c r="BJ215" i="5" s="1"/>
  <c r="BI268" i="5" a="1"/>
  <c r="BI268" i="5" s="1"/>
  <c r="BJ268" i="5" s="1"/>
  <c r="BI219" i="5" a="1"/>
  <c r="BI219" i="5" s="1"/>
  <c r="BJ219" i="5" s="1"/>
  <c r="BI222" i="5" a="1"/>
  <c r="BI222" i="5" s="1"/>
  <c r="BJ222" i="5" s="1"/>
  <c r="BI269" i="5" a="1"/>
  <c r="BI269" i="5" s="1"/>
  <c r="BJ269" i="5" s="1"/>
  <c r="BI270" i="5" a="1"/>
  <c r="BI270" i="5" s="1"/>
  <c r="BJ270" i="5" s="1"/>
  <c r="BI271" i="5" a="1"/>
  <c r="BI271" i="5" s="1"/>
  <c r="BJ271" i="5" s="1"/>
  <c r="BI272" i="5" a="1"/>
  <c r="BI272" i="5" s="1"/>
  <c r="BJ272" i="5" s="1"/>
  <c r="BI273" i="5" a="1"/>
  <c r="BI273" i="5" s="1"/>
  <c r="BJ273" i="5" s="1"/>
  <c r="BI232" i="5" a="1"/>
  <c r="BI232" i="5" s="1"/>
  <c r="BJ232" i="5" s="1"/>
  <c r="BI274" i="5" a="1"/>
  <c r="BI274" i="5" s="1"/>
  <c r="BJ274" i="5" s="1"/>
  <c r="BI234" i="5" a="1"/>
  <c r="BI234" i="5" s="1"/>
  <c r="BJ234" i="5" s="1"/>
  <c r="BI275" i="5" a="1"/>
  <c r="BI275" i="5" s="1"/>
  <c r="BJ275" i="5" s="1"/>
  <c r="BI276" i="5" a="1"/>
  <c r="BI276" i="5" s="1"/>
  <c r="BJ276" i="5" s="1"/>
  <c r="BI277" i="5" a="1"/>
  <c r="BI277" i="5" s="1"/>
  <c r="BJ277" i="5" s="1"/>
  <c r="BI278" i="5" a="1"/>
  <c r="BI278" i="5" s="1"/>
  <c r="BJ278" i="5" s="1"/>
  <c r="BI279" i="5" a="1"/>
  <c r="BI279" i="5" s="1"/>
  <c r="BJ279" i="5" s="1"/>
  <c r="BI280" i="5" a="1"/>
  <c r="BI280" i="5" s="1"/>
  <c r="BJ280" i="5" s="1"/>
  <c r="BI281" i="5" a="1"/>
  <c r="BI281" i="5" s="1"/>
  <c r="BJ281" i="5" s="1"/>
  <c r="BI282" i="5" a="1"/>
  <c r="BI282" i="5" s="1"/>
  <c r="BJ282" i="5" s="1"/>
  <c r="BI248" i="5" a="1"/>
  <c r="BI248" i="5" s="1"/>
  <c r="BJ248" i="5" s="1"/>
  <c r="BI283" i="5" a="1"/>
  <c r="BI283" i="5" s="1"/>
  <c r="BJ283" i="5" s="1"/>
  <c r="BI284" i="5" a="1"/>
  <c r="BI284" i="5" s="1"/>
  <c r="BJ284" i="5" s="1"/>
  <c r="BI285" i="5" a="1"/>
  <c r="BI285" i="5" s="1"/>
  <c r="BJ285" i="5" s="1"/>
  <c r="BI286" i="5" a="1"/>
  <c r="BI286" i="5" s="1"/>
  <c r="BJ286" i="5" s="1"/>
  <c r="BI63" i="5" a="1"/>
  <c r="BI63" i="5" s="1"/>
  <c r="BJ63" i="5" s="1"/>
  <c r="BI287" i="5" a="1"/>
  <c r="BI287" i="5" s="1"/>
  <c r="BJ287" i="5" s="1"/>
  <c r="BI288" i="5" a="1"/>
  <c r="BI288" i="5" s="1"/>
  <c r="BJ288" i="5" s="1"/>
  <c r="BI289" i="5" a="1"/>
  <c r="BI289" i="5" s="1"/>
  <c r="BJ289" i="5" s="1"/>
  <c r="BI290" i="5" a="1"/>
  <c r="BI290" i="5" s="1"/>
  <c r="BJ290" i="5" s="1"/>
  <c r="BI35" i="5" a="1"/>
  <c r="BI35" i="5" s="1"/>
  <c r="BJ35" i="5" s="1"/>
  <c r="BI37" i="5" a="1"/>
  <c r="BI37" i="5" s="1"/>
  <c r="BJ37" i="5" s="1"/>
  <c r="BI39" i="5" a="1"/>
  <c r="BI39" i="5" s="1"/>
  <c r="BJ39" i="5" s="1"/>
  <c r="BI291" i="5" a="1"/>
  <c r="BI291" i="5" s="1"/>
  <c r="BJ291" i="5" s="1"/>
  <c r="BI71" i="5" a="1"/>
  <c r="BI71" i="5" s="1"/>
  <c r="BJ71" i="5" s="1"/>
  <c r="BI292" i="5" a="1"/>
  <c r="BI292" i="5" s="1"/>
  <c r="BJ292" i="5" s="1"/>
  <c r="BI293" i="5" a="1"/>
  <c r="BI293" i="5" s="1"/>
  <c r="BJ293" i="5" s="1"/>
  <c r="BI294" i="5" a="1"/>
  <c r="BI294" i="5" s="1"/>
  <c r="BJ294" i="5" s="1"/>
  <c r="BI295" i="5" a="1"/>
  <c r="BI295" i="5" s="1"/>
  <c r="BJ295" i="5" s="1"/>
  <c r="BI85" i="5" a="1"/>
  <c r="BI85" i="5" s="1"/>
  <c r="BJ85" i="5" s="1"/>
  <c r="BI41" i="5" a="1"/>
  <c r="BI41" i="5" s="1"/>
  <c r="BJ41" i="5" s="1"/>
  <c r="BI46" i="5" a="1"/>
  <c r="BI46" i="5" s="1"/>
  <c r="BJ46" i="5" s="1"/>
  <c r="BI87" i="5" a="1"/>
  <c r="BI87" i="5" s="1"/>
  <c r="BJ87" i="5" s="1"/>
  <c r="BI95" i="5" a="1"/>
  <c r="BI95" i="5" s="1"/>
  <c r="BJ95" i="5" s="1"/>
  <c r="BI48" i="5" a="1"/>
  <c r="BI48" i="5" s="1"/>
  <c r="BJ48" i="5" s="1"/>
  <c r="BI50" i="5" a="1"/>
  <c r="BI50" i="5" s="1"/>
  <c r="BJ50" i="5" s="1"/>
  <c r="BI98" i="5" a="1"/>
  <c r="BI98" i="5" s="1"/>
  <c r="BJ98" i="5" s="1"/>
  <c r="BI109" i="5" a="1"/>
  <c r="BI109" i="5" s="1"/>
  <c r="BJ109" i="5" s="1"/>
  <c r="BI52" i="5" a="1"/>
  <c r="BI52" i="5" s="1"/>
  <c r="BJ52" i="5" s="1"/>
  <c r="BI55" i="5" a="1"/>
  <c r="BI55" i="5" s="1"/>
  <c r="BJ55" i="5" s="1"/>
  <c r="BI56" i="5" a="1"/>
  <c r="BI56" i="5" s="1"/>
  <c r="BJ56" i="5" s="1"/>
  <c r="BI60" i="5" a="1"/>
  <c r="BI60" i="5" s="1"/>
  <c r="BJ60" i="5" s="1"/>
  <c r="BI64" i="5" a="1"/>
  <c r="BI64" i="5" s="1"/>
  <c r="BJ64" i="5" s="1"/>
  <c r="BI111" i="5" a="1"/>
  <c r="BI111" i="5" s="1"/>
  <c r="BJ111" i="5" s="1"/>
  <c r="BI32" i="5" a="1"/>
  <c r="BI32" i="5" s="1"/>
  <c r="BJ32" i="5" s="1"/>
  <c r="BI67" i="5" a="1"/>
  <c r="BI67" i="5" s="1"/>
  <c r="BJ67" i="5" s="1"/>
  <c r="BI74" i="5" a="1"/>
  <c r="BI74" i="5" s="1"/>
  <c r="BJ74" i="5" s="1"/>
  <c r="BI77" i="5" a="1"/>
  <c r="BI77" i="5" s="1"/>
  <c r="BJ77" i="5" s="1"/>
  <c r="BI80" i="5" a="1"/>
  <c r="BI80" i="5" s="1"/>
  <c r="BJ80" i="5" s="1"/>
  <c r="BI33" i="5" a="1"/>
  <c r="BI33" i="5" s="1"/>
  <c r="BJ33" i="5" s="1"/>
  <c r="BI43" i="5" a="1"/>
  <c r="BI43" i="5" s="1"/>
  <c r="BJ43" i="5" s="1"/>
  <c r="BI82" i="5" a="1"/>
  <c r="BI82" i="5" s="1"/>
  <c r="BJ82" i="5" s="1"/>
  <c r="BI84" i="5" a="1"/>
  <c r="BI84" i="5" s="1"/>
  <c r="BJ84" i="5" s="1"/>
  <c r="BI90" i="5" a="1"/>
  <c r="BI90" i="5" s="1"/>
  <c r="BJ90" i="5" s="1"/>
  <c r="BI91" i="5" a="1"/>
  <c r="BI91" i="5" s="1"/>
  <c r="BJ91" i="5" s="1"/>
  <c r="BI92" i="5" a="1"/>
  <c r="BI92" i="5" s="1"/>
  <c r="BJ92" i="5" s="1"/>
  <c r="BI123" i="5" a="1"/>
  <c r="BI123" i="5" s="1"/>
  <c r="BJ123" i="5" s="1"/>
  <c r="BI126" i="5" a="1"/>
  <c r="BI126" i="5" s="1"/>
  <c r="BJ126" i="5" s="1"/>
  <c r="BI128" i="5" a="1"/>
  <c r="BI128" i="5" s="1"/>
  <c r="BJ128" i="5" s="1"/>
  <c r="BI135" i="5" a="1"/>
  <c r="BI135" i="5" s="1"/>
  <c r="BJ135" i="5" s="1"/>
  <c r="BI137" i="5" a="1"/>
  <c r="BI137" i="5" s="1"/>
  <c r="BJ137" i="5" s="1"/>
  <c r="BI139" i="5" a="1"/>
  <c r="BI139" i="5" s="1"/>
  <c r="BJ139" i="5" s="1"/>
  <c r="BI145" i="5" a="1"/>
  <c r="BI145" i="5" s="1"/>
  <c r="BJ145" i="5" s="1"/>
  <c r="BI155" i="5" a="1"/>
  <c r="BI155" i="5" s="1"/>
  <c r="BJ155" i="5" s="1"/>
  <c r="W28" i="5"/>
  <c r="BI6" i="5" a="1"/>
  <c r="BI6" i="5" s="1"/>
  <c r="BI7" i="5" a="1"/>
  <c r="BI7" i="5" s="1"/>
  <c r="BI8" i="5" a="1"/>
  <c r="BI8" i="5" s="1"/>
  <c r="BI9" i="5" a="1"/>
  <c r="BI9" i="5" s="1"/>
  <c r="BI10" i="5" a="1"/>
  <c r="BI10" i="5" s="1"/>
  <c r="BI11" i="5" a="1"/>
  <c r="BI11" i="5" s="1"/>
  <c r="BI12" i="5" a="1"/>
  <c r="BI12" i="5" s="1"/>
  <c r="BI13" i="5" a="1"/>
  <c r="BI13" i="5" s="1"/>
  <c r="BI14" i="5" a="1"/>
  <c r="BI14" i="5" s="1"/>
  <c r="BI15" i="5" a="1"/>
  <c r="BI15" i="5" s="1"/>
  <c r="BI16" i="5" a="1"/>
  <c r="BI16" i="5" s="1"/>
  <c r="BI17" i="5" a="1"/>
  <c r="BI17" i="5" s="1"/>
  <c r="BI18" i="5" a="1"/>
  <c r="BI18" i="5" s="1"/>
  <c r="BI19" i="5" a="1"/>
  <c r="BI19" i="5" s="1"/>
  <c r="BI20" i="5" a="1"/>
  <c r="BI20" i="5" s="1"/>
  <c r="BI21" i="5" a="1"/>
  <c r="BI21" i="5" s="1"/>
  <c r="BI22" i="5" a="1"/>
  <c r="BI22" i="5" s="1"/>
  <c r="BI23" i="5" a="1"/>
  <c r="BI23" i="5" s="1"/>
  <c r="BI24" i="5" a="1"/>
  <c r="BI24" i="5" s="1"/>
  <c r="BI25" i="5" a="1"/>
  <c r="BI25" i="5" s="1"/>
  <c r="BI26" i="5" a="1"/>
  <c r="BI26" i="5" s="1"/>
  <c r="BI27" i="5" a="1"/>
  <c r="BI27" i="5" s="1"/>
  <c r="BI28" i="5" a="1"/>
  <c r="BI28" i="5" s="1"/>
  <c r="BI29" i="5" a="1"/>
  <c r="BI29" i="5" s="1"/>
  <c r="BI30" i="5" a="1"/>
  <c r="BI30" i="5" s="1"/>
  <c r="BI31" i="5" a="1"/>
  <c r="BI31" i="5" s="1"/>
  <c r="AC6" i="5" a="1"/>
  <c r="AC6" i="5" s="1"/>
  <c r="AC7" i="5" a="1"/>
  <c r="AC7" i="5" s="1"/>
  <c r="AC8" i="5" a="1"/>
  <c r="AC8" i="5" s="1"/>
  <c r="AC9" i="5" a="1"/>
  <c r="AC9" i="5" s="1"/>
  <c r="AC10" i="5" a="1"/>
  <c r="AC10" i="5" s="1"/>
  <c r="AC11" i="5" a="1"/>
  <c r="AC11" i="5" s="1"/>
  <c r="AC12" i="5" a="1"/>
  <c r="AC12" i="5" s="1"/>
  <c r="AC13" i="5" a="1"/>
  <c r="AC13" i="5" s="1"/>
  <c r="AC14" i="5" a="1"/>
  <c r="AC14" i="5" s="1"/>
  <c r="AC15" i="5" a="1"/>
  <c r="AC15" i="5" s="1"/>
  <c r="AC16" i="5" a="1"/>
  <c r="AC16" i="5" s="1"/>
  <c r="AC17" i="5" a="1"/>
  <c r="AC17" i="5" s="1"/>
  <c r="AC18" i="5" a="1"/>
  <c r="AC18" i="5" s="1"/>
  <c r="AC19" i="5" a="1"/>
  <c r="AC19" i="5" s="1"/>
  <c r="AC20" i="5" a="1"/>
  <c r="AC20" i="5" s="1"/>
  <c r="AC21" i="5" a="1"/>
  <c r="AC21" i="5" s="1"/>
  <c r="AC22" i="5" a="1"/>
  <c r="AC22" i="5" s="1"/>
  <c r="AC23" i="5" a="1"/>
  <c r="AC23" i="5" s="1"/>
  <c r="AC24" i="5" a="1"/>
  <c r="AC24" i="5" s="1"/>
  <c r="AC25" i="5" a="1"/>
  <c r="AC25" i="5" s="1"/>
  <c r="AC26" i="5" a="1"/>
  <c r="AC26" i="5" s="1"/>
  <c r="AC27" i="5" a="1"/>
  <c r="AC27" i="5" s="1"/>
  <c r="AC28" i="5" a="1"/>
  <c r="AC28" i="5" s="1"/>
  <c r="AC29" i="5" a="1"/>
  <c r="AC29" i="5" s="1"/>
  <c r="AC30" i="5" a="1"/>
  <c r="AC30" i="5" s="1"/>
  <c r="AC31" i="5" a="1"/>
  <c r="AC31" i="5" s="1"/>
  <c r="AI60" i="5" l="1" a="1"/>
  <c r="AI60" i="5" s="1"/>
  <c r="AJ270" i="5" a="1"/>
  <c r="AJ270" i="5" s="1"/>
  <c r="AE260" i="5"/>
  <c r="AE231" i="5"/>
  <c r="AI67" i="5" a="1"/>
  <c r="AI67" i="5" s="1"/>
  <c r="AJ282" i="5" a="1"/>
  <c r="AJ282" i="5" s="1"/>
  <c r="AJ220" i="5" a="1"/>
  <c r="AJ220" i="5" s="1"/>
  <c r="AE119" i="5"/>
  <c r="AE207" i="5"/>
  <c r="AJ58" i="5" a="1"/>
  <c r="AJ58" i="5" s="1"/>
  <c r="AJ247" i="5" a="1"/>
  <c r="AJ247" i="5" s="1"/>
  <c r="AJ138" i="5" a="1"/>
  <c r="AJ138" i="5" s="1"/>
  <c r="AJ208" i="5" a="1"/>
  <c r="AJ208" i="5" s="1"/>
  <c r="AE113" i="5"/>
  <c r="AJ44" i="5" a="1"/>
  <c r="AJ44" i="5" s="1"/>
  <c r="AJ128" i="5" a="1"/>
  <c r="AJ128" i="5" s="1"/>
  <c r="AJ32" i="5" a="1"/>
  <c r="AJ32" i="5" s="1"/>
  <c r="AJ41" i="5" a="1"/>
  <c r="AJ41" i="5" s="1"/>
  <c r="AE254" i="5"/>
  <c r="AJ193" i="5" a="1"/>
  <c r="AJ193" i="5" s="1"/>
  <c r="AE186" i="5"/>
  <c r="AE112" i="5"/>
  <c r="AE226" i="5"/>
  <c r="AE47" i="5"/>
  <c r="AE239" i="5"/>
  <c r="AE132" i="5"/>
  <c r="AE185" i="5"/>
  <c r="AJ163" i="5" a="1"/>
  <c r="AJ163" i="5" s="1"/>
  <c r="AE146" i="5"/>
  <c r="AE160" i="5"/>
  <c r="AE110" i="5"/>
  <c r="AE93" i="5"/>
  <c r="AE68" i="5"/>
  <c r="AE44" i="5"/>
  <c r="AE148" i="5"/>
  <c r="AJ123" i="5" a="1"/>
  <c r="AJ123" i="5" s="1"/>
  <c r="AE64" i="5"/>
  <c r="AE295" i="5"/>
  <c r="AE286" i="5"/>
  <c r="AE264" i="5"/>
  <c r="AE196" i="5"/>
  <c r="AI59" i="5" a="1"/>
  <c r="AI59" i="5" s="1"/>
  <c r="AJ96" i="5" a="1"/>
  <c r="AJ96" i="5" s="1"/>
  <c r="AE157" i="5"/>
  <c r="AJ223" i="5" a="1"/>
  <c r="AJ223" i="5" s="1"/>
  <c r="AJ59" i="5" a="1"/>
  <c r="AJ59" i="5" s="1"/>
  <c r="AE250" i="5"/>
  <c r="AJ249" i="5" a="1"/>
  <c r="AJ249" i="5" s="1"/>
  <c r="AE223" i="5"/>
  <c r="AE43" i="5"/>
  <c r="AE98" i="5"/>
  <c r="AE39" i="5"/>
  <c r="AE281" i="5"/>
  <c r="AJ269" i="5" a="1"/>
  <c r="AJ269" i="5" s="1"/>
  <c r="AE172" i="5"/>
  <c r="AJ140" i="5" a="1"/>
  <c r="AJ140" i="5" s="1"/>
  <c r="AE95" i="5"/>
  <c r="AJ290" i="5" a="1"/>
  <c r="AJ290" i="5" s="1"/>
  <c r="AJ278" i="5" a="1"/>
  <c r="AJ278" i="5" s="1"/>
  <c r="AE257" i="5"/>
  <c r="AE53" i="5"/>
  <c r="AE199" i="5"/>
  <c r="AE269" i="5"/>
  <c r="AJ246" i="5" a="1"/>
  <c r="AJ246" i="5" s="1"/>
  <c r="AJ286" i="5" a="1"/>
  <c r="AJ286" i="5" s="1"/>
  <c r="AE228" i="5"/>
  <c r="AJ169" i="5" a="1"/>
  <c r="AJ169" i="5" s="1"/>
  <c r="AE152" i="5"/>
  <c r="AE116" i="5"/>
  <c r="AJ260" i="5" a="1"/>
  <c r="AJ260" i="5" s="1"/>
  <c r="AJ111" i="5" a="1"/>
  <c r="AJ111" i="5" s="1"/>
  <c r="AE85" i="5"/>
  <c r="AJ151" i="5" a="1"/>
  <c r="AJ151" i="5" s="1"/>
  <c r="AJ265" i="5" a="1"/>
  <c r="AJ265" i="5" s="1"/>
  <c r="AE253" i="5"/>
  <c r="AJ55" i="5" a="1"/>
  <c r="AJ55" i="5" s="1"/>
  <c r="AJ252" i="5" a="1"/>
  <c r="AJ252" i="5" s="1"/>
  <c r="AE45" i="5"/>
  <c r="AE224" i="5"/>
  <c r="AJ145" i="5" a="1"/>
  <c r="AJ145" i="5" s="1"/>
  <c r="AJ48" i="5" a="1"/>
  <c r="AJ48" i="5" s="1"/>
  <c r="AJ159" i="5" a="1"/>
  <c r="AJ159" i="5" s="1"/>
  <c r="AE125" i="5"/>
  <c r="AE176" i="5"/>
  <c r="AJ186" i="5" a="1"/>
  <c r="AJ186" i="5" s="1"/>
  <c r="AE251" i="5"/>
  <c r="AJ281" i="5" a="1"/>
  <c r="AJ281" i="5" s="1"/>
  <c r="AJ239" i="5" a="1"/>
  <c r="AJ239" i="5" s="1"/>
  <c r="AJ172" i="5" a="1"/>
  <c r="AJ172" i="5" s="1"/>
  <c r="AJ160" i="5" a="1"/>
  <c r="AJ160" i="5" s="1"/>
  <c r="AE213" i="5"/>
  <c r="AJ204" i="5" a="1"/>
  <c r="AJ204" i="5" s="1"/>
  <c r="AE170" i="5"/>
  <c r="AJ120" i="5" a="1"/>
  <c r="AJ120" i="5" s="1"/>
  <c r="AE238" i="5"/>
  <c r="AJ214" i="5" a="1"/>
  <c r="AJ214" i="5" s="1"/>
  <c r="AJ185" i="5" a="1"/>
  <c r="AJ185" i="5" s="1"/>
  <c r="AE59" i="5"/>
  <c r="AJ56" i="5" a="1"/>
  <c r="AJ56" i="5" s="1"/>
  <c r="AE92" i="5"/>
  <c r="AJ293" i="5" a="1"/>
  <c r="AJ293" i="5" s="1"/>
  <c r="AE81" i="5"/>
  <c r="AJ34" i="5" a="1"/>
  <c r="AJ34" i="5" s="1"/>
  <c r="AJ121" i="5" a="1"/>
  <c r="AJ121" i="5" s="1"/>
  <c r="AJ64" i="5" a="1"/>
  <c r="AJ64" i="5" s="1"/>
  <c r="AE38" i="5"/>
  <c r="AE282" i="5"/>
  <c r="AJ54" i="5" a="1"/>
  <c r="AJ54" i="5" s="1"/>
  <c r="AE192" i="5"/>
  <c r="AJ192" i="5" a="1"/>
  <c r="AJ192" i="5" s="1"/>
  <c r="AJ273" i="5" a="1"/>
  <c r="AJ273" i="5" s="1"/>
  <c r="AJ199" i="5" a="1"/>
  <c r="AJ199" i="5" s="1"/>
  <c r="AK295" i="5" a="1"/>
  <c r="AK295" i="5" s="1"/>
  <c r="AE48" i="5"/>
  <c r="AJ232" i="5" a="1"/>
  <c r="AJ232" i="5" s="1"/>
  <c r="AJ184" i="5" a="1"/>
  <c r="AJ184" i="5" s="1"/>
  <c r="AE183" i="5"/>
  <c r="AJ108" i="5" a="1"/>
  <c r="AJ108" i="5" s="1"/>
  <c r="AE292" i="5"/>
  <c r="AJ143" i="5" a="1"/>
  <c r="AJ143" i="5" s="1"/>
  <c r="AJ157" i="5" a="1"/>
  <c r="AJ157" i="5" s="1"/>
  <c r="AJ191" i="5" a="1"/>
  <c r="AJ191" i="5" s="1"/>
  <c r="AJ142" i="5" a="1"/>
  <c r="AJ142" i="5" s="1"/>
  <c r="AJ231" i="5" a="1"/>
  <c r="AJ231" i="5" s="1"/>
  <c r="AE50" i="5"/>
  <c r="AJ122" i="5" a="1"/>
  <c r="AJ122" i="5" s="1"/>
  <c r="AJ119" i="5" a="1"/>
  <c r="AJ119" i="5" s="1"/>
  <c r="AJ262" i="5" a="1"/>
  <c r="AJ262" i="5" s="1"/>
  <c r="AJ237" i="5" a="1"/>
  <c r="AJ237" i="5" s="1"/>
  <c r="AE124" i="5"/>
  <c r="AJ90" i="5" a="1"/>
  <c r="AJ90" i="5" s="1"/>
  <c r="AJ110" i="5" a="1"/>
  <c r="AJ110" i="5" s="1"/>
  <c r="AJ251" i="5" a="1"/>
  <c r="AJ251" i="5" s="1"/>
  <c r="AE88" i="5"/>
  <c r="AJ85" i="5" a="1"/>
  <c r="AJ85" i="5" s="1"/>
  <c r="AJ93" i="5" a="1"/>
  <c r="AJ93" i="5" s="1"/>
  <c r="AE198" i="5"/>
  <c r="AJ86" i="5" a="1"/>
  <c r="AJ86" i="5" s="1"/>
  <c r="AJ62" i="5" a="1"/>
  <c r="AJ62" i="5" s="1"/>
  <c r="AJ78" i="5" a="1"/>
  <c r="AJ78" i="5" s="1"/>
  <c r="AE143" i="5"/>
  <c r="AE217" i="5"/>
  <c r="AJ38" i="5" a="1"/>
  <c r="AJ38" i="5" s="1"/>
  <c r="AJ179" i="5" a="1"/>
  <c r="AJ179" i="5" s="1"/>
  <c r="AJ292" i="5" a="1"/>
  <c r="AJ292" i="5" s="1"/>
  <c r="AJ195" i="5" a="1"/>
  <c r="AJ195" i="5" s="1"/>
  <c r="AJ198" i="5" a="1"/>
  <c r="AJ198" i="5" s="1"/>
  <c r="AJ71" i="5" a="1"/>
  <c r="AJ71" i="5" s="1"/>
  <c r="AJ180" i="5" a="1"/>
  <c r="AJ180" i="5" s="1"/>
  <c r="AJ45" i="5" a="1"/>
  <c r="AJ45" i="5" s="1"/>
  <c r="AJ91" i="5" a="1"/>
  <c r="AJ91" i="5" s="1"/>
  <c r="AE258" i="5"/>
  <c r="AJ117" i="5" a="1"/>
  <c r="AJ117" i="5" s="1"/>
  <c r="AI43" i="5" a="1"/>
  <c r="AI43" i="5" s="1"/>
  <c r="AE155" i="5"/>
  <c r="AJ155" i="5" a="1"/>
  <c r="AJ155" i="5" s="1"/>
  <c r="AE82" i="5"/>
  <c r="AJ82" i="5" a="1"/>
  <c r="AJ82" i="5" s="1"/>
  <c r="AE274" i="5"/>
  <c r="AJ274" i="5" a="1"/>
  <c r="AJ274" i="5" s="1"/>
  <c r="AE33" i="5"/>
  <c r="AJ33" i="5" a="1"/>
  <c r="AJ33" i="5" s="1"/>
  <c r="AE154" i="5"/>
  <c r="AJ154" i="5" a="1"/>
  <c r="AJ154" i="5" s="1"/>
  <c r="AE209" i="5"/>
  <c r="AJ209" i="5" a="1"/>
  <c r="AJ209" i="5" s="1"/>
  <c r="AE279" i="5"/>
  <c r="AJ279" i="5" a="1"/>
  <c r="AJ279" i="5" s="1"/>
  <c r="AJ259" i="5" a="1"/>
  <c r="AJ259" i="5" s="1"/>
  <c r="AE259" i="5"/>
  <c r="AE147" i="5"/>
  <c r="AJ147" i="5" a="1"/>
  <c r="AJ147" i="5" s="1"/>
  <c r="AE236" i="5"/>
  <c r="AJ236" i="5" a="1"/>
  <c r="AJ236" i="5" s="1"/>
  <c r="AE233" i="5"/>
  <c r="AJ233" i="5" a="1"/>
  <c r="AJ233" i="5" s="1"/>
  <c r="AE79" i="5"/>
  <c r="AJ79" i="5" a="1"/>
  <c r="AJ79" i="5" s="1"/>
  <c r="AE230" i="5"/>
  <c r="AE34" i="5"/>
  <c r="AJ258" i="5" a="1"/>
  <c r="AJ258" i="5" s="1"/>
  <c r="AJ118" i="5" a="1"/>
  <c r="AJ118" i="5" s="1"/>
  <c r="AJ76" i="5" a="1"/>
  <c r="AJ76" i="5" s="1"/>
  <c r="AE41" i="5"/>
  <c r="V183" i="5"/>
  <c r="AK183" i="5" s="1" a="1"/>
  <c r="AK183" i="5" s="1"/>
  <c r="AE37" i="5"/>
  <c r="AE136" i="5"/>
  <c r="AJ132" i="5" a="1"/>
  <c r="AJ132" i="5" s="1"/>
  <c r="AJ170" i="5" a="1"/>
  <c r="AJ170" i="5" s="1"/>
  <c r="AJ68" i="5" a="1"/>
  <c r="AJ68" i="5" s="1"/>
  <c r="AE117" i="5"/>
  <c r="AE134" i="5"/>
  <c r="AJ60" i="5" a="1"/>
  <c r="AJ60" i="5" s="1"/>
  <c r="AJ213" i="5" a="1"/>
  <c r="AJ213" i="5" s="1"/>
  <c r="AE280" i="5"/>
  <c r="AJ50" i="5" a="1"/>
  <c r="AJ50" i="5" s="1"/>
  <c r="AJ166" i="5" a="1"/>
  <c r="AJ166" i="5" s="1"/>
  <c r="AI132" i="5" a="1"/>
  <c r="AI132" i="5" s="1"/>
  <c r="AE232" i="5"/>
  <c r="AE145" i="5"/>
  <c r="AJ107" i="5" a="1"/>
  <c r="AJ107" i="5" s="1"/>
  <c r="V108" i="5"/>
  <c r="AK108" i="5" s="1" a="1"/>
  <c r="AK108" i="5" s="1"/>
  <c r="AE35" i="5"/>
  <c r="AJ250" i="5" a="1"/>
  <c r="AJ250" i="5" s="1"/>
  <c r="AE273" i="5"/>
  <c r="AE107" i="5"/>
  <c r="AE271" i="5"/>
  <c r="AJ161" i="5" a="1"/>
  <c r="AJ161" i="5" s="1"/>
  <c r="AE66" i="5"/>
  <c r="AJ89" i="5" a="1"/>
  <c r="AJ89" i="5" s="1"/>
  <c r="AE204" i="5"/>
  <c r="AE86" i="5"/>
  <c r="AE202" i="5"/>
  <c r="AE166" i="5"/>
  <c r="AE118" i="5"/>
  <c r="AE83" i="5"/>
  <c r="AE65" i="5"/>
  <c r="V232" i="5"/>
  <c r="AK232" i="5" s="1" a="1"/>
  <c r="AK232" i="5" s="1"/>
  <c r="AE89" i="5"/>
  <c r="AJ88" i="5" a="1"/>
  <c r="AJ88" i="5" s="1"/>
  <c r="AJ222" i="5" a="1"/>
  <c r="AJ222" i="5" s="1"/>
  <c r="AE76" i="5"/>
  <c r="AE222" i="5"/>
  <c r="AJ39" i="5" a="1"/>
  <c r="AJ39" i="5" s="1"/>
  <c r="AE195" i="5"/>
  <c r="AE179" i="5"/>
  <c r="AE293" i="5"/>
  <c r="AE219" i="5"/>
  <c r="AJ194" i="5" a="1"/>
  <c r="AJ194" i="5" s="1"/>
  <c r="AJ101" i="5" a="1"/>
  <c r="AJ101" i="5" s="1"/>
  <c r="V251" i="5"/>
  <c r="AK251" i="5" s="1" a="1"/>
  <c r="AK251" i="5" s="1"/>
  <c r="AJ152" i="5" a="1"/>
  <c r="AJ152" i="5" s="1"/>
  <c r="AJ43" i="5" a="1"/>
  <c r="AJ43" i="5" s="1"/>
  <c r="AJ37" i="5" a="1"/>
  <c r="AJ37" i="5" s="1"/>
  <c r="AJ261" i="5" a="1"/>
  <c r="AJ261" i="5" s="1"/>
  <c r="AJ230" i="5" a="1"/>
  <c r="AJ230" i="5" s="1"/>
  <c r="AJ181" i="5" a="1"/>
  <c r="AJ181" i="5" s="1"/>
  <c r="AJ83" i="5" a="1"/>
  <c r="AJ83" i="5" s="1"/>
  <c r="AE54" i="5"/>
  <c r="AE40" i="5"/>
  <c r="AJ241" i="5" a="1"/>
  <c r="AJ241" i="5" s="1"/>
  <c r="AE208" i="5"/>
  <c r="AJ129" i="5" a="1"/>
  <c r="AJ129" i="5" s="1"/>
  <c r="AJ40" i="5" a="1"/>
  <c r="AJ40" i="5" s="1"/>
  <c r="AJ35" i="5" a="1"/>
  <c r="AJ35" i="5" s="1"/>
  <c r="AJ217" i="5" a="1"/>
  <c r="AJ217" i="5" s="1"/>
  <c r="AJ134" i="5" a="1"/>
  <c r="AJ134" i="5" s="1"/>
  <c r="AJ81" i="5" a="1"/>
  <c r="AJ81" i="5" s="1"/>
  <c r="AE284" i="5"/>
  <c r="AE78" i="5"/>
  <c r="AE216" i="5"/>
  <c r="AJ221" i="5" a="1"/>
  <c r="AJ221" i="5" s="1"/>
  <c r="AE221" i="5"/>
  <c r="AJ206" i="5" a="1"/>
  <c r="AJ206" i="5" s="1"/>
  <c r="AE206" i="5"/>
  <c r="AJ218" i="5" a="1"/>
  <c r="AJ218" i="5" s="1"/>
  <c r="AE218" i="5"/>
  <c r="AE104" i="5"/>
  <c r="AJ104" i="5" a="1"/>
  <c r="AJ104" i="5" s="1"/>
  <c r="AJ144" i="5" a="1"/>
  <c r="AJ144" i="5" s="1"/>
  <c r="AE144" i="5"/>
  <c r="AJ102" i="5" a="1"/>
  <c r="AJ102" i="5" s="1"/>
  <c r="AE102" i="5"/>
  <c r="AE80" i="5"/>
  <c r="AJ80" i="5" a="1"/>
  <c r="AJ80" i="5" s="1"/>
  <c r="AE187" i="5"/>
  <c r="AJ187" i="5" a="1"/>
  <c r="AJ187" i="5" s="1"/>
  <c r="AE229" i="5"/>
  <c r="AJ229" i="5" a="1"/>
  <c r="AJ229" i="5" s="1"/>
  <c r="AE291" i="5"/>
  <c r="AJ291" i="5" a="1"/>
  <c r="AJ291" i="5" s="1"/>
  <c r="AE36" i="5"/>
  <c r="AJ36" i="5" a="1"/>
  <c r="AJ36" i="5" s="1"/>
  <c r="AJ205" i="5" a="1"/>
  <c r="AJ205" i="5" s="1"/>
  <c r="AE205" i="5"/>
  <c r="AE57" i="5"/>
  <c r="AJ57" i="5" a="1"/>
  <c r="AJ57" i="5" s="1"/>
  <c r="AJ177" i="5" a="1"/>
  <c r="AJ177" i="5" s="1"/>
  <c r="AE177" i="5"/>
  <c r="AE140" i="5"/>
  <c r="AI202" i="5" a="1"/>
  <c r="AI202" i="5" s="1"/>
  <c r="AI198" i="5" a="1"/>
  <c r="AI198" i="5" s="1"/>
  <c r="AE101" i="5"/>
  <c r="AJ202" i="5" a="1"/>
  <c r="AJ202" i="5" s="1"/>
  <c r="AI66" i="5" a="1"/>
  <c r="AI66" i="5" s="1"/>
  <c r="AE191" i="5"/>
  <c r="AE138" i="5"/>
  <c r="AJ135" i="5" a="1"/>
  <c r="AJ135" i="5" s="1"/>
  <c r="AJ255" i="5" a="1"/>
  <c r="AJ255" i="5" s="1"/>
  <c r="AJ188" i="5" a="1"/>
  <c r="AJ188" i="5" s="1"/>
  <c r="AE114" i="5"/>
  <c r="AJ97" i="5" a="1"/>
  <c r="AJ97" i="5" s="1"/>
  <c r="AI65" i="5" a="1"/>
  <c r="AI65" i="5" s="1"/>
  <c r="AJ254" i="5" a="1"/>
  <c r="AJ254" i="5" s="1"/>
  <c r="AJ196" i="5" a="1"/>
  <c r="AJ196" i="5" s="1"/>
  <c r="AJ92" i="5" a="1"/>
  <c r="AJ92" i="5" s="1"/>
  <c r="AJ98" i="5" a="1"/>
  <c r="AJ98" i="5" s="1"/>
  <c r="AJ124" i="5" a="1"/>
  <c r="AJ124" i="5" s="1"/>
  <c r="AE111" i="5"/>
  <c r="AJ253" i="5" a="1"/>
  <c r="AJ253" i="5" s="1"/>
  <c r="AJ224" i="5" a="1"/>
  <c r="AJ224" i="5" s="1"/>
  <c r="AJ127" i="5" a="1"/>
  <c r="AJ127" i="5" s="1"/>
  <c r="AJ112" i="5" a="1"/>
  <c r="AJ112" i="5" s="1"/>
  <c r="AJ65" i="5" a="1"/>
  <c r="AJ65" i="5" s="1"/>
  <c r="AE249" i="5"/>
  <c r="AE120" i="5"/>
  <c r="AJ219" i="5" a="1"/>
  <c r="AJ219" i="5" s="1"/>
  <c r="AJ207" i="5" a="1"/>
  <c r="AJ207" i="5" s="1"/>
  <c r="AE247" i="5"/>
  <c r="AE220" i="5"/>
  <c r="AK294" i="5" a="1"/>
  <c r="AK294" i="5" s="1"/>
  <c r="AE285" i="5"/>
  <c r="AJ238" i="5" a="1"/>
  <c r="AJ238" i="5" s="1"/>
  <c r="AE184" i="5"/>
  <c r="AJ183" i="5" a="1"/>
  <c r="AJ183" i="5" s="1"/>
  <c r="AJ125" i="5" a="1"/>
  <c r="AJ125" i="5" s="1"/>
  <c r="AE108" i="5"/>
  <c r="AJ66" i="5" a="1"/>
  <c r="AJ66" i="5" s="1"/>
  <c r="AJ284" i="5" a="1"/>
  <c r="AJ284" i="5" s="1"/>
  <c r="AI58" i="5" a="1"/>
  <c r="AI58" i="5" s="1"/>
  <c r="AE246" i="5"/>
  <c r="AI199" i="5" a="1"/>
  <c r="AI199" i="5" s="1"/>
  <c r="AJ264" i="5" a="1"/>
  <c r="AJ264" i="5" s="1"/>
  <c r="AE270" i="5"/>
  <c r="AE163" i="5"/>
  <c r="AE58" i="5"/>
  <c r="AE55" i="5"/>
  <c r="AE62" i="5"/>
  <c r="AJ295" i="5" a="1"/>
  <c r="AJ295" i="5" s="1"/>
  <c r="AJ146" i="5" a="1"/>
  <c r="AJ146" i="5" s="1"/>
  <c r="AJ52" i="5" a="1"/>
  <c r="AJ52" i="5" s="1"/>
  <c r="AJ61" i="5" a="1"/>
  <c r="AJ61" i="5" s="1"/>
  <c r="AJ136" i="5" a="1"/>
  <c r="AJ136" i="5" s="1"/>
  <c r="AJ280" i="5" a="1"/>
  <c r="AJ280" i="5" s="1"/>
  <c r="AJ216" i="5" a="1"/>
  <c r="AJ216" i="5" s="1"/>
  <c r="AJ176" i="5" a="1"/>
  <c r="AJ176" i="5" s="1"/>
  <c r="V139" i="5"/>
  <c r="AK139" i="5" s="1" a="1"/>
  <c r="AK139" i="5" s="1"/>
  <c r="AJ139" i="5" a="1"/>
  <c r="AJ139" i="5" s="1"/>
  <c r="AI139" i="5" a="1"/>
  <c r="AI139" i="5" s="1"/>
  <c r="AE139" i="5"/>
  <c r="AJ95" i="5" a="1"/>
  <c r="AJ95" i="5" s="1"/>
  <c r="V95" i="5"/>
  <c r="AK95" i="5" s="1" a="1"/>
  <c r="AK95" i="5" s="1"/>
  <c r="V290" i="5"/>
  <c r="AK290" i="5" s="1" a="1"/>
  <c r="AK290" i="5" s="1"/>
  <c r="AE290" i="5"/>
  <c r="AE278" i="5"/>
  <c r="V278" i="5"/>
  <c r="AK278" i="5" s="1" a="1"/>
  <c r="AK278" i="5" s="1"/>
  <c r="V268" i="5"/>
  <c r="AK268" i="5" s="1" a="1"/>
  <c r="AK268" i="5" s="1"/>
  <c r="AJ268" i="5" a="1"/>
  <c r="AJ268" i="5" s="1"/>
  <c r="AJ257" i="5" a="1"/>
  <c r="AJ257" i="5" s="1"/>
  <c r="AI257" i="5" a="1"/>
  <c r="AI257" i="5" s="1"/>
  <c r="V244" i="5"/>
  <c r="AK244" i="5" s="1" a="1"/>
  <c r="AK244" i="5" s="1"/>
  <c r="AJ244" i="5" a="1"/>
  <c r="AJ244" i="5" s="1"/>
  <c r="V228" i="5"/>
  <c r="AK228" i="5" s="1" a="1"/>
  <c r="AK228" i="5" s="1"/>
  <c r="AJ228" i="5" a="1"/>
  <c r="AJ228" i="5" s="1"/>
  <c r="AE212" i="5"/>
  <c r="V212" i="5"/>
  <c r="AK212" i="5" s="1" a="1"/>
  <c r="AK212" i="5" s="1"/>
  <c r="AJ212" i="5" a="1"/>
  <c r="AJ212" i="5" s="1"/>
  <c r="AJ201" i="5" a="1"/>
  <c r="AJ201" i="5" s="1"/>
  <c r="AE201" i="5"/>
  <c r="V201" i="5"/>
  <c r="AK201" i="5" s="1" a="1"/>
  <c r="AK201" i="5" s="1"/>
  <c r="V190" i="5"/>
  <c r="AK190" i="5" s="1" a="1"/>
  <c r="AK190" i="5" s="1"/>
  <c r="AJ190" i="5" a="1"/>
  <c r="AJ190" i="5" s="1"/>
  <c r="V169" i="5"/>
  <c r="AK169" i="5" s="1" a="1"/>
  <c r="AK169" i="5" s="1"/>
  <c r="AE169" i="5"/>
  <c r="V133" i="5"/>
  <c r="AK133" i="5" s="1" a="1"/>
  <c r="AK133" i="5" s="1"/>
  <c r="AJ133" i="5" a="1"/>
  <c r="AJ133" i="5" s="1"/>
  <c r="V116" i="5"/>
  <c r="AK116" i="5" s="1" a="1"/>
  <c r="AK116" i="5" s="1"/>
  <c r="AJ116" i="5" a="1"/>
  <c r="AJ116" i="5" s="1"/>
  <c r="AE100" i="5"/>
  <c r="AJ100" i="5" a="1"/>
  <c r="AJ100" i="5" s="1"/>
  <c r="V100" i="5"/>
  <c r="AK100" i="5" s="1" a="1"/>
  <c r="AK100" i="5" s="1"/>
  <c r="AJ75" i="5" a="1"/>
  <c r="AJ75" i="5" s="1"/>
  <c r="AE75" i="5"/>
  <c r="V53" i="5"/>
  <c r="AK53" i="5" s="1" a="1"/>
  <c r="AK53" i="5" s="1"/>
  <c r="AJ53" i="5" a="1"/>
  <c r="AJ53" i="5" s="1"/>
  <c r="AJ46" i="5" a="1"/>
  <c r="AJ46" i="5" s="1"/>
  <c r="V188" i="5"/>
  <c r="AK188" i="5" s="1" a="1"/>
  <c r="AK188" i="5" s="1"/>
  <c r="V149" i="5"/>
  <c r="AK149" i="5" s="1" a="1"/>
  <c r="AK149" i="5" s="1"/>
  <c r="AJ149" i="5" a="1"/>
  <c r="AJ149" i="5" s="1"/>
  <c r="AJ67" i="5" a="1"/>
  <c r="AJ67" i="5" s="1"/>
  <c r="AJ289" i="5" a="1"/>
  <c r="AJ289" i="5" s="1"/>
  <c r="AI197" i="5" a="1"/>
  <c r="AI197" i="5" s="1"/>
  <c r="AJ168" i="5" a="1"/>
  <c r="AJ168" i="5" s="1"/>
  <c r="AE150" i="5"/>
  <c r="AE149" i="5"/>
  <c r="AJ51" i="5" a="1"/>
  <c r="AJ51" i="5" s="1"/>
  <c r="AI201" i="5" a="1"/>
  <c r="AI201" i="5" s="1"/>
  <c r="AE255" i="5"/>
  <c r="AE46" i="5"/>
  <c r="AE227" i="5"/>
  <c r="AE151" i="5"/>
  <c r="V255" i="5"/>
  <c r="AK255" i="5" s="1" a="1"/>
  <c r="AK255" i="5" s="1"/>
  <c r="AE190" i="5"/>
  <c r="V74" i="5"/>
  <c r="AK74" i="5" s="1" a="1"/>
  <c r="AK74" i="5" s="1"/>
  <c r="AJ74" i="5" a="1"/>
  <c r="AJ74" i="5" s="1"/>
  <c r="V87" i="5"/>
  <c r="AK87" i="5" s="1" a="1"/>
  <c r="AK87" i="5" s="1"/>
  <c r="AJ87" i="5" a="1"/>
  <c r="AJ87" i="5" s="1"/>
  <c r="V277" i="5"/>
  <c r="AK277" i="5" s="1" a="1"/>
  <c r="AK277" i="5" s="1"/>
  <c r="AJ277" i="5" a="1"/>
  <c r="AJ277" i="5" s="1"/>
  <c r="V215" i="5"/>
  <c r="AK215" i="5" s="1" a="1"/>
  <c r="AK215" i="5" s="1"/>
  <c r="AJ215" i="5" a="1"/>
  <c r="AJ215" i="5" s="1"/>
  <c r="AI256" i="5" a="1"/>
  <c r="AI256" i="5" s="1"/>
  <c r="AJ256" i="5" a="1"/>
  <c r="AJ256" i="5" s="1"/>
  <c r="V243" i="5"/>
  <c r="AK243" i="5" s="1" a="1"/>
  <c r="AK243" i="5" s="1"/>
  <c r="AJ243" i="5" a="1"/>
  <c r="AJ243" i="5" s="1"/>
  <c r="V227" i="5"/>
  <c r="AK227" i="5" s="1" a="1"/>
  <c r="AK227" i="5" s="1"/>
  <c r="AJ227" i="5" a="1"/>
  <c r="AJ227" i="5" s="1"/>
  <c r="V189" i="5"/>
  <c r="AK189" i="5" s="1" a="1"/>
  <c r="AK189" i="5" s="1"/>
  <c r="AJ189" i="5" a="1"/>
  <c r="AJ189" i="5" s="1"/>
  <c r="V131" i="5"/>
  <c r="AK131" i="5" s="1" a="1"/>
  <c r="AK131" i="5" s="1"/>
  <c r="AJ131" i="5" a="1"/>
  <c r="AJ131" i="5" s="1"/>
  <c r="V99" i="5"/>
  <c r="AK99" i="5" s="1" a="1"/>
  <c r="AK99" i="5" s="1"/>
  <c r="AJ99" i="5" a="1"/>
  <c r="AJ99" i="5" s="1"/>
  <c r="V73" i="5"/>
  <c r="AK73" i="5" s="1" a="1"/>
  <c r="AK73" i="5" s="1"/>
  <c r="AJ73" i="5" a="1"/>
  <c r="AJ73" i="5" s="1"/>
  <c r="V135" i="5"/>
  <c r="AK135" i="5" s="1" a="1"/>
  <c r="AK135" i="5" s="1"/>
  <c r="AE135" i="5"/>
  <c r="V276" i="5"/>
  <c r="AK276" i="5" s="1" a="1"/>
  <c r="AK276" i="5" s="1"/>
  <c r="AJ276" i="5" a="1"/>
  <c r="AJ276" i="5" s="1"/>
  <c r="V267" i="5"/>
  <c r="AK267" i="5" s="1" a="1"/>
  <c r="AK267" i="5" s="1"/>
  <c r="AE267" i="5"/>
  <c r="AJ267" i="5" a="1"/>
  <c r="AJ267" i="5" s="1"/>
  <c r="V242" i="5"/>
  <c r="AK242" i="5" s="1" a="1"/>
  <c r="AK242" i="5" s="1"/>
  <c r="AE242" i="5"/>
  <c r="AJ242" i="5" a="1"/>
  <c r="AJ242" i="5" s="1"/>
  <c r="V150" i="5"/>
  <c r="AK150" i="5" s="1" a="1"/>
  <c r="AK150" i="5" s="1"/>
  <c r="AJ150" i="5" a="1"/>
  <c r="AJ150" i="5" s="1"/>
  <c r="V210" i="5"/>
  <c r="AK210" i="5" s="1" a="1"/>
  <c r="AK210" i="5" s="1"/>
  <c r="AJ210" i="5" a="1"/>
  <c r="AJ210" i="5" s="1"/>
  <c r="V167" i="5"/>
  <c r="AK167" i="5" s="1" a="1"/>
  <c r="AK167" i="5" s="1"/>
  <c r="AJ167" i="5" a="1"/>
  <c r="AJ167" i="5" s="1"/>
  <c r="V130" i="5"/>
  <c r="AK130" i="5" s="1" a="1"/>
  <c r="AK130" i="5" s="1"/>
  <c r="AJ130" i="5" a="1"/>
  <c r="AJ130" i="5" s="1"/>
  <c r="V114" i="5"/>
  <c r="AK114" i="5" s="1" a="1"/>
  <c r="AK114" i="5" s="1"/>
  <c r="AJ114" i="5" a="1"/>
  <c r="AJ114" i="5" s="1"/>
  <c r="V97" i="5"/>
  <c r="AK97" i="5" s="1" a="1"/>
  <c r="AK97" i="5" s="1"/>
  <c r="AE97" i="5"/>
  <c r="V72" i="5"/>
  <c r="AK72" i="5" s="1" a="1"/>
  <c r="AK72" i="5" s="1"/>
  <c r="AJ72" i="5" a="1"/>
  <c r="AJ72" i="5" s="1"/>
  <c r="AE72" i="5"/>
  <c r="V49" i="5"/>
  <c r="AK49" i="5" s="1" a="1"/>
  <c r="AK49" i="5" s="1"/>
  <c r="AJ49" i="5" a="1"/>
  <c r="AJ49" i="5" s="1"/>
  <c r="AE256" i="5"/>
  <c r="AI135" i="5" a="1"/>
  <c r="AI135" i="5" s="1"/>
  <c r="AJ287" i="5" a="1"/>
  <c r="AJ287" i="5" s="1"/>
  <c r="AJ47" i="5" a="1"/>
  <c r="AJ47" i="5" s="1"/>
  <c r="AE67" i="5"/>
  <c r="AE277" i="5"/>
  <c r="AE99" i="5"/>
  <c r="AJ63" i="5" a="1"/>
  <c r="AJ63" i="5" s="1"/>
  <c r="AJ225" i="5" a="1"/>
  <c r="AJ225" i="5" s="1"/>
  <c r="AJ148" i="5" a="1"/>
  <c r="AJ148" i="5" s="1"/>
  <c r="AJ105" i="5" a="1"/>
  <c r="AJ105" i="5" s="1"/>
  <c r="AE71" i="5"/>
  <c r="AE175" i="5"/>
  <c r="AE141" i="5"/>
  <c r="AE91" i="5"/>
  <c r="AE189" i="5"/>
  <c r="AE42" i="5"/>
  <c r="V285" i="5"/>
  <c r="AK285" i="5" s="1" a="1"/>
  <c r="AK285" i="5" s="1"/>
  <c r="V62" i="5"/>
  <c r="AK62" i="5" s="1" a="1"/>
  <c r="AK62" i="5" s="1"/>
  <c r="AE244" i="5"/>
  <c r="AE133" i="5"/>
  <c r="V129" i="5"/>
  <c r="AK129" i="5" s="1" a="1"/>
  <c r="AK129" i="5" s="1"/>
  <c r="AJ84" i="5" a="1"/>
  <c r="AJ84" i="5" s="1"/>
  <c r="AJ234" i="5" a="1"/>
  <c r="AJ234" i="5" s="1"/>
  <c r="AJ162" i="5" a="1"/>
  <c r="AJ162" i="5" s="1"/>
  <c r="AE287" i="5"/>
  <c r="AE105" i="5"/>
  <c r="AE70" i="5"/>
  <c r="AE84" i="5"/>
  <c r="AE243" i="5"/>
  <c r="AE188" i="5"/>
  <c r="AE131" i="5"/>
  <c r="V196" i="5"/>
  <c r="AK196" i="5" s="1" a="1"/>
  <c r="AK196" i="5" s="1"/>
  <c r="V127" i="5"/>
  <c r="AK127" i="5" s="1" a="1"/>
  <c r="AK127" i="5" s="1"/>
  <c r="AE128" i="5"/>
  <c r="AE276" i="5"/>
  <c r="AJ285" i="5" a="1"/>
  <c r="AJ285" i="5" s="1"/>
  <c r="AJ266" i="5" a="1"/>
  <c r="AJ266" i="5" s="1"/>
  <c r="AJ178" i="5" a="1"/>
  <c r="AJ178" i="5" s="1"/>
  <c r="AJ70" i="5" a="1"/>
  <c r="AJ70" i="5" s="1"/>
  <c r="AJ42" i="5" a="1"/>
  <c r="AJ42" i="5" s="1"/>
  <c r="AI128" i="5" a="1"/>
  <c r="AI128" i="5" s="1"/>
  <c r="AE63" i="5"/>
  <c r="AE263" i="5"/>
  <c r="AE225" i="5"/>
  <c r="AE193" i="5"/>
  <c r="AE69" i="5"/>
  <c r="AE234" i="5"/>
  <c r="AE268" i="5"/>
  <c r="AE210" i="5"/>
  <c r="AE73" i="5"/>
  <c r="AJ248" i="5" a="1"/>
  <c r="AJ248" i="5" s="1"/>
  <c r="AJ175" i="5" a="1"/>
  <c r="AJ175" i="5" s="1"/>
  <c r="AJ69" i="5" a="1"/>
  <c r="AJ69" i="5" s="1"/>
  <c r="AE32" i="5"/>
  <c r="AE261" i="5"/>
  <c r="AE181" i="5"/>
  <c r="AE161" i="5"/>
  <c r="AE122" i="5"/>
  <c r="AE60" i="5"/>
  <c r="AE87" i="5"/>
  <c r="AE178" i="5"/>
  <c r="AE167" i="5"/>
  <c r="V199" i="5"/>
  <c r="AK199" i="5" s="1" a="1"/>
  <c r="AK199" i="5" s="1"/>
  <c r="V184" i="5"/>
  <c r="AK184" i="5" s="1" a="1"/>
  <c r="AK184" i="5" s="1"/>
  <c r="AE241" i="5"/>
  <c r="AE130" i="5"/>
  <c r="V125" i="5"/>
  <c r="AK125" i="5" s="1" a="1"/>
  <c r="AK125" i="5" s="1"/>
  <c r="AJ226" i="5" a="1"/>
  <c r="AJ226" i="5" s="1"/>
  <c r="AJ113" i="5" a="1"/>
  <c r="AJ113" i="5" s="1"/>
  <c r="AE248" i="5"/>
  <c r="AE237" i="5"/>
  <c r="AE180" i="5"/>
  <c r="AE159" i="5"/>
  <c r="AE121" i="5"/>
  <c r="AE214" i="5"/>
  <c r="AE142" i="5"/>
  <c r="AE129" i="5"/>
  <c r="V241" i="5"/>
  <c r="AK241" i="5" s="1" a="1"/>
  <c r="AK241" i="5" s="1"/>
  <c r="AE215" i="5"/>
  <c r="AJ271" i="5" a="1"/>
  <c r="AJ271" i="5" s="1"/>
  <c r="AJ263" i="5" a="1"/>
  <c r="AJ263" i="5" s="1"/>
  <c r="AJ158" i="5" a="1"/>
  <c r="AJ158" i="5" s="1"/>
  <c r="AE158" i="5"/>
  <c r="AE56" i="5"/>
  <c r="AE266" i="5"/>
  <c r="AE127" i="5"/>
  <c r="AE51" i="5"/>
  <c r="V208" i="5"/>
  <c r="AK208" i="5" s="1" a="1"/>
  <c r="AK208" i="5" s="1"/>
  <c r="AE74" i="5"/>
  <c r="AE162" i="5"/>
  <c r="AE252" i="5"/>
  <c r="AE168" i="5"/>
  <c r="AJ141" i="5" a="1"/>
  <c r="AJ141" i="5" s="1"/>
  <c r="AI261" i="5" a="1"/>
  <c r="AI261" i="5" s="1"/>
  <c r="AE96" i="5"/>
  <c r="AE289" i="5"/>
  <c r="AE265" i="5"/>
  <c r="AE115" i="5"/>
  <c r="AE49" i="5"/>
  <c r="AE137" i="5"/>
  <c r="AJ137" i="5" a="1"/>
  <c r="AJ137" i="5" s="1"/>
  <c r="AE182" i="5"/>
  <c r="AJ182" i="5" a="1"/>
  <c r="AJ182" i="5" s="1"/>
  <c r="AJ240" i="5" a="1"/>
  <c r="AJ240" i="5" s="1"/>
  <c r="AE240" i="5"/>
  <c r="AE200" i="5"/>
  <c r="AI200" i="5" a="1"/>
  <c r="AI200" i="5" s="1"/>
  <c r="AJ200" i="5" a="1"/>
  <c r="AJ200" i="5" s="1"/>
  <c r="AE165" i="5"/>
  <c r="AJ165" i="5" a="1"/>
  <c r="AJ165" i="5" s="1"/>
  <c r="AE153" i="5"/>
  <c r="AJ153" i="5" a="1"/>
  <c r="AJ153" i="5" s="1"/>
  <c r="AE126" i="5"/>
  <c r="AJ126" i="5" a="1"/>
  <c r="AJ126" i="5" s="1"/>
  <c r="AE288" i="5"/>
  <c r="AJ288" i="5" a="1"/>
  <c r="AJ288" i="5" s="1"/>
  <c r="AI203" i="5" a="1"/>
  <c r="AI203" i="5" s="1"/>
  <c r="AE203" i="5"/>
  <c r="AJ203" i="5" a="1"/>
  <c r="AJ203" i="5" s="1"/>
  <c r="AE197" i="5"/>
  <c r="AJ197" i="5" a="1"/>
  <c r="AJ197" i="5" s="1"/>
  <c r="AE173" i="5"/>
  <c r="AJ173" i="5" a="1"/>
  <c r="AJ173" i="5" s="1"/>
  <c r="AE164" i="5"/>
  <c r="AJ164" i="5" a="1"/>
  <c r="AJ164" i="5" s="1"/>
  <c r="AI137" i="5" a="1"/>
  <c r="AI137" i="5" s="1"/>
  <c r="AE77" i="5"/>
  <c r="AJ77" i="5" a="1"/>
  <c r="AJ77" i="5" s="1"/>
  <c r="AE109" i="5"/>
  <c r="AJ109" i="5" a="1"/>
  <c r="AJ109" i="5" s="1"/>
  <c r="AE294" i="5"/>
  <c r="AJ294" i="5" a="1"/>
  <c r="AJ294" i="5" s="1"/>
  <c r="AE272" i="5"/>
  <c r="AJ272" i="5" a="1"/>
  <c r="AJ272" i="5" s="1"/>
  <c r="AE235" i="5"/>
  <c r="AJ235" i="5" a="1"/>
  <c r="AJ235" i="5" s="1"/>
  <c r="AE211" i="5"/>
  <c r="AJ211" i="5" a="1"/>
  <c r="AJ211" i="5" s="1"/>
  <c r="AE275" i="5"/>
  <c r="AJ275" i="5" a="1"/>
  <c r="AJ275" i="5" s="1"/>
  <c r="AE283" i="5"/>
  <c r="AJ283" i="5" a="1"/>
  <c r="AJ283" i="5" s="1"/>
  <c r="AE106" i="5"/>
  <c r="AJ106" i="5" a="1"/>
  <c r="AJ106" i="5" s="1"/>
  <c r="AE94" i="5"/>
  <c r="AJ94" i="5" a="1"/>
  <c r="AJ94" i="5" s="1"/>
  <c r="AE123" i="5"/>
  <c r="AI123" i="5" a="1"/>
  <c r="AI123" i="5" s="1"/>
  <c r="AE174" i="5"/>
  <c r="AJ174" i="5" a="1"/>
  <c r="AJ174" i="5" s="1"/>
  <c r="AJ103" i="5" a="1"/>
  <c r="AJ103" i="5" s="1"/>
  <c r="AE103" i="5"/>
  <c r="AE90" i="5"/>
  <c r="AI90" i="5" a="1"/>
  <c r="AI90" i="5" s="1"/>
  <c r="AJ171" i="5" a="1"/>
  <c r="AJ171" i="5" s="1"/>
  <c r="AE171" i="5"/>
  <c r="AJ115" i="5" a="1"/>
  <c r="AJ115" i="5" s="1"/>
  <c r="AI262" i="5" a="1"/>
  <c r="AI262" i="5" s="1"/>
  <c r="AE262" i="5"/>
  <c r="AE245" i="5"/>
  <c r="AJ245" i="5" a="1"/>
  <c r="AJ245" i="5" s="1"/>
  <c r="AI196" i="5" a="1"/>
  <c r="AI196" i="5" s="1"/>
  <c r="AE156" i="5"/>
  <c r="AJ156" i="5" a="1"/>
  <c r="AJ156" i="5" s="1"/>
  <c r="V52" i="5"/>
  <c r="AK52" i="5" s="1" a="1"/>
  <c r="AK52" i="5" s="1"/>
  <c r="AE52" i="5"/>
  <c r="V194" i="5"/>
  <c r="AK194" i="5" s="1" a="1"/>
  <c r="AK194" i="5" s="1"/>
  <c r="AE194" i="5"/>
  <c r="V61" i="5"/>
  <c r="AK61" i="5" s="1" a="1"/>
  <c r="AK61" i="5" s="1"/>
  <c r="AE61" i="5"/>
  <c r="BJ6" i="5" l="1"/>
  <c r="BJ7" i="5"/>
  <c r="BJ8" i="5"/>
  <c r="BJ9" i="5"/>
  <c r="BJ10" i="5"/>
  <c r="BJ11" i="5"/>
  <c r="BJ12" i="5"/>
  <c r="BJ13" i="5"/>
  <c r="BJ14" i="5"/>
  <c r="BJ15" i="5"/>
  <c r="BJ16" i="5"/>
  <c r="BJ17" i="5"/>
  <c r="BJ18" i="5"/>
  <c r="BJ19" i="5"/>
  <c r="BJ20" i="5"/>
  <c r="BJ21" i="5"/>
  <c r="BJ22" i="5"/>
  <c r="BJ23" i="5"/>
  <c r="BJ24" i="5"/>
  <c r="BJ25" i="5"/>
  <c r="BJ26" i="5"/>
  <c r="BJ27" i="5"/>
  <c r="BJ28" i="5"/>
  <c r="BJ29" i="5"/>
  <c r="BJ30" i="5"/>
  <c r="BJ31" i="5"/>
  <c r="C7" i="5" l="1"/>
  <c r="P7" i="5" s="1"/>
  <c r="Q7" i="5" s="1"/>
  <c r="C8" i="5"/>
  <c r="P8" i="5" s="1"/>
  <c r="Q8" i="5" s="1"/>
  <c r="C9" i="5"/>
  <c r="P9" i="5" s="1"/>
  <c r="Q9" i="5" s="1"/>
  <c r="C10" i="5"/>
  <c r="P10" i="5" s="1"/>
  <c r="Q10" i="5" s="1"/>
  <c r="C11" i="5"/>
  <c r="P11" i="5" s="1"/>
  <c r="Q11" i="5" s="1"/>
  <c r="C12" i="5"/>
  <c r="P12" i="5" s="1"/>
  <c r="Q12" i="5" s="1"/>
  <c r="C13" i="5"/>
  <c r="P13" i="5" s="1"/>
  <c r="Q13" i="5" s="1"/>
  <c r="C14" i="5"/>
  <c r="P14" i="5" s="1"/>
  <c r="Q14" i="5" s="1"/>
  <c r="C15" i="5"/>
  <c r="P15" i="5" s="1"/>
  <c r="Q15" i="5" s="1"/>
  <c r="C16" i="5"/>
  <c r="P16" i="5" s="1"/>
  <c r="Q16" i="5" s="1"/>
  <c r="C17" i="5"/>
  <c r="P17" i="5" s="1"/>
  <c r="Q17" i="5" s="1"/>
  <c r="C18" i="5"/>
  <c r="P18" i="5" s="1"/>
  <c r="Q18" i="5" s="1"/>
  <c r="C19" i="5"/>
  <c r="C20" i="5"/>
  <c r="C21" i="5"/>
  <c r="P21" i="5" s="1"/>
  <c r="Q21" i="5" s="1"/>
  <c r="C22" i="5"/>
  <c r="P22" i="5" s="1"/>
  <c r="Q22" i="5" s="1"/>
  <c r="C23" i="5"/>
  <c r="P23" i="5" s="1"/>
  <c r="Q23" i="5" s="1"/>
  <c r="C24" i="5"/>
  <c r="P24" i="5" s="1"/>
  <c r="Q24" i="5" s="1"/>
  <c r="C25" i="5"/>
  <c r="P25" i="5" s="1"/>
  <c r="Q25" i="5" s="1"/>
  <c r="C26" i="5"/>
  <c r="P26" i="5" s="1"/>
  <c r="Q26" i="5" s="1"/>
  <c r="C27" i="5"/>
  <c r="P27" i="5" s="1"/>
  <c r="Q27" i="5" s="1"/>
  <c r="C28" i="5"/>
  <c r="P28" i="5" s="1"/>
  <c r="Q28" i="5" s="1"/>
  <c r="C29" i="5"/>
  <c r="P29" i="5" s="1"/>
  <c r="Q29" i="5" s="1"/>
  <c r="C30" i="5"/>
  <c r="P30" i="5" s="1"/>
  <c r="Q30" i="5" s="1"/>
  <c r="C31" i="5"/>
  <c r="P31" i="5" s="1"/>
  <c r="Q31" i="5" s="1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U7" i="5"/>
  <c r="AJ7" i="5" s="1" a="1"/>
  <c r="AJ7" i="5" s="1"/>
  <c r="U8" i="5"/>
  <c r="AJ8" i="5" s="1" a="1"/>
  <c r="AJ8" i="5" s="1"/>
  <c r="U9" i="5"/>
  <c r="AJ9" i="5" s="1" a="1"/>
  <c r="AJ9" i="5" s="1"/>
  <c r="U10" i="5"/>
  <c r="AJ10" i="5" s="1" a="1"/>
  <c r="AJ10" i="5" s="1"/>
  <c r="U11" i="5"/>
  <c r="AJ11" i="5" s="1" a="1"/>
  <c r="AJ11" i="5" s="1"/>
  <c r="U12" i="5"/>
  <c r="AJ12" i="5" s="1" a="1"/>
  <c r="AJ12" i="5" s="1"/>
  <c r="U13" i="5"/>
  <c r="AJ13" i="5" s="1" a="1"/>
  <c r="AJ13" i="5" s="1"/>
  <c r="U14" i="5"/>
  <c r="AJ14" i="5" s="1" a="1"/>
  <c r="AJ14" i="5" s="1"/>
  <c r="U15" i="5"/>
  <c r="AJ15" i="5" s="1" a="1"/>
  <c r="AJ15" i="5" s="1"/>
  <c r="U16" i="5"/>
  <c r="AJ16" i="5" s="1" a="1"/>
  <c r="AJ16" i="5" s="1"/>
  <c r="U17" i="5"/>
  <c r="AJ17" i="5" s="1" a="1"/>
  <c r="AJ17" i="5" s="1"/>
  <c r="U18" i="5"/>
  <c r="AJ18" i="5" s="1" a="1"/>
  <c r="AJ18" i="5" s="1"/>
  <c r="U19" i="5"/>
  <c r="AJ19" i="5" s="1" a="1"/>
  <c r="AJ19" i="5" s="1"/>
  <c r="U20" i="5"/>
  <c r="AJ20" i="5" s="1" a="1"/>
  <c r="AJ20" i="5" s="1"/>
  <c r="U21" i="5"/>
  <c r="AJ21" i="5" s="1" a="1"/>
  <c r="AJ21" i="5" s="1"/>
  <c r="U22" i="5"/>
  <c r="U23" i="5"/>
  <c r="AJ23" i="5" s="1" a="1"/>
  <c r="AJ23" i="5" s="1"/>
  <c r="U24" i="5"/>
  <c r="AJ24" i="5" s="1" a="1"/>
  <c r="AJ24" i="5" s="1"/>
  <c r="U25" i="5"/>
  <c r="AJ25" i="5" s="1" a="1"/>
  <c r="AJ25" i="5" s="1"/>
  <c r="U26" i="5"/>
  <c r="AJ26" i="5" s="1" a="1"/>
  <c r="AJ26" i="5" s="1"/>
  <c r="U27" i="5"/>
  <c r="U28" i="5"/>
  <c r="U29" i="5"/>
  <c r="AJ29" i="5" s="1" a="1"/>
  <c r="AJ29" i="5" s="1"/>
  <c r="U30" i="5"/>
  <c r="AJ30" i="5" s="1" a="1"/>
  <c r="AJ30" i="5" s="1"/>
  <c r="U31" i="5"/>
  <c r="AJ31" i="5" s="1" a="1"/>
  <c r="AJ31" i="5" s="1"/>
  <c r="W7" i="5"/>
  <c r="AI7" i="5" s="1" a="1"/>
  <c r="AI7" i="5" s="1"/>
  <c r="W8" i="5"/>
  <c r="AI8" i="5" s="1" a="1"/>
  <c r="AI8" i="5" s="1"/>
  <c r="W9" i="5"/>
  <c r="AI9" i="5" s="1" a="1"/>
  <c r="AI9" i="5" s="1"/>
  <c r="W10" i="5"/>
  <c r="AI10" i="5" s="1" a="1"/>
  <c r="AI10" i="5" s="1"/>
  <c r="W11" i="5"/>
  <c r="AI11" i="5" s="1" a="1"/>
  <c r="AI11" i="5" s="1"/>
  <c r="W12" i="5"/>
  <c r="AI12" i="5" s="1" a="1"/>
  <c r="AI12" i="5" s="1"/>
  <c r="W13" i="5"/>
  <c r="AI13" i="5" s="1" a="1"/>
  <c r="AI13" i="5" s="1"/>
  <c r="W14" i="5"/>
  <c r="AI14" i="5" s="1" a="1"/>
  <c r="AI14" i="5" s="1"/>
  <c r="W15" i="5"/>
  <c r="AI15" i="5" s="1" a="1"/>
  <c r="AI15" i="5" s="1"/>
  <c r="W16" i="5"/>
  <c r="AI16" i="5" s="1" a="1"/>
  <c r="AI16" i="5" s="1"/>
  <c r="W17" i="5"/>
  <c r="AI17" i="5" s="1" a="1"/>
  <c r="AI17" i="5" s="1"/>
  <c r="W18" i="5"/>
  <c r="AI18" i="5" s="1" a="1"/>
  <c r="AI18" i="5" s="1"/>
  <c r="W19" i="5"/>
  <c r="AI19" i="5" s="1" a="1"/>
  <c r="AI19" i="5" s="1"/>
  <c r="W20" i="5"/>
  <c r="AI20" i="5" s="1" a="1"/>
  <c r="AI20" i="5" s="1"/>
  <c r="W21" i="5"/>
  <c r="AI21" i="5" s="1" a="1"/>
  <c r="AI21" i="5" s="1"/>
  <c r="W22" i="5"/>
  <c r="AI22" i="5" s="1" a="1"/>
  <c r="AI22" i="5" s="1"/>
  <c r="W23" i="5"/>
  <c r="AI23" i="5" s="1" a="1"/>
  <c r="AI23" i="5" s="1"/>
  <c r="W24" i="5"/>
  <c r="AI24" i="5" s="1" a="1"/>
  <c r="AI24" i="5" s="1"/>
  <c r="W25" i="5"/>
  <c r="AI25" i="5" s="1" a="1"/>
  <c r="AI25" i="5" s="1"/>
  <c r="W26" i="5"/>
  <c r="AI26" i="5" s="1" a="1"/>
  <c r="AI26" i="5" s="1"/>
  <c r="W27" i="5"/>
  <c r="AI27" i="5" s="1" a="1"/>
  <c r="AI27" i="5" s="1"/>
  <c r="W29" i="5"/>
  <c r="AI29" i="5" s="1" a="1"/>
  <c r="AI29" i="5" s="1"/>
  <c r="W30" i="5"/>
  <c r="AI30" i="5" s="1" a="1"/>
  <c r="AI30" i="5" s="1"/>
  <c r="W31" i="5"/>
  <c r="AI31" i="5" s="1" a="1"/>
  <c r="AI31" i="5" s="1"/>
  <c r="W6" i="5"/>
  <c r="AI6" i="5" s="1" a="1"/>
  <c r="AI6" i="5" s="1"/>
  <c r="U6" i="5"/>
  <c r="AJ6" i="5" s="1" a="1"/>
  <c r="AJ6" i="5" s="1"/>
  <c r="S6" i="5"/>
  <c r="C6" i="5"/>
  <c r="P6" i="5" s="1"/>
  <c r="Q6" i="5" s="1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T7" i="5" s="1"/>
  <c r="B3" i="4"/>
  <c r="L1" i="4"/>
  <c r="T19" i="5" l="1"/>
  <c r="P19" i="5"/>
  <c r="Q19" i="5" s="1"/>
  <c r="T20" i="5"/>
  <c r="P20" i="5"/>
  <c r="Q20" i="5" s="1"/>
  <c r="O18" i="5"/>
  <c r="O31" i="5"/>
  <c r="O17" i="5"/>
  <c r="T8" i="5"/>
  <c r="O30" i="5"/>
  <c r="O16" i="5"/>
  <c r="O29" i="5"/>
  <c r="O15" i="5"/>
  <c r="O28" i="5"/>
  <c r="O14" i="5"/>
  <c r="T6" i="5"/>
  <c r="O27" i="5"/>
  <c r="O13" i="5"/>
  <c r="O26" i="5"/>
  <c r="O12" i="5"/>
  <c r="O25" i="5"/>
  <c r="O11" i="5"/>
  <c r="O24" i="5"/>
  <c r="O10" i="5"/>
  <c r="O23" i="5"/>
  <c r="O9" i="5"/>
  <c r="O22" i="5"/>
  <c r="O8" i="5"/>
  <c r="O21" i="5"/>
  <c r="O7" i="5"/>
  <c r="T9" i="5"/>
  <c r="O59" i="5"/>
  <c r="O106" i="5"/>
  <c r="O157" i="5"/>
  <c r="O180" i="5"/>
  <c r="O226" i="5"/>
  <c r="O255" i="5"/>
  <c r="O284" i="5"/>
  <c r="O82" i="5"/>
  <c r="T61" i="5"/>
  <c r="T107" i="5"/>
  <c r="T144" i="5"/>
  <c r="T176" i="5"/>
  <c r="T200" i="5"/>
  <c r="T235" i="5"/>
  <c r="T276" i="5"/>
  <c r="T293" i="5"/>
  <c r="O232" i="5"/>
  <c r="O61" i="5"/>
  <c r="O107" i="5"/>
  <c r="O158" i="5"/>
  <c r="O181" i="5"/>
  <c r="O150" i="5"/>
  <c r="O260" i="5"/>
  <c r="O285" i="5"/>
  <c r="O84" i="5"/>
  <c r="T62" i="5"/>
  <c r="T108" i="5"/>
  <c r="T146" i="5"/>
  <c r="T179" i="5"/>
  <c r="T209" i="5"/>
  <c r="T236" i="5"/>
  <c r="T256" i="5"/>
  <c r="T282" i="5"/>
  <c r="T294" i="5"/>
  <c r="T90" i="5"/>
  <c r="O177" i="5"/>
  <c r="O62" i="5"/>
  <c r="O108" i="5"/>
  <c r="O159" i="5"/>
  <c r="O184" i="5"/>
  <c r="O231" i="5"/>
  <c r="O261" i="5"/>
  <c r="O291" i="5"/>
  <c r="O90" i="5"/>
  <c r="T65" i="5"/>
  <c r="T115" i="5"/>
  <c r="T147" i="5"/>
  <c r="T183" i="5"/>
  <c r="T194" i="5"/>
  <c r="T237" i="5"/>
  <c r="T260" i="5"/>
  <c r="T248" i="5"/>
  <c r="T109" i="5"/>
  <c r="O65" i="5"/>
  <c r="O120" i="5"/>
  <c r="O161" i="5"/>
  <c r="O197" i="5"/>
  <c r="O233" i="5"/>
  <c r="O262" i="5"/>
  <c r="O71" i="5"/>
  <c r="O91" i="5"/>
  <c r="T34" i="5"/>
  <c r="T66" i="5"/>
  <c r="T120" i="5"/>
  <c r="T151" i="5"/>
  <c r="T185" i="5"/>
  <c r="T198" i="5"/>
  <c r="T238" i="5"/>
  <c r="T261" i="5"/>
  <c r="T283" i="5"/>
  <c r="T52" i="5"/>
  <c r="O66" i="5"/>
  <c r="O121" i="5"/>
  <c r="O162" i="5"/>
  <c r="O209" i="5"/>
  <c r="O235" i="5"/>
  <c r="O199" i="5"/>
  <c r="O292" i="5"/>
  <c r="O92" i="5"/>
  <c r="T36" i="5"/>
  <c r="T73" i="5"/>
  <c r="T121" i="5"/>
  <c r="T157" i="5"/>
  <c r="T187" i="5"/>
  <c r="T202" i="5"/>
  <c r="T239" i="5"/>
  <c r="T262" i="5"/>
  <c r="T284" i="5"/>
  <c r="T55" i="5"/>
  <c r="O81" i="5"/>
  <c r="O238" i="5"/>
  <c r="O109" i="5"/>
  <c r="T86" i="5"/>
  <c r="T161" i="5"/>
  <c r="T225" i="5"/>
  <c r="T270" i="5"/>
  <c r="T82" i="5"/>
  <c r="T89" i="5"/>
  <c r="O88" i="5"/>
  <c r="O179" i="5"/>
  <c r="O182" i="5"/>
  <c r="T99" i="5"/>
  <c r="T164" i="5"/>
  <c r="T218" i="5"/>
  <c r="T273" i="5"/>
  <c r="T91" i="5"/>
  <c r="O38" i="5"/>
  <c r="O214" i="5"/>
  <c r="O60" i="5"/>
  <c r="T104" i="5"/>
  <c r="T165" i="5"/>
  <c r="T221" i="5"/>
  <c r="T232" i="5"/>
  <c r="T291" i="5"/>
  <c r="O104" i="5"/>
  <c r="O252" i="5"/>
  <c r="O32" i="5"/>
  <c r="T142" i="5"/>
  <c r="T226" i="5"/>
  <c r="T71" i="5"/>
  <c r="O72" i="5"/>
  <c r="O122" i="5"/>
  <c r="O165" i="5"/>
  <c r="O194" i="5"/>
  <c r="O236" i="5"/>
  <c r="O263" i="5"/>
  <c r="O293" i="5"/>
  <c r="T38" i="5"/>
  <c r="T81" i="5"/>
  <c r="T122" i="5"/>
  <c r="T158" i="5"/>
  <c r="T188" i="5"/>
  <c r="T203" i="5"/>
  <c r="T241" i="5"/>
  <c r="T199" i="5"/>
  <c r="T285" i="5"/>
  <c r="T56" i="5"/>
  <c r="O79" i="5"/>
  <c r="O124" i="5"/>
  <c r="O167" i="5"/>
  <c r="O198" i="5"/>
  <c r="O237" i="5"/>
  <c r="O270" i="5"/>
  <c r="O294" i="5"/>
  <c r="T40" i="5"/>
  <c r="T83" i="5"/>
  <c r="T124" i="5"/>
  <c r="T159" i="5"/>
  <c r="T189" i="5"/>
  <c r="T223" i="5"/>
  <c r="T242" i="5"/>
  <c r="T263" i="5"/>
  <c r="T286" i="5"/>
  <c r="T60" i="5"/>
  <c r="O125" i="5"/>
  <c r="O172" i="5"/>
  <c r="O202" i="5"/>
  <c r="O271" i="5"/>
  <c r="T42" i="5"/>
  <c r="T125" i="5"/>
  <c r="T177" i="5"/>
  <c r="T243" i="5"/>
  <c r="T287" i="5"/>
  <c r="T131" i="5"/>
  <c r="O36" i="5"/>
  <c r="O141" i="5"/>
  <c r="O225" i="5"/>
  <c r="T47" i="5"/>
  <c r="T140" i="5"/>
  <c r="T181" i="5"/>
  <c r="T250" i="5"/>
  <c r="T290" i="5"/>
  <c r="O89" i="5"/>
  <c r="O183" i="5"/>
  <c r="O282" i="5"/>
  <c r="T49" i="5"/>
  <c r="T141" i="5"/>
  <c r="T184" i="5"/>
  <c r="T182" i="5"/>
  <c r="T92" i="5"/>
  <c r="O40" i="5"/>
  <c r="O217" i="5"/>
  <c r="O248" i="5"/>
  <c r="T105" i="5"/>
  <c r="T172" i="5"/>
  <c r="T251" i="5"/>
  <c r="T123" i="5"/>
  <c r="O142" i="5"/>
  <c r="O143" i="5"/>
  <c r="T51" i="5"/>
  <c r="T192" i="5"/>
  <c r="T274" i="5"/>
  <c r="O83" i="5"/>
  <c r="O130" i="5"/>
  <c r="O175" i="5"/>
  <c r="O203" i="5"/>
  <c r="O249" i="5"/>
  <c r="O272" i="5"/>
  <c r="O52" i="5"/>
  <c r="T44" i="5"/>
  <c r="T88" i="5"/>
  <c r="T160" i="5"/>
  <c r="T162" i="5"/>
  <c r="T178" i="5"/>
  <c r="T214" i="5"/>
  <c r="T247" i="5"/>
  <c r="T271" i="5"/>
  <c r="T288" i="5"/>
  <c r="T84" i="5"/>
  <c r="O34" i="5"/>
  <c r="O86" i="5"/>
  <c r="O140" i="5"/>
  <c r="O176" i="5"/>
  <c r="O223" i="5"/>
  <c r="O250" i="5"/>
  <c r="O273" i="5"/>
  <c r="O55" i="5"/>
  <c r="T45" i="5"/>
  <c r="T163" i="5"/>
  <c r="T180" i="5"/>
  <c r="T217" i="5"/>
  <c r="T249" i="5"/>
  <c r="T272" i="5"/>
  <c r="T289" i="5"/>
  <c r="O251" i="5"/>
  <c r="O42" i="5"/>
  <c r="O105" i="5"/>
  <c r="O144" i="5"/>
  <c r="O178" i="5"/>
  <c r="O218" i="5"/>
  <c r="O254" i="5"/>
  <c r="O283" i="5"/>
  <c r="O67" i="5"/>
  <c r="T59" i="5"/>
  <c r="T106" i="5"/>
  <c r="T143" i="5"/>
  <c r="T175" i="5"/>
  <c r="T197" i="5"/>
  <c r="T233" i="5"/>
  <c r="T252" i="5"/>
  <c r="T275" i="5"/>
  <c r="T292" i="5"/>
  <c r="T128" i="5"/>
  <c r="O56" i="5"/>
  <c r="O43" i="5"/>
  <c r="O119" i="5"/>
  <c r="O190" i="5"/>
  <c r="O243" i="5"/>
  <c r="O46" i="5"/>
  <c r="T72" i="5"/>
  <c r="O148" i="5"/>
  <c r="O69" i="5"/>
  <c r="O163" i="5"/>
  <c r="T58" i="5"/>
  <c r="O266" i="5"/>
  <c r="T211" i="5"/>
  <c r="T75" i="5"/>
  <c r="T93" i="5"/>
  <c r="O50" i="5"/>
  <c r="O216" i="5"/>
  <c r="O279" i="5"/>
  <c r="T191" i="5"/>
  <c r="O111" i="5"/>
  <c r="O224" i="5"/>
  <c r="O57" i="5"/>
  <c r="T53" i="5"/>
  <c r="T39" i="5"/>
  <c r="T79" i="5"/>
  <c r="O211" i="5"/>
  <c r="O276" i="5"/>
  <c r="O134" i="5"/>
  <c r="T113" i="5"/>
  <c r="O123" i="5"/>
  <c r="O160" i="5"/>
  <c r="T98" i="5"/>
  <c r="T80" i="5"/>
  <c r="T153" i="5"/>
  <c r="T228" i="5"/>
  <c r="T145" i="5"/>
  <c r="O37" i="5"/>
  <c r="O205" i="5"/>
  <c r="O219" i="5"/>
  <c r="T139" i="5"/>
  <c r="O85" i="5"/>
  <c r="O206" i="5"/>
  <c r="O76" i="5"/>
  <c r="T196" i="5"/>
  <c r="T278" i="5"/>
  <c r="T156" i="5"/>
  <c r="T170" i="5"/>
  <c r="T63" i="5"/>
  <c r="T193" i="5"/>
  <c r="T97" i="5"/>
  <c r="T100" i="5"/>
  <c r="T216" i="5"/>
  <c r="T240" i="5"/>
  <c r="O98" i="5"/>
  <c r="O103" i="5"/>
  <c r="O169" i="5"/>
  <c r="O227" i="5"/>
  <c r="O288" i="5"/>
  <c r="O49" i="5"/>
  <c r="O129" i="5"/>
  <c r="O45" i="5"/>
  <c r="O146" i="5"/>
  <c r="O207" i="5"/>
  <c r="O97" i="5"/>
  <c r="T171" i="5"/>
  <c r="T87" i="5"/>
  <c r="O145" i="5"/>
  <c r="T37" i="5"/>
  <c r="T205" i="5"/>
  <c r="T219" i="5"/>
  <c r="O139" i="5"/>
  <c r="T111" i="5"/>
  <c r="T224" i="5"/>
  <c r="T76" i="5"/>
  <c r="O136" i="5"/>
  <c r="O152" i="5"/>
  <c r="O281" i="5"/>
  <c r="O58" i="5"/>
  <c r="O133" i="5"/>
  <c r="O200" i="5"/>
  <c r="O267" i="5"/>
  <c r="O128" i="5"/>
  <c r="T96" i="5"/>
  <c r="O64" i="5"/>
  <c r="O110" i="5"/>
  <c r="O138" i="5"/>
  <c r="T269" i="5"/>
  <c r="T133" i="5"/>
  <c r="T132" i="5"/>
  <c r="T280" i="5"/>
  <c r="T173" i="5"/>
  <c r="O258" i="5"/>
  <c r="O77" i="5"/>
  <c r="T85" i="5"/>
  <c r="T206" i="5"/>
  <c r="O278" i="5"/>
  <c r="T186" i="5"/>
  <c r="O269" i="5"/>
  <c r="T136" i="5"/>
  <c r="O116" i="5"/>
  <c r="O189" i="5"/>
  <c r="T255" i="5"/>
  <c r="T32" i="5"/>
  <c r="O70" i="5"/>
  <c r="O295" i="5"/>
  <c r="O93" i="5"/>
  <c r="T95" i="5"/>
  <c r="T212" i="5"/>
  <c r="T69" i="5"/>
  <c r="T169" i="5"/>
  <c r="O280" i="5"/>
  <c r="O173" i="5"/>
  <c r="T258" i="5"/>
  <c r="T77" i="5"/>
  <c r="O63" i="5"/>
  <c r="O185" i="5"/>
  <c r="O193" i="5"/>
  <c r="O94" i="5"/>
  <c r="T259" i="5"/>
  <c r="O80" i="5"/>
  <c r="O100" i="5"/>
  <c r="O168" i="5"/>
  <c r="O242" i="5"/>
  <c r="T41" i="5"/>
  <c r="O47" i="5"/>
  <c r="O286" i="5"/>
  <c r="O68" i="5"/>
  <c r="T135" i="5"/>
  <c r="T103" i="5"/>
  <c r="O210" i="5"/>
  <c r="T94" i="5"/>
  <c r="T222" i="5"/>
  <c r="O245" i="5"/>
  <c r="O268" i="5"/>
  <c r="O247" i="5"/>
  <c r="O166" i="5"/>
  <c r="O75" i="5"/>
  <c r="O151" i="5"/>
  <c r="T150" i="5"/>
  <c r="O287" i="5"/>
  <c r="O117" i="5"/>
  <c r="O274" i="5"/>
  <c r="O44" i="5"/>
  <c r="T277" i="5"/>
  <c r="O39" i="5"/>
  <c r="T134" i="5"/>
  <c r="O174" i="5"/>
  <c r="T137" i="5"/>
  <c r="O222" i="5"/>
  <c r="O170" i="5"/>
  <c r="T245" i="5"/>
  <c r="O234" i="5"/>
  <c r="T126" i="5"/>
  <c r="T268" i="5"/>
  <c r="O101" i="5"/>
  <c r="O74" i="5"/>
  <c r="O188" i="5"/>
  <c r="O186" i="5"/>
  <c r="T101" i="5"/>
  <c r="T166" i="5"/>
  <c r="O195" i="5"/>
  <c r="T229" i="5"/>
  <c r="O118" i="5"/>
  <c r="O87" i="5"/>
  <c r="T254" i="5"/>
  <c r="T43" i="5"/>
  <c r="T152" i="5"/>
  <c r="T246" i="5"/>
  <c r="T213" i="5"/>
  <c r="T265" i="5"/>
  <c r="T295" i="5"/>
  <c r="T201" i="5"/>
  <c r="T67" i="5"/>
  <c r="T215" i="5"/>
  <c r="T279" i="5"/>
  <c r="T231" i="5"/>
  <c r="O153" i="5"/>
  <c r="O137" i="5"/>
  <c r="O131" i="5"/>
  <c r="T210" i="5"/>
  <c r="O275" i="5"/>
  <c r="O126" i="5"/>
  <c r="O264" i="5"/>
  <c r="T190" i="5"/>
  <c r="T119" i="5"/>
  <c r="T116" i="5"/>
  <c r="T267" i="5"/>
  <c r="T64" i="5"/>
  <c r="T195" i="5"/>
  <c r="T154" i="5"/>
  <c r="O229" i="5"/>
  <c r="T234" i="5"/>
  <c r="T118" i="5"/>
  <c r="O257" i="5"/>
  <c r="O220" i="5"/>
  <c r="O115" i="5"/>
  <c r="T266" i="5"/>
  <c r="T148" i="5"/>
  <c r="T70" i="5"/>
  <c r="T281" i="5"/>
  <c r="O154" i="5"/>
  <c r="O265" i="5"/>
  <c r="T257" i="5"/>
  <c r="T54" i="5"/>
  <c r="O99" i="5"/>
  <c r="T167" i="5"/>
  <c r="T127" i="5"/>
  <c r="O96" i="5"/>
  <c r="T155" i="5"/>
  <c r="O48" i="5"/>
  <c r="T102" i="5"/>
  <c r="O208" i="5"/>
  <c r="O240" i="5"/>
  <c r="O212" i="5"/>
  <c r="O113" i="5"/>
  <c r="O191" i="5"/>
  <c r="T57" i="5"/>
  <c r="O164" i="5"/>
  <c r="O187" i="5"/>
  <c r="T207" i="5"/>
  <c r="O239" i="5"/>
  <c r="T264" i="5"/>
  <c r="O244" i="5"/>
  <c r="O35" i="5"/>
  <c r="T112" i="5"/>
  <c r="T174" i="5"/>
  <c r="O95" i="5"/>
  <c r="O289" i="5"/>
  <c r="O73" i="5"/>
  <c r="T149" i="5"/>
  <c r="O241" i="5"/>
  <c r="O147" i="5"/>
  <c r="O221" i="5"/>
  <c r="T110" i="5"/>
  <c r="T46" i="5"/>
  <c r="O54" i="5"/>
  <c r="T114" i="5"/>
  <c r="T227" i="5"/>
  <c r="O155" i="5"/>
  <c r="O246" i="5"/>
  <c r="T48" i="5"/>
  <c r="O213" i="5"/>
  <c r="O253" i="5"/>
  <c r="O102" i="5"/>
  <c r="T244" i="5"/>
  <c r="O171" i="5"/>
  <c r="O290" i="5"/>
  <c r="O277" i="5"/>
  <c r="O51" i="5"/>
  <c r="T130" i="5"/>
  <c r="O127" i="5"/>
  <c r="O132" i="5"/>
  <c r="O41" i="5"/>
  <c r="T220" i="5"/>
  <c r="T74" i="5"/>
  <c r="T68" i="5"/>
  <c r="T168" i="5"/>
  <c r="T33" i="5"/>
  <c r="T35" i="5"/>
  <c r="O204" i="5"/>
  <c r="T253" i="5"/>
  <c r="T78" i="5"/>
  <c r="O201" i="5"/>
  <c r="O156" i="5"/>
  <c r="O228" i="5"/>
  <c r="O215" i="5"/>
  <c r="O135" i="5"/>
  <c r="O114" i="5"/>
  <c r="O196" i="5"/>
  <c r="O112" i="5"/>
  <c r="O192" i="5"/>
  <c r="O259" i="5"/>
  <c r="T117" i="5"/>
  <c r="T129" i="5"/>
  <c r="O33" i="5"/>
  <c r="O230" i="5"/>
  <c r="T204" i="5"/>
  <c r="O78" i="5"/>
  <c r="O256" i="5"/>
  <c r="O149" i="5"/>
  <c r="T50" i="5"/>
  <c r="O53" i="5"/>
  <c r="T208" i="5"/>
  <c r="T230" i="5"/>
  <c r="T138" i="5"/>
  <c r="AE22" i="5"/>
  <c r="AJ22" i="5" a="1"/>
  <c r="AJ22" i="5" s="1"/>
  <c r="AI28" i="5" a="1"/>
  <c r="AI28" i="5" s="1"/>
  <c r="AJ28" i="5" a="1"/>
  <c r="AJ28" i="5" s="1"/>
  <c r="AE27" i="5"/>
  <c r="AJ27" i="5" a="1"/>
  <c r="AJ27" i="5" s="1"/>
  <c r="T22" i="5"/>
  <c r="T23" i="5"/>
  <c r="T21" i="5"/>
  <c r="T10" i="5"/>
  <c r="T26" i="5"/>
  <c r="V27" i="5"/>
  <c r="AK27" i="5" s="1" a="1"/>
  <c r="AK27" i="5" s="1"/>
  <c r="T12" i="5"/>
  <c r="T30" i="5"/>
  <c r="T29" i="5"/>
  <c r="V22" i="5"/>
  <c r="AK22" i="5" s="1" a="1"/>
  <c r="AK22" i="5" s="1"/>
  <c r="T28" i="5"/>
  <c r="V31" i="5"/>
  <c r="AK31" i="5" s="1" a="1"/>
  <c r="AK31" i="5" s="1"/>
  <c r="AE31" i="5"/>
  <c r="V17" i="5"/>
  <c r="AK17" i="5" s="1" a="1"/>
  <c r="AK17" i="5" s="1"/>
  <c r="AE17" i="5"/>
  <c r="V30" i="5"/>
  <c r="AK30" i="5" s="1" a="1"/>
  <c r="AK30" i="5" s="1"/>
  <c r="AE30" i="5"/>
  <c r="V16" i="5"/>
  <c r="AK16" i="5" s="1" a="1"/>
  <c r="AK16" i="5" s="1"/>
  <c r="AE16" i="5"/>
  <c r="V29" i="5"/>
  <c r="AK29" i="5" s="1" a="1"/>
  <c r="AK29" i="5" s="1"/>
  <c r="AE29" i="5"/>
  <c r="V15" i="5"/>
  <c r="AK15" i="5" s="1" a="1"/>
  <c r="AK15" i="5" s="1"/>
  <c r="AE15" i="5"/>
  <c r="V19" i="5"/>
  <c r="AK19" i="5" s="1" a="1"/>
  <c r="AK19" i="5" s="1"/>
  <c r="AE19" i="5"/>
  <c r="V28" i="5"/>
  <c r="AK28" i="5" s="1" a="1"/>
  <c r="AK28" i="5" s="1"/>
  <c r="AE28" i="5"/>
  <c r="V14" i="5"/>
  <c r="AK14" i="5" s="1" a="1"/>
  <c r="AK14" i="5" s="1"/>
  <c r="AE14" i="5"/>
  <c r="V13" i="5"/>
  <c r="AK13" i="5" s="1" a="1"/>
  <c r="AK13" i="5" s="1"/>
  <c r="AE13" i="5"/>
  <c r="T16" i="5"/>
  <c r="V26" i="5"/>
  <c r="AK26" i="5" s="1" a="1"/>
  <c r="AK26" i="5" s="1"/>
  <c r="AE26" i="5"/>
  <c r="V12" i="5"/>
  <c r="AK12" i="5" s="1" a="1"/>
  <c r="AK12" i="5" s="1"/>
  <c r="AE12" i="5"/>
  <c r="V6" i="5"/>
  <c r="AK6" i="5" s="1" a="1"/>
  <c r="AK6" i="5" s="1"/>
  <c r="AE6" i="5"/>
  <c r="V25" i="5"/>
  <c r="AK25" i="5" s="1" a="1"/>
  <c r="AK25" i="5" s="1"/>
  <c r="AE25" i="5"/>
  <c r="V11" i="5"/>
  <c r="AK11" i="5" s="1" a="1"/>
  <c r="AK11" i="5" s="1"/>
  <c r="AE11" i="5"/>
  <c r="V24" i="5"/>
  <c r="AK24" i="5" s="1" a="1"/>
  <c r="AK24" i="5" s="1"/>
  <c r="AE24" i="5"/>
  <c r="V10" i="5"/>
  <c r="AK10" i="5" s="1" a="1"/>
  <c r="AK10" i="5" s="1"/>
  <c r="AE10" i="5"/>
  <c r="V18" i="5"/>
  <c r="AK18" i="5" s="1" a="1"/>
  <c r="AK18" i="5" s="1"/>
  <c r="AE18" i="5"/>
  <c r="V23" i="5"/>
  <c r="AK23" i="5" s="1" a="1"/>
  <c r="AK23" i="5" s="1"/>
  <c r="AE23" i="5"/>
  <c r="V9" i="5"/>
  <c r="AK9" i="5" s="1" a="1"/>
  <c r="AK9" i="5" s="1"/>
  <c r="AE9" i="5"/>
  <c r="V8" i="5"/>
  <c r="AK8" i="5" s="1" a="1"/>
  <c r="AK8" i="5" s="1"/>
  <c r="AE8" i="5"/>
  <c r="V20" i="5"/>
  <c r="AK20" i="5" s="1" a="1"/>
  <c r="AK20" i="5" s="1"/>
  <c r="AE20" i="5"/>
  <c r="O6" i="5"/>
  <c r="V21" i="5"/>
  <c r="AK21" i="5" s="1" a="1"/>
  <c r="AK21" i="5" s="1"/>
  <c r="AE21" i="5"/>
  <c r="V7" i="5"/>
  <c r="AK7" i="5" s="1" a="1"/>
  <c r="AK7" i="5" s="1"/>
  <c r="AE7" i="5"/>
  <c r="T18" i="5"/>
  <c r="T15" i="5"/>
  <c r="T11" i="5"/>
  <c r="T14" i="5"/>
  <c r="O19" i="5"/>
  <c r="T25" i="5"/>
  <c r="T24" i="5"/>
  <c r="T31" i="5"/>
  <c r="T17" i="5"/>
  <c r="T27" i="5"/>
  <c r="T13" i="5"/>
  <c r="O20" i="5"/>
  <c r="F2" i="8" l="1" a="1"/>
  <c r="F2" i="8" s="1"/>
  <c r="F3" i="8" a="1"/>
  <c r="F3" i="8" s="1"/>
  <c r="AW155" i="5" a="1"/>
  <c r="AW155" i="5" s="1"/>
  <c r="AW135" i="5" a="1"/>
  <c r="AW135" i="5" s="1"/>
  <c r="AW241" i="5" a="1"/>
  <c r="AW241" i="5" s="1"/>
  <c r="AW195" i="5" a="1"/>
  <c r="AW195" i="5" s="1"/>
  <c r="AW80" i="5" a="1"/>
  <c r="AW80" i="5" s="1"/>
  <c r="AW28" i="5" a="1"/>
  <c r="AW28" i="5" s="1"/>
  <c r="AW268" i="5" a="1"/>
  <c r="AW268" i="5" s="1"/>
  <c r="AW58" i="5" a="1"/>
  <c r="AW58" i="5" s="1"/>
  <c r="AW175" i="5" a="1"/>
  <c r="AW175" i="5" s="1"/>
  <c r="AW124" i="5" a="1"/>
  <c r="AW124" i="5" s="1"/>
  <c r="AW231" i="5" a="1"/>
  <c r="AW231" i="5" s="1"/>
  <c r="AW102" i="5" a="1"/>
  <c r="AW102" i="5" s="1"/>
  <c r="AW174" i="5" a="1"/>
  <c r="AW174" i="5" s="1"/>
  <c r="AW281" i="5" a="1"/>
  <c r="AW281" i="5" s="1"/>
  <c r="AW130" i="5" a="1"/>
  <c r="AW130" i="5" s="1"/>
  <c r="AW194" i="5" a="1"/>
  <c r="AW194" i="5" s="1"/>
  <c r="AW192" i="5" a="1"/>
  <c r="AW192" i="5" s="1"/>
  <c r="AW73" i="5" a="1"/>
  <c r="AW73" i="5" s="1"/>
  <c r="AW113" i="5" a="1"/>
  <c r="AW113" i="5" s="1"/>
  <c r="AW154" i="5" a="1"/>
  <c r="AW154" i="5" s="1"/>
  <c r="AW94" i="5" a="1"/>
  <c r="AW94" i="5" s="1"/>
  <c r="AW70" i="5" a="1"/>
  <c r="AW70" i="5" s="1"/>
  <c r="AW152" i="5" a="1"/>
  <c r="AW152" i="5" s="1"/>
  <c r="AW146" i="5" a="1"/>
  <c r="AW146" i="5" s="1"/>
  <c r="AW111" i="5" a="1"/>
  <c r="AW111" i="5" s="1"/>
  <c r="AW46" i="5" a="1"/>
  <c r="AW46" i="5" s="1"/>
  <c r="AW83" i="5" a="1"/>
  <c r="AW83" i="5" s="1"/>
  <c r="AW36" i="5" a="1"/>
  <c r="AW36" i="5" s="1"/>
  <c r="AW165" i="5" a="1"/>
  <c r="AW165" i="5" s="1"/>
  <c r="AW60" i="5" a="1"/>
  <c r="AW60" i="5" s="1"/>
  <c r="AW159" i="5" a="1"/>
  <c r="AW159" i="5" s="1"/>
  <c r="AW84" i="5" a="1"/>
  <c r="AW84" i="5" s="1"/>
  <c r="AW97" i="5" a="1"/>
  <c r="AW97" i="5" s="1"/>
  <c r="AW40" i="5" a="1"/>
  <c r="AW40" i="5" s="1"/>
  <c r="AW236" i="5" a="1"/>
  <c r="AW236" i="5" s="1"/>
  <c r="AW30" i="5" a="1"/>
  <c r="AW30" i="5" s="1"/>
  <c r="AW191" i="5" a="1"/>
  <c r="AW191" i="5" s="1"/>
  <c r="AW245" i="5" a="1"/>
  <c r="AW245" i="5" s="1"/>
  <c r="AW207" i="5" a="1"/>
  <c r="AW207" i="5" s="1"/>
  <c r="AW141" i="5" a="1"/>
  <c r="AW141" i="5" s="1"/>
  <c r="AW65" i="5" a="1"/>
  <c r="AW65" i="5" s="1"/>
  <c r="AW253" i="5" a="1"/>
  <c r="AW253" i="5" s="1"/>
  <c r="AW19" i="5" a="1"/>
  <c r="AW19" i="5" s="1"/>
  <c r="AW112" i="5" a="1"/>
  <c r="AW112" i="5" s="1"/>
  <c r="AW213" i="5" a="1"/>
  <c r="AW213" i="5" s="1"/>
  <c r="AW289" i="5" a="1"/>
  <c r="AW289" i="5" s="1"/>
  <c r="AW212" i="5" a="1"/>
  <c r="AW212" i="5" s="1"/>
  <c r="AW39" i="5" a="1"/>
  <c r="AW39" i="5" s="1"/>
  <c r="AW193" i="5" a="1"/>
  <c r="AW193" i="5" s="1"/>
  <c r="AW136" i="5" a="1"/>
  <c r="AW136" i="5" s="1"/>
  <c r="AW45" i="5" a="1"/>
  <c r="AW45" i="5" s="1"/>
  <c r="AW243" i="5" a="1"/>
  <c r="AW243" i="5" s="1"/>
  <c r="AW122" i="5" a="1"/>
  <c r="AW122" i="5" s="1"/>
  <c r="AW214" i="5" a="1"/>
  <c r="AW214" i="5" s="1"/>
  <c r="AW108" i="5" a="1"/>
  <c r="AW108" i="5" s="1"/>
  <c r="AW285" i="5" a="1"/>
  <c r="AW285" i="5" s="1"/>
  <c r="AW258" i="5" a="1"/>
  <c r="AW258" i="5" s="1"/>
  <c r="AW148" i="5" a="1"/>
  <c r="AW148" i="5" s="1"/>
  <c r="AW225" i="5" a="1"/>
  <c r="AW225" i="5" s="1"/>
  <c r="AW120" i="5" a="1"/>
  <c r="AW120" i="5" s="1"/>
  <c r="AW259" i="5" a="1"/>
  <c r="AW259" i="5" s="1"/>
  <c r="AW265" i="5" a="1"/>
  <c r="AW265" i="5" s="1"/>
  <c r="AW295" i="5" a="1"/>
  <c r="AW295" i="5" s="1"/>
  <c r="AW224" i="5" a="1"/>
  <c r="AW224" i="5" s="1"/>
  <c r="AW79" i="5" a="1"/>
  <c r="AW79" i="5" s="1"/>
  <c r="AW184" i="5" a="1"/>
  <c r="AW184" i="5" s="1"/>
  <c r="AW196" i="5" a="1"/>
  <c r="AW196" i="5" s="1"/>
  <c r="AW95" i="5" a="1"/>
  <c r="AW95" i="5" s="1"/>
  <c r="AW240" i="5" a="1"/>
  <c r="AW240" i="5" s="1"/>
  <c r="AW186" i="5" a="1"/>
  <c r="AW186" i="5" s="1"/>
  <c r="AW210" i="5" a="1"/>
  <c r="AW210" i="5" s="1"/>
  <c r="AW185" i="5" a="1"/>
  <c r="AW185" i="5" s="1"/>
  <c r="AW129" i="5" a="1"/>
  <c r="AW129" i="5" s="1"/>
  <c r="AW279" i="5" a="1"/>
  <c r="AW279" i="5" s="1"/>
  <c r="AW190" i="5" a="1"/>
  <c r="AW190" i="5" s="1"/>
  <c r="AW67" i="5" a="1"/>
  <c r="AW67" i="5" s="1"/>
  <c r="AW72" i="5" a="1"/>
  <c r="AW72" i="5" s="1"/>
  <c r="AW38" i="5" a="1"/>
  <c r="AW38" i="5" s="1"/>
  <c r="AW92" i="5" a="1"/>
  <c r="AW92" i="5" s="1"/>
  <c r="AW62" i="5" a="1"/>
  <c r="AW62" i="5" s="1"/>
  <c r="AW260" i="5" a="1"/>
  <c r="AW260" i="5" s="1"/>
  <c r="AW93" i="5" a="1"/>
  <c r="AW93" i="5" s="1"/>
  <c r="AW57" i="5" a="1"/>
  <c r="AW57" i="5" s="1"/>
  <c r="AW22" i="5" a="1"/>
  <c r="AW22" i="5" s="1"/>
  <c r="AW53" i="5" a="1"/>
  <c r="AW53" i="5" s="1"/>
  <c r="AW114" i="5" a="1"/>
  <c r="AW114" i="5" s="1"/>
  <c r="AW246" i="5" a="1"/>
  <c r="AW246" i="5" s="1"/>
  <c r="AW208" i="5" a="1"/>
  <c r="AW208" i="5" s="1"/>
  <c r="AW188" i="5" a="1"/>
  <c r="AW188" i="5" s="1"/>
  <c r="AW44" i="5" a="1"/>
  <c r="AW44" i="5" s="1"/>
  <c r="AW63" i="5" a="1"/>
  <c r="AW63" i="5" s="1"/>
  <c r="AW189" i="5" a="1"/>
  <c r="AW189" i="5" s="1"/>
  <c r="AW49" i="5" a="1"/>
  <c r="AW49" i="5" s="1"/>
  <c r="AW160" i="5" a="1"/>
  <c r="AW160" i="5" s="1"/>
  <c r="AW216" i="5" a="1"/>
  <c r="AW216" i="5" s="1"/>
  <c r="AW119" i="5" a="1"/>
  <c r="AW119" i="5" s="1"/>
  <c r="AW283" i="5" a="1"/>
  <c r="AW283" i="5" s="1"/>
  <c r="AW109" i="5" a="1"/>
  <c r="AW109" i="5" s="1"/>
  <c r="AW292" i="5" a="1"/>
  <c r="AW292" i="5" s="1"/>
  <c r="AW177" i="5" a="1"/>
  <c r="AW177" i="5" s="1"/>
  <c r="AW150" i="5" a="1"/>
  <c r="AW150" i="5" s="1"/>
  <c r="AW23" i="5" a="1"/>
  <c r="AW23" i="5" s="1"/>
  <c r="AW41" i="5" a="1"/>
  <c r="AW41" i="5" s="1"/>
  <c r="AW264" i="5" a="1"/>
  <c r="AW264" i="5" s="1"/>
  <c r="AW74" i="5" a="1"/>
  <c r="AW74" i="5" s="1"/>
  <c r="AW274" i="5" a="1"/>
  <c r="AW274" i="5" s="1"/>
  <c r="AW116" i="5" a="1"/>
  <c r="AW116" i="5" s="1"/>
  <c r="AW138" i="5" a="1"/>
  <c r="AW138" i="5" s="1"/>
  <c r="AW288" i="5" a="1"/>
  <c r="AW288" i="5" s="1"/>
  <c r="AW123" i="5" a="1"/>
  <c r="AW123" i="5" s="1"/>
  <c r="AW50" i="5" a="1"/>
  <c r="AW50" i="5" s="1"/>
  <c r="AW43" i="5" a="1"/>
  <c r="AW43" i="5" s="1"/>
  <c r="AW254" i="5" a="1"/>
  <c r="AW254" i="5" s="1"/>
  <c r="AW55" i="5" a="1"/>
  <c r="AW55" i="5" s="1"/>
  <c r="AW143" i="5" a="1"/>
  <c r="AW143" i="5" s="1"/>
  <c r="AW282" i="5" a="1"/>
  <c r="AW282" i="5" s="1"/>
  <c r="AW238" i="5" a="1"/>
  <c r="AW238" i="5" s="1"/>
  <c r="AW199" i="5" a="1"/>
  <c r="AW199" i="5" s="1"/>
  <c r="AW181" i="5" a="1"/>
  <c r="AW181" i="5" s="1"/>
  <c r="AW82" i="5" a="1"/>
  <c r="AW82" i="5" s="1"/>
  <c r="AW215" i="5" a="1"/>
  <c r="AW215" i="5" s="1"/>
  <c r="AW132" i="5" a="1"/>
  <c r="AW132" i="5" s="1"/>
  <c r="AW35" i="5" a="1"/>
  <c r="AW35" i="5" s="1"/>
  <c r="AW48" i="5" a="1"/>
  <c r="AW48" i="5" s="1"/>
  <c r="AW115" i="5" a="1"/>
  <c r="AW115" i="5" s="1"/>
  <c r="AW126" i="5" a="1"/>
  <c r="AW126" i="5" s="1"/>
  <c r="AW101" i="5" a="1"/>
  <c r="AW101" i="5" s="1"/>
  <c r="AW117" i="5" a="1"/>
  <c r="AW117" i="5" s="1"/>
  <c r="AW68" i="5" a="1"/>
  <c r="AW68" i="5" s="1"/>
  <c r="AW110" i="5" a="1"/>
  <c r="AW110" i="5" s="1"/>
  <c r="AW139" i="5" a="1"/>
  <c r="AW139" i="5" s="1"/>
  <c r="AW227" i="5" a="1"/>
  <c r="AW227" i="5" s="1"/>
  <c r="AW76" i="5" a="1"/>
  <c r="AW76" i="5" s="1"/>
  <c r="AW56" i="5" a="1"/>
  <c r="AW56" i="5" s="1"/>
  <c r="AW218" i="5" a="1"/>
  <c r="AW218" i="5" s="1"/>
  <c r="AW273" i="5" a="1"/>
  <c r="AW273" i="5" s="1"/>
  <c r="AW142" i="5" a="1"/>
  <c r="AW142" i="5" s="1"/>
  <c r="AW183" i="5" a="1"/>
  <c r="AW183" i="5" s="1"/>
  <c r="AW81" i="5" a="1"/>
  <c r="AW81" i="5" s="1"/>
  <c r="AW235" i="5" a="1"/>
  <c r="AW235" i="5" s="1"/>
  <c r="AW158" i="5" a="1"/>
  <c r="AW158" i="5" s="1"/>
  <c r="AW284" i="5" a="1"/>
  <c r="AW284" i="5" s="1"/>
  <c r="AW24" i="5" a="1"/>
  <c r="AW24" i="5" s="1"/>
  <c r="AW256" i="5" a="1"/>
  <c r="AW256" i="5" s="1"/>
  <c r="AW228" i="5" a="1"/>
  <c r="AW228" i="5" s="1"/>
  <c r="AW127" i="5" a="1"/>
  <c r="AW127" i="5" s="1"/>
  <c r="AW244" i="5" a="1"/>
  <c r="AW244" i="5" s="1"/>
  <c r="AW220" i="5" a="1"/>
  <c r="AW220" i="5" s="1"/>
  <c r="AW275" i="5" a="1"/>
  <c r="AW275" i="5" s="1"/>
  <c r="AW287" i="5" a="1"/>
  <c r="AW287" i="5" s="1"/>
  <c r="AW286" i="5" a="1"/>
  <c r="AW286" i="5" s="1"/>
  <c r="AW173" i="5" a="1"/>
  <c r="AW173" i="5" s="1"/>
  <c r="AW269" i="5" a="1"/>
  <c r="AW269" i="5" s="1"/>
  <c r="AW64" i="5" a="1"/>
  <c r="AW64" i="5" s="1"/>
  <c r="AW169" i="5" a="1"/>
  <c r="AW169" i="5" s="1"/>
  <c r="AW206" i="5" a="1"/>
  <c r="AW206" i="5" s="1"/>
  <c r="AW134" i="5" a="1"/>
  <c r="AW134" i="5" s="1"/>
  <c r="AW178" i="5" a="1"/>
  <c r="AW178" i="5" s="1"/>
  <c r="AW250" i="5" a="1"/>
  <c r="AW250" i="5" s="1"/>
  <c r="AW89" i="5" a="1"/>
  <c r="AW89" i="5" s="1"/>
  <c r="AW32" i="5" a="1"/>
  <c r="AW32" i="5" s="1"/>
  <c r="AW209" i="5" a="1"/>
  <c r="AW209" i="5" s="1"/>
  <c r="AW91" i="5" a="1"/>
  <c r="AW91" i="5" s="1"/>
  <c r="AW107" i="5" a="1"/>
  <c r="AW107" i="5" s="1"/>
  <c r="AW255" i="5" a="1"/>
  <c r="AW255" i="5" s="1"/>
  <c r="AW25" i="5" a="1"/>
  <c r="AW25" i="5" s="1"/>
  <c r="AW12" i="5" a="1"/>
  <c r="AW12" i="5" s="1"/>
  <c r="AW78" i="5" a="1"/>
  <c r="AW78" i="5" s="1"/>
  <c r="AW156" i="5" a="1"/>
  <c r="AW156" i="5" s="1"/>
  <c r="AW54" i="5" a="1"/>
  <c r="AW54" i="5" s="1"/>
  <c r="AW96" i="5" a="1"/>
  <c r="AW96" i="5" s="1"/>
  <c r="AW257" i="5" a="1"/>
  <c r="AW257" i="5" s="1"/>
  <c r="AW47" i="5" a="1"/>
  <c r="AW47" i="5" s="1"/>
  <c r="AW280" i="5" a="1"/>
  <c r="AW280" i="5" s="1"/>
  <c r="AW103" i="5" a="1"/>
  <c r="AW103" i="5" s="1"/>
  <c r="AW85" i="5" a="1"/>
  <c r="AW85" i="5" s="1"/>
  <c r="AW276" i="5" a="1"/>
  <c r="AW276" i="5" s="1"/>
  <c r="AW144" i="5" a="1"/>
  <c r="AW144" i="5" s="1"/>
  <c r="AW223" i="5" a="1"/>
  <c r="AW223" i="5" s="1"/>
  <c r="AW271" i="5" a="1"/>
  <c r="AW271" i="5" s="1"/>
  <c r="AW294" i="5" a="1"/>
  <c r="AW294" i="5" s="1"/>
  <c r="AW252" i="5" a="1"/>
  <c r="AW252" i="5" s="1"/>
  <c r="AW162" i="5" a="1"/>
  <c r="AW162" i="5" s="1"/>
  <c r="AW71" i="5" a="1"/>
  <c r="AW71" i="5" s="1"/>
  <c r="AW61" i="5" a="1"/>
  <c r="AW61" i="5" s="1"/>
  <c r="AW226" i="5" a="1"/>
  <c r="AW226" i="5" s="1"/>
  <c r="AW17" i="5" a="1"/>
  <c r="AW17" i="5" s="1"/>
  <c r="AW239" i="5" a="1"/>
  <c r="AW239" i="5" s="1"/>
  <c r="AW131" i="5" a="1"/>
  <c r="AW131" i="5" s="1"/>
  <c r="AW234" i="5" a="1"/>
  <c r="AW234" i="5" s="1"/>
  <c r="AW151" i="5" a="1"/>
  <c r="AW151" i="5" s="1"/>
  <c r="AW278" i="5" a="1"/>
  <c r="AW278" i="5" s="1"/>
  <c r="AW128" i="5" a="1"/>
  <c r="AW128" i="5" s="1"/>
  <c r="AW98" i="5" a="1"/>
  <c r="AW98" i="5" s="1"/>
  <c r="AW211" i="5" a="1"/>
  <c r="AW211" i="5" s="1"/>
  <c r="AW266" i="5" a="1"/>
  <c r="AW266" i="5" s="1"/>
  <c r="AW105" i="5" a="1"/>
  <c r="AW105" i="5" s="1"/>
  <c r="AW176" i="5" a="1"/>
  <c r="AW176" i="5" s="1"/>
  <c r="AW52" i="5" a="1"/>
  <c r="AW52" i="5" s="1"/>
  <c r="AW202" i="5" a="1"/>
  <c r="AW202" i="5" s="1"/>
  <c r="AW270" i="5" a="1"/>
  <c r="AW270" i="5" s="1"/>
  <c r="AW104" i="5" a="1"/>
  <c r="AW104" i="5" s="1"/>
  <c r="AW182" i="5" a="1"/>
  <c r="AW182" i="5" s="1"/>
  <c r="AW121" i="5" a="1"/>
  <c r="AW121" i="5" s="1"/>
  <c r="AW262" i="5" a="1"/>
  <c r="AW262" i="5" s="1"/>
  <c r="AW232" i="5" a="1"/>
  <c r="AW232" i="5" s="1"/>
  <c r="AW180" i="5" a="1"/>
  <c r="AW180" i="5" s="1"/>
  <c r="AW149" i="5" a="1"/>
  <c r="AW149" i="5" s="1"/>
  <c r="AW51" i="5" a="1"/>
  <c r="AW51" i="5" s="1"/>
  <c r="AW27" i="5" a="1"/>
  <c r="AW27" i="5" s="1"/>
  <c r="AW230" i="5" a="1"/>
  <c r="AW230" i="5" s="1"/>
  <c r="AW277" i="5" a="1"/>
  <c r="AW277" i="5" s="1"/>
  <c r="AW137" i="5" a="1"/>
  <c r="AW137" i="5" s="1"/>
  <c r="AW87" i="5" a="1"/>
  <c r="AW87" i="5" s="1"/>
  <c r="AW75" i="5" a="1"/>
  <c r="AW75" i="5" s="1"/>
  <c r="AW242" i="5" a="1"/>
  <c r="AW242" i="5" s="1"/>
  <c r="AW267" i="5" a="1"/>
  <c r="AW267" i="5" s="1"/>
  <c r="AW145" i="5" a="1"/>
  <c r="AW145" i="5" s="1"/>
  <c r="AW219" i="5" a="1"/>
  <c r="AW219" i="5" s="1"/>
  <c r="AW42" i="5" a="1"/>
  <c r="AW42" i="5" s="1"/>
  <c r="AW140" i="5" a="1"/>
  <c r="AW140" i="5" s="1"/>
  <c r="AW272" i="5" a="1"/>
  <c r="AW272" i="5" s="1"/>
  <c r="AW172" i="5" a="1"/>
  <c r="AW172" i="5" s="1"/>
  <c r="AW237" i="5" a="1"/>
  <c r="AW237" i="5" s="1"/>
  <c r="AW179" i="5" a="1"/>
  <c r="AW179" i="5" s="1"/>
  <c r="AW66" i="5" a="1"/>
  <c r="AW66" i="5" s="1"/>
  <c r="AW233" i="5" a="1"/>
  <c r="AW233" i="5" s="1"/>
  <c r="AW90" i="5" a="1"/>
  <c r="AW90" i="5" s="1"/>
  <c r="AW157" i="5" a="1"/>
  <c r="AW157" i="5" s="1"/>
  <c r="AW26" i="5" a="1"/>
  <c r="AW26" i="5" s="1"/>
  <c r="AW33" i="5" a="1"/>
  <c r="AW33" i="5" s="1"/>
  <c r="AW221" i="5" a="1"/>
  <c r="AW221" i="5" s="1"/>
  <c r="AW99" i="5" a="1"/>
  <c r="AW99" i="5" s="1"/>
  <c r="AW153" i="5" a="1"/>
  <c r="AW153" i="5" s="1"/>
  <c r="AW170" i="5" a="1"/>
  <c r="AW170" i="5" s="1"/>
  <c r="AW168" i="5" a="1"/>
  <c r="AW168" i="5" s="1"/>
  <c r="AW200" i="5" a="1"/>
  <c r="AW200" i="5" s="1"/>
  <c r="AW205" i="5" a="1"/>
  <c r="AW205" i="5" s="1"/>
  <c r="AW163" i="5" a="1"/>
  <c r="AW163" i="5" s="1"/>
  <c r="AW251" i="5" a="1"/>
  <c r="AW251" i="5" s="1"/>
  <c r="AW86" i="5" a="1"/>
  <c r="AW86" i="5" s="1"/>
  <c r="AW249" i="5" a="1"/>
  <c r="AW249" i="5" s="1"/>
  <c r="AW248" i="5" a="1"/>
  <c r="AW248" i="5" s="1"/>
  <c r="AW125" i="5" a="1"/>
  <c r="AW125" i="5" s="1"/>
  <c r="AW198" i="5" a="1"/>
  <c r="AW198" i="5" s="1"/>
  <c r="AW293" i="5" a="1"/>
  <c r="AW293" i="5" s="1"/>
  <c r="AW88" i="5" a="1"/>
  <c r="AW88" i="5" s="1"/>
  <c r="AW197" i="5" a="1"/>
  <c r="AW197" i="5" s="1"/>
  <c r="AW291" i="5" a="1"/>
  <c r="AW291" i="5" s="1"/>
  <c r="AW106" i="5" a="1"/>
  <c r="AW106" i="5" s="1"/>
  <c r="AW201" i="5" a="1"/>
  <c r="AW201" i="5" s="1"/>
  <c r="AW29" i="5" a="1"/>
  <c r="AW29" i="5" s="1"/>
  <c r="AW290" i="5" a="1"/>
  <c r="AW290" i="5" s="1"/>
  <c r="AW187" i="5" a="1"/>
  <c r="AW187" i="5" s="1"/>
  <c r="AW229" i="5" a="1"/>
  <c r="AW229" i="5" s="1"/>
  <c r="AW118" i="5" a="1"/>
  <c r="AW118" i="5" s="1"/>
  <c r="AW166" i="5" a="1"/>
  <c r="AW166" i="5" s="1"/>
  <c r="AW31" i="5" a="1"/>
  <c r="AW31" i="5" s="1"/>
  <c r="AW204" i="5" a="1"/>
  <c r="AW204" i="5" s="1"/>
  <c r="AW171" i="5" a="1"/>
  <c r="AW171" i="5" s="1"/>
  <c r="AW147" i="5" a="1"/>
  <c r="AW147" i="5" s="1"/>
  <c r="AW164" i="5" a="1"/>
  <c r="AW164" i="5" s="1"/>
  <c r="AW222" i="5" a="1"/>
  <c r="AW222" i="5" s="1"/>
  <c r="AW247" i="5" a="1"/>
  <c r="AW247" i="5" s="1"/>
  <c r="AW100" i="5" a="1"/>
  <c r="AW100" i="5" s="1"/>
  <c r="AW77" i="5" a="1"/>
  <c r="AW77" i="5" s="1"/>
  <c r="AW133" i="5" a="1"/>
  <c r="AW133" i="5" s="1"/>
  <c r="AW37" i="5" a="1"/>
  <c r="AW37" i="5" s="1"/>
  <c r="AW69" i="5" a="1"/>
  <c r="AW69" i="5" s="1"/>
  <c r="AW203" i="5" a="1"/>
  <c r="AW203" i="5" s="1"/>
  <c r="AW217" i="5" a="1"/>
  <c r="AW217" i="5" s="1"/>
  <c r="AW167" i="5" a="1"/>
  <c r="AW167" i="5" s="1"/>
  <c r="AW263" i="5" a="1"/>
  <c r="AW263" i="5" s="1"/>
  <c r="AW161" i="5" a="1"/>
  <c r="AW161" i="5" s="1"/>
  <c r="AW261" i="5" a="1"/>
  <c r="AW261" i="5" s="1"/>
  <c r="AW59" i="5" a="1"/>
  <c r="AW59" i="5" s="1"/>
  <c r="AW7" i="5" a="1"/>
  <c r="AW7" i="5" s="1"/>
  <c r="X38" i="5"/>
  <c r="X62" i="5"/>
  <c r="X86" i="5"/>
  <c r="X106" i="5"/>
  <c r="X122" i="5"/>
  <c r="X142" i="5"/>
  <c r="X159" i="5"/>
  <c r="X176" i="5"/>
  <c r="X180" i="5"/>
  <c r="X198" i="5"/>
  <c r="X214" i="5"/>
  <c r="X236" i="5"/>
  <c r="X182" i="5"/>
  <c r="X262" i="5"/>
  <c r="X272" i="5"/>
  <c r="X58" i="5"/>
  <c r="X81" i="5"/>
  <c r="X105" i="5"/>
  <c r="X124" i="5"/>
  <c r="X144" i="5"/>
  <c r="X52" i="5"/>
  <c r="X91" i="5"/>
  <c r="Y69" i="5"/>
  <c r="AB69" i="5" s="1"/>
  <c r="Y114" i="5"/>
  <c r="AB114" i="5" s="1"/>
  <c r="Y131" i="5"/>
  <c r="AB131" i="5" s="1"/>
  <c r="X59" i="5"/>
  <c r="X83" i="5"/>
  <c r="X107" i="5"/>
  <c r="X125" i="5"/>
  <c r="X197" i="5"/>
  <c r="X56" i="5"/>
  <c r="X92" i="5"/>
  <c r="Y45" i="5"/>
  <c r="AB45" i="5" s="1"/>
  <c r="AQ45" i="5" s="1"/>
  <c r="Y115" i="5"/>
  <c r="AB115" i="5" s="1"/>
  <c r="X89" i="5"/>
  <c r="X113" i="5"/>
  <c r="X156" i="5"/>
  <c r="X179" i="5"/>
  <c r="X233" i="5"/>
  <c r="X252" i="5"/>
  <c r="X61" i="5"/>
  <c r="X93" i="5"/>
  <c r="X114" i="5"/>
  <c r="X157" i="5"/>
  <c r="X183" i="5"/>
  <c r="X200" i="5"/>
  <c r="X235" i="5"/>
  <c r="X267" i="5"/>
  <c r="X65" i="5"/>
  <c r="X94" i="5"/>
  <c r="X115" i="5"/>
  <c r="X158" i="5"/>
  <c r="X185" i="5"/>
  <c r="X220" i="5"/>
  <c r="X237" i="5"/>
  <c r="Y113" i="5"/>
  <c r="AB113" i="5" s="1"/>
  <c r="Y197" i="5"/>
  <c r="AB197" i="5" s="1"/>
  <c r="Y288" i="5"/>
  <c r="AB288" i="5" s="1"/>
  <c r="AQ288" i="5" s="1"/>
  <c r="Z115" i="5"/>
  <c r="AA254" i="5"/>
  <c r="AF254" i="5" s="1" a="1"/>
  <c r="AF254" i="5" s="1"/>
  <c r="AG254" i="5" s="1" a="1"/>
  <c r="AG254" i="5" s="1"/>
  <c r="AH254" i="5" s="1"/>
  <c r="AM254" i="5" s="1"/>
  <c r="AA266" i="5"/>
  <c r="X44" i="5"/>
  <c r="X112" i="5"/>
  <c r="X141" i="5"/>
  <c r="X169" i="5"/>
  <c r="X181" i="5"/>
  <c r="X223" i="5"/>
  <c r="X261" i="5"/>
  <c r="X60" i="5"/>
  <c r="X135" i="5"/>
  <c r="Y117" i="5"/>
  <c r="AB117" i="5" s="1"/>
  <c r="Y141" i="5"/>
  <c r="AB141" i="5" s="1"/>
  <c r="Y164" i="5"/>
  <c r="AB164" i="5" s="1"/>
  <c r="Y190" i="5"/>
  <c r="AB190" i="5" s="1"/>
  <c r="AQ190" i="5" s="1"/>
  <c r="Y198" i="5"/>
  <c r="AB198" i="5" s="1"/>
  <c r="Y242" i="5"/>
  <c r="AB242" i="5" s="1"/>
  <c r="Y272" i="5"/>
  <c r="AB272" i="5" s="1"/>
  <c r="Y46" i="5"/>
  <c r="AB46" i="5" s="1"/>
  <c r="Z70" i="5"/>
  <c r="Z100" i="5"/>
  <c r="Z119" i="5"/>
  <c r="Z165" i="5"/>
  <c r="Z190" i="5"/>
  <c r="Z46" i="5"/>
  <c r="AA40" i="5"/>
  <c r="AA68" i="5"/>
  <c r="AA115" i="5"/>
  <c r="AF115" i="5" s="1" a="1"/>
  <c r="AF115" i="5" s="1"/>
  <c r="AG115" i="5" s="1" a="1"/>
  <c r="AG115" i="5" s="1"/>
  <c r="AH115" i="5" s="1"/>
  <c r="AM115" i="5" s="1"/>
  <c r="AA134" i="5"/>
  <c r="AA175" i="5"/>
  <c r="AF175" i="5" s="1" a="1"/>
  <c r="AF175" i="5" s="1"/>
  <c r="AG175" i="5" s="1" a="1"/>
  <c r="AG175" i="5" s="1"/>
  <c r="AH175" i="5" s="1"/>
  <c r="AM175" i="5" s="1"/>
  <c r="AA255" i="5"/>
  <c r="AA215" i="5"/>
  <c r="X47" i="5"/>
  <c r="X49" i="5"/>
  <c r="X120" i="5"/>
  <c r="X152" i="5"/>
  <c r="X189" i="5"/>
  <c r="X202" i="5"/>
  <c r="X256" i="5"/>
  <c r="X232" i="5"/>
  <c r="X289" i="5"/>
  <c r="X109" i="5"/>
  <c r="X137" i="5"/>
  <c r="Y62" i="5"/>
  <c r="AB62" i="5" s="1"/>
  <c r="AQ62" i="5" s="1"/>
  <c r="Y100" i="5"/>
  <c r="AB100" i="5" s="1"/>
  <c r="Y121" i="5"/>
  <c r="AB121" i="5" s="1"/>
  <c r="AQ121" i="5" s="1"/>
  <c r="Y148" i="5"/>
  <c r="AB148" i="5" s="1"/>
  <c r="Y172" i="5"/>
  <c r="AB172" i="5" s="1"/>
  <c r="Y254" i="5"/>
  <c r="AB254" i="5" s="1"/>
  <c r="AQ254" i="5" s="1"/>
  <c r="Y41" i="5"/>
  <c r="AB41" i="5" s="1"/>
  <c r="Y84" i="5"/>
  <c r="AB84" i="5" s="1"/>
  <c r="Z45" i="5"/>
  <c r="Z75" i="5"/>
  <c r="Z106" i="5"/>
  <c r="Z127" i="5"/>
  <c r="Z152" i="5"/>
  <c r="Z176" i="5"/>
  <c r="Z237" i="5"/>
  <c r="Z254" i="5"/>
  <c r="Z284" i="5"/>
  <c r="Z87" i="5"/>
  <c r="AA45" i="5"/>
  <c r="AA73" i="5"/>
  <c r="AA121" i="5"/>
  <c r="AA147" i="5"/>
  <c r="AA168" i="5"/>
  <c r="AA214" i="5"/>
  <c r="AF214" i="5" s="1" a="1"/>
  <c r="AF214" i="5" s="1"/>
  <c r="AG214" i="5" s="1" a="1"/>
  <c r="AG214" i="5" s="1"/>
  <c r="AH214" i="5" s="1"/>
  <c r="AM214" i="5" s="1"/>
  <c r="AA55" i="5"/>
  <c r="X51" i="5"/>
  <c r="X121" i="5"/>
  <c r="X153" i="5"/>
  <c r="X190" i="5"/>
  <c r="X203" i="5"/>
  <c r="X231" i="5"/>
  <c r="X290" i="5"/>
  <c r="Y66" i="5"/>
  <c r="AB66" i="5" s="1"/>
  <c r="AQ66" i="5" s="1"/>
  <c r="Y122" i="5"/>
  <c r="AB122" i="5" s="1"/>
  <c r="AQ122" i="5" s="1"/>
  <c r="Y149" i="5"/>
  <c r="AB149" i="5" s="1"/>
  <c r="Y175" i="5"/>
  <c r="AB175" i="5" s="1"/>
  <c r="Y238" i="5"/>
  <c r="AB238" i="5" s="1"/>
  <c r="Y255" i="5"/>
  <c r="AB255" i="5" s="1"/>
  <c r="AQ255" i="5" s="1"/>
  <c r="Y285" i="5"/>
  <c r="AB285" i="5" s="1"/>
  <c r="Y87" i="5"/>
  <c r="AB87" i="5" s="1"/>
  <c r="Y90" i="5"/>
  <c r="AB90" i="5" s="1"/>
  <c r="Z47" i="5"/>
  <c r="Z107" i="5"/>
  <c r="Z129" i="5"/>
  <c r="Z153" i="5"/>
  <c r="Z197" i="5"/>
  <c r="Z255" i="5"/>
  <c r="Z90" i="5"/>
  <c r="AA47" i="5"/>
  <c r="AA75" i="5"/>
  <c r="AA103" i="5"/>
  <c r="AA124" i="5"/>
  <c r="AA148" i="5"/>
  <c r="AA169" i="5"/>
  <c r="AA194" i="5"/>
  <c r="AA217" i="5"/>
  <c r="AA239" i="5"/>
  <c r="AA256" i="5"/>
  <c r="AA71" i="5"/>
  <c r="AA56" i="5"/>
  <c r="AA123" i="5"/>
  <c r="AF123" i="5" s="1" a="1"/>
  <c r="AF123" i="5" s="1"/>
  <c r="AG123" i="5" s="1" a="1"/>
  <c r="AG123" i="5" s="1"/>
  <c r="AH123" i="5" s="1"/>
  <c r="AM123" i="5" s="1"/>
  <c r="X99" i="5"/>
  <c r="X160" i="5"/>
  <c r="X132" i="5"/>
  <c r="X238" i="5"/>
  <c r="X259" i="5"/>
  <c r="Y68" i="5"/>
  <c r="AB68" i="5" s="1"/>
  <c r="AQ68" i="5" s="1"/>
  <c r="Y125" i="5"/>
  <c r="AB125" i="5" s="1"/>
  <c r="Y151" i="5"/>
  <c r="AB151" i="5" s="1"/>
  <c r="Y176" i="5"/>
  <c r="AB176" i="5" s="1"/>
  <c r="Y200" i="5"/>
  <c r="AB200" i="5" s="1"/>
  <c r="Y225" i="5"/>
  <c r="AB225" i="5" s="1"/>
  <c r="Y239" i="5"/>
  <c r="AB239" i="5" s="1"/>
  <c r="Y256" i="5"/>
  <c r="AB256" i="5" s="1"/>
  <c r="AQ256" i="5" s="1"/>
  <c r="Y271" i="5"/>
  <c r="AB271" i="5" s="1"/>
  <c r="Z49" i="5"/>
  <c r="Z130" i="5"/>
  <c r="Z185" i="5"/>
  <c r="Z200" i="5"/>
  <c r="Z239" i="5"/>
  <c r="Z256" i="5"/>
  <c r="Z272" i="5"/>
  <c r="AA49" i="5"/>
  <c r="AF49" i="5" s="1" a="1"/>
  <c r="AF49" i="5" s="1"/>
  <c r="AG49" i="5" s="1" a="1"/>
  <c r="AG49" i="5" s="1"/>
  <c r="AH49" i="5" s="1"/>
  <c r="AM49" i="5" s="1"/>
  <c r="AA104" i="5"/>
  <c r="AF104" i="5" s="1" a="1"/>
  <c r="AF104" i="5" s="1"/>
  <c r="AG104" i="5" s="1" a="1"/>
  <c r="AG104" i="5" s="1"/>
  <c r="AH104" i="5" s="1"/>
  <c r="AM104" i="5" s="1"/>
  <c r="AA160" i="5"/>
  <c r="AF160" i="5" s="1" a="1"/>
  <c r="AF160" i="5" s="1"/>
  <c r="AG160" i="5" s="1" a="1"/>
  <c r="AG160" i="5" s="1"/>
  <c r="AH160" i="5" s="1"/>
  <c r="AM160" i="5" s="1"/>
  <c r="AA149" i="5"/>
  <c r="AA177" i="5"/>
  <c r="AF177" i="5" s="1" a="1"/>
  <c r="AF177" i="5" s="1"/>
  <c r="AG177" i="5" s="1" a="1"/>
  <c r="AG177" i="5" s="1"/>
  <c r="AH177" i="5" s="1"/>
  <c r="AM177" i="5" s="1"/>
  <c r="AA198" i="5"/>
  <c r="AA242" i="5"/>
  <c r="AF242" i="5" s="1" a="1"/>
  <c r="AF242" i="5" s="1"/>
  <c r="AG242" i="5" s="1" a="1"/>
  <c r="AG242" i="5" s="1"/>
  <c r="AH242" i="5" s="1"/>
  <c r="AM242" i="5" s="1"/>
  <c r="AA292" i="5"/>
  <c r="X70" i="5"/>
  <c r="X104" i="5"/>
  <c r="X138" i="5"/>
  <c r="X168" i="5"/>
  <c r="X184" i="5"/>
  <c r="X217" i="5"/>
  <c r="X248" i="5"/>
  <c r="X41" i="5"/>
  <c r="Y47" i="5"/>
  <c r="AB47" i="5" s="1"/>
  <c r="AQ47" i="5" s="1"/>
  <c r="Y108" i="5"/>
  <c r="AB108" i="5" s="1"/>
  <c r="Y134" i="5"/>
  <c r="AB134" i="5" s="1"/>
  <c r="Y162" i="5"/>
  <c r="AB162" i="5" s="1"/>
  <c r="Y189" i="5"/>
  <c r="AB189" i="5" s="1"/>
  <c r="AQ189" i="5" s="1"/>
  <c r="X129" i="5"/>
  <c r="X194" i="5"/>
  <c r="X243" i="5"/>
  <c r="X270" i="5"/>
  <c r="X293" i="5"/>
  <c r="X82" i="5"/>
  <c r="Y61" i="5"/>
  <c r="AB61" i="5" s="1"/>
  <c r="AQ61" i="5" s="1"/>
  <c r="Y106" i="5"/>
  <c r="AB106" i="5" s="1"/>
  <c r="Y144" i="5"/>
  <c r="AB144" i="5" s="1"/>
  <c r="Y186" i="5"/>
  <c r="AB186" i="5" s="1"/>
  <c r="AQ186" i="5" s="1"/>
  <c r="Y132" i="5"/>
  <c r="AB132" i="5" s="1"/>
  <c r="Y235" i="5"/>
  <c r="AB235" i="5" s="1"/>
  <c r="Y276" i="5"/>
  <c r="AB276" i="5" s="1"/>
  <c r="Y293" i="5"/>
  <c r="AB293" i="5" s="1"/>
  <c r="Z54" i="5"/>
  <c r="Z94" i="5"/>
  <c r="Z124" i="5"/>
  <c r="Z159" i="5"/>
  <c r="Z189" i="5"/>
  <c r="Z132" i="5"/>
  <c r="Z231" i="5"/>
  <c r="Z276" i="5"/>
  <c r="Z293" i="5"/>
  <c r="AA54" i="5"/>
  <c r="AA93" i="5"/>
  <c r="AF93" i="5" s="1" a="1"/>
  <c r="AF93" i="5" s="1"/>
  <c r="AG93" i="5" s="1" a="1"/>
  <c r="AG93" i="5" s="1"/>
  <c r="AH93" i="5" s="1"/>
  <c r="AM93" i="5" s="1"/>
  <c r="AA151" i="5"/>
  <c r="AA179" i="5"/>
  <c r="AA200" i="5"/>
  <c r="AA223" i="5"/>
  <c r="AA261" i="5"/>
  <c r="X79" i="5"/>
  <c r="X130" i="5"/>
  <c r="X171" i="5"/>
  <c r="X247" i="5"/>
  <c r="X271" i="5"/>
  <c r="X295" i="5"/>
  <c r="X84" i="5"/>
  <c r="Y72" i="5"/>
  <c r="AB72" i="5" s="1"/>
  <c r="Y110" i="5"/>
  <c r="AB110" i="5" s="1"/>
  <c r="Y146" i="5"/>
  <c r="AB146" i="5" s="1"/>
  <c r="Y187" i="5"/>
  <c r="AB187" i="5" s="1"/>
  <c r="AQ187" i="5" s="1"/>
  <c r="Y236" i="5"/>
  <c r="AB236" i="5" s="1"/>
  <c r="Y261" i="5"/>
  <c r="AB261" i="5" s="1"/>
  <c r="Y277" i="5"/>
  <c r="AB277" i="5" s="1"/>
  <c r="Y294" i="5"/>
  <c r="AB294" i="5" s="1"/>
  <c r="Y92" i="5"/>
  <c r="AB92" i="5" s="1"/>
  <c r="Z161" i="5"/>
  <c r="Z236" i="5"/>
  <c r="Z262" i="5"/>
  <c r="Z277" i="5"/>
  <c r="AA94" i="5"/>
  <c r="AA119" i="5"/>
  <c r="AA152" i="5"/>
  <c r="AA225" i="5"/>
  <c r="AA262" i="5"/>
  <c r="AA276" i="5"/>
  <c r="AF276" i="5" s="1" a="1"/>
  <c r="AF276" i="5" s="1"/>
  <c r="AG276" i="5" s="1" a="1"/>
  <c r="AG276" i="5" s="1"/>
  <c r="AH276" i="5" s="1"/>
  <c r="AM276" i="5" s="1"/>
  <c r="AA293" i="5"/>
  <c r="AA74" i="5"/>
  <c r="X34" i="5"/>
  <c r="X88" i="5"/>
  <c r="X131" i="5"/>
  <c r="X172" i="5"/>
  <c r="X208" i="5"/>
  <c r="X249" i="5"/>
  <c r="X273" i="5"/>
  <c r="X123" i="5"/>
  <c r="Y73" i="5"/>
  <c r="AB73" i="5" s="1"/>
  <c r="Y112" i="5"/>
  <c r="AB112" i="5" s="1"/>
  <c r="Y147" i="5"/>
  <c r="AB147" i="5" s="1"/>
  <c r="Y188" i="5"/>
  <c r="AB188" i="5" s="1"/>
  <c r="AQ188" i="5" s="1"/>
  <c r="Y208" i="5"/>
  <c r="AB208" i="5" s="1"/>
  <c r="Y262" i="5"/>
  <c r="AB262" i="5" s="1"/>
  <c r="Y295" i="5"/>
  <c r="AB295" i="5" s="1"/>
  <c r="Y123" i="5"/>
  <c r="AB123" i="5" s="1"/>
  <c r="AQ123" i="5" s="1"/>
  <c r="Z58" i="5"/>
  <c r="Z99" i="5"/>
  <c r="Z160" i="5"/>
  <c r="Z210" i="5"/>
  <c r="Z199" i="5"/>
  <c r="Z295" i="5"/>
  <c r="Z123" i="5"/>
  <c r="AA58" i="5"/>
  <c r="AA120" i="5"/>
  <c r="AA153" i="5"/>
  <c r="AA185" i="5"/>
  <c r="AA199" i="5"/>
  <c r="AA277" i="5"/>
  <c r="AF277" i="5" s="1" a="1"/>
  <c r="AF277" i="5" s="1"/>
  <c r="AG277" i="5" s="1" a="1"/>
  <c r="AG277" i="5" s="1"/>
  <c r="AH277" i="5" s="1"/>
  <c r="AM277" i="5" s="1"/>
  <c r="X36" i="5"/>
  <c r="X100" i="5"/>
  <c r="X140" i="5"/>
  <c r="X175" i="5"/>
  <c r="X212" i="5"/>
  <c r="X250" i="5"/>
  <c r="X276" i="5"/>
  <c r="X46" i="5"/>
  <c r="Y75" i="5"/>
  <c r="AB75" i="5" s="1"/>
  <c r="Y116" i="5"/>
  <c r="AB116" i="5" s="1"/>
  <c r="Y210" i="5"/>
  <c r="AB210" i="5" s="1"/>
  <c r="Y199" i="5"/>
  <c r="AB199" i="5" s="1"/>
  <c r="Z62" i="5"/>
  <c r="Z131" i="5"/>
  <c r="Z163" i="5"/>
  <c r="Z174" i="5"/>
  <c r="Z211" i="5"/>
  <c r="Z242" i="5"/>
  <c r="AA61" i="5"/>
  <c r="AA99" i="5"/>
  <c r="AA127" i="5"/>
  <c r="AF127" i="5" s="1" a="1"/>
  <c r="AF127" i="5" s="1"/>
  <c r="AG127" i="5" s="1" a="1"/>
  <c r="AG127" i="5" s="1"/>
  <c r="AH127" i="5" s="1"/>
  <c r="AM127" i="5" s="1"/>
  <c r="AA186" i="5"/>
  <c r="AA150" i="5"/>
  <c r="AF150" i="5" s="1" a="1"/>
  <c r="AF150" i="5" s="1"/>
  <c r="AG150" i="5" s="1" a="1"/>
  <c r="AG150" i="5" s="1"/>
  <c r="AH150" i="5" s="1"/>
  <c r="AM150" i="5" s="1"/>
  <c r="AA247" i="5"/>
  <c r="AA295" i="5"/>
  <c r="X40" i="5"/>
  <c r="X143" i="5"/>
  <c r="X42" i="5"/>
  <c r="X147" i="5"/>
  <c r="X218" i="5"/>
  <c r="X254" i="5"/>
  <c r="Y34" i="5"/>
  <c r="AB34" i="5" s="1"/>
  <c r="AQ34" i="5" s="1"/>
  <c r="Y79" i="5"/>
  <c r="AB79" i="5" s="1"/>
  <c r="Y119" i="5"/>
  <c r="AB119" i="5" s="1"/>
  <c r="AQ119" i="5" s="1"/>
  <c r="Y157" i="5"/>
  <c r="AB157" i="5" s="1"/>
  <c r="Y178" i="5"/>
  <c r="AB178" i="5" s="1"/>
  <c r="Y214" i="5"/>
  <c r="AB214" i="5" s="1"/>
  <c r="Y248" i="5"/>
  <c r="AB248" i="5" s="1"/>
  <c r="Y52" i="5"/>
  <c r="AB52" i="5" s="1"/>
  <c r="Y135" i="5"/>
  <c r="AB135" i="5" s="1"/>
  <c r="AQ135" i="5" s="1"/>
  <c r="Z66" i="5"/>
  <c r="Z103" i="5"/>
  <c r="Z167" i="5"/>
  <c r="Z181" i="5"/>
  <c r="Z214" i="5"/>
  <c r="Z281" i="5"/>
  <c r="Z98" i="5"/>
  <c r="X75" i="5"/>
  <c r="X127" i="5"/>
  <c r="X209" i="5"/>
  <c r="X242" i="5"/>
  <c r="X39" i="5"/>
  <c r="X43" i="5"/>
  <c r="Y105" i="5"/>
  <c r="AB105" i="5" s="1"/>
  <c r="Y142" i="5"/>
  <c r="AB142" i="5" s="1"/>
  <c r="Y183" i="5"/>
  <c r="AB183" i="5" s="1"/>
  <c r="Y203" i="5"/>
  <c r="AB203" i="5" s="1"/>
  <c r="Y292" i="5"/>
  <c r="AB292" i="5" s="1"/>
  <c r="Y74" i="5"/>
  <c r="AB74" i="5" s="1"/>
  <c r="AQ74" i="5" s="1"/>
  <c r="Z93" i="5"/>
  <c r="Z122" i="5"/>
  <c r="Z151" i="5"/>
  <c r="Z188" i="5"/>
  <c r="Z292" i="5"/>
  <c r="AA117" i="5"/>
  <c r="AA172" i="5"/>
  <c r="AA197" i="5"/>
  <c r="AA220" i="5"/>
  <c r="AA243" i="5"/>
  <c r="AF243" i="5" s="1" a="1"/>
  <c r="AF243" i="5" s="1"/>
  <c r="AG243" i="5" s="1" a="1"/>
  <c r="AG243" i="5" s="1"/>
  <c r="AH243" i="5" s="1"/>
  <c r="AM243" i="5" s="1"/>
  <c r="AA260" i="5"/>
  <c r="AA274" i="5"/>
  <c r="AF274" i="5" s="1" a="1"/>
  <c r="AF274" i="5" s="1"/>
  <c r="AG274" i="5" s="1" a="1"/>
  <c r="AG274" i="5" s="1"/>
  <c r="AH274" i="5" s="1"/>
  <c r="AM274" i="5" s="1"/>
  <c r="X73" i="5"/>
  <c r="X167" i="5"/>
  <c r="X285" i="5"/>
  <c r="Y36" i="5"/>
  <c r="AB36" i="5" s="1"/>
  <c r="AQ36" i="5" s="1"/>
  <c r="Y104" i="5"/>
  <c r="AB104" i="5" s="1"/>
  <c r="Y168" i="5"/>
  <c r="AB168" i="5" s="1"/>
  <c r="Y266" i="5"/>
  <c r="AB266" i="5" s="1"/>
  <c r="Y71" i="5"/>
  <c r="AB71" i="5" s="1"/>
  <c r="Z38" i="5"/>
  <c r="Z113" i="5"/>
  <c r="Z168" i="5"/>
  <c r="Z202" i="5"/>
  <c r="Z289" i="5"/>
  <c r="Z135" i="5"/>
  <c r="AA79" i="5"/>
  <c r="AA131" i="5"/>
  <c r="AF131" i="5" s="1" a="1"/>
  <c r="AF131" i="5" s="1"/>
  <c r="AG131" i="5" s="1" a="1"/>
  <c r="AG131" i="5" s="1"/>
  <c r="AH131" i="5" s="1"/>
  <c r="AM131" i="5" s="1"/>
  <c r="AA237" i="5"/>
  <c r="AA270" i="5"/>
  <c r="AF270" i="5" s="1" a="1"/>
  <c r="AF270" i="5" s="1"/>
  <c r="AG270" i="5" s="1" a="1"/>
  <c r="AG270" i="5" s="1"/>
  <c r="AH270" i="5" s="1"/>
  <c r="AM270" i="5" s="1"/>
  <c r="AA290" i="5"/>
  <c r="AF290" i="5" s="1" a="1"/>
  <c r="AF290" i="5" s="1"/>
  <c r="AG290" i="5" s="1" a="1"/>
  <c r="AG290" i="5" s="1"/>
  <c r="AH290" i="5" s="1"/>
  <c r="AM290" i="5" s="1"/>
  <c r="AA84" i="5"/>
  <c r="X103" i="5"/>
  <c r="X188" i="5"/>
  <c r="X239" i="5"/>
  <c r="X286" i="5"/>
  <c r="Y38" i="5"/>
  <c r="AB38" i="5" s="1"/>
  <c r="AQ38" i="5" s="1"/>
  <c r="Y169" i="5"/>
  <c r="AB169" i="5" s="1"/>
  <c r="Y226" i="5"/>
  <c r="AB226" i="5" s="1"/>
  <c r="Y267" i="5"/>
  <c r="AB267" i="5" s="1"/>
  <c r="Z44" i="5"/>
  <c r="Z114" i="5"/>
  <c r="Z169" i="5"/>
  <c r="Z212" i="5"/>
  <c r="Z290" i="5"/>
  <c r="Z137" i="5"/>
  <c r="AA81" i="5"/>
  <c r="AA133" i="5"/>
  <c r="AA171" i="5"/>
  <c r="AA210" i="5"/>
  <c r="AA249" i="5"/>
  <c r="AA271" i="5"/>
  <c r="AF271" i="5" s="1" a="1"/>
  <c r="AF271" i="5" s="1"/>
  <c r="AG271" i="5" s="1" a="1"/>
  <c r="AG271" i="5" s="1"/>
  <c r="AH271" i="5" s="1"/>
  <c r="AM271" i="5" s="1"/>
  <c r="AA39" i="5"/>
  <c r="AA90" i="5"/>
  <c r="X116" i="5"/>
  <c r="X178" i="5"/>
  <c r="X255" i="5"/>
  <c r="X288" i="5"/>
  <c r="Y51" i="5"/>
  <c r="AB51" i="5" s="1"/>
  <c r="AQ51" i="5" s="1"/>
  <c r="Y127" i="5"/>
  <c r="AB127" i="5" s="1"/>
  <c r="Y180" i="5"/>
  <c r="AB180" i="5" s="1"/>
  <c r="Y228" i="5"/>
  <c r="AB228" i="5" s="1"/>
  <c r="Y273" i="5"/>
  <c r="AB273" i="5" s="1"/>
  <c r="Y60" i="5"/>
  <c r="AB60" i="5" s="1"/>
  <c r="AQ60" i="5" s="1"/>
  <c r="Z69" i="5"/>
  <c r="Z171" i="5"/>
  <c r="Z266" i="5"/>
  <c r="Z39" i="5"/>
  <c r="AA34" i="5"/>
  <c r="AF34" i="5" s="1" a="1"/>
  <c r="AF34" i="5" s="1"/>
  <c r="AG34" i="5" s="1" a="1"/>
  <c r="AG34" i="5" s="1"/>
  <c r="AH34" i="5" s="1"/>
  <c r="AM34" i="5" s="1"/>
  <c r="AA140" i="5"/>
  <c r="AA190" i="5"/>
  <c r="AA251" i="5"/>
  <c r="AA87" i="5"/>
  <c r="AA137" i="5"/>
  <c r="X117" i="5"/>
  <c r="X192" i="5"/>
  <c r="X260" i="5"/>
  <c r="X87" i="5"/>
  <c r="Y129" i="5"/>
  <c r="AB129" i="5" s="1"/>
  <c r="Y184" i="5"/>
  <c r="AB184" i="5" s="1"/>
  <c r="Y243" i="5"/>
  <c r="AB243" i="5" s="1"/>
  <c r="Y232" i="5"/>
  <c r="AB232" i="5" s="1"/>
  <c r="Y64" i="5"/>
  <c r="AB64" i="5" s="1"/>
  <c r="AQ64" i="5" s="1"/>
  <c r="Z72" i="5"/>
  <c r="Z133" i="5"/>
  <c r="Z186" i="5"/>
  <c r="Z226" i="5"/>
  <c r="Z267" i="5"/>
  <c r="AA42" i="5"/>
  <c r="AA105" i="5"/>
  <c r="AA141" i="5"/>
  <c r="X45" i="5"/>
  <c r="X148" i="5"/>
  <c r="X207" i="5"/>
  <c r="X264" i="5"/>
  <c r="X98" i="5"/>
  <c r="Y81" i="5"/>
  <c r="AB81" i="5" s="1"/>
  <c r="Y140" i="5"/>
  <c r="AB140" i="5" s="1"/>
  <c r="Y250" i="5"/>
  <c r="AB250" i="5" s="1"/>
  <c r="Y283" i="5"/>
  <c r="AB283" i="5" s="1"/>
  <c r="Y67" i="5"/>
  <c r="AB67" i="5" s="1"/>
  <c r="AQ67" i="5" s="1"/>
  <c r="Z86" i="5"/>
  <c r="Z143" i="5"/>
  <c r="AA65" i="5"/>
  <c r="AA112" i="5"/>
  <c r="AA158" i="5"/>
  <c r="AA284" i="5"/>
  <c r="AA109" i="5"/>
  <c r="X54" i="5"/>
  <c r="X149" i="5"/>
  <c r="X225" i="5"/>
  <c r="X266" i="5"/>
  <c r="X67" i="5"/>
  <c r="Y83" i="5"/>
  <c r="AB83" i="5" s="1"/>
  <c r="Y156" i="5"/>
  <c r="AB156" i="5" s="1"/>
  <c r="Y251" i="5"/>
  <c r="AB251" i="5" s="1"/>
  <c r="Z88" i="5"/>
  <c r="Z146" i="5"/>
  <c r="Z243" i="5"/>
  <c r="Z274" i="5"/>
  <c r="Z64" i="5"/>
  <c r="AA66" i="5"/>
  <c r="AA113" i="5"/>
  <c r="AA161" i="5"/>
  <c r="AA192" i="5"/>
  <c r="AA259" i="5"/>
  <c r="AA52" i="5"/>
  <c r="X72" i="5"/>
  <c r="X165" i="5"/>
  <c r="X150" i="5"/>
  <c r="X284" i="5"/>
  <c r="Y103" i="5"/>
  <c r="AB103" i="5" s="1"/>
  <c r="Y167" i="5"/>
  <c r="AB167" i="5" s="1"/>
  <c r="Y218" i="5"/>
  <c r="AB218" i="5" s="1"/>
  <c r="Y264" i="5"/>
  <c r="AB264" i="5" s="1"/>
  <c r="Z112" i="5"/>
  <c r="Z164" i="5"/>
  <c r="Z198" i="5"/>
  <c r="Z251" i="5"/>
  <c r="Z288" i="5"/>
  <c r="AA130" i="5"/>
  <c r="AF130" i="5" s="1" a="1"/>
  <c r="AF130" i="5" s="1"/>
  <c r="AG130" i="5" s="1" a="1"/>
  <c r="AG130" i="5" s="1"/>
  <c r="AH130" i="5" s="1"/>
  <c r="AM130" i="5" s="1"/>
  <c r="AA167" i="5"/>
  <c r="AA132" i="5"/>
  <c r="AF132" i="5" s="1" a="1"/>
  <c r="AF132" i="5" s="1"/>
  <c r="AG132" i="5" s="1" a="1"/>
  <c r="AG132" i="5" s="1"/>
  <c r="AH132" i="5" s="1"/>
  <c r="AM132" i="5" s="1"/>
  <c r="AA236" i="5"/>
  <c r="AA269" i="5"/>
  <c r="AA289" i="5"/>
  <c r="AA82" i="5"/>
  <c r="Y130" i="5"/>
  <c r="AB130" i="5" s="1"/>
  <c r="Z138" i="5"/>
  <c r="Z150" i="5"/>
  <c r="Z55" i="5"/>
  <c r="AA108" i="5"/>
  <c r="AA178" i="5"/>
  <c r="Y138" i="5"/>
  <c r="AB138" i="5" s="1"/>
  <c r="Y32" i="5"/>
  <c r="AB32" i="5" s="1"/>
  <c r="AQ32" i="5" s="1"/>
  <c r="Z142" i="5"/>
  <c r="Z228" i="5"/>
  <c r="Z56" i="5"/>
  <c r="AA110" i="5"/>
  <c r="AA180" i="5"/>
  <c r="AA98" i="5"/>
  <c r="X66" i="5"/>
  <c r="X221" i="5"/>
  <c r="X74" i="5"/>
  <c r="Y159" i="5"/>
  <c r="AB159" i="5" s="1"/>
  <c r="Y252" i="5"/>
  <c r="AB252" i="5" s="1"/>
  <c r="Y137" i="5"/>
  <c r="AB137" i="5" s="1"/>
  <c r="AQ137" i="5" s="1"/>
  <c r="Z147" i="5"/>
  <c r="AA114" i="5"/>
  <c r="AF114" i="5" s="1" a="1"/>
  <c r="AF114" i="5" s="1"/>
  <c r="AG114" i="5" s="1" a="1"/>
  <c r="AG114" i="5" s="1"/>
  <c r="AH114" i="5" s="1"/>
  <c r="AM114" i="5" s="1"/>
  <c r="AA264" i="5"/>
  <c r="AF264" i="5" s="1" a="1"/>
  <c r="AF264" i="5" s="1"/>
  <c r="AG264" i="5" s="1" a="1"/>
  <c r="AG264" i="5" s="1"/>
  <c r="AH264" i="5" s="1"/>
  <c r="AM264" i="5" s="1"/>
  <c r="AA64" i="5"/>
  <c r="X68" i="5"/>
  <c r="Y163" i="5"/>
  <c r="AB163" i="5" s="1"/>
  <c r="Z148" i="5"/>
  <c r="Z247" i="5"/>
  <c r="Z32" i="5"/>
  <c r="AA116" i="5"/>
  <c r="AA207" i="5"/>
  <c r="AA67" i="5"/>
  <c r="X69" i="5"/>
  <c r="X226" i="5"/>
  <c r="Y165" i="5"/>
  <c r="AB165" i="5" s="1"/>
  <c r="Z149" i="5"/>
  <c r="Z182" i="5"/>
  <c r="Z67" i="5"/>
  <c r="AA129" i="5"/>
  <c r="AA202" i="5"/>
  <c r="AF202" i="5" s="1" a="1"/>
  <c r="AF202" i="5" s="1"/>
  <c r="AG202" i="5" s="1" a="1"/>
  <c r="AG202" i="5" s="1"/>
  <c r="AH202" i="5" s="1"/>
  <c r="AM202" i="5" s="1"/>
  <c r="AA267" i="5"/>
  <c r="X119" i="5"/>
  <c r="X263" i="5"/>
  <c r="Z79" i="5"/>
  <c r="Z180" i="5"/>
  <c r="AA51" i="5"/>
  <c r="AF51" i="5" s="1" a="1"/>
  <c r="AF51" i="5" s="1"/>
  <c r="AG51" i="5" s="1" a="1"/>
  <c r="AG51" i="5" s="1"/>
  <c r="AH51" i="5" s="1"/>
  <c r="AM51" i="5" s="1"/>
  <c r="AA157" i="5"/>
  <c r="AA228" i="5"/>
  <c r="AF228" i="5" s="1" a="1"/>
  <c r="AF228" i="5" s="1"/>
  <c r="AG228" i="5" s="1" a="1"/>
  <c r="AG228" i="5" s="1"/>
  <c r="AH228" i="5" s="1"/>
  <c r="AM228" i="5" s="1"/>
  <c r="AA283" i="5"/>
  <c r="X177" i="5"/>
  <c r="Y160" i="5"/>
  <c r="AB160" i="5" s="1"/>
  <c r="Y227" i="5"/>
  <c r="AB227" i="5" s="1"/>
  <c r="Y56" i="5"/>
  <c r="AB56" i="5" s="1"/>
  <c r="Z117" i="5"/>
  <c r="Z221" i="5"/>
  <c r="AA100" i="5"/>
  <c r="AF100" i="5" s="1" a="1"/>
  <c r="AF100" i="5" s="1"/>
  <c r="AG100" i="5" s="1" a="1"/>
  <c r="AG100" i="5" s="1"/>
  <c r="AH100" i="5" s="1"/>
  <c r="AM100" i="5" s="1"/>
  <c r="AA189" i="5"/>
  <c r="AA182" i="5"/>
  <c r="AF182" i="5" s="1" a="1"/>
  <c r="AF182" i="5" s="1"/>
  <c r="AG182" i="5" s="1" a="1"/>
  <c r="AG182" i="5" s="1"/>
  <c r="AH182" i="5" s="1"/>
  <c r="AM182" i="5" s="1"/>
  <c r="AA46" i="5"/>
  <c r="Y217" i="5"/>
  <c r="AB217" i="5" s="1"/>
  <c r="Z110" i="5"/>
  <c r="Z283" i="5"/>
  <c r="AA165" i="5"/>
  <c r="AA288" i="5"/>
  <c r="Y150" i="5"/>
  <c r="AB150" i="5" s="1"/>
  <c r="Z116" i="5"/>
  <c r="AA188" i="5"/>
  <c r="X108" i="5"/>
  <c r="Y42" i="5"/>
  <c r="AB42" i="5" s="1"/>
  <c r="AQ42" i="5" s="1"/>
  <c r="Y215" i="5"/>
  <c r="AB215" i="5" s="1"/>
  <c r="AA211" i="5"/>
  <c r="AF211" i="5" s="1" a="1"/>
  <c r="AF211" i="5" s="1"/>
  <c r="AG211" i="5" s="1" a="1"/>
  <c r="AG211" i="5" s="1"/>
  <c r="AH211" i="5" s="1"/>
  <c r="AM211" i="5" s="1"/>
  <c r="AA91" i="5"/>
  <c r="X110" i="5"/>
  <c r="Y49" i="5"/>
  <c r="AB49" i="5" s="1"/>
  <c r="AQ49" i="5" s="1"/>
  <c r="AA212" i="5"/>
  <c r="AA135" i="5"/>
  <c r="Y54" i="5"/>
  <c r="AB54" i="5" s="1"/>
  <c r="AQ54" i="5" s="1"/>
  <c r="Y274" i="5"/>
  <c r="AB274" i="5" s="1"/>
  <c r="Z187" i="5"/>
  <c r="AA44" i="5"/>
  <c r="AF44" i="5" s="1" a="1"/>
  <c r="AF44" i="5" s="1"/>
  <c r="AG44" i="5" s="1" a="1"/>
  <c r="AG44" i="5" s="1"/>
  <c r="AH44" i="5" s="1"/>
  <c r="AM44" i="5" s="1"/>
  <c r="AA227" i="5"/>
  <c r="Y171" i="5"/>
  <c r="AB171" i="5" s="1"/>
  <c r="Z51" i="5"/>
  <c r="AA272" i="5"/>
  <c r="Y177" i="5"/>
  <c r="AB177" i="5" s="1"/>
  <c r="AA231" i="5"/>
  <c r="AF231" i="5" s="1" a="1"/>
  <c r="AF231" i="5" s="1"/>
  <c r="AG231" i="5" s="1" a="1"/>
  <c r="AG231" i="5" s="1"/>
  <c r="AH231" i="5" s="1"/>
  <c r="AM231" i="5" s="1"/>
  <c r="Y192" i="5"/>
  <c r="AB192" i="5" s="1"/>
  <c r="Z217" i="5"/>
  <c r="AA233" i="5"/>
  <c r="X151" i="5"/>
  <c r="Y194" i="5"/>
  <c r="AB194" i="5" s="1"/>
  <c r="Z264" i="5"/>
  <c r="AA235" i="5"/>
  <c r="X162" i="5"/>
  <c r="Y289" i="5"/>
  <c r="AB289" i="5" s="1"/>
  <c r="AQ289" i="5" s="1"/>
  <c r="AA273" i="5"/>
  <c r="Z65" i="5"/>
  <c r="AA72" i="5"/>
  <c r="X277" i="5"/>
  <c r="Z73" i="5"/>
  <c r="AA88" i="5"/>
  <c r="Y86" i="5"/>
  <c r="AB86" i="5" s="1"/>
  <c r="Z89" i="5"/>
  <c r="AA138" i="5"/>
  <c r="X161" i="5"/>
  <c r="Z215" i="5"/>
  <c r="X174" i="5"/>
  <c r="X251" i="5"/>
  <c r="AA69" i="5"/>
  <c r="X199" i="5"/>
  <c r="Y94" i="5"/>
  <c r="AB94" i="5" s="1"/>
  <c r="AA143" i="5"/>
  <c r="Y120" i="5"/>
  <c r="AB120" i="5" s="1"/>
  <c r="AQ120" i="5" s="1"/>
  <c r="AA163" i="5"/>
  <c r="Y211" i="5"/>
  <c r="AB211" i="5" s="1"/>
  <c r="AA250" i="5"/>
  <c r="Y55" i="5"/>
  <c r="AB55" i="5" s="1"/>
  <c r="Y99" i="5"/>
  <c r="AB99" i="5" s="1"/>
  <c r="Y290" i="5"/>
  <c r="AB290" i="5" s="1"/>
  <c r="AQ290" i="5" s="1"/>
  <c r="AA70" i="5"/>
  <c r="AA248" i="5"/>
  <c r="AF248" i="5" s="1" a="1"/>
  <c r="AF248" i="5" s="1"/>
  <c r="AG248" i="5" s="1" a="1"/>
  <c r="AG248" i="5" s="1"/>
  <c r="AH248" i="5" s="1"/>
  <c r="AM248" i="5" s="1"/>
  <c r="AA162" i="5"/>
  <c r="AA286" i="5"/>
  <c r="AW6" i="5" a="1"/>
  <c r="AW6" i="5" s="1"/>
  <c r="Z128" i="5"/>
  <c r="AA196" i="5"/>
  <c r="X80" i="5"/>
  <c r="AA232" i="5"/>
  <c r="Z183" i="5"/>
  <c r="Y97" i="5"/>
  <c r="AB97" i="5" s="1"/>
  <c r="X186" i="5"/>
  <c r="Y143" i="5"/>
  <c r="AB143" i="5" s="1"/>
  <c r="Z43" i="5"/>
  <c r="Z233" i="5"/>
  <c r="Y39" i="5"/>
  <c r="AB39" i="5" s="1"/>
  <c r="AA221" i="5"/>
  <c r="Y44" i="5"/>
  <c r="AB44" i="5" s="1"/>
  <c r="AQ44" i="5" s="1"/>
  <c r="X133" i="5"/>
  <c r="Y89" i="5"/>
  <c r="AB89" i="5" s="1"/>
  <c r="AA106" i="5"/>
  <c r="AF106" i="5" s="1" a="1"/>
  <c r="AF106" i="5" s="1"/>
  <c r="AG106" i="5" s="1" a="1"/>
  <c r="AG106" i="5" s="1"/>
  <c r="AH106" i="5" s="1"/>
  <c r="AM106" i="5" s="1"/>
  <c r="Z175" i="5"/>
  <c r="Y233" i="5"/>
  <c r="AB233" i="5" s="1"/>
  <c r="Z84" i="5"/>
  <c r="Z144" i="5"/>
  <c r="Y88" i="5"/>
  <c r="AB88" i="5" s="1"/>
  <c r="X146" i="5"/>
  <c r="Z96" i="5"/>
  <c r="X187" i="5"/>
  <c r="AA43" i="5"/>
  <c r="Z241" i="5"/>
  <c r="Z270" i="5"/>
  <c r="AA159" i="5"/>
  <c r="AF159" i="5" s="1" a="1"/>
  <c r="AF159" i="5" s="1"/>
  <c r="AG159" i="5" s="1" a="1"/>
  <c r="AG159" i="5" s="1"/>
  <c r="AH159" i="5" s="1"/>
  <c r="AM159" i="5" s="1"/>
  <c r="Y185" i="5"/>
  <c r="AB185" i="5" s="1"/>
  <c r="AQ185" i="5" s="1"/>
  <c r="Z194" i="5"/>
  <c r="AA287" i="5"/>
  <c r="Z196" i="5"/>
  <c r="Y95" i="5"/>
  <c r="AB95" i="5" s="1"/>
  <c r="Z232" i="5"/>
  <c r="Z162" i="5"/>
  <c r="X97" i="5"/>
  <c r="X164" i="5"/>
  <c r="Y124" i="5"/>
  <c r="AB124" i="5" s="1"/>
  <c r="AA281" i="5"/>
  <c r="Z223" i="5"/>
  <c r="Y259" i="5"/>
  <c r="AB259" i="5" s="1"/>
  <c r="Z192" i="5"/>
  <c r="X71" i="5"/>
  <c r="AA86" i="5"/>
  <c r="Z158" i="5"/>
  <c r="Y223" i="5"/>
  <c r="AB223" i="5" s="1"/>
  <c r="Z282" i="5"/>
  <c r="Y207" i="5"/>
  <c r="AB207" i="5" s="1"/>
  <c r="AA38" i="5"/>
  <c r="Y282" i="5"/>
  <c r="AB282" i="5" s="1"/>
  <c r="Y96" i="5"/>
  <c r="AB96" i="5" s="1"/>
  <c r="Z104" i="5"/>
  <c r="AA36" i="5"/>
  <c r="AF36" i="5" s="1" a="1"/>
  <c r="AF36" i="5" s="1"/>
  <c r="AG36" i="5" s="1" a="1"/>
  <c r="AG36" i="5" s="1"/>
  <c r="AH36" i="5" s="1"/>
  <c r="AM36" i="5" s="1"/>
  <c r="Y202" i="5"/>
  <c r="AB202" i="5" s="1"/>
  <c r="Z134" i="5"/>
  <c r="Z260" i="5"/>
  <c r="Z68" i="5"/>
  <c r="Z287" i="5"/>
  <c r="Y196" i="5"/>
  <c r="AB196" i="5" s="1"/>
  <c r="Z95" i="5"/>
  <c r="Z263" i="5"/>
  <c r="AA144" i="5"/>
  <c r="Z97" i="5"/>
  <c r="Y107" i="5"/>
  <c r="AB107" i="5" s="1"/>
  <c r="Z269" i="5"/>
  <c r="Z209" i="5"/>
  <c r="Y220" i="5"/>
  <c r="AB220" i="5" s="1"/>
  <c r="X163" i="5"/>
  <c r="Z71" i="5"/>
  <c r="AA62" i="5"/>
  <c r="AF62" i="5" s="1" a="1"/>
  <c r="AF62" i="5" s="1"/>
  <c r="AG62" i="5" s="1" a="1"/>
  <c r="AG62" i="5" s="1"/>
  <c r="AH62" i="5" s="1"/>
  <c r="AM62" i="5" s="1"/>
  <c r="Z141" i="5"/>
  <c r="Y209" i="5"/>
  <c r="AB209" i="5" s="1"/>
  <c r="X282" i="5"/>
  <c r="AA97" i="5"/>
  <c r="Z259" i="5"/>
  <c r="Z273" i="5"/>
  <c r="Y59" i="5"/>
  <c r="AB59" i="5" s="1"/>
  <c r="AQ59" i="5" s="1"/>
  <c r="Z156" i="5"/>
  <c r="Z109" i="5"/>
  <c r="X32" i="5"/>
  <c r="Z59" i="5"/>
  <c r="AA128" i="5"/>
  <c r="Y181" i="5"/>
  <c r="AB181" i="5" s="1"/>
  <c r="AA146" i="5"/>
  <c r="AF146" i="5" s="1" a="1"/>
  <c r="AF146" i="5" s="1"/>
  <c r="AG146" i="5" s="1" a="1"/>
  <c r="AG146" i="5" s="1"/>
  <c r="AH146" i="5" s="1"/>
  <c r="AM146" i="5" s="1"/>
  <c r="Y287" i="5"/>
  <c r="AB287" i="5" s="1"/>
  <c r="AQ287" i="5" s="1"/>
  <c r="X95" i="5"/>
  <c r="AA263" i="5"/>
  <c r="AA89" i="5"/>
  <c r="AF89" i="5" s="1" a="1"/>
  <c r="AF89" i="5" s="1"/>
  <c r="AG89" i="5" s="1" a="1"/>
  <c r="AG89" i="5" s="1"/>
  <c r="AH89" i="5" s="1"/>
  <c r="AM89" i="5" s="1"/>
  <c r="Z177" i="5"/>
  <c r="Z121" i="5"/>
  <c r="AA282" i="5"/>
  <c r="Y286" i="5"/>
  <c r="AB286" i="5" s="1"/>
  <c r="AQ286" i="5" s="1"/>
  <c r="Y270" i="5"/>
  <c r="AB270" i="5" s="1"/>
  <c r="Y128" i="5"/>
  <c r="AB128" i="5" s="1"/>
  <c r="AQ128" i="5" s="1"/>
  <c r="X287" i="5"/>
  <c r="AA95" i="5"/>
  <c r="Z252" i="5"/>
  <c r="AA126" i="5"/>
  <c r="AA125" i="5"/>
  <c r="Y65" i="5"/>
  <c r="AB65" i="5" s="1"/>
  <c r="AQ65" i="5" s="1"/>
  <c r="Z220" i="5"/>
  <c r="Z172" i="5"/>
  <c r="Y174" i="5"/>
  <c r="AB174" i="5" s="1"/>
  <c r="Z208" i="5"/>
  <c r="Z74" i="5"/>
  <c r="Z179" i="5"/>
  <c r="Y158" i="5"/>
  <c r="AB158" i="5" s="1"/>
  <c r="Z105" i="5"/>
  <c r="X291" i="5"/>
  <c r="Z82" i="5"/>
  <c r="Z120" i="5"/>
  <c r="Z227" i="5"/>
  <c r="Z61" i="5"/>
  <c r="Y284" i="5"/>
  <c r="AB284" i="5" s="1"/>
  <c r="X228" i="5"/>
  <c r="X55" i="5"/>
  <c r="Y260" i="5"/>
  <c r="AB260" i="5" s="1"/>
  <c r="AA275" i="5"/>
  <c r="AA252" i="5"/>
  <c r="X126" i="5"/>
  <c r="Z108" i="5"/>
  <c r="Y40" i="5"/>
  <c r="AB40" i="5" s="1"/>
  <c r="AQ40" i="5" s="1"/>
  <c r="Z207" i="5"/>
  <c r="Z157" i="5"/>
  <c r="Y58" i="5"/>
  <c r="AB58" i="5" s="1"/>
  <c r="AQ58" i="5" s="1"/>
  <c r="AA208" i="5"/>
  <c r="X215" i="5"/>
  <c r="AA107" i="5"/>
  <c r="Y269" i="5"/>
  <c r="AB269" i="5" s="1"/>
  <c r="Z83" i="5"/>
  <c r="Z291" i="5"/>
  <c r="Y82" i="5"/>
  <c r="AB82" i="5" s="1"/>
  <c r="Y166" i="5"/>
  <c r="AB166" i="5" s="1"/>
  <c r="Z92" i="5"/>
  <c r="Z238" i="5"/>
  <c r="Z126" i="5"/>
  <c r="Y91" i="5"/>
  <c r="AB91" i="5" s="1"/>
  <c r="X274" i="5"/>
  <c r="AA209" i="5"/>
  <c r="Y182" i="5"/>
  <c r="AB182" i="5" s="1"/>
  <c r="AA226" i="5"/>
  <c r="Y231" i="5"/>
  <c r="AB231" i="5" s="1"/>
  <c r="AA156" i="5"/>
  <c r="X96" i="5"/>
  <c r="X211" i="5"/>
  <c r="X134" i="5"/>
  <c r="X283" i="5"/>
  <c r="Y80" i="5"/>
  <c r="AB80" i="5" s="1"/>
  <c r="AA294" i="5"/>
  <c r="Z203" i="5"/>
  <c r="AA59" i="5"/>
  <c r="Y281" i="5"/>
  <c r="AB281" i="5" s="1"/>
  <c r="Z80" i="5"/>
  <c r="Z285" i="5"/>
  <c r="Z184" i="5"/>
  <c r="Z91" i="5"/>
  <c r="Z248" i="5"/>
  <c r="Y152" i="5"/>
  <c r="AB152" i="5" s="1"/>
  <c r="X90" i="5"/>
  <c r="Y101" i="5"/>
  <c r="AB101" i="5" s="1"/>
  <c r="X275" i="5"/>
  <c r="AA92" i="5"/>
  <c r="AA238" i="5"/>
  <c r="Y126" i="5"/>
  <c r="AB126" i="5" s="1"/>
  <c r="AQ126" i="5" s="1"/>
  <c r="Z42" i="5"/>
  <c r="X64" i="5"/>
  <c r="AA174" i="5"/>
  <c r="AF174" i="5" s="1" a="1"/>
  <c r="AF174" i="5" s="1"/>
  <c r="AG174" i="5" s="1" a="1"/>
  <c r="AG174" i="5" s="1"/>
  <c r="AH174" i="5" s="1"/>
  <c r="AM174" i="5" s="1"/>
  <c r="Z140" i="5"/>
  <c r="X210" i="5"/>
  <c r="X294" i="5"/>
  <c r="X227" i="5"/>
  <c r="Z40" i="5"/>
  <c r="X269" i="5"/>
  <c r="AA83" i="5"/>
  <c r="Y291" i="5"/>
  <c r="AB291" i="5" s="1"/>
  <c r="X281" i="5"/>
  <c r="Z101" i="5"/>
  <c r="Y275" i="5"/>
  <c r="AB275" i="5" s="1"/>
  <c r="X101" i="5"/>
  <c r="Z275" i="5"/>
  <c r="AA166" i="5"/>
  <c r="AF166" i="5" s="1" a="1"/>
  <c r="AF166" i="5" s="1"/>
  <c r="AG166" i="5" s="1" a="1"/>
  <c r="AG166" i="5" s="1"/>
  <c r="AH166" i="5" s="1"/>
  <c r="AM166" i="5" s="1"/>
  <c r="AA60" i="5"/>
  <c r="Z218" i="5"/>
  <c r="AA101" i="5"/>
  <c r="AA241" i="5"/>
  <c r="X166" i="5"/>
  <c r="Z60" i="5"/>
  <c r="AA218" i="5"/>
  <c r="Y237" i="5"/>
  <c r="AB237" i="5" s="1"/>
  <c r="AA291" i="5"/>
  <c r="AA183" i="5"/>
  <c r="Z81" i="5"/>
  <c r="AA96" i="5"/>
  <c r="Y43" i="5"/>
  <c r="AB43" i="5" s="1"/>
  <c r="Y153" i="5"/>
  <c r="AB153" i="5" s="1"/>
  <c r="Y212" i="5"/>
  <c r="AB212" i="5" s="1"/>
  <c r="Z41" i="5"/>
  <c r="AA32" i="5"/>
  <c r="Z250" i="5"/>
  <c r="Z36" i="5"/>
  <c r="Y70" i="5"/>
  <c r="AB70" i="5" s="1"/>
  <c r="X241" i="5"/>
  <c r="Z166" i="5"/>
  <c r="Z294" i="5"/>
  <c r="AA203" i="5"/>
  <c r="Z125" i="5"/>
  <c r="Z286" i="5"/>
  <c r="AA176" i="5"/>
  <c r="Z235" i="5"/>
  <c r="Y109" i="5"/>
  <c r="AB109" i="5" s="1"/>
  <c r="AA164" i="5"/>
  <c r="AA187" i="5"/>
  <c r="Y179" i="5"/>
  <c r="AB179" i="5" s="1"/>
  <c r="X128" i="5"/>
  <c r="X196" i="5"/>
  <c r="AA80" i="5"/>
  <c r="AA285" i="5"/>
  <c r="AA184" i="5"/>
  <c r="AA181" i="5"/>
  <c r="AF181" i="5" s="1" a="1"/>
  <c r="AF181" i="5" s="1"/>
  <c r="AG181" i="5" s="1" a="1"/>
  <c r="AG181" i="5" s="1"/>
  <c r="AH181" i="5" s="1"/>
  <c r="AM181" i="5" s="1"/>
  <c r="Y161" i="5"/>
  <c r="AB161" i="5" s="1"/>
  <c r="Z249" i="5"/>
  <c r="Z271" i="5"/>
  <c r="Y98" i="5"/>
  <c r="AB98" i="5" s="1"/>
  <c r="Y221" i="5"/>
  <c r="AB221" i="5" s="1"/>
  <c r="Y93" i="5"/>
  <c r="AB93" i="5" s="1"/>
  <c r="Y133" i="5"/>
  <c r="AB133" i="5" s="1"/>
  <c r="Y263" i="5"/>
  <c r="AB263" i="5" s="1"/>
  <c r="AA122" i="5"/>
  <c r="Z178" i="5"/>
  <c r="Y249" i="5"/>
  <c r="AB249" i="5" s="1"/>
  <c r="Y247" i="5"/>
  <c r="AB247" i="5" s="1"/>
  <c r="X292" i="5"/>
  <c r="Z261" i="5"/>
  <c r="AA41" i="5"/>
  <c r="Z52" i="5"/>
  <c r="Z225" i="5"/>
  <c r="Y241" i="5"/>
  <c r="AB241" i="5" s="1"/>
  <c r="Z34" i="5"/>
  <c r="AA142" i="5"/>
  <c r="X76" i="5"/>
  <c r="Y195" i="5"/>
  <c r="AB195" i="5" s="1"/>
  <c r="AQ195" i="5" s="1"/>
  <c r="Z170" i="5"/>
  <c r="Y244" i="5"/>
  <c r="AB244" i="5" s="1"/>
  <c r="Z279" i="5"/>
  <c r="Y139" i="5"/>
  <c r="AB139" i="5" s="1"/>
  <c r="AQ139" i="5" s="1"/>
  <c r="Y224" i="5"/>
  <c r="AB224" i="5" s="1"/>
  <c r="Z206" i="5"/>
  <c r="AA253" i="5"/>
  <c r="AF253" i="5" s="1" a="1"/>
  <c r="AF253" i="5" s="1"/>
  <c r="AG253" i="5" s="1" a="1"/>
  <c r="AG253" i="5" s="1"/>
  <c r="AH253" i="5" s="1"/>
  <c r="AM253" i="5" s="1"/>
  <c r="Y57" i="5"/>
  <c r="AB57" i="5" s="1"/>
  <c r="AQ57" i="5" s="1"/>
  <c r="AA213" i="5"/>
  <c r="AA155" i="5"/>
  <c r="X63" i="5"/>
  <c r="X230" i="5"/>
  <c r="X145" i="5"/>
  <c r="Z76" i="5"/>
  <c r="Z195" i="5"/>
  <c r="X111" i="5"/>
  <c r="Z244" i="5"/>
  <c r="AA279" i="5"/>
  <c r="Z139" i="5"/>
  <c r="Z224" i="5"/>
  <c r="AA206" i="5"/>
  <c r="Y253" i="5"/>
  <c r="AB253" i="5" s="1"/>
  <c r="AQ253" i="5" s="1"/>
  <c r="X37" i="5"/>
  <c r="AA118" i="5"/>
  <c r="Y155" i="5"/>
  <c r="AB155" i="5" s="1"/>
  <c r="X53" i="5"/>
  <c r="AA63" i="5"/>
  <c r="Z230" i="5"/>
  <c r="Y145" i="5"/>
  <c r="AB145" i="5" s="1"/>
  <c r="AQ145" i="5" s="1"/>
  <c r="Z53" i="5"/>
  <c r="Y48" i="5"/>
  <c r="AB48" i="5" s="1"/>
  <c r="X278" i="5"/>
  <c r="Z48" i="5"/>
  <c r="AA33" i="5"/>
  <c r="X229" i="5"/>
  <c r="X213" i="5"/>
  <c r="Z234" i="5"/>
  <c r="X170" i="5"/>
  <c r="X139" i="5"/>
  <c r="AA136" i="5"/>
  <c r="Y63" i="5"/>
  <c r="AB63" i="5" s="1"/>
  <c r="AQ63" i="5" s="1"/>
  <c r="Y230" i="5"/>
  <c r="AB230" i="5" s="1"/>
  <c r="AA76" i="5"/>
  <c r="AA195" i="5"/>
  <c r="AA111" i="5"/>
  <c r="X222" i="5"/>
  <c r="X279" i="5"/>
  <c r="X193" i="5"/>
  <c r="X224" i="5"/>
  <c r="Z253" i="5"/>
  <c r="AA37" i="5"/>
  <c r="AA204" i="5"/>
  <c r="AF204" i="5" s="1" a="1"/>
  <c r="AF204" i="5" s="1"/>
  <c r="AG204" i="5" s="1" a="1"/>
  <c r="AG204" i="5" s="1"/>
  <c r="AH204" i="5" s="1"/>
  <c r="AM204" i="5" s="1"/>
  <c r="Y118" i="5"/>
  <c r="AB118" i="5" s="1"/>
  <c r="AQ118" i="5" s="1"/>
  <c r="X216" i="5"/>
  <c r="Z155" i="5"/>
  <c r="AA230" i="5"/>
  <c r="AF230" i="5" s="1" a="1"/>
  <c r="AF230" i="5" s="1"/>
  <c r="AG230" i="5" s="1" a="1"/>
  <c r="AG230" i="5" s="1"/>
  <c r="AH230" i="5" s="1"/>
  <c r="AM230" i="5" s="1"/>
  <c r="AA145" i="5"/>
  <c r="AA53" i="5"/>
  <c r="AA278" i="5"/>
  <c r="AA170" i="5"/>
  <c r="AF170" i="5" s="1" a="1"/>
  <c r="AF170" i="5" s="1"/>
  <c r="AG170" i="5" s="1" a="1"/>
  <c r="AG170" i="5" s="1"/>
  <c r="AH170" i="5" s="1"/>
  <c r="AM170" i="5" s="1"/>
  <c r="Y279" i="5"/>
  <c r="AB279" i="5" s="1"/>
  <c r="AA139" i="5"/>
  <c r="AA224" i="5"/>
  <c r="Y206" i="5"/>
  <c r="AB206" i="5" s="1"/>
  <c r="AA57" i="5"/>
  <c r="Z213" i="5"/>
  <c r="Y76" i="5"/>
  <c r="AB76" i="5" s="1"/>
  <c r="X201" i="5"/>
  <c r="Y111" i="5"/>
  <c r="AB111" i="5" s="1"/>
  <c r="Y222" i="5"/>
  <c r="AB222" i="5" s="1"/>
  <c r="Z78" i="5"/>
  <c r="Y193" i="5"/>
  <c r="AB193" i="5" s="1"/>
  <c r="X245" i="5"/>
  <c r="Z257" i="5"/>
  <c r="Y37" i="5"/>
  <c r="AB37" i="5" s="1"/>
  <c r="Y204" i="5"/>
  <c r="AB204" i="5" s="1"/>
  <c r="Z118" i="5"/>
  <c r="Y216" i="5"/>
  <c r="AB216" i="5" s="1"/>
  <c r="Z57" i="5"/>
  <c r="Z145" i="5"/>
  <c r="AA201" i="5"/>
  <c r="Z111" i="5"/>
  <c r="Z222" i="5"/>
  <c r="Y78" i="5"/>
  <c r="AB78" i="5" s="1"/>
  <c r="Y173" i="5"/>
  <c r="AB173" i="5" s="1"/>
  <c r="Z193" i="5"/>
  <c r="Z245" i="5"/>
  <c r="X257" i="5"/>
  <c r="Z37" i="5"/>
  <c r="X204" i="5"/>
  <c r="X118" i="5"/>
  <c r="Z216" i="5"/>
  <c r="Y53" i="5"/>
  <c r="AB53" i="5" s="1"/>
  <c r="AQ53" i="5" s="1"/>
  <c r="Y278" i="5"/>
  <c r="AB278" i="5" s="1"/>
  <c r="Y33" i="5"/>
  <c r="AB33" i="5" s="1"/>
  <c r="AQ33" i="5" s="1"/>
  <c r="Z278" i="5"/>
  <c r="X33" i="5"/>
  <c r="Z33" i="5"/>
  <c r="Z280" i="5"/>
  <c r="X155" i="5"/>
  <c r="Y77" i="5"/>
  <c r="AB77" i="5" s="1"/>
  <c r="AQ77" i="5" s="1"/>
  <c r="Y201" i="5"/>
  <c r="AB201" i="5" s="1"/>
  <c r="AA222" i="5"/>
  <c r="X78" i="5"/>
  <c r="AA173" i="5"/>
  <c r="AA193" i="5"/>
  <c r="AA245" i="5"/>
  <c r="X191" i="5"/>
  <c r="AA257" i="5"/>
  <c r="X35" i="5"/>
  <c r="Z204" i="5"/>
  <c r="AA216" i="5"/>
  <c r="Y170" i="5"/>
  <c r="AB170" i="5" s="1"/>
  <c r="Y280" i="5"/>
  <c r="AB280" i="5" s="1"/>
  <c r="Y205" i="5"/>
  <c r="AB205" i="5" s="1"/>
  <c r="Y268" i="5"/>
  <c r="AB268" i="5" s="1"/>
  <c r="AA77" i="5"/>
  <c r="Z201" i="5"/>
  <c r="X258" i="5"/>
  <c r="Y219" i="5"/>
  <c r="AB219" i="5" s="1"/>
  <c r="AA78" i="5"/>
  <c r="Z173" i="5"/>
  <c r="Y245" i="5"/>
  <c r="AB245" i="5" s="1"/>
  <c r="Z191" i="5"/>
  <c r="Y257" i="5"/>
  <c r="AB257" i="5" s="1"/>
  <c r="AQ257" i="5" s="1"/>
  <c r="AA35" i="5"/>
  <c r="X265" i="5"/>
  <c r="Z229" i="5"/>
  <c r="X244" i="5"/>
  <c r="X206" i="5"/>
  <c r="X205" i="5"/>
  <c r="Y213" i="5"/>
  <c r="AB213" i="5" s="1"/>
  <c r="Z77" i="5"/>
  <c r="Y258" i="5"/>
  <c r="AB258" i="5" s="1"/>
  <c r="AQ258" i="5" s="1"/>
  <c r="Z219" i="5"/>
  <c r="X173" i="5"/>
  <c r="X246" i="5"/>
  <c r="Y191" i="5"/>
  <c r="AB191" i="5" s="1"/>
  <c r="AQ191" i="5" s="1"/>
  <c r="Z35" i="5"/>
  <c r="Y265" i="5"/>
  <c r="AB265" i="5" s="1"/>
  <c r="AA50" i="5"/>
  <c r="AA85" i="5"/>
  <c r="X57" i="5"/>
  <c r="Y136" i="5"/>
  <c r="AB136" i="5" s="1"/>
  <c r="Z136" i="5"/>
  <c r="X195" i="5"/>
  <c r="Z205" i="5"/>
  <c r="X268" i="5"/>
  <c r="X77" i="5"/>
  <c r="X154" i="5"/>
  <c r="Z258" i="5"/>
  <c r="AA219" i="5"/>
  <c r="AA240" i="5"/>
  <c r="AA246" i="5"/>
  <c r="X85" i="5"/>
  <c r="AA191" i="5"/>
  <c r="AA102" i="5"/>
  <c r="Y35" i="5"/>
  <c r="AB35" i="5" s="1"/>
  <c r="Z265" i="5"/>
  <c r="Y50" i="5"/>
  <c r="AB50" i="5" s="1"/>
  <c r="X48" i="5"/>
  <c r="Y234" i="5"/>
  <c r="AB234" i="5" s="1"/>
  <c r="Z102" i="5"/>
  <c r="Z63" i="5"/>
  <c r="AA229" i="5"/>
  <c r="AA244" i="5"/>
  <c r="Z154" i="5"/>
  <c r="AA258" i="5"/>
  <c r="X219" i="5"/>
  <c r="Y240" i="5"/>
  <c r="AB240" i="5" s="1"/>
  <c r="X280" i="5"/>
  <c r="Y246" i="5"/>
  <c r="AB246" i="5" s="1"/>
  <c r="Y85" i="5"/>
  <c r="AB85" i="5" s="1"/>
  <c r="Y102" i="5"/>
  <c r="AB102" i="5" s="1"/>
  <c r="AA265" i="5"/>
  <c r="AF265" i="5" s="1" a="1"/>
  <c r="AF265" i="5" s="1"/>
  <c r="AG265" i="5" s="1" a="1"/>
  <c r="AG265" i="5" s="1"/>
  <c r="AH265" i="5" s="1"/>
  <c r="AM265" i="5" s="1"/>
  <c r="Z50" i="5"/>
  <c r="AA48" i="5"/>
  <c r="X234" i="5"/>
  <c r="X253" i="5"/>
  <c r="Y229" i="5"/>
  <c r="AB229" i="5" s="1"/>
  <c r="Y154" i="5"/>
  <c r="AB154" i="5" s="1"/>
  <c r="Z240" i="5"/>
  <c r="AA280" i="5"/>
  <c r="Z246" i="5"/>
  <c r="Z85" i="5"/>
  <c r="X102" i="5"/>
  <c r="AA205" i="5"/>
  <c r="AA268" i="5"/>
  <c r="X50" i="5"/>
  <c r="X136" i="5"/>
  <c r="AA234" i="5"/>
  <c r="AA154" i="5"/>
  <c r="X240" i="5"/>
  <c r="Z268" i="5"/>
  <c r="AW11" i="5" a="1"/>
  <c r="AW11" i="5" s="1"/>
  <c r="AW13" i="5" a="1"/>
  <c r="AW13" i="5" s="1"/>
  <c r="AW14" i="5" a="1"/>
  <c r="AW14" i="5" s="1"/>
  <c r="AW21" i="5" a="1"/>
  <c r="AW21" i="5" s="1"/>
  <c r="AW15" i="5" a="1"/>
  <c r="AW15" i="5" s="1"/>
  <c r="AW8" i="5" a="1"/>
  <c r="AW8" i="5" s="1"/>
  <c r="AW16" i="5" a="1"/>
  <c r="AW16" i="5" s="1"/>
  <c r="AW9" i="5" a="1"/>
  <c r="AW9" i="5" s="1"/>
  <c r="AW20" i="5" a="1"/>
  <c r="AW20" i="5" s="1"/>
  <c r="AW34" i="5" a="1"/>
  <c r="AW34" i="5" s="1"/>
  <c r="AW10" i="5" a="1"/>
  <c r="AW10" i="5" s="1"/>
  <c r="AW18" i="5" a="1"/>
  <c r="AW18" i="5" s="1"/>
  <c r="X20" i="5"/>
  <c r="X29" i="5"/>
  <c r="X17" i="5"/>
  <c r="X6" i="5"/>
  <c r="X9" i="5"/>
  <c r="X15" i="5"/>
  <c r="X27" i="5"/>
  <c r="X23" i="5"/>
  <c r="X10" i="5"/>
  <c r="X31" i="5"/>
  <c r="X13" i="5"/>
  <c r="X18" i="5"/>
  <c r="X11" i="5"/>
  <c r="X8" i="5"/>
  <c r="X25" i="5"/>
  <c r="X22" i="5"/>
  <c r="X28" i="5"/>
  <c r="X14" i="5"/>
  <c r="X12" i="5"/>
  <c r="X7" i="5"/>
  <c r="X26" i="5"/>
  <c r="X21" i="5"/>
  <c r="X16" i="5"/>
  <c r="X19" i="5"/>
  <c r="X24" i="5"/>
  <c r="X30" i="5"/>
  <c r="AA12" i="5"/>
  <c r="Y27" i="5"/>
  <c r="AB27" i="5" s="1"/>
  <c r="Z6" i="5"/>
  <c r="Y13" i="5"/>
  <c r="AB13" i="5" s="1"/>
  <c r="AQ13" i="5" s="1"/>
  <c r="AA13" i="5"/>
  <c r="Z17" i="5"/>
  <c r="AA22" i="5"/>
  <c r="Z23" i="5"/>
  <c r="AA14" i="5"/>
  <c r="Y29" i="5"/>
  <c r="AB29" i="5" s="1"/>
  <c r="AQ29" i="5" s="1"/>
  <c r="AA7" i="5"/>
  <c r="AA21" i="5"/>
  <c r="AA25" i="5"/>
  <c r="Y11" i="5"/>
  <c r="AB11" i="5" s="1"/>
  <c r="AQ11" i="5" s="1"/>
  <c r="Z30" i="5"/>
  <c r="AA24" i="5"/>
  <c r="Z25" i="5"/>
  <c r="Z22" i="5"/>
  <c r="Z11" i="5"/>
  <c r="Y20" i="5"/>
  <c r="AB20" i="5" s="1"/>
  <c r="AQ20" i="5" s="1"/>
  <c r="Z20" i="5"/>
  <c r="AA20" i="5"/>
  <c r="Y19" i="5"/>
  <c r="AB19" i="5" s="1"/>
  <c r="AQ19" i="5" s="1"/>
  <c r="AA30" i="5"/>
  <c r="Y10" i="5"/>
  <c r="AB10" i="5" s="1"/>
  <c r="AQ10" i="5" s="1"/>
  <c r="Y14" i="5"/>
  <c r="AB14" i="5" s="1"/>
  <c r="AQ14" i="5" s="1"/>
  <c r="Y30" i="5"/>
  <c r="AB30" i="5" s="1"/>
  <c r="AQ30" i="5" s="1"/>
  <c r="Y24" i="5"/>
  <c r="AB24" i="5" s="1"/>
  <c r="AQ24" i="5" s="1"/>
  <c r="Z19" i="5"/>
  <c r="Y15" i="5"/>
  <c r="AB15" i="5" s="1"/>
  <c r="AQ15" i="5" s="1"/>
  <c r="Z24" i="5"/>
  <c r="Z13" i="5"/>
  <c r="Z10" i="5"/>
  <c r="Z14" i="5"/>
  <c r="Y17" i="5"/>
  <c r="AB17" i="5" s="1"/>
  <c r="Y31" i="5"/>
  <c r="AB31" i="5" s="1"/>
  <c r="AQ31" i="5" s="1"/>
  <c r="Z9" i="5"/>
  <c r="AA26" i="5"/>
  <c r="AF26" i="5" s="1" a="1"/>
  <c r="AF26" i="5" s="1"/>
  <c r="AG26" i="5" s="1" a="1"/>
  <c r="AG26" i="5" s="1"/>
  <c r="AH26" i="5" s="1"/>
  <c r="AM26" i="5" s="1"/>
  <c r="Y22" i="5"/>
  <c r="AB22" i="5" s="1"/>
  <c r="AQ22" i="5" s="1"/>
  <c r="AA23" i="5"/>
  <c r="Z31" i="5"/>
  <c r="Y7" i="5"/>
  <c r="AB7" i="5" s="1"/>
  <c r="AQ7" i="5" s="1"/>
  <c r="AA27" i="5"/>
  <c r="Z26" i="5"/>
  <c r="AA17" i="5"/>
  <c r="Z28" i="5"/>
  <c r="Y9" i="5"/>
  <c r="AB9" i="5" s="1"/>
  <c r="AQ9" i="5" s="1"/>
  <c r="Y21" i="5"/>
  <c r="AB21" i="5" s="1"/>
  <c r="AQ21" i="5" s="1"/>
  <c r="AA6" i="5"/>
  <c r="AF6" i="5" s="1" a="1"/>
  <c r="AF6" i="5" s="1"/>
  <c r="AG6" i="5" s="1" a="1"/>
  <c r="AG6" i="5" s="1"/>
  <c r="AH6" i="5" s="1"/>
  <c r="AM6" i="5" s="1"/>
  <c r="Y12" i="5"/>
  <c r="AB12" i="5" s="1"/>
  <c r="AQ12" i="5" s="1"/>
  <c r="Y6" i="5"/>
  <c r="AB6" i="5" s="1"/>
  <c r="AQ6" i="5" s="1"/>
  <c r="Z8" i="5"/>
  <c r="Y8" i="5"/>
  <c r="AB8" i="5" s="1"/>
  <c r="AQ8" i="5" s="1"/>
  <c r="Z16" i="5"/>
  <c r="Y26" i="5"/>
  <c r="AB26" i="5" s="1"/>
  <c r="Y18" i="5"/>
  <c r="AB18" i="5" s="1"/>
  <c r="AQ18" i="5" s="1"/>
  <c r="Y28" i="5"/>
  <c r="AB28" i="5" s="1"/>
  <c r="AQ28" i="5" s="1"/>
  <c r="Z12" i="5"/>
  <c r="AA28" i="5"/>
  <c r="AA10" i="5"/>
  <c r="Z27" i="5"/>
  <c r="Z18" i="5"/>
  <c r="AA18" i="5"/>
  <c r="AA31" i="5"/>
  <c r="Z15" i="5"/>
  <c r="Z29" i="5"/>
  <c r="Y23" i="5"/>
  <c r="AB23" i="5" s="1"/>
  <c r="AQ23" i="5" s="1"/>
  <c r="AA19" i="5"/>
  <c r="Z7" i="5"/>
  <c r="Y16" i="5"/>
  <c r="AB16" i="5" s="1"/>
  <c r="AQ16" i="5" s="1"/>
  <c r="AA15" i="5"/>
  <c r="AA8" i="5"/>
  <c r="Z21" i="5"/>
  <c r="Y25" i="5"/>
  <c r="AB25" i="5" s="1"/>
  <c r="AA9" i="5"/>
  <c r="AA11" i="5"/>
  <c r="AA16" i="5"/>
  <c r="AA29" i="5"/>
  <c r="AX16" i="8" l="1"/>
  <c r="AX15" i="8"/>
  <c r="AX14" i="8"/>
  <c r="AX13" i="8"/>
  <c r="AX11" i="8"/>
  <c r="AX17" i="8"/>
  <c r="AX12" i="8"/>
  <c r="A13" i="8"/>
  <c r="A14" i="8"/>
  <c r="A15" i="8"/>
  <c r="A16" i="8"/>
  <c r="A17" i="8"/>
  <c r="A11" i="8"/>
  <c r="A12" i="8"/>
  <c r="AF53" i="5" a="1"/>
  <c r="AF53" i="5" s="1"/>
  <c r="AG53" i="5" s="1" a="1"/>
  <c r="AG53" i="5" s="1"/>
  <c r="AH53" i="5" s="1"/>
  <c r="AM53" i="5" s="1"/>
  <c r="AF206" i="5" a="1"/>
  <c r="AF206" i="5" s="1"/>
  <c r="AF144" i="5" a="1"/>
  <c r="AF144" i="5" s="1"/>
  <c r="AG144" i="5" s="1" a="1"/>
  <c r="AG144" i="5" s="1"/>
  <c r="AH144" i="5" s="1"/>
  <c r="AM144" i="5" s="1"/>
  <c r="AF275" i="5" a="1"/>
  <c r="AF275" i="5" s="1"/>
  <c r="AG275" i="5" s="1" a="1"/>
  <c r="AG275" i="5" s="1"/>
  <c r="AH275" i="5" s="1"/>
  <c r="AM275" i="5" s="1"/>
  <c r="AF58" i="5" a="1"/>
  <c r="AF58" i="5" s="1"/>
  <c r="AG58" i="5" s="1" a="1"/>
  <c r="AG58" i="5" s="1"/>
  <c r="AH58" i="5" s="1"/>
  <c r="AM58" i="5" s="1"/>
  <c r="AF184" i="5" a="1"/>
  <c r="AF184" i="5" s="1"/>
  <c r="AG184" i="5" s="1" a="1"/>
  <c r="AG184" i="5" s="1"/>
  <c r="AH184" i="5" s="1"/>
  <c r="AM184" i="5" s="1"/>
  <c r="AF207" i="5" a="1"/>
  <c r="AF207" i="5" s="1"/>
  <c r="AF156" i="5" a="1"/>
  <c r="AF156" i="5" s="1"/>
  <c r="AG156" i="5" s="1" a="1"/>
  <c r="AG156" i="5" s="1"/>
  <c r="AH156" i="5" s="1"/>
  <c r="AM156" i="5" s="1"/>
  <c r="AF103" i="5" a="1"/>
  <c r="AF103" i="5" s="1"/>
  <c r="AG103" i="5" s="1" a="1"/>
  <c r="AG103" i="5" s="1"/>
  <c r="AH103" i="5" s="1"/>
  <c r="AM103" i="5" s="1"/>
  <c r="AF178" i="5" a="1"/>
  <c r="AF178" i="5" s="1"/>
  <c r="AF179" i="5" a="1"/>
  <c r="AF179" i="5" s="1"/>
  <c r="AF107" i="5" a="1"/>
  <c r="AF107" i="5" s="1"/>
  <c r="AG107" i="5" s="1" a="1"/>
  <c r="AG107" i="5" s="1"/>
  <c r="AH107" i="5" s="1"/>
  <c r="AM107" i="5" s="1"/>
  <c r="AF78" i="5" a="1"/>
  <c r="AF78" i="5" s="1"/>
  <c r="AG78" i="5" s="1" a="1"/>
  <c r="AG78" i="5" s="1"/>
  <c r="AH78" i="5" s="1"/>
  <c r="AM78" i="5" s="1"/>
  <c r="AF291" i="5" a="1"/>
  <c r="AF291" i="5" s="1"/>
  <c r="AG291" i="5" s="1" a="1"/>
  <c r="AG291" i="5" s="1"/>
  <c r="AH291" i="5" s="1"/>
  <c r="AM291" i="5" s="1"/>
  <c r="AF283" i="5" a="1"/>
  <c r="AF283" i="5" s="1"/>
  <c r="AG283" i="5" s="1" a="1"/>
  <c r="AG283" i="5" s="1"/>
  <c r="AH283" i="5" s="1"/>
  <c r="AM283" i="5" s="1"/>
  <c r="AF244" i="5" a="1"/>
  <c r="AF244" i="5" s="1"/>
  <c r="AG244" i="5" s="1" a="1"/>
  <c r="AG244" i="5" s="1"/>
  <c r="AH244" i="5" s="1"/>
  <c r="AM244" i="5" s="1"/>
  <c r="AF284" i="5" a="1"/>
  <c r="AF284" i="5" s="1"/>
  <c r="AG284" i="5" s="1" a="1"/>
  <c r="AG284" i="5" s="1"/>
  <c r="AH284" i="5" s="1"/>
  <c r="AM284" i="5" s="1"/>
  <c r="AF155" i="5" a="1"/>
  <c r="AF155" i="5" s="1"/>
  <c r="AG155" i="5" s="1" a="1"/>
  <c r="AG155" i="5" s="1"/>
  <c r="AH155" i="5" s="1"/>
  <c r="AM155" i="5" s="1"/>
  <c r="AF171" i="5" a="1"/>
  <c r="AF171" i="5" s="1"/>
  <c r="AF129" i="5" a="1"/>
  <c r="AF129" i="5" s="1"/>
  <c r="AG129" i="5" s="1" a="1"/>
  <c r="AG129" i="5" s="1"/>
  <c r="AH129" i="5" s="1"/>
  <c r="AM129" i="5" s="1"/>
  <c r="AF105" i="5" a="1"/>
  <c r="AF105" i="5" s="1"/>
  <c r="AG105" i="5" s="1" a="1"/>
  <c r="AG105" i="5" s="1"/>
  <c r="AH105" i="5" s="1"/>
  <c r="AM105" i="5" s="1"/>
  <c r="AF133" i="5" a="1"/>
  <c r="AF133" i="5" s="1"/>
  <c r="AF172" i="5" a="1"/>
  <c r="AF172" i="5" s="1"/>
  <c r="AG172" i="5" s="1" a="1"/>
  <c r="AG172" i="5" s="1"/>
  <c r="AH172" i="5" s="1"/>
  <c r="AM172" i="5" s="1"/>
  <c r="AF117" i="5" a="1"/>
  <c r="AF117" i="5" s="1"/>
  <c r="AG117" i="5" s="1" a="1"/>
  <c r="AG117" i="5" s="1"/>
  <c r="AH117" i="5" s="1"/>
  <c r="AM117" i="5" s="1"/>
  <c r="AF193" i="5" a="1"/>
  <c r="AF193" i="5" s="1"/>
  <c r="AG193" i="5" s="1" a="1"/>
  <c r="AG193" i="5" s="1"/>
  <c r="AH193" i="5" s="1"/>
  <c r="AM193" i="5" s="1"/>
  <c r="AF173" i="5" a="1"/>
  <c r="AF173" i="5" s="1"/>
  <c r="AG173" i="5" s="1" a="1"/>
  <c r="AG173" i="5" s="1"/>
  <c r="AH173" i="5" s="1"/>
  <c r="AM173" i="5" s="1"/>
  <c r="AF255" i="5" a="1"/>
  <c r="AF255" i="5" s="1"/>
  <c r="AF94" i="5" a="1"/>
  <c r="AF94" i="5" s="1"/>
  <c r="AF217" i="5" a="1"/>
  <c r="AF217" i="5" s="1"/>
  <c r="AG217" i="5" s="1" a="1"/>
  <c r="AG217" i="5" s="1"/>
  <c r="AH217" i="5" s="1"/>
  <c r="AM217" i="5" s="1"/>
  <c r="AF61" i="5" a="1"/>
  <c r="AF61" i="5" s="1"/>
  <c r="AG61" i="5" s="1" a="1"/>
  <c r="AG61" i="5" s="1"/>
  <c r="AH61" i="5" s="1"/>
  <c r="AM61" i="5" s="1"/>
  <c r="AF194" i="5" a="1"/>
  <c r="AF194" i="5" s="1"/>
  <c r="AG194" i="5" s="1" a="1"/>
  <c r="AG194" i="5" s="1"/>
  <c r="AH194" i="5" s="1"/>
  <c r="AM194" i="5" s="1"/>
  <c r="AF218" i="5" a="1"/>
  <c r="AF218" i="5" s="1"/>
  <c r="AF192" i="5" a="1"/>
  <c r="AF192" i="5" s="1"/>
  <c r="AG192" i="5" s="1" a="1"/>
  <c r="AG192" i="5" s="1"/>
  <c r="AH192" i="5" s="1"/>
  <c r="AM192" i="5" s="1"/>
  <c r="AF79" i="5" a="1"/>
  <c r="AF79" i="5" s="1"/>
  <c r="AF216" i="5" a="1"/>
  <c r="AF216" i="5" s="1"/>
  <c r="AG216" i="5" s="1" a="1"/>
  <c r="AG216" i="5" s="1"/>
  <c r="AH216" i="5" s="1"/>
  <c r="AM216" i="5" s="1"/>
  <c r="AF66" i="5" a="1"/>
  <c r="AF66" i="5" s="1"/>
  <c r="AG66" i="5" s="1" a="1"/>
  <c r="AG66" i="5" s="1"/>
  <c r="AH66" i="5" s="1"/>
  <c r="AM66" i="5" s="1"/>
  <c r="AF109" i="5" a="1"/>
  <c r="AF109" i="5" s="1"/>
  <c r="AG109" i="5" s="1" a="1"/>
  <c r="AG109" i="5" s="1"/>
  <c r="AH109" i="5" s="1"/>
  <c r="AM109" i="5" s="1"/>
  <c r="AF147" i="5" a="1"/>
  <c r="AF147" i="5" s="1"/>
  <c r="AF257" i="5" a="1"/>
  <c r="AF257" i="5" s="1"/>
  <c r="AG257" i="5" s="1" a="1"/>
  <c r="AG257" i="5" s="1"/>
  <c r="AH257" i="5" s="1"/>
  <c r="AM257" i="5" s="1"/>
  <c r="AF126" i="5" a="1"/>
  <c r="AF126" i="5" s="1"/>
  <c r="AG126" i="5" s="1" a="1"/>
  <c r="AG126" i="5" s="1"/>
  <c r="AH126" i="5" s="1"/>
  <c r="AM126" i="5" s="1"/>
  <c r="AF158" i="5" a="1"/>
  <c r="AF158" i="5" s="1"/>
  <c r="AF116" i="5" a="1"/>
  <c r="AF116" i="5" s="1"/>
  <c r="AG116" i="5" s="1" a="1"/>
  <c r="AG116" i="5" s="1"/>
  <c r="AH116" i="5" s="1"/>
  <c r="AM116" i="5" s="1"/>
  <c r="AF233" i="5" a="1"/>
  <c r="AF233" i="5" s="1"/>
  <c r="AF50" i="5" a="1"/>
  <c r="AF50" i="5" s="1"/>
  <c r="AG50" i="5" s="1" a="1"/>
  <c r="AG50" i="5" s="1"/>
  <c r="AH50" i="5" s="1"/>
  <c r="AM50" i="5" s="1"/>
  <c r="AF45" i="5" a="1"/>
  <c r="AF45" i="5" s="1"/>
  <c r="AF245" i="5" a="1"/>
  <c r="AF245" i="5" s="1"/>
  <c r="AF266" i="5" a="1"/>
  <c r="AF266" i="5" s="1"/>
  <c r="AF134" i="5" a="1"/>
  <c r="AF134" i="5" s="1"/>
  <c r="AF285" i="5" a="1"/>
  <c r="AF285" i="5" s="1"/>
  <c r="AG285" i="5" s="1" a="1"/>
  <c r="AG285" i="5" s="1"/>
  <c r="AH285" i="5" s="1"/>
  <c r="AM285" i="5" s="1"/>
  <c r="AF135" i="5" a="1"/>
  <c r="AF135" i="5" s="1"/>
  <c r="AF272" i="5" a="1"/>
  <c r="AF272" i="5" s="1"/>
  <c r="AF38" i="5" a="1"/>
  <c r="AF38" i="5" s="1"/>
  <c r="AG38" i="5" s="1" a="1"/>
  <c r="AG38" i="5" s="1"/>
  <c r="AH38" i="5" s="1"/>
  <c r="AM38" i="5" s="1"/>
  <c r="AF195" i="5" a="1"/>
  <c r="AF195" i="5" s="1"/>
  <c r="AG195" i="5" s="1" a="1"/>
  <c r="AG195" i="5" s="1"/>
  <c r="AH195" i="5" s="1"/>
  <c r="AM195" i="5" s="1"/>
  <c r="AF278" i="5" a="1"/>
  <c r="AF278" i="5" s="1"/>
  <c r="AF161" i="5" a="1"/>
  <c r="AF161" i="5" s="1"/>
  <c r="AS191" i="5" a="1"/>
  <c r="AS191" i="5" s="1"/>
  <c r="AU191" i="5" a="1"/>
  <c r="AU191" i="5" s="1"/>
  <c r="BF191" i="5" s="1"/>
  <c r="AS258" i="5" a="1"/>
  <c r="AS258" i="5" s="1"/>
  <c r="AU258" i="5" a="1"/>
  <c r="AU258" i="5" s="1"/>
  <c r="BF258" i="5" s="1"/>
  <c r="AS257" i="5" a="1"/>
  <c r="AS257" i="5" s="1"/>
  <c r="AU257" i="5" a="1"/>
  <c r="AU257" i="5" s="1"/>
  <c r="BF257" i="5" s="1"/>
  <c r="AU77" i="5" a="1"/>
  <c r="AU77" i="5" s="1"/>
  <c r="BF77" i="5" s="1"/>
  <c r="AS77" i="5" a="1"/>
  <c r="AS77" i="5" s="1"/>
  <c r="AS33" i="5" a="1"/>
  <c r="AS33" i="5" s="1"/>
  <c r="AU33" i="5" a="1"/>
  <c r="AU33" i="5" s="1"/>
  <c r="BF33" i="5" s="1"/>
  <c r="AS53" i="5" a="1"/>
  <c r="AS53" i="5" s="1"/>
  <c r="AU53" i="5" a="1"/>
  <c r="AU53" i="5" s="1"/>
  <c r="BF53" i="5" s="1"/>
  <c r="AS118" i="5" a="1"/>
  <c r="AS118" i="5" s="1"/>
  <c r="AU118" i="5" a="1"/>
  <c r="AU118" i="5" s="1"/>
  <c r="BF118" i="5" s="1"/>
  <c r="AS63" i="5" a="1"/>
  <c r="AS63" i="5" s="1"/>
  <c r="AU63" i="5" a="1"/>
  <c r="AU63" i="5" s="1"/>
  <c r="BF63" i="5" s="1"/>
  <c r="AS145" i="5" a="1"/>
  <c r="AS145" i="5" s="1"/>
  <c r="AU145" i="5" a="1"/>
  <c r="AU145" i="5" s="1"/>
  <c r="BF145" i="5" s="1"/>
  <c r="AS253" i="5" a="1"/>
  <c r="AS253" i="5" s="1"/>
  <c r="AU253" i="5" a="1"/>
  <c r="AU253" i="5" s="1"/>
  <c r="BF253" i="5" s="1"/>
  <c r="AS57" i="5" a="1"/>
  <c r="AS57" i="5" s="1"/>
  <c r="AU57" i="5" a="1"/>
  <c r="AU57" i="5" s="1"/>
  <c r="BF57" i="5" s="1"/>
  <c r="AS139" i="5" a="1"/>
  <c r="AS139" i="5" s="1"/>
  <c r="AU139" i="5" a="1"/>
  <c r="AU139" i="5" s="1"/>
  <c r="BF139" i="5" s="1"/>
  <c r="AS195" i="5" a="1"/>
  <c r="AS195" i="5" s="1"/>
  <c r="AU195" i="5" a="1"/>
  <c r="AU195" i="5" s="1"/>
  <c r="BF195" i="5" s="1"/>
  <c r="AS126" i="5" a="1"/>
  <c r="AS126" i="5" s="1"/>
  <c r="AU126" i="5" a="1"/>
  <c r="AU126" i="5" s="1"/>
  <c r="BF126" i="5" s="1"/>
  <c r="AS58" i="5" a="1"/>
  <c r="AS58" i="5" s="1"/>
  <c r="AU58" i="5" a="1"/>
  <c r="AU58" i="5" s="1"/>
  <c r="BF58" i="5" s="1"/>
  <c r="AS40" i="5" a="1"/>
  <c r="AS40" i="5" s="1"/>
  <c r="AU40" i="5" a="1"/>
  <c r="AU40" i="5" s="1"/>
  <c r="BF40" i="5" s="1"/>
  <c r="AS65" i="5" a="1"/>
  <c r="AS65" i="5" s="1"/>
  <c r="AU65" i="5" a="1"/>
  <c r="AU65" i="5" s="1"/>
  <c r="BF65" i="5" s="1"/>
  <c r="AS128" i="5" a="1"/>
  <c r="AS128" i="5" s="1"/>
  <c r="AU128" i="5" a="1"/>
  <c r="AU128" i="5" s="1"/>
  <c r="BF128" i="5" s="1"/>
  <c r="AS286" i="5" a="1"/>
  <c r="AS286" i="5" s="1"/>
  <c r="AU286" i="5" a="1"/>
  <c r="AU286" i="5" s="1"/>
  <c r="BF286" i="5" s="1"/>
  <c r="AS287" i="5" a="1"/>
  <c r="AS287" i="5" s="1"/>
  <c r="AU287" i="5" a="1"/>
  <c r="AU287" i="5" s="1"/>
  <c r="BF287" i="5" s="1"/>
  <c r="AU59" i="5" a="1"/>
  <c r="AU59" i="5" s="1"/>
  <c r="BF59" i="5" s="1"/>
  <c r="AS59" i="5" a="1"/>
  <c r="AS59" i="5" s="1"/>
  <c r="AS185" i="5" a="1"/>
  <c r="AS185" i="5" s="1"/>
  <c r="AU185" i="5" a="1"/>
  <c r="AU185" i="5" s="1"/>
  <c r="BF185" i="5" s="1"/>
  <c r="AS44" i="5" a="1"/>
  <c r="AS44" i="5" s="1"/>
  <c r="AU44" i="5" a="1"/>
  <c r="AU44" i="5" s="1"/>
  <c r="BF44" i="5" s="1"/>
  <c r="AS290" i="5" a="1"/>
  <c r="AS290" i="5" s="1"/>
  <c r="AU290" i="5" a="1"/>
  <c r="AU290" i="5" s="1"/>
  <c r="BF290" i="5" s="1"/>
  <c r="AS120" i="5" a="1"/>
  <c r="AS120" i="5" s="1"/>
  <c r="AU120" i="5" a="1"/>
  <c r="AU120" i="5" s="1"/>
  <c r="BF120" i="5" s="1"/>
  <c r="AS289" i="5" a="1"/>
  <c r="AS289" i="5" s="1"/>
  <c r="AU289" i="5" a="1"/>
  <c r="AU289" i="5" s="1"/>
  <c r="BF289" i="5" s="1"/>
  <c r="AS54" i="5" a="1"/>
  <c r="AS54" i="5" s="1"/>
  <c r="AU54" i="5" a="1"/>
  <c r="AU54" i="5" s="1"/>
  <c r="BF54" i="5" s="1"/>
  <c r="AS49" i="5" a="1"/>
  <c r="AS49" i="5" s="1"/>
  <c r="AU49" i="5" a="1"/>
  <c r="AU49" i="5" s="1"/>
  <c r="BF49" i="5" s="1"/>
  <c r="AS42" i="5" a="1"/>
  <c r="AS42" i="5" s="1"/>
  <c r="AU42" i="5" a="1"/>
  <c r="AU42" i="5" s="1"/>
  <c r="BF42" i="5" s="1"/>
  <c r="AS137" i="5" a="1"/>
  <c r="AS137" i="5" s="1"/>
  <c r="AU137" i="5" a="1"/>
  <c r="AU137" i="5" s="1"/>
  <c r="BF137" i="5" s="1"/>
  <c r="AS32" i="5" a="1"/>
  <c r="AS32" i="5" s="1"/>
  <c r="AU32" i="5" a="1"/>
  <c r="AU32" i="5" s="1"/>
  <c r="BF32" i="5" s="1"/>
  <c r="AS67" i="5" a="1"/>
  <c r="AS67" i="5" s="1"/>
  <c r="AU67" i="5" a="1"/>
  <c r="AU67" i="5" s="1"/>
  <c r="BF67" i="5" s="1"/>
  <c r="AS64" i="5" a="1"/>
  <c r="AS64" i="5" s="1"/>
  <c r="AU64" i="5" a="1"/>
  <c r="AU64" i="5" s="1"/>
  <c r="BF64" i="5" s="1"/>
  <c r="AS60" i="5" a="1"/>
  <c r="AS60" i="5" s="1"/>
  <c r="AU60" i="5" a="1"/>
  <c r="AU60" i="5" s="1"/>
  <c r="BF60" i="5" s="1"/>
  <c r="AS51" i="5" a="1"/>
  <c r="AS51" i="5" s="1"/>
  <c r="AU51" i="5" a="1"/>
  <c r="AU51" i="5" s="1"/>
  <c r="BF51" i="5" s="1"/>
  <c r="AS38" i="5" a="1"/>
  <c r="AS38" i="5" s="1"/>
  <c r="AU38" i="5" a="1"/>
  <c r="AU38" i="5" s="1"/>
  <c r="BF38" i="5" s="1"/>
  <c r="AS36" i="5" a="1"/>
  <c r="AS36" i="5" s="1"/>
  <c r="AU36" i="5" a="1"/>
  <c r="AU36" i="5" s="1"/>
  <c r="BF36" i="5" s="1"/>
  <c r="AS74" i="5" a="1"/>
  <c r="AS74" i="5" s="1"/>
  <c r="AU74" i="5" a="1"/>
  <c r="AU74" i="5" s="1"/>
  <c r="BF74" i="5" s="1"/>
  <c r="AS135" i="5" a="1"/>
  <c r="AS135" i="5" s="1"/>
  <c r="AU135" i="5" a="1"/>
  <c r="AU135" i="5" s="1"/>
  <c r="BF135" i="5" s="1"/>
  <c r="AS119" i="5" a="1"/>
  <c r="AS119" i="5" s="1"/>
  <c r="AU119" i="5" a="1"/>
  <c r="AU119" i="5" s="1"/>
  <c r="BF119" i="5" s="1"/>
  <c r="AS34" i="5" a="1"/>
  <c r="AS34" i="5" s="1"/>
  <c r="AU34" i="5" a="1"/>
  <c r="AU34" i="5" s="1"/>
  <c r="BF34" i="5" s="1"/>
  <c r="AS123" i="5" a="1"/>
  <c r="AS123" i="5" s="1"/>
  <c r="AU123" i="5" a="1"/>
  <c r="AU123" i="5" s="1"/>
  <c r="BF123" i="5" s="1"/>
  <c r="AS188" i="5" a="1"/>
  <c r="AS188" i="5" s="1"/>
  <c r="AU188" i="5" a="1"/>
  <c r="AU188" i="5" s="1"/>
  <c r="BF188" i="5" s="1"/>
  <c r="AS187" i="5" a="1"/>
  <c r="AS187" i="5" s="1"/>
  <c r="AU187" i="5" a="1"/>
  <c r="AU187" i="5" s="1"/>
  <c r="BF187" i="5" s="1"/>
  <c r="AU186" i="5" a="1"/>
  <c r="AU186" i="5" s="1"/>
  <c r="BF186" i="5" s="1"/>
  <c r="AS186" i="5" a="1"/>
  <c r="AS186" i="5" s="1"/>
  <c r="AU61" i="5" a="1"/>
  <c r="AU61" i="5" s="1"/>
  <c r="BF61" i="5" s="1"/>
  <c r="AS61" i="5" a="1"/>
  <c r="AS61" i="5" s="1"/>
  <c r="AS189" i="5" a="1"/>
  <c r="AS189" i="5" s="1"/>
  <c r="AU189" i="5" a="1"/>
  <c r="AU189" i="5" s="1"/>
  <c r="BF189" i="5" s="1"/>
  <c r="AS47" i="5" a="1"/>
  <c r="AS47" i="5" s="1"/>
  <c r="AU47" i="5" a="1"/>
  <c r="AU47" i="5" s="1"/>
  <c r="BF47" i="5" s="1"/>
  <c r="AU256" i="5" a="1"/>
  <c r="AU256" i="5" s="1"/>
  <c r="BF256" i="5" s="1"/>
  <c r="AS256" i="5" a="1"/>
  <c r="AS256" i="5" s="1"/>
  <c r="AS68" i="5" a="1"/>
  <c r="AS68" i="5" s="1"/>
  <c r="AU68" i="5" a="1"/>
  <c r="AU68" i="5" s="1"/>
  <c r="BF68" i="5" s="1"/>
  <c r="AU255" i="5" a="1"/>
  <c r="AU255" i="5" s="1"/>
  <c r="BF255" i="5" s="1"/>
  <c r="AS255" i="5" a="1"/>
  <c r="AS255" i="5" s="1"/>
  <c r="AS122" i="5" a="1"/>
  <c r="AS122" i="5" s="1"/>
  <c r="AU122" i="5" a="1"/>
  <c r="AU122" i="5" s="1"/>
  <c r="BF122" i="5" s="1"/>
  <c r="AS66" i="5" a="1"/>
  <c r="AS66" i="5" s="1"/>
  <c r="AU66" i="5" a="1"/>
  <c r="AU66" i="5" s="1"/>
  <c r="BF66" i="5" s="1"/>
  <c r="AS254" i="5" a="1"/>
  <c r="AS254" i="5" s="1"/>
  <c r="AU254" i="5" a="1"/>
  <c r="AU254" i="5" s="1"/>
  <c r="BF254" i="5" s="1"/>
  <c r="AS121" i="5" a="1"/>
  <c r="AS121" i="5" s="1"/>
  <c r="AU121" i="5" a="1"/>
  <c r="AU121" i="5" s="1"/>
  <c r="BF121" i="5" s="1"/>
  <c r="AS62" i="5" a="1"/>
  <c r="AS62" i="5" s="1"/>
  <c r="AU62" i="5" a="1"/>
  <c r="AU62" i="5" s="1"/>
  <c r="BF62" i="5" s="1"/>
  <c r="AS190" i="5" a="1"/>
  <c r="AS190" i="5" s="1"/>
  <c r="AU190" i="5" a="1"/>
  <c r="AU190" i="5" s="1"/>
  <c r="BF190" i="5" s="1"/>
  <c r="AU288" i="5" a="1"/>
  <c r="AU288" i="5" s="1"/>
  <c r="BF288" i="5" s="1"/>
  <c r="AS288" i="5" a="1"/>
  <c r="AS288" i="5" s="1"/>
  <c r="AS45" i="5" a="1"/>
  <c r="AS45" i="5" s="1"/>
  <c r="AU45" i="5" a="1"/>
  <c r="AU45" i="5" s="1"/>
  <c r="BF45" i="5" s="1"/>
  <c r="AS13" i="5" a="1"/>
  <c r="AS13" i="5" s="1"/>
  <c r="AU13" i="5" a="1"/>
  <c r="AU13" i="5" s="1"/>
  <c r="BF13" i="5" s="1"/>
  <c r="AS7" i="5" a="1"/>
  <c r="AS7" i="5" s="1"/>
  <c r="AU7" i="5" a="1"/>
  <c r="AU7" i="5" s="1"/>
  <c r="BF7" i="5" s="1"/>
  <c r="AU30" i="5" a="1"/>
  <c r="AU30" i="5" s="1"/>
  <c r="BF30" i="5" s="1"/>
  <c r="AS30" i="5" a="1"/>
  <c r="AS30" i="5" s="1"/>
  <c r="AS14" i="5" a="1"/>
  <c r="AS14" i="5" s="1"/>
  <c r="AU14" i="5" a="1"/>
  <c r="AU14" i="5" s="1"/>
  <c r="BF14" i="5" s="1"/>
  <c r="AS15" i="5" a="1"/>
  <c r="AS15" i="5" s="1"/>
  <c r="AU15" i="5" a="1"/>
  <c r="AU15" i="5" s="1"/>
  <c r="BF15" i="5" s="1"/>
  <c r="AU18" i="5" a="1"/>
  <c r="AU18" i="5" s="1"/>
  <c r="BF18" i="5" s="1"/>
  <c r="AS18" i="5" a="1"/>
  <c r="AS18" i="5" s="1"/>
  <c r="AS23" i="5" a="1"/>
  <c r="AS23" i="5" s="1"/>
  <c r="AU23" i="5" a="1"/>
  <c r="AU23" i="5" s="1"/>
  <c r="BF23" i="5" s="1"/>
  <c r="AS8" i="5" a="1"/>
  <c r="AS8" i="5" s="1"/>
  <c r="AU8" i="5" a="1"/>
  <c r="AU8" i="5" s="1"/>
  <c r="BF8" i="5" s="1"/>
  <c r="AU22" i="5" a="1"/>
  <c r="AU22" i="5" s="1"/>
  <c r="BF22" i="5" s="1"/>
  <c r="AS22" i="5" a="1"/>
  <c r="AS22" i="5" s="1"/>
  <c r="AS10" i="5" a="1"/>
  <c r="AS10" i="5" s="1"/>
  <c r="AU10" i="5" a="1"/>
  <c r="AU10" i="5" s="1"/>
  <c r="BF10" i="5" s="1"/>
  <c r="AU28" i="5" a="1"/>
  <c r="AU28" i="5" s="1"/>
  <c r="BF28" i="5" s="1"/>
  <c r="AS28" i="5" a="1"/>
  <c r="AS28" i="5" s="1"/>
  <c r="AU29" i="5" a="1"/>
  <c r="AU29" i="5" s="1"/>
  <c r="BF29" i="5" s="1"/>
  <c r="AS29" i="5" a="1"/>
  <c r="AS29" i="5" s="1"/>
  <c r="AU19" i="5" a="1"/>
  <c r="AU19" i="5" s="1"/>
  <c r="BF19" i="5" s="1"/>
  <c r="AS19" i="5" a="1"/>
  <c r="AS19" i="5" s="1"/>
  <c r="AS6" i="5" a="1"/>
  <c r="AS6" i="5" s="1"/>
  <c r="AU6" i="5" a="1"/>
  <c r="AU6" i="5" s="1"/>
  <c r="BF6" i="5" s="1"/>
  <c r="AU12" i="5" a="1"/>
  <c r="AU12" i="5" s="1"/>
  <c r="BF12" i="5" s="1"/>
  <c r="AS12" i="5" a="1"/>
  <c r="AS12" i="5" s="1"/>
  <c r="AU31" i="5" a="1"/>
  <c r="AU31" i="5" s="1"/>
  <c r="BF31" i="5" s="1"/>
  <c r="AS31" i="5" a="1"/>
  <c r="AS31" i="5" s="1"/>
  <c r="AS24" i="5" a="1"/>
  <c r="AS24" i="5" s="1"/>
  <c r="AU24" i="5" a="1"/>
  <c r="AU24" i="5" s="1"/>
  <c r="BF24" i="5" s="1"/>
  <c r="AS16" i="5" a="1"/>
  <c r="AS16" i="5" s="1"/>
  <c r="AU16" i="5" a="1"/>
  <c r="AU16" i="5" s="1"/>
  <c r="BF16" i="5" s="1"/>
  <c r="AU21" i="5" a="1"/>
  <c r="AU21" i="5" s="1"/>
  <c r="BF21" i="5" s="1"/>
  <c r="AS21" i="5" a="1"/>
  <c r="AS21" i="5" s="1"/>
  <c r="AU20" i="5" a="1"/>
  <c r="AU20" i="5" s="1"/>
  <c r="BF20" i="5" s="1"/>
  <c r="AS20" i="5" a="1"/>
  <c r="AS20" i="5" s="1"/>
  <c r="AS11" i="5" a="1"/>
  <c r="AS11" i="5" s="1"/>
  <c r="AU11" i="5" a="1"/>
  <c r="AU11" i="5" s="1"/>
  <c r="BF11" i="5" s="1"/>
  <c r="AS9" i="5" a="1"/>
  <c r="AS9" i="5" s="1"/>
  <c r="AU9" i="5" a="1"/>
  <c r="AU9" i="5" s="1"/>
  <c r="BF9" i="5" s="1"/>
  <c r="AF17" i="5" a="1"/>
  <c r="AF17" i="5" s="1"/>
  <c r="AG17" i="5" s="1" a="1"/>
  <c r="AG17" i="5" s="1"/>
  <c r="AH17" i="5" s="1"/>
  <c r="AM17" i="5" s="1"/>
  <c r="AF24" i="5" a="1"/>
  <c r="AF24" i="5" s="1"/>
  <c r="AG24" i="5" s="1" a="1"/>
  <c r="AG24" i="5" s="1"/>
  <c r="AH24" i="5" s="1"/>
  <c r="AM24" i="5" s="1"/>
  <c r="AF10" i="5" a="1"/>
  <c r="AF10" i="5" s="1"/>
  <c r="AG10" i="5" s="1" a="1"/>
  <c r="AG10" i="5" s="1"/>
  <c r="AH10" i="5" s="1"/>
  <c r="AM10" i="5" s="1"/>
  <c r="AF8" i="5" a="1"/>
  <c r="AF8" i="5" s="1"/>
  <c r="AG8" i="5" s="1" a="1"/>
  <c r="AG8" i="5" s="1"/>
  <c r="AH8" i="5" s="1"/>
  <c r="AM8" i="5" s="1"/>
  <c r="AF25" i="5" a="1"/>
  <c r="AF25" i="5" s="1"/>
  <c r="AG25" i="5" s="1" a="1"/>
  <c r="AG25" i="5" s="1"/>
  <c r="AH25" i="5" s="1"/>
  <c r="AM25" i="5" s="1"/>
  <c r="AF28" i="5" a="1"/>
  <c r="AF28" i="5" s="1"/>
  <c r="AG28" i="5" s="1" a="1"/>
  <c r="AG28" i="5" s="1"/>
  <c r="AH28" i="5" s="1"/>
  <c r="AM28" i="5" s="1"/>
  <c r="AF27" i="5" a="1"/>
  <c r="AF27" i="5" s="1"/>
  <c r="AG27" i="5" s="1" a="1"/>
  <c r="AG27" i="5" s="1"/>
  <c r="AH27" i="5" s="1"/>
  <c r="AM27" i="5" s="1"/>
  <c r="AF29" i="5" a="1"/>
  <c r="AF29" i="5" s="1"/>
  <c r="AF18" i="5" a="1"/>
  <c r="AF18" i="5" s="1"/>
  <c r="AG18" i="5" s="1" a="1"/>
  <c r="AG18" i="5" s="1"/>
  <c r="AH18" i="5" s="1"/>
  <c r="AM18" i="5" s="1"/>
  <c r="AF7" i="5" a="1"/>
  <c r="AF7" i="5" s="1"/>
  <c r="AG7" i="5" s="1" a="1"/>
  <c r="AG7" i="5" s="1"/>
  <c r="AH7" i="5" s="1"/>
  <c r="AM7" i="5" s="1"/>
  <c r="AF22" i="5" a="1"/>
  <c r="AF22" i="5" s="1"/>
  <c r="AF11" i="5" a="1"/>
  <c r="AF11" i="5" s="1"/>
  <c r="AF9" i="5" a="1"/>
  <c r="AF9" i="5" s="1"/>
  <c r="AG9" i="5" s="1" a="1"/>
  <c r="AG9" i="5" s="1"/>
  <c r="AH9" i="5" s="1"/>
  <c r="AM9" i="5" s="1"/>
  <c r="AF54" i="5" l="1" a="1"/>
  <c r="AF54" i="5" s="1"/>
  <c r="AF57" i="5" s="1" a="1"/>
  <c r="AF57" i="5" s="1"/>
  <c r="AG57" i="5" s="1" a="1"/>
  <c r="AG57" i="5" s="1"/>
  <c r="AH57" i="5" s="1"/>
  <c r="AM57" i="5" s="1"/>
  <c r="AF111" i="5" a="1"/>
  <c r="AF111" i="5" s="1"/>
  <c r="AG111" i="5" s="1" a="1"/>
  <c r="AG111" i="5" s="1"/>
  <c r="AH111" i="5" s="1"/>
  <c r="AM111" i="5" s="1"/>
  <c r="AF128" i="5" a="1"/>
  <c r="AF128" i="5" s="1"/>
  <c r="AG128" i="5" s="1" a="1"/>
  <c r="AG128" i="5" s="1"/>
  <c r="AH128" i="5" s="1"/>
  <c r="AM128" i="5" s="1"/>
  <c r="AF52" i="5" a="1"/>
  <c r="AF52" i="5" s="1"/>
  <c r="AG52" i="5" s="1" a="1"/>
  <c r="AG52" i="5" s="1"/>
  <c r="AH52" i="5" s="1"/>
  <c r="AM52" i="5" s="1"/>
  <c r="AF30" i="5" a="1"/>
  <c r="AF30" i="5" s="1"/>
  <c r="AG30" i="5" s="1" a="1"/>
  <c r="AG30" i="5" s="1"/>
  <c r="AH30" i="5" s="1"/>
  <c r="AM30" i="5" s="1"/>
  <c r="AG29" i="5" a="1"/>
  <c r="AG29" i="5" s="1"/>
  <c r="AH29" i="5" s="1"/>
  <c r="AM29" i="5" s="1"/>
  <c r="AF12" i="5" a="1"/>
  <c r="AF12" i="5" s="1"/>
  <c r="AG12" i="5" s="1" a="1"/>
  <c r="AG12" i="5" s="1"/>
  <c r="AH12" i="5" s="1"/>
  <c r="AM12" i="5" s="1"/>
  <c r="AG11" i="5" a="1"/>
  <c r="AG11" i="5" s="1"/>
  <c r="AH11" i="5" s="1"/>
  <c r="AM11" i="5" s="1"/>
  <c r="AF23" i="5" a="1"/>
  <c r="AF23" i="5" s="1"/>
  <c r="AG23" i="5" s="1" a="1"/>
  <c r="AG23" i="5" s="1"/>
  <c r="AH23" i="5" s="1"/>
  <c r="AM23" i="5" s="1"/>
  <c r="AG22" i="5" a="1"/>
  <c r="AG22" i="5" s="1"/>
  <c r="AH22" i="5" s="1"/>
  <c r="AM22" i="5" s="1"/>
  <c r="AF136" i="5" a="1"/>
  <c r="AF136" i="5" s="1"/>
  <c r="AG136" i="5" s="1" a="1"/>
  <c r="AG136" i="5" s="1"/>
  <c r="AH136" i="5" s="1"/>
  <c r="AM136" i="5" s="1"/>
  <c r="AG134" i="5" a="1"/>
  <c r="AG134" i="5" s="1"/>
  <c r="AH134" i="5" s="1"/>
  <c r="AM134" i="5" s="1"/>
  <c r="AF246" i="5" a="1"/>
  <c r="AF246" i="5" s="1"/>
  <c r="AG245" i="5" a="1"/>
  <c r="AG245" i="5" s="1"/>
  <c r="AH245" i="5" s="1"/>
  <c r="AM245" i="5" s="1"/>
  <c r="AF221" i="5" a="1"/>
  <c r="AF221" i="5" s="1"/>
  <c r="AG218" i="5" a="1"/>
  <c r="AG218" i="5" s="1"/>
  <c r="AH218" i="5" s="1"/>
  <c r="AM218" i="5" s="1"/>
  <c r="AF183" i="5" a="1"/>
  <c r="AF183" i="5" s="1"/>
  <c r="AG183" i="5" s="1" a="1"/>
  <c r="AG183" i="5" s="1"/>
  <c r="AH183" i="5" s="1"/>
  <c r="AM183" i="5" s="1"/>
  <c r="AG179" i="5" a="1"/>
  <c r="AG179" i="5" s="1"/>
  <c r="AH179" i="5" s="1"/>
  <c r="AM179" i="5" s="1"/>
  <c r="AF47" i="5" a="1"/>
  <c r="AF47" i="5" s="1"/>
  <c r="AG47" i="5" s="1" a="1"/>
  <c r="AG47" i="5" s="1"/>
  <c r="AH47" i="5" s="1"/>
  <c r="AM47" i="5" s="1"/>
  <c r="AG45" i="5" a="1"/>
  <c r="AG45" i="5" s="1"/>
  <c r="AH45" i="5" s="1"/>
  <c r="AM45" i="5" s="1"/>
  <c r="AF180" i="5" a="1"/>
  <c r="AF180" i="5" s="1"/>
  <c r="AG180" i="5" s="1" a="1"/>
  <c r="AG180" i="5" s="1"/>
  <c r="AH180" i="5" s="1"/>
  <c r="AM180" i="5" s="1"/>
  <c r="AG178" i="5" a="1"/>
  <c r="AG178" i="5" s="1"/>
  <c r="AH178" i="5" s="1"/>
  <c r="AM178" i="5" s="1"/>
  <c r="AF140" i="5" a="1"/>
  <c r="AF140" i="5" s="1"/>
  <c r="AG140" i="5" s="1" a="1"/>
  <c r="AG140" i="5" s="1"/>
  <c r="AH140" i="5" s="1"/>
  <c r="AM140" i="5" s="1"/>
  <c r="AG133" i="5" a="1"/>
  <c r="AG133" i="5" s="1"/>
  <c r="AH133" i="5" s="1"/>
  <c r="AM133" i="5" s="1"/>
  <c r="AF162" i="5" a="1"/>
  <c r="AF162" i="5" s="1"/>
  <c r="AG161" i="5" a="1"/>
  <c r="AG161" i="5" s="1"/>
  <c r="AH161" i="5" s="1"/>
  <c r="AM161" i="5" s="1"/>
  <c r="AF235" i="5" a="1"/>
  <c r="AF235" i="5" s="1"/>
  <c r="AG235" i="5" s="1" a="1"/>
  <c r="AG235" i="5" s="1"/>
  <c r="AH235" i="5" s="1"/>
  <c r="AM235" i="5" s="1"/>
  <c r="AG233" i="5" a="1"/>
  <c r="AG233" i="5" s="1"/>
  <c r="AH233" i="5" s="1"/>
  <c r="AM233" i="5" s="1"/>
  <c r="AF209" i="5" a="1"/>
  <c r="AF209" i="5" s="1"/>
  <c r="AG209" i="5" s="1" a="1"/>
  <c r="AG209" i="5" s="1"/>
  <c r="AH209" i="5" s="1"/>
  <c r="AM209" i="5" s="1"/>
  <c r="AG207" i="5" a="1"/>
  <c r="AG207" i="5" s="1"/>
  <c r="AH207" i="5" s="1"/>
  <c r="AM207" i="5" s="1"/>
  <c r="AF81" i="5" a="1"/>
  <c r="AF81" i="5" s="1"/>
  <c r="AG81" i="5" s="1" a="1"/>
  <c r="AG81" i="5" s="1"/>
  <c r="AH81" i="5" s="1"/>
  <c r="AM81" i="5" s="1"/>
  <c r="AG79" i="5" a="1"/>
  <c r="AG79" i="5" s="1"/>
  <c r="AH79" i="5" s="1"/>
  <c r="AM79" i="5" s="1"/>
  <c r="AF279" i="5" a="1"/>
  <c r="AF279" i="5" s="1"/>
  <c r="AG279" i="5" s="1" a="1"/>
  <c r="AG279" i="5" s="1"/>
  <c r="AH279" i="5" s="1"/>
  <c r="AM279" i="5" s="1"/>
  <c r="AG278" i="5" a="1"/>
  <c r="AG278" i="5" s="1"/>
  <c r="AH278" i="5" s="1"/>
  <c r="AM278" i="5" s="1"/>
  <c r="AF167" i="5" a="1"/>
  <c r="AF167" i="5" s="1"/>
  <c r="AG167" i="5" s="1" a="1"/>
  <c r="AG167" i="5" s="1"/>
  <c r="AH167" i="5" s="1"/>
  <c r="AM167" i="5" s="1"/>
  <c r="AG158" i="5" a="1"/>
  <c r="AG158" i="5" s="1"/>
  <c r="AH158" i="5" s="1"/>
  <c r="AM158" i="5" s="1"/>
  <c r="AF185" i="5" a="1"/>
  <c r="AF185" i="5" s="1"/>
  <c r="AG185" i="5" s="1" a="1"/>
  <c r="AG185" i="5" s="1"/>
  <c r="AH185" i="5" s="1"/>
  <c r="AM185" i="5" s="1"/>
  <c r="AG171" i="5" a="1"/>
  <c r="AG171" i="5" s="1"/>
  <c r="AH171" i="5" s="1"/>
  <c r="AM171" i="5" s="1"/>
  <c r="AF267" i="5" a="1"/>
  <c r="AF267" i="5" s="1"/>
  <c r="AG266" i="5" a="1"/>
  <c r="AG266" i="5" s="1"/>
  <c r="AH266" i="5" s="1"/>
  <c r="AM266" i="5" s="1"/>
  <c r="AF96" i="5" a="1"/>
  <c r="AF96" i="5" s="1"/>
  <c r="AG94" i="5" a="1"/>
  <c r="AG94" i="5" s="1"/>
  <c r="AH94" i="5" s="1"/>
  <c r="AM94" i="5" s="1"/>
  <c r="AF232" i="5" a="1"/>
  <c r="AF232" i="5" s="1"/>
  <c r="AG232" i="5" s="1" a="1"/>
  <c r="AG232" i="5" s="1"/>
  <c r="AH232" i="5" s="1"/>
  <c r="AM232" i="5" s="1"/>
  <c r="AG272" i="5" a="1"/>
  <c r="AG272" i="5" s="1"/>
  <c r="AH272" i="5" s="1"/>
  <c r="AM272" i="5" s="1"/>
  <c r="AF95" i="5" a="1"/>
  <c r="AF95" i="5" s="1"/>
  <c r="AF137" i="5" a="1"/>
  <c r="AF137" i="5" s="1"/>
  <c r="AG137" i="5" s="1" a="1"/>
  <c r="AG137" i="5" s="1"/>
  <c r="AH137" i="5" s="1"/>
  <c r="AM137" i="5" s="1"/>
  <c r="AG135" i="5" a="1"/>
  <c r="AG135" i="5" s="1"/>
  <c r="AH135" i="5" s="1"/>
  <c r="AM135" i="5" s="1"/>
  <c r="AF148" i="5" a="1"/>
  <c r="AF148" i="5" s="1"/>
  <c r="AG147" i="5" a="1"/>
  <c r="AG147" i="5" s="1"/>
  <c r="AH147" i="5" s="1"/>
  <c r="AM147" i="5" s="1"/>
  <c r="AF256" i="5" a="1"/>
  <c r="AF256" i="5" s="1"/>
  <c r="AG256" i="5" s="1" a="1"/>
  <c r="AG256" i="5" s="1"/>
  <c r="AH256" i="5" s="1"/>
  <c r="AM256" i="5" s="1"/>
  <c r="AG255" i="5" a="1"/>
  <c r="AG255" i="5" s="1"/>
  <c r="AH255" i="5" s="1"/>
  <c r="AF208" i="5" a="1"/>
  <c r="AF208" i="5" s="1"/>
  <c r="AG208" i="5" s="1" a="1"/>
  <c r="AG208" i="5" s="1"/>
  <c r="AH208" i="5" s="1"/>
  <c r="AM208" i="5" s="1"/>
  <c r="AG206" i="5" a="1"/>
  <c r="AG206" i="5" s="1"/>
  <c r="AH206" i="5" s="1"/>
  <c r="AM206" i="5" s="1"/>
  <c r="AQ283" i="5"/>
  <c r="AU283" i="5" s="1" a="1"/>
  <c r="AU283" i="5" s="1"/>
  <c r="BF283" i="5" s="1"/>
  <c r="AF108" i="5" a="1"/>
  <c r="AF108" i="5" s="1"/>
  <c r="AG108" i="5" s="1" a="1"/>
  <c r="AG108" i="5" s="1"/>
  <c r="AH108" i="5" s="1"/>
  <c r="AM108" i="5" s="1"/>
  <c r="AQ202" i="5"/>
  <c r="AS202" i="5" s="1" a="1"/>
  <c r="AS202" i="5" s="1"/>
  <c r="AT202" i="5" s="1" a="1"/>
  <c r="AT202" i="5" s="1"/>
  <c r="BE202" i="5" s="1"/>
  <c r="AQ192" i="5"/>
  <c r="AS192" i="5" s="1" a="1"/>
  <c r="AS192" i="5" s="1"/>
  <c r="AF260" i="5" a="1"/>
  <c r="AF260" i="5" s="1"/>
  <c r="AG260" i="5" s="1" a="1"/>
  <c r="AG260" i="5" s="1"/>
  <c r="AH260" i="5" s="1"/>
  <c r="AM260" i="5" s="1"/>
  <c r="AQ78" i="5"/>
  <c r="AS78" i="5" s="1" a="1"/>
  <c r="AS78" i="5" s="1"/>
  <c r="AT78" i="5" s="1" a="1"/>
  <c r="AT78" i="5" s="1"/>
  <c r="BE78" i="5" s="1"/>
  <c r="AQ116" i="5"/>
  <c r="AS116" i="5" s="1" a="1"/>
  <c r="AS116" i="5" s="1"/>
  <c r="AF65" i="5" a="1"/>
  <c r="AF65" i="5" s="1"/>
  <c r="AG65" i="5" s="1" a="1"/>
  <c r="AG65" i="5" s="1"/>
  <c r="AH65" i="5" s="1"/>
  <c r="AM65" i="5" s="1"/>
  <c r="AQ105" i="5"/>
  <c r="AU105" i="5" s="1" a="1"/>
  <c r="AU105" i="5" s="1"/>
  <c r="BF105" i="5" s="1"/>
  <c r="AV61" i="5" a="1"/>
  <c r="AV61" i="5" s="1"/>
  <c r="BG61" i="5" s="1"/>
  <c r="AQ50" i="5"/>
  <c r="AU50" i="5" s="1" a="1"/>
  <c r="AU50" i="5" s="1"/>
  <c r="BF50" i="5" s="1"/>
  <c r="AQ231" i="5"/>
  <c r="AU231" i="5" s="1" a="1"/>
  <c r="AU231" i="5" s="1"/>
  <c r="BF231" i="5" s="1"/>
  <c r="AQ193" i="5"/>
  <c r="AF176" i="5" a="1"/>
  <c r="AF176" i="5" s="1"/>
  <c r="AG176" i="5" s="1" a="1"/>
  <c r="AG176" i="5" s="1"/>
  <c r="AH176" i="5" s="1"/>
  <c r="AM176" i="5" s="1"/>
  <c r="AQ156" i="5"/>
  <c r="AS156" i="5" s="1" a="1"/>
  <c r="AS156" i="5" s="1"/>
  <c r="AT156" i="5" s="1" a="1"/>
  <c r="AT156" i="5" s="1"/>
  <c r="BE156" i="5" s="1"/>
  <c r="AQ216" i="5"/>
  <c r="AS216" i="5" s="1" a="1"/>
  <c r="AS216" i="5" s="1"/>
  <c r="AT216" i="5" s="1" a="1"/>
  <c r="AT216" i="5" s="1"/>
  <c r="BE216" i="5" s="1"/>
  <c r="BH291" i="5" a="1"/>
  <c r="BH291" i="5" s="1"/>
  <c r="AF85" i="5" a="1"/>
  <c r="AF85" i="5" s="1"/>
  <c r="AF197" i="5" a="1"/>
  <c r="AF197" i="5" s="1"/>
  <c r="AF199" i="5" a="1"/>
  <c r="AF199" i="5" s="1"/>
  <c r="AG199" i="5" s="1" a="1"/>
  <c r="AG199" i="5" s="1"/>
  <c r="AH199" i="5" s="1"/>
  <c r="AM199" i="5" s="1"/>
  <c r="AF32" i="5" a="1"/>
  <c r="AF32" i="5" s="1"/>
  <c r="AN126" i="5" a="1"/>
  <c r="AN126" i="5" s="1"/>
  <c r="AO126" i="5" s="1" a="1"/>
  <c r="AO126" i="5" s="1"/>
  <c r="AQ172" i="5"/>
  <c r="AS172" i="5" s="1" a="1"/>
  <c r="AS172" i="5" s="1"/>
  <c r="AT172" i="5" s="1" a="1"/>
  <c r="AT172" i="5" s="1"/>
  <c r="BE172" i="5" s="1"/>
  <c r="AQ117" i="5"/>
  <c r="AU117" i="5" s="1" a="1"/>
  <c r="AU117" i="5" s="1"/>
  <c r="BF117" i="5" s="1"/>
  <c r="AF119" i="5" a="1"/>
  <c r="AF119" i="5" s="1"/>
  <c r="AF118" i="5" a="1"/>
  <c r="AF118" i="5" s="1"/>
  <c r="AF292" i="5" a="1"/>
  <c r="AF292" i="5" s="1"/>
  <c r="AG292" i="5" s="1" a="1"/>
  <c r="AG292" i="5" s="1"/>
  <c r="AH292" i="5" s="1"/>
  <c r="AM292" i="5" s="1"/>
  <c r="AN290" i="5" a="1"/>
  <c r="AN290" i="5" s="1"/>
  <c r="AO290" i="5" s="1" a="1"/>
  <c r="AO290" i="5" s="1"/>
  <c r="AV51" i="5" a="1"/>
  <c r="AV51" i="5" s="1"/>
  <c r="BG51" i="5" s="1"/>
  <c r="AF220" i="5" a="1"/>
  <c r="AF220" i="5" s="1"/>
  <c r="AG220" i="5" s="1" a="1"/>
  <c r="AG220" i="5" s="1"/>
  <c r="AH220" i="5" s="1"/>
  <c r="AM220" i="5" s="1"/>
  <c r="AV195" i="5" a="1"/>
  <c r="AV195" i="5" s="1"/>
  <c r="BG195" i="5" s="1"/>
  <c r="AF196" i="5" a="1"/>
  <c r="AF196" i="5" s="1"/>
  <c r="AF198" i="5" a="1"/>
  <c r="AF198" i="5" s="1"/>
  <c r="AG198" i="5" s="1" a="1"/>
  <c r="AG198" i="5" s="1"/>
  <c r="AH198" i="5" s="1"/>
  <c r="AM198" i="5" s="1"/>
  <c r="AV34" i="5" a="1"/>
  <c r="AV34" i="5" s="1"/>
  <c r="BG34" i="5" s="1"/>
  <c r="AN66" i="5" a="1"/>
  <c r="AN66" i="5" s="1"/>
  <c r="AO66" i="5" s="1" a="1"/>
  <c r="AO66" i="5" s="1"/>
  <c r="AF97" i="5" a="1"/>
  <c r="AF97" i="5" s="1"/>
  <c r="AQ265" i="5"/>
  <c r="AS265" i="5" s="1" a="1"/>
  <c r="AS265" i="5" s="1"/>
  <c r="AT265" i="5" s="1" a="1"/>
  <c r="AT265" i="5" s="1"/>
  <c r="BE265" i="5" s="1"/>
  <c r="AQ177" i="5"/>
  <c r="AS177" i="5" s="1" a="1"/>
  <c r="AS177" i="5" s="1"/>
  <c r="AQ270" i="5"/>
  <c r="AU270" i="5" s="1" a="1"/>
  <c r="AU270" i="5" s="1"/>
  <c r="BF270" i="5" s="1"/>
  <c r="AF46" i="5" a="1"/>
  <c r="AF46" i="5" s="1"/>
  <c r="AQ170" i="5"/>
  <c r="AU170" i="5" s="1" a="1"/>
  <c r="AU170" i="5" s="1"/>
  <c r="BF170" i="5" s="1"/>
  <c r="AF68" i="5" a="1"/>
  <c r="AF68" i="5" s="1"/>
  <c r="AV230" i="5" a="1"/>
  <c r="AV230" i="5" s="1"/>
  <c r="BG230" i="5" s="1"/>
  <c r="AQ115" i="5"/>
  <c r="AS115" i="5" s="1" a="1"/>
  <c r="AS115" i="5" s="1"/>
  <c r="AQ194" i="5"/>
  <c r="AS194" i="5" s="1" a="1"/>
  <c r="AS194" i="5" s="1"/>
  <c r="BD194" i="5" s="1"/>
  <c r="AQ211" i="5"/>
  <c r="AS211" i="5" s="1" a="1"/>
  <c r="AS211" i="5" s="1"/>
  <c r="AQ204" i="5"/>
  <c r="AU204" i="5" s="1" a="1"/>
  <c r="AU204" i="5" s="1"/>
  <c r="BF204" i="5" s="1"/>
  <c r="AQ174" i="5"/>
  <c r="AS174" i="5" s="1" a="1"/>
  <c r="AS174" i="5" s="1"/>
  <c r="AF286" i="5" a="1"/>
  <c r="AF286" i="5" s="1"/>
  <c r="AG286" i="5" s="1" a="1"/>
  <c r="AG286" i="5" s="1"/>
  <c r="AH286" i="5" s="1"/>
  <c r="AM286" i="5" s="1"/>
  <c r="AF40" i="5" a="1"/>
  <c r="AF40" i="5" s="1"/>
  <c r="AG40" i="5" s="1" a="1"/>
  <c r="AG40" i="5" s="1"/>
  <c r="AH40" i="5" s="1"/>
  <c r="AM40" i="5" s="1"/>
  <c r="AQ175" i="5"/>
  <c r="AS175" i="5" s="1" a="1"/>
  <c r="AS175" i="5" s="1"/>
  <c r="AT175" i="5" s="1" a="1"/>
  <c r="AT175" i="5" s="1"/>
  <c r="BE175" i="5" s="1"/>
  <c r="AQ129" i="5"/>
  <c r="AU129" i="5" s="1" a="1"/>
  <c r="AU129" i="5" s="1"/>
  <c r="BF129" i="5" s="1"/>
  <c r="AQ166" i="5"/>
  <c r="AU166" i="5" s="1" a="1"/>
  <c r="AU166" i="5" s="1"/>
  <c r="BF166" i="5" s="1"/>
  <c r="AF236" i="5" a="1"/>
  <c r="AF236" i="5" s="1"/>
  <c r="AG236" i="5" s="1" a="1"/>
  <c r="AG236" i="5" s="1"/>
  <c r="AH236" i="5" s="1"/>
  <c r="AM236" i="5" s="1"/>
  <c r="AQ243" i="5"/>
  <c r="AU243" i="5" s="1" a="1"/>
  <c r="AU243" i="5" s="1"/>
  <c r="BF243" i="5" s="1"/>
  <c r="AQ214" i="5"/>
  <c r="AS214" i="5" s="1" a="1"/>
  <c r="AS214" i="5" s="1"/>
  <c r="AT214" i="5" s="1" a="1"/>
  <c r="AT214" i="5" s="1"/>
  <c r="BE214" i="5" s="1"/>
  <c r="AQ131" i="5"/>
  <c r="AU131" i="5" s="1" a="1"/>
  <c r="AU131" i="5" s="1"/>
  <c r="BF131" i="5" s="1"/>
  <c r="AQ109" i="5"/>
  <c r="AS109" i="5" s="1" a="1"/>
  <c r="AS109" i="5" s="1"/>
  <c r="AT109" i="5" s="1" a="1"/>
  <c r="AT109" i="5" s="1"/>
  <c r="BE109" i="5" s="1"/>
  <c r="AV123" i="5" a="1"/>
  <c r="AV123" i="5" s="1"/>
  <c r="BG123" i="5" s="1"/>
  <c r="AQ132" i="5"/>
  <c r="AF215" i="5" a="1"/>
  <c r="AF215" i="5" s="1"/>
  <c r="AF163" i="5" a="1"/>
  <c r="AF163" i="5" s="1"/>
  <c r="AN58" i="5" a="1"/>
  <c r="AN58" i="5" s="1"/>
  <c r="AO58" i="5" s="1" a="1"/>
  <c r="AO58" i="5" s="1"/>
  <c r="AV264" i="5" a="1"/>
  <c r="AV264" i="5" s="1"/>
  <c r="BG264" i="5" s="1"/>
  <c r="AQ144" i="5"/>
  <c r="AU144" i="5" s="1" a="1"/>
  <c r="AU144" i="5" s="1"/>
  <c r="BF144" i="5" s="1"/>
  <c r="AQ107" i="5"/>
  <c r="AU107" i="5" s="1" a="1"/>
  <c r="AU107" i="5" s="1"/>
  <c r="BF107" i="5" s="1"/>
  <c r="AF110" i="5" a="1"/>
  <c r="AF110" i="5" s="1"/>
  <c r="AQ217" i="5"/>
  <c r="AU217" i="5" s="1" a="1"/>
  <c r="AU217" i="5" s="1"/>
  <c r="BF217" i="5" s="1"/>
  <c r="AQ274" i="5"/>
  <c r="AU274" i="5" s="1" a="1"/>
  <c r="AU274" i="5" s="1"/>
  <c r="BF274" i="5" s="1"/>
  <c r="AQ275" i="5"/>
  <c r="AS275" i="5" s="1" a="1"/>
  <c r="AS275" i="5" s="1"/>
  <c r="BD275" i="5" s="1"/>
  <c r="AF280" i="5" a="1"/>
  <c r="AF280" i="5" s="1"/>
  <c r="AG280" i="5" s="1" a="1"/>
  <c r="AG280" i="5" s="1"/>
  <c r="AH280" i="5" s="1"/>
  <c r="AM280" i="5" s="1"/>
  <c r="AQ127" i="5"/>
  <c r="AS127" i="5" s="1" a="1"/>
  <c r="AS127" i="5" s="1"/>
  <c r="AF43" i="5" a="1"/>
  <c r="AF43" i="5" s="1"/>
  <c r="AG43" i="5" s="1" a="1"/>
  <c r="AG43" i="5" s="1"/>
  <c r="AH43" i="5" s="1"/>
  <c r="AM43" i="5" s="1"/>
  <c r="AF273" i="5" a="1"/>
  <c r="AF273" i="5" s="1"/>
  <c r="AG273" i="5" s="1" a="1"/>
  <c r="AG273" i="5" s="1"/>
  <c r="AH273" i="5" s="1"/>
  <c r="AM273" i="5" s="1"/>
  <c r="AV62" i="5" a="1"/>
  <c r="AV62" i="5" s="1"/>
  <c r="BG62" i="5" s="1"/>
  <c r="AQ150" i="5"/>
  <c r="AS150" i="5" s="1" a="1"/>
  <c r="AS150" i="5" s="1"/>
  <c r="AT150" i="5" s="1" a="1"/>
  <c r="AT150" i="5" s="1"/>
  <c r="BE150" i="5" s="1"/>
  <c r="AF151" i="5" a="1"/>
  <c r="AF151" i="5" s="1"/>
  <c r="AG151" i="5" s="1" a="1"/>
  <c r="AG151" i="5" s="1"/>
  <c r="AH151" i="5" s="1"/>
  <c r="AM151" i="5" s="1"/>
  <c r="AQ106" i="5"/>
  <c r="AS106" i="5" s="1" a="1"/>
  <c r="AS106" i="5" s="1"/>
  <c r="BH53" i="5" a="1"/>
  <c r="BH53" i="5" s="1"/>
  <c r="AQ184" i="5"/>
  <c r="AS184" i="5" s="1" a="1"/>
  <c r="AS184" i="5" s="1"/>
  <c r="BD184" i="5" s="1"/>
  <c r="AV253" i="5" a="1"/>
  <c r="AV253" i="5" s="1"/>
  <c r="BG253" i="5" s="1"/>
  <c r="AF247" i="5" a="1"/>
  <c r="AF247" i="5" s="1"/>
  <c r="AQ100" i="5"/>
  <c r="AS100" i="5" s="1" a="1"/>
  <c r="AS100" i="5" s="1"/>
  <c r="AT100" i="5" s="1" a="1"/>
  <c r="AT100" i="5" s="1"/>
  <c r="BE100" i="5" s="1"/>
  <c r="AV44" i="5" a="1"/>
  <c r="AV44" i="5" s="1"/>
  <c r="BG44" i="5" s="1"/>
  <c r="AQ271" i="5"/>
  <c r="AU271" i="5" s="1" a="1"/>
  <c r="AU271" i="5" s="1"/>
  <c r="BF271" i="5" s="1"/>
  <c r="AQ284" i="5"/>
  <c r="AS284" i="5" s="1" a="1"/>
  <c r="AS284" i="5" s="1"/>
  <c r="AQ89" i="5"/>
  <c r="AS89" i="5" s="1" a="1"/>
  <c r="AS89" i="5" s="1"/>
  <c r="AN254" i="5" a="1"/>
  <c r="AN254" i="5" s="1"/>
  <c r="AO254" i="5" s="1" a="1"/>
  <c r="AO254" i="5" s="1"/>
  <c r="AQ130" i="5"/>
  <c r="AS130" i="5" s="1" a="1"/>
  <c r="AS130" i="5" s="1"/>
  <c r="AT130" i="5" s="1" a="1"/>
  <c r="AT130" i="5" s="1"/>
  <c r="BE130" i="5" s="1"/>
  <c r="AQ182" i="5"/>
  <c r="AU182" i="5" s="1" a="1"/>
  <c r="AU182" i="5" s="1"/>
  <c r="BF182" i="5" s="1"/>
  <c r="AQ103" i="5"/>
  <c r="AU103" i="5" s="1" a="1"/>
  <c r="AU103" i="5" s="1"/>
  <c r="BF103" i="5" s="1"/>
  <c r="AQ277" i="5"/>
  <c r="AS277" i="5" s="1" a="1"/>
  <c r="AS277" i="5" s="1"/>
  <c r="AQ242" i="5"/>
  <c r="AQ146" i="5"/>
  <c r="AS146" i="5" s="1" a="1"/>
  <c r="AS146" i="5" s="1"/>
  <c r="AT146" i="5" s="1" a="1"/>
  <c r="AT146" i="5" s="1"/>
  <c r="BE146" i="5" s="1"/>
  <c r="AN257" i="5" a="1"/>
  <c r="AN257" i="5" s="1"/>
  <c r="AO257" i="5" s="1" a="1"/>
  <c r="AO257" i="5" s="1"/>
  <c r="AQ181" i="5"/>
  <c r="AU181" i="5" s="1" a="1"/>
  <c r="AU181" i="5" s="1"/>
  <c r="BF181" i="5" s="1"/>
  <c r="AQ104" i="5"/>
  <c r="AU104" i="5" s="1" a="1"/>
  <c r="AU104" i="5" s="1"/>
  <c r="BF104" i="5" s="1"/>
  <c r="AQ93" i="5"/>
  <c r="AS93" i="5" s="1" a="1"/>
  <c r="AS93" i="5" s="1"/>
  <c r="AV114" i="5" a="1"/>
  <c r="AV114" i="5" s="1"/>
  <c r="BG114" i="5" s="1"/>
  <c r="AQ159" i="5"/>
  <c r="AS159" i="5" s="1" a="1"/>
  <c r="AS159" i="5" s="1"/>
  <c r="AV36" i="5" a="1"/>
  <c r="AV36" i="5" s="1"/>
  <c r="BG36" i="5" s="1"/>
  <c r="AN49" i="5" a="1"/>
  <c r="AN49" i="5" s="1"/>
  <c r="AO49" i="5" s="1" a="1"/>
  <c r="AO49" i="5" s="1"/>
  <c r="AT45" i="5" a="1"/>
  <c r="AT45" i="5" s="1"/>
  <c r="BE45" i="5" s="1"/>
  <c r="BD45" i="5"/>
  <c r="AT288" i="5" a="1"/>
  <c r="AT288" i="5" s="1"/>
  <c r="BE288" i="5" s="1"/>
  <c r="BD288" i="5"/>
  <c r="AT190" i="5" a="1"/>
  <c r="AT190" i="5" s="1"/>
  <c r="BE190" i="5" s="1"/>
  <c r="BD190" i="5"/>
  <c r="AT62" i="5" a="1"/>
  <c r="AT62" i="5" s="1"/>
  <c r="BE62" i="5" s="1"/>
  <c r="BD62" i="5"/>
  <c r="AT121" i="5" a="1"/>
  <c r="AT121" i="5" s="1"/>
  <c r="BE121" i="5" s="1"/>
  <c r="BD121" i="5"/>
  <c r="AT254" i="5" a="1"/>
  <c r="AT254" i="5" s="1"/>
  <c r="BE254" i="5" s="1"/>
  <c r="BD254" i="5"/>
  <c r="AT66" i="5" a="1"/>
  <c r="AT66" i="5" s="1"/>
  <c r="BE66" i="5" s="1"/>
  <c r="BD66" i="5"/>
  <c r="AT122" i="5" a="1"/>
  <c r="AT122" i="5" s="1"/>
  <c r="BE122" i="5" s="1"/>
  <c r="BD122" i="5"/>
  <c r="AT255" i="5" a="1"/>
  <c r="AT255" i="5" s="1"/>
  <c r="BE255" i="5" s="1"/>
  <c r="BD255" i="5"/>
  <c r="AT68" i="5" a="1"/>
  <c r="AT68" i="5" s="1"/>
  <c r="BE68" i="5" s="1"/>
  <c r="BD68" i="5"/>
  <c r="AT256" i="5" a="1"/>
  <c r="AT256" i="5" s="1"/>
  <c r="BE256" i="5" s="1"/>
  <c r="BD256" i="5"/>
  <c r="AT47" i="5" a="1"/>
  <c r="AT47" i="5" s="1"/>
  <c r="BE47" i="5" s="1"/>
  <c r="BD47" i="5"/>
  <c r="AT189" i="5" a="1"/>
  <c r="AT189" i="5" s="1"/>
  <c r="BE189" i="5" s="1"/>
  <c r="BD189" i="5"/>
  <c r="AT61" i="5" a="1"/>
  <c r="AT61" i="5" s="1"/>
  <c r="BE61" i="5" s="1"/>
  <c r="BD61" i="5"/>
  <c r="AT186" i="5" a="1"/>
  <c r="AT186" i="5" s="1"/>
  <c r="BE186" i="5" s="1"/>
  <c r="BD186" i="5"/>
  <c r="AT187" i="5" a="1"/>
  <c r="AT187" i="5" s="1"/>
  <c r="BE187" i="5" s="1"/>
  <c r="BD187" i="5"/>
  <c r="AT188" i="5" a="1"/>
  <c r="AT188" i="5" s="1"/>
  <c r="BE188" i="5" s="1"/>
  <c r="BD188" i="5"/>
  <c r="AT123" i="5" a="1"/>
  <c r="AT123" i="5" s="1"/>
  <c r="BE123" i="5" s="1"/>
  <c r="BD123" i="5"/>
  <c r="AT34" i="5" a="1"/>
  <c r="AT34" i="5" s="1"/>
  <c r="BE34" i="5" s="1"/>
  <c r="BD34" i="5"/>
  <c r="AT119" i="5" a="1"/>
  <c r="AT119" i="5" s="1"/>
  <c r="BE119" i="5" s="1"/>
  <c r="BD119" i="5"/>
  <c r="AT135" i="5" a="1"/>
  <c r="AT135" i="5" s="1"/>
  <c r="BE135" i="5" s="1"/>
  <c r="BD135" i="5"/>
  <c r="AT74" i="5" a="1"/>
  <c r="AT74" i="5" s="1"/>
  <c r="BE74" i="5" s="1"/>
  <c r="BD74" i="5"/>
  <c r="AT36" i="5" a="1"/>
  <c r="AT36" i="5" s="1"/>
  <c r="BE36" i="5" s="1"/>
  <c r="BD36" i="5"/>
  <c r="AT38" i="5" a="1"/>
  <c r="AT38" i="5" s="1"/>
  <c r="BE38" i="5" s="1"/>
  <c r="BD38" i="5"/>
  <c r="AT51" i="5" a="1"/>
  <c r="AT51" i="5" s="1"/>
  <c r="BE51" i="5" s="1"/>
  <c r="BD51" i="5"/>
  <c r="AT60" i="5" a="1"/>
  <c r="AT60" i="5" s="1"/>
  <c r="BE60" i="5" s="1"/>
  <c r="BD60" i="5"/>
  <c r="BD64" i="5"/>
  <c r="AT64" i="5" a="1"/>
  <c r="AT64" i="5" s="1"/>
  <c r="BE64" i="5" s="1"/>
  <c r="AT67" i="5" a="1"/>
  <c r="AT67" i="5" s="1"/>
  <c r="BE67" i="5" s="1"/>
  <c r="BD67" i="5"/>
  <c r="AT32" i="5" a="1"/>
  <c r="AT32" i="5" s="1"/>
  <c r="BE32" i="5" s="1"/>
  <c r="BD32" i="5"/>
  <c r="AT137" i="5" a="1"/>
  <c r="AT137" i="5" s="1"/>
  <c r="BE137" i="5" s="1"/>
  <c r="BD137" i="5"/>
  <c r="AT42" i="5" a="1"/>
  <c r="AT42" i="5" s="1"/>
  <c r="BE42" i="5" s="1"/>
  <c r="BD42" i="5"/>
  <c r="AT49" i="5" a="1"/>
  <c r="AT49" i="5" s="1"/>
  <c r="BE49" i="5" s="1"/>
  <c r="BD49" i="5"/>
  <c r="AT54" i="5" a="1"/>
  <c r="AT54" i="5" s="1"/>
  <c r="BE54" i="5" s="1"/>
  <c r="BD54" i="5"/>
  <c r="AT289" i="5" a="1"/>
  <c r="AT289" i="5" s="1"/>
  <c r="BE289" i="5" s="1"/>
  <c r="BD289" i="5"/>
  <c r="AT120" i="5" a="1"/>
  <c r="AT120" i="5" s="1"/>
  <c r="BE120" i="5" s="1"/>
  <c r="BD120" i="5"/>
  <c r="AT290" i="5" a="1"/>
  <c r="AT290" i="5" s="1"/>
  <c r="BE290" i="5" s="1"/>
  <c r="BD290" i="5"/>
  <c r="AT44" i="5" a="1"/>
  <c r="AT44" i="5" s="1"/>
  <c r="BE44" i="5" s="1"/>
  <c r="BD44" i="5"/>
  <c r="AT185" i="5" a="1"/>
  <c r="AT185" i="5" s="1"/>
  <c r="BE185" i="5" s="1"/>
  <c r="BD185" i="5"/>
  <c r="AT59" i="5" a="1"/>
  <c r="AT59" i="5" s="1"/>
  <c r="BE59" i="5" s="1"/>
  <c r="BD59" i="5"/>
  <c r="AT287" i="5" a="1"/>
  <c r="AT287" i="5" s="1"/>
  <c r="BE287" i="5" s="1"/>
  <c r="BD287" i="5"/>
  <c r="AT286" i="5" a="1"/>
  <c r="AT286" i="5" s="1"/>
  <c r="BE286" i="5" s="1"/>
  <c r="BD286" i="5"/>
  <c r="AT128" i="5" a="1"/>
  <c r="AT128" i="5" s="1"/>
  <c r="BE128" i="5" s="1"/>
  <c r="BD128" i="5"/>
  <c r="AT65" i="5" a="1"/>
  <c r="AT65" i="5" s="1"/>
  <c r="BE65" i="5" s="1"/>
  <c r="BD65" i="5"/>
  <c r="AT40" i="5" a="1"/>
  <c r="AT40" i="5" s="1"/>
  <c r="BE40" i="5" s="1"/>
  <c r="BD40" i="5"/>
  <c r="AT58" i="5" a="1"/>
  <c r="AT58" i="5" s="1"/>
  <c r="BE58" i="5" s="1"/>
  <c r="BD58" i="5"/>
  <c r="AT126" i="5" a="1"/>
  <c r="AT126" i="5" s="1"/>
  <c r="BE126" i="5" s="1"/>
  <c r="BD126" i="5"/>
  <c r="AT195" i="5" a="1"/>
  <c r="AT195" i="5" s="1"/>
  <c r="BE195" i="5" s="1"/>
  <c r="BD195" i="5"/>
  <c r="AT139" i="5" a="1"/>
  <c r="AT139" i="5" s="1"/>
  <c r="BE139" i="5" s="1"/>
  <c r="BD139" i="5"/>
  <c r="AT57" i="5" a="1"/>
  <c r="AT57" i="5" s="1"/>
  <c r="BE57" i="5" s="1"/>
  <c r="BD57" i="5"/>
  <c r="AT253" i="5" a="1"/>
  <c r="AT253" i="5" s="1"/>
  <c r="BE253" i="5" s="1"/>
  <c r="BD253" i="5"/>
  <c r="AT145" i="5" a="1"/>
  <c r="AT145" i="5" s="1"/>
  <c r="BE145" i="5" s="1"/>
  <c r="BD145" i="5"/>
  <c r="AT63" i="5" a="1"/>
  <c r="AT63" i="5" s="1"/>
  <c r="BE63" i="5" s="1"/>
  <c r="BD63" i="5"/>
  <c r="AT118" i="5" a="1"/>
  <c r="AT118" i="5" s="1"/>
  <c r="BE118" i="5" s="1"/>
  <c r="BD118" i="5"/>
  <c r="AT53" i="5" a="1"/>
  <c r="AT53" i="5" s="1"/>
  <c r="BE53" i="5" s="1"/>
  <c r="BD53" i="5"/>
  <c r="AT33" i="5" a="1"/>
  <c r="AT33" i="5" s="1"/>
  <c r="BE33" i="5" s="1"/>
  <c r="BD33" i="5"/>
  <c r="AT77" i="5" a="1"/>
  <c r="AT77" i="5" s="1"/>
  <c r="BE77" i="5" s="1"/>
  <c r="BD77" i="5"/>
  <c r="AT257" i="5" a="1"/>
  <c r="AT257" i="5" s="1"/>
  <c r="BE257" i="5" s="1"/>
  <c r="BD257" i="5"/>
  <c r="AT258" i="5" a="1"/>
  <c r="AT258" i="5" s="1"/>
  <c r="BE258" i="5" s="1"/>
  <c r="BD258" i="5"/>
  <c r="AT191" i="5" a="1"/>
  <c r="AT191" i="5" s="1"/>
  <c r="BE191" i="5" s="1"/>
  <c r="BD191" i="5"/>
  <c r="AT15" i="5" a="1"/>
  <c r="AT15" i="5" s="1"/>
  <c r="BE15" i="5" s="1"/>
  <c r="BD15" i="5"/>
  <c r="AT28" i="5" a="1"/>
  <c r="AT28" i="5" s="1"/>
  <c r="BE28" i="5" s="1"/>
  <c r="BD28" i="5"/>
  <c r="AT20" i="5" a="1"/>
  <c r="AT20" i="5" s="1"/>
  <c r="BE20" i="5" s="1"/>
  <c r="BD20" i="5"/>
  <c r="AT16" i="5" a="1"/>
  <c r="AT16" i="5" s="1"/>
  <c r="BE16" i="5" s="1"/>
  <c r="BD16" i="5"/>
  <c r="AT14" i="5" a="1"/>
  <c r="AT14" i="5" s="1"/>
  <c r="BE14" i="5" s="1"/>
  <c r="BD14" i="5"/>
  <c r="AT23" i="5" a="1"/>
  <c r="AT23" i="5" s="1"/>
  <c r="BE23" i="5" s="1"/>
  <c r="BD23" i="5"/>
  <c r="AT30" i="5" a="1"/>
  <c r="AT30" i="5" s="1"/>
  <c r="BE30" i="5" s="1"/>
  <c r="BD30" i="5"/>
  <c r="AT11" i="5" a="1"/>
  <c r="AT11" i="5" s="1"/>
  <c r="BE11" i="5" s="1"/>
  <c r="BD11" i="5"/>
  <c r="AT19" i="5" a="1"/>
  <c r="AT19" i="5" s="1"/>
  <c r="BE19" i="5" s="1"/>
  <c r="BD19" i="5"/>
  <c r="AT21" i="5" a="1"/>
  <c r="AT21" i="5" s="1"/>
  <c r="BE21" i="5" s="1"/>
  <c r="BD21" i="5"/>
  <c r="AT24" i="5" a="1"/>
  <c r="AT24" i="5" s="1"/>
  <c r="BE24" i="5" s="1"/>
  <c r="BD24" i="5"/>
  <c r="AT10" i="5" a="1"/>
  <c r="AT10" i="5" s="1"/>
  <c r="BE10" i="5" s="1"/>
  <c r="BD10" i="5"/>
  <c r="AT31" i="5" a="1"/>
  <c r="AT31" i="5" s="1"/>
  <c r="BE31" i="5" s="1"/>
  <c r="BD31" i="5"/>
  <c r="AT22" i="5" a="1"/>
  <c r="AT22" i="5" s="1"/>
  <c r="BE22" i="5" s="1"/>
  <c r="BD22" i="5"/>
  <c r="AT7" i="5" a="1"/>
  <c r="AT7" i="5" s="1"/>
  <c r="BE7" i="5" s="1"/>
  <c r="BD7" i="5"/>
  <c r="AT6" i="5" a="1"/>
  <c r="AT6" i="5" s="1"/>
  <c r="BE6" i="5" s="1"/>
  <c r="BD6" i="5"/>
  <c r="AT18" i="5" a="1"/>
  <c r="AT18" i="5" s="1"/>
  <c r="BE18" i="5" s="1"/>
  <c r="BD18" i="5"/>
  <c r="AT29" i="5" a="1"/>
  <c r="AT29" i="5" s="1"/>
  <c r="BE29" i="5" s="1"/>
  <c r="BD29" i="5"/>
  <c r="AT12" i="5" a="1"/>
  <c r="AT12" i="5" s="1"/>
  <c r="BE12" i="5" s="1"/>
  <c r="BD12" i="5"/>
  <c r="AT9" i="5" a="1"/>
  <c r="AT9" i="5" s="1"/>
  <c r="BE9" i="5" s="1"/>
  <c r="BD9" i="5"/>
  <c r="AT8" i="5" a="1"/>
  <c r="AT8" i="5" s="1"/>
  <c r="BE8" i="5" s="1"/>
  <c r="BD8" i="5"/>
  <c r="AT13" i="5" a="1"/>
  <c r="AT13" i="5" s="1"/>
  <c r="BE13" i="5" s="1"/>
  <c r="BD13" i="5"/>
  <c r="AV26" i="5" a="1"/>
  <c r="AV26" i="5" s="1"/>
  <c r="BG26" i="5" s="1"/>
  <c r="BH26" i="5" a="1"/>
  <c r="BH26" i="5" s="1"/>
  <c r="AN6" i="5" a="1"/>
  <c r="AN6" i="5" s="1"/>
  <c r="AO6" i="5" s="1" a="1"/>
  <c r="AO6" i="5" s="1"/>
  <c r="AV6" i="5" a="1"/>
  <c r="AV6" i="5" s="1"/>
  <c r="BG6" i="5" s="1"/>
  <c r="BH6" i="5" a="1"/>
  <c r="BH6" i="5" s="1"/>
  <c r="AN26" i="5" a="1"/>
  <c r="AN26" i="5" s="1"/>
  <c r="AO26" i="5" s="1" a="1"/>
  <c r="AO26" i="5" s="1"/>
  <c r="AQ26" i="5"/>
  <c r="AF31" i="5" a="1"/>
  <c r="AF31" i="5" s="1"/>
  <c r="AG31" i="5" s="1" a="1"/>
  <c r="AG31" i="5" s="1"/>
  <c r="AH31" i="5" s="1"/>
  <c r="AM31" i="5" s="1"/>
  <c r="AF19" i="5" a="1"/>
  <c r="AF19" i="5" s="1"/>
  <c r="AG19" i="5" s="1" a="1"/>
  <c r="AG19" i="5" s="1"/>
  <c r="AH19" i="5" s="1"/>
  <c r="AM19" i="5" s="1"/>
  <c r="AG54" i="5" l="1" a="1"/>
  <c r="AG54" i="5" s="1"/>
  <c r="AH54" i="5" s="1"/>
  <c r="AM54" i="5" s="1"/>
  <c r="AM255" i="5"/>
  <c r="AV255" i="5" s="1" a="1"/>
  <c r="AV255" i="5" s="1"/>
  <c r="BG255" i="5" s="1"/>
  <c r="AQ228" i="5"/>
  <c r="AS228" i="5" s="1" a="1"/>
  <c r="AS228" i="5" s="1"/>
  <c r="AT228" i="5" s="1" a="1"/>
  <c r="AT228" i="5" s="1"/>
  <c r="BE228" i="5" s="1"/>
  <c r="AN128" i="5" a="1"/>
  <c r="AN128" i="5" s="1"/>
  <c r="AO128" i="5" s="1" a="1"/>
  <c r="AO128" i="5" s="1"/>
  <c r="AG95" i="5" a="1"/>
  <c r="AG95" i="5" s="1"/>
  <c r="AH95" i="5" s="1"/>
  <c r="AM95" i="5" s="1"/>
  <c r="AF98" i="5" a="1"/>
  <c r="AF98" i="5" s="1"/>
  <c r="AG85" i="5" a="1"/>
  <c r="AG85" i="5" s="1"/>
  <c r="AH85" i="5" s="1"/>
  <c r="AM85" i="5" s="1"/>
  <c r="AF87" i="5" a="1"/>
  <c r="AF87" i="5" s="1"/>
  <c r="AG87" i="5" s="1" a="1"/>
  <c r="AG87" i="5" s="1"/>
  <c r="AH87" i="5" s="1"/>
  <c r="AM87" i="5" s="1"/>
  <c r="AG32" i="5" a="1"/>
  <c r="AG32" i="5" s="1"/>
  <c r="AH32" i="5" s="1"/>
  <c r="AM32" i="5" s="1"/>
  <c r="AF33" i="5" a="1"/>
  <c r="AF33" i="5" s="1"/>
  <c r="AG33" i="5" s="1" a="1"/>
  <c r="AG33" i="5" s="1"/>
  <c r="AH33" i="5" s="1"/>
  <c r="AM33" i="5" s="1"/>
  <c r="AQ158" i="5"/>
  <c r="AU158" i="5" s="1" a="1"/>
  <c r="AU158" i="5" s="1"/>
  <c r="BF158" i="5" s="1"/>
  <c r="AN155" i="5" a="1"/>
  <c r="AN155" i="5" s="1"/>
  <c r="AO155" i="5" s="1" a="1"/>
  <c r="AO155" i="5" s="1"/>
  <c r="AP155" i="5" s="1"/>
  <c r="AF55" i="5" a="1"/>
  <c r="AF55" i="5" s="1"/>
  <c r="AG55" i="5" s="1" a="1"/>
  <c r="AG55" i="5" s="1"/>
  <c r="AH55" i="5" s="1"/>
  <c r="AM55" i="5" s="1"/>
  <c r="AQ171" i="5"/>
  <c r="AU171" i="5" s="1" a="1"/>
  <c r="AU171" i="5" s="1"/>
  <c r="BF171" i="5" s="1"/>
  <c r="AF13" i="5" a="1"/>
  <c r="AF13" i="5" s="1"/>
  <c r="AG13" i="5" s="1" a="1"/>
  <c r="AG13" i="5" s="1"/>
  <c r="AH13" i="5" s="1"/>
  <c r="AM13" i="5" s="1"/>
  <c r="AQ52" i="5"/>
  <c r="AS52" i="5" s="1" a="1"/>
  <c r="AS52" i="5" s="1"/>
  <c r="AT52" i="5" s="1" a="1"/>
  <c r="AT52" i="5" s="1"/>
  <c r="BE52" i="5" s="1"/>
  <c r="AQ206" i="5"/>
  <c r="AU206" i="5" s="1" a="1"/>
  <c r="AU206" i="5" s="1"/>
  <c r="BF206" i="5" s="1"/>
  <c r="AG46" i="5" a="1"/>
  <c r="AG46" i="5" s="1"/>
  <c r="AH46" i="5" s="1"/>
  <c r="AM46" i="5" s="1"/>
  <c r="AF48" i="5" a="1"/>
  <c r="AF48" i="5" s="1"/>
  <c r="AF234" i="5" a="1"/>
  <c r="AF234" i="5" s="1"/>
  <c r="AG234" i="5" s="1" a="1"/>
  <c r="AG234" i="5" s="1"/>
  <c r="AH234" i="5" s="1"/>
  <c r="AM234" i="5" s="1"/>
  <c r="BH133" i="5" a="1"/>
  <c r="BH133" i="5" s="1"/>
  <c r="AQ179" i="5"/>
  <c r="AU179" i="5" s="1" a="1"/>
  <c r="AU179" i="5" s="1"/>
  <c r="BF179" i="5" s="1"/>
  <c r="BH136" i="5" a="1"/>
  <c r="BH136" i="5" s="1"/>
  <c r="AF59" i="5" a="1"/>
  <c r="AF59" i="5" s="1"/>
  <c r="AG59" i="5" s="1" a="1"/>
  <c r="AG59" i="5" s="1"/>
  <c r="AH59" i="5" s="1"/>
  <c r="AM59" i="5" s="1"/>
  <c r="AF143" i="5" a="1"/>
  <c r="AF143" i="5" s="1"/>
  <c r="AG143" i="5" s="1" a="1"/>
  <c r="AG143" i="5" s="1"/>
  <c r="AH143" i="5" s="1"/>
  <c r="AM143" i="5" s="1"/>
  <c r="AV202" i="5" a="1"/>
  <c r="AV202" i="5" s="1"/>
  <c r="BG202" i="5" s="1"/>
  <c r="AF139" i="5" a="1"/>
  <c r="AF139" i="5" s="1"/>
  <c r="AV108" i="5" a="1"/>
  <c r="AV108" i="5" s="1"/>
  <c r="BG108" i="5" s="1"/>
  <c r="AF258" i="5" a="1"/>
  <c r="AF258" i="5" s="1"/>
  <c r="AG258" i="5" s="1" a="1"/>
  <c r="AG258" i="5" s="1"/>
  <c r="AH258" i="5" s="1"/>
  <c r="AM258" i="5" s="1"/>
  <c r="AF138" i="5" a="1"/>
  <c r="AF138" i="5" s="1"/>
  <c r="AG138" i="5" s="1" a="1"/>
  <c r="AG138" i="5" s="1"/>
  <c r="AH138" i="5" s="1"/>
  <c r="AM138" i="5" s="1"/>
  <c r="AF190" i="5" a="1"/>
  <c r="AF190" i="5" s="1"/>
  <c r="AG190" i="5" s="1" a="1"/>
  <c r="AG190" i="5" s="1"/>
  <c r="AH190" i="5" s="1"/>
  <c r="AM190" i="5" s="1"/>
  <c r="AN202" i="5" a="1"/>
  <c r="AN202" i="5" s="1"/>
  <c r="AO202" i="5" s="1" a="1"/>
  <c r="AO202" i="5" s="1"/>
  <c r="AP202" i="5" s="1"/>
  <c r="AN57" i="5" a="1"/>
  <c r="AN57" i="5" s="1"/>
  <c r="AO57" i="5" s="1" a="1"/>
  <c r="AO57" i="5" s="1"/>
  <c r="AF121" i="5" a="1"/>
  <c r="AF121" i="5" s="1"/>
  <c r="AG121" i="5" s="1" a="1"/>
  <c r="AG121" i="5" s="1"/>
  <c r="AH121" i="5" s="1"/>
  <c r="AM121" i="5" s="1"/>
  <c r="AG118" i="5" a="1"/>
  <c r="AG118" i="5" s="1"/>
  <c r="AH118" i="5" s="1"/>
  <c r="AM118" i="5" s="1"/>
  <c r="AF120" i="5" a="1"/>
  <c r="AF120" i="5" s="1"/>
  <c r="AG120" i="5" s="1" a="1"/>
  <c r="AG120" i="5" s="1"/>
  <c r="AH120" i="5" s="1"/>
  <c r="AM120" i="5" s="1"/>
  <c r="AG119" i="5" a="1"/>
  <c r="AG119" i="5" s="1"/>
  <c r="AH119" i="5" s="1"/>
  <c r="AM119" i="5" s="1"/>
  <c r="AF212" i="5" a="1"/>
  <c r="AF212" i="5" s="1"/>
  <c r="AG212" i="5" s="1" a="1"/>
  <c r="AG212" i="5" s="1"/>
  <c r="AH212" i="5" s="1"/>
  <c r="AM212" i="5" s="1"/>
  <c r="AF224" i="5" a="1"/>
  <c r="AF224" i="5" s="1"/>
  <c r="AG221" i="5" a="1"/>
  <c r="AG221" i="5" s="1"/>
  <c r="AH221" i="5" s="1"/>
  <c r="AM221" i="5" s="1"/>
  <c r="AF83" i="5" a="1"/>
  <c r="AF83" i="5" s="1"/>
  <c r="AG83" i="5" s="1" a="1"/>
  <c r="AG83" i="5" s="1"/>
  <c r="AH83" i="5" s="1"/>
  <c r="AM83" i="5" s="1"/>
  <c r="AF250" i="5" a="1"/>
  <c r="AF250" i="5" s="1"/>
  <c r="AG250" i="5" s="1" a="1"/>
  <c r="AG250" i="5" s="1"/>
  <c r="AH250" i="5" s="1"/>
  <c r="AM250" i="5" s="1"/>
  <c r="AG247" i="5" a="1"/>
  <c r="AG247" i="5" s="1"/>
  <c r="AH247" i="5" s="1"/>
  <c r="AM247" i="5" s="1"/>
  <c r="AF72" i="5" a="1"/>
  <c r="AF72" i="5" s="1"/>
  <c r="AG72" i="5" s="1" a="1"/>
  <c r="AG72" i="5" s="1"/>
  <c r="AH72" i="5" s="1"/>
  <c r="AM72" i="5" s="1"/>
  <c r="AG68" i="5" a="1"/>
  <c r="AG68" i="5" s="1"/>
  <c r="AH68" i="5" s="1"/>
  <c r="AM68" i="5" s="1"/>
  <c r="AF99" i="5" a="1"/>
  <c r="AF99" i="5" s="1"/>
  <c r="AG99" i="5" s="1" a="1"/>
  <c r="AG99" i="5" s="1"/>
  <c r="AH99" i="5" s="1"/>
  <c r="AM99" i="5" s="1"/>
  <c r="AG96" i="5" a="1"/>
  <c r="AG96" i="5" s="1"/>
  <c r="AH96" i="5" s="1"/>
  <c r="AM96" i="5" s="1"/>
  <c r="AF249" i="5" a="1"/>
  <c r="AF249" i="5" s="1"/>
  <c r="AG246" i="5" a="1"/>
  <c r="AG246" i="5" s="1"/>
  <c r="AH246" i="5" s="1"/>
  <c r="AM246" i="5" s="1"/>
  <c r="AQ134" i="5"/>
  <c r="AU134" i="5" s="1" a="1"/>
  <c r="AU134" i="5" s="1"/>
  <c r="BF134" i="5" s="1"/>
  <c r="AF268" i="5" a="1"/>
  <c r="AF268" i="5" s="1"/>
  <c r="AG267" i="5" a="1"/>
  <c r="AG267" i="5" s="1"/>
  <c r="AH267" i="5" s="1"/>
  <c r="AM267" i="5" s="1"/>
  <c r="AF164" i="5" a="1"/>
  <c r="AF164" i="5" s="1"/>
  <c r="AG162" i="5" a="1"/>
  <c r="AG162" i="5" s="1"/>
  <c r="AH162" i="5" s="1"/>
  <c r="AM162" i="5" s="1"/>
  <c r="AF165" i="5" a="1"/>
  <c r="AF165" i="5" s="1"/>
  <c r="AG165" i="5" s="1" a="1"/>
  <c r="AG165" i="5" s="1"/>
  <c r="AH165" i="5" s="1"/>
  <c r="AM165" i="5" s="1"/>
  <c r="AG163" i="5" a="1"/>
  <c r="AG163" i="5" s="1"/>
  <c r="AH163" i="5" s="1"/>
  <c r="AM163" i="5" s="1"/>
  <c r="AF200" i="5" a="1"/>
  <c r="AF200" i="5" s="1"/>
  <c r="AG200" i="5" s="1" a="1"/>
  <c r="AG200" i="5" s="1"/>
  <c r="AH200" i="5" s="1"/>
  <c r="AM200" i="5" s="1"/>
  <c r="AG196" i="5" a="1"/>
  <c r="AG196" i="5" s="1"/>
  <c r="AH196" i="5" s="1"/>
  <c r="AM196" i="5" s="1"/>
  <c r="AF219" i="5" a="1"/>
  <c r="AF219" i="5" s="1"/>
  <c r="AG219" i="5" s="1" a="1"/>
  <c r="AG219" i="5" s="1"/>
  <c r="AH219" i="5" s="1"/>
  <c r="AM219" i="5" s="1"/>
  <c r="AG215" i="5" a="1"/>
  <c r="AG215" i="5" s="1"/>
  <c r="AH215" i="5" s="1"/>
  <c r="AM215" i="5" s="1"/>
  <c r="AF149" i="5" a="1"/>
  <c r="AF149" i="5" s="1"/>
  <c r="AG148" i="5" a="1"/>
  <c r="AG148" i="5" s="1"/>
  <c r="AH148" i="5" s="1"/>
  <c r="AM148" i="5" s="1"/>
  <c r="AF101" i="5" a="1"/>
  <c r="AF101" i="5" s="1"/>
  <c r="AG101" i="5" s="1" a="1"/>
  <c r="AG101" i="5" s="1"/>
  <c r="AH101" i="5" s="1"/>
  <c r="AM101" i="5" s="1"/>
  <c r="AG97" i="5" a="1"/>
  <c r="AG97" i="5" s="1"/>
  <c r="AH97" i="5" s="1"/>
  <c r="AM97" i="5" s="1"/>
  <c r="AF201" i="5" a="1"/>
  <c r="AF201" i="5" s="1"/>
  <c r="AG201" i="5" s="1" a="1"/>
  <c r="AG201" i="5" s="1"/>
  <c r="AH201" i="5" s="1"/>
  <c r="AM201" i="5" s="1"/>
  <c r="AG197" i="5" a="1"/>
  <c r="AG197" i="5" s="1"/>
  <c r="AH197" i="5" s="1"/>
  <c r="AM197" i="5" s="1"/>
  <c r="AF187" i="5" a="1"/>
  <c r="AF187" i="5" s="1"/>
  <c r="AG187" i="5" s="1" a="1"/>
  <c r="AG187" i="5" s="1"/>
  <c r="AH187" i="5" s="1"/>
  <c r="AM187" i="5" s="1"/>
  <c r="AF112" i="5" a="1"/>
  <c r="AF112" i="5" s="1"/>
  <c r="AG112" i="5" s="1" a="1"/>
  <c r="AG112" i="5" s="1"/>
  <c r="AH112" i="5" s="1"/>
  <c r="AM112" i="5" s="1"/>
  <c r="AG110" i="5" a="1"/>
  <c r="AG110" i="5" s="1"/>
  <c r="AH110" i="5" s="1"/>
  <c r="AM110" i="5" s="1"/>
  <c r="AV228" i="5" a="1"/>
  <c r="AV228" i="5" s="1"/>
  <c r="BG228" i="5" s="1"/>
  <c r="AN228" i="5" a="1"/>
  <c r="AN228" i="5" s="1"/>
  <c r="AO228" i="5" s="1" a="1"/>
  <c r="AO228" i="5" s="1"/>
  <c r="AP228" i="5" s="1"/>
  <c r="BH202" i="5" a="1"/>
  <c r="BH202" i="5" s="1"/>
  <c r="AU202" i="5" a="1"/>
  <c r="AU202" i="5" s="1"/>
  <c r="BF202" i="5" s="1"/>
  <c r="AQ178" i="5"/>
  <c r="AS178" i="5" s="1" a="1"/>
  <c r="AS178" i="5" s="1"/>
  <c r="AT178" i="5" s="1" a="1"/>
  <c r="AT178" i="5" s="1"/>
  <c r="BE178" i="5" s="1"/>
  <c r="AQ233" i="5"/>
  <c r="AS233" i="5" s="1" a="1"/>
  <c r="AS233" i="5" s="1"/>
  <c r="BH290" i="5" a="1"/>
  <c r="BH290" i="5" s="1"/>
  <c r="AQ207" i="5"/>
  <c r="AS207" i="5" s="1" a="1"/>
  <c r="AS207" i="5" s="1"/>
  <c r="AT207" i="5" s="1" a="1"/>
  <c r="AT207" i="5" s="1"/>
  <c r="BE207" i="5" s="1"/>
  <c r="AQ208" i="5"/>
  <c r="AS208" i="5" s="1" a="1"/>
  <c r="AS208" i="5" s="1"/>
  <c r="AT208" i="5" s="1" a="1"/>
  <c r="AT208" i="5" s="1"/>
  <c r="BE208" i="5" s="1"/>
  <c r="BH228" i="5" a="1"/>
  <c r="BH228" i="5" s="1"/>
  <c r="AF113" i="5" a="1"/>
  <c r="AF113" i="5" s="1"/>
  <c r="AG113" i="5" s="1" a="1"/>
  <c r="AG113" i="5" s="1"/>
  <c r="AH113" i="5" s="1"/>
  <c r="AM113" i="5" s="1"/>
  <c r="BH34" i="5" a="1"/>
  <c r="BH34" i="5" s="1"/>
  <c r="AN34" i="5" a="1"/>
  <c r="AN34" i="5" s="1"/>
  <c r="AO34" i="5" s="1" a="1"/>
  <c r="AO34" i="5" s="1"/>
  <c r="AP34" i="5" s="1"/>
  <c r="AY34" i="5" s="1" a="1"/>
  <c r="AY34" i="5" s="1"/>
  <c r="AZ34" i="5" s="1"/>
  <c r="BH214" i="5" a="1"/>
  <c r="BH214" i="5" s="1"/>
  <c r="AF262" i="5" a="1"/>
  <c r="AF262" i="5" s="1"/>
  <c r="AG262" i="5" s="1" a="1"/>
  <c r="AG262" i="5" s="1"/>
  <c r="AH262" i="5" s="1"/>
  <c r="AM262" i="5" s="1"/>
  <c r="BH183" i="5" a="1"/>
  <c r="BH183" i="5" s="1"/>
  <c r="AQ260" i="5"/>
  <c r="AU260" i="5" s="1" a="1"/>
  <c r="AU260" i="5" s="1"/>
  <c r="BF260" i="5" s="1"/>
  <c r="AQ167" i="5"/>
  <c r="AS167" i="5" s="1" a="1"/>
  <c r="AS167" i="5" s="1"/>
  <c r="AT167" i="5" s="1" a="1"/>
  <c r="AT167" i="5" s="1"/>
  <c r="BE167" i="5" s="1"/>
  <c r="AQ209" i="5"/>
  <c r="AS209" i="5" s="1" a="1"/>
  <c r="AS209" i="5" s="1"/>
  <c r="AT209" i="5" s="1" a="1"/>
  <c r="AT209" i="5" s="1"/>
  <c r="BE209" i="5" s="1"/>
  <c r="AS243" i="5" a="1"/>
  <c r="AS243" i="5" s="1"/>
  <c r="BD243" i="5" s="1"/>
  <c r="BH135" i="5" a="1"/>
  <c r="BH135" i="5" s="1"/>
  <c r="AS129" i="5" a="1"/>
  <c r="AS129" i="5" s="1"/>
  <c r="BD129" i="5" s="1"/>
  <c r="AN53" i="5" a="1"/>
  <c r="AN53" i="5" s="1"/>
  <c r="AO53" i="5" s="1" a="1"/>
  <c r="AO53" i="5" s="1"/>
  <c r="AP53" i="5" s="1"/>
  <c r="AN204" i="5" a="1"/>
  <c r="AN204" i="5" s="1"/>
  <c r="AO204" i="5" s="1" a="1"/>
  <c r="AO204" i="5" s="1"/>
  <c r="AP204" i="5" s="1"/>
  <c r="AN195" i="5" a="1"/>
  <c r="AN195" i="5" s="1"/>
  <c r="AO195" i="5" s="1" a="1"/>
  <c r="AO195" i="5" s="1"/>
  <c r="AP195" i="5" s="1"/>
  <c r="AY195" i="5" s="1" a="1"/>
  <c r="AY195" i="5" s="1"/>
  <c r="AZ195" i="5" s="1"/>
  <c r="AQ272" i="5"/>
  <c r="AS272" i="5" s="1" a="1"/>
  <c r="AS272" i="5" s="1"/>
  <c r="AT272" i="5" s="1" a="1"/>
  <c r="AT272" i="5" s="1"/>
  <c r="BE272" i="5" s="1"/>
  <c r="BD116" i="5"/>
  <c r="AT116" i="5" a="1"/>
  <c r="AT116" i="5" s="1"/>
  <c r="BE116" i="5" s="1"/>
  <c r="BH270" i="5" a="1"/>
  <c r="BH270" i="5" s="1"/>
  <c r="AQ140" i="5"/>
  <c r="AU140" i="5" s="1" a="1"/>
  <c r="AU140" i="5" s="1"/>
  <c r="BF140" i="5" s="1"/>
  <c r="BH195" i="5" a="1"/>
  <c r="BH195" i="5" s="1"/>
  <c r="AV256" i="5" a="1"/>
  <c r="AV256" i="5" s="1"/>
  <c r="BG256" i="5" s="1"/>
  <c r="AV66" i="5" a="1"/>
  <c r="AV66" i="5" s="1"/>
  <c r="BG66" i="5" s="1"/>
  <c r="AV290" i="5" a="1"/>
  <c r="AV290" i="5" s="1"/>
  <c r="BG290" i="5" s="1"/>
  <c r="AV45" i="5" a="1"/>
  <c r="AV45" i="5" s="1"/>
  <c r="BG45" i="5" s="1"/>
  <c r="BH66" i="5" a="1"/>
  <c r="BH66" i="5" s="1"/>
  <c r="AN147" i="5" a="1"/>
  <c r="AN147" i="5" s="1"/>
  <c r="AO147" i="5" s="1" a="1"/>
  <c r="AO147" i="5" s="1"/>
  <c r="AP147" i="5" s="1"/>
  <c r="AQ180" i="5"/>
  <c r="AU180" i="5" s="1" a="1"/>
  <c r="AU180" i="5" s="1"/>
  <c r="BF180" i="5" s="1"/>
  <c r="AQ133" i="5"/>
  <c r="AQ173" i="5"/>
  <c r="AU173" i="5" s="1" a="1"/>
  <c r="AU173" i="5" s="1"/>
  <c r="BF173" i="5" s="1"/>
  <c r="AN173" i="5" a="1"/>
  <c r="AN173" i="5" s="1"/>
  <c r="AO173" i="5" s="1" a="1"/>
  <c r="AO173" i="5" s="1"/>
  <c r="AP173" i="5" s="1"/>
  <c r="BH130" i="5" a="1"/>
  <c r="BH130" i="5" s="1"/>
  <c r="AU100" i="5" a="1"/>
  <c r="AU100" i="5" s="1"/>
  <c r="BF100" i="5" s="1"/>
  <c r="AS231" i="5" a="1"/>
  <c r="AS231" i="5" s="1"/>
  <c r="AT231" i="5" s="1" a="1"/>
  <c r="AT231" i="5" s="1"/>
  <c r="BE231" i="5" s="1"/>
  <c r="AN107" i="5" a="1"/>
  <c r="AN107" i="5" s="1"/>
  <c r="AO107" i="5" s="1" a="1"/>
  <c r="AO107" i="5" s="1"/>
  <c r="AP107" i="5" s="1"/>
  <c r="AV231" i="5" a="1"/>
  <c r="AV231" i="5" s="1"/>
  <c r="BG231" i="5" s="1"/>
  <c r="BH129" i="5" a="1"/>
  <c r="BH129" i="5" s="1"/>
  <c r="AN123" i="5" a="1"/>
  <c r="AN123" i="5" s="1"/>
  <c r="AO123" i="5" s="1" a="1"/>
  <c r="AO123" i="5" s="1"/>
  <c r="AP123" i="5" s="1"/>
  <c r="AY123" i="5" s="1" a="1"/>
  <c r="AY123" i="5" s="1"/>
  <c r="AZ123" i="5" s="1"/>
  <c r="AU175" i="5" a="1"/>
  <c r="AU175" i="5" s="1"/>
  <c r="BF175" i="5" s="1"/>
  <c r="AV54" i="5" a="1"/>
  <c r="AV54" i="5" s="1"/>
  <c r="BG54" i="5" s="1"/>
  <c r="AN231" i="5" a="1"/>
  <c r="AN231" i="5" s="1"/>
  <c r="AO231" i="5" s="1" a="1"/>
  <c r="AO231" i="5" s="1"/>
  <c r="AP231" i="5" s="1"/>
  <c r="AS107" i="5" a="1"/>
  <c r="AS107" i="5" s="1"/>
  <c r="AT107" i="5" s="1" a="1"/>
  <c r="AT107" i="5" s="1"/>
  <c r="BE107" i="5" s="1"/>
  <c r="BH231" i="5" a="1"/>
  <c r="BH231" i="5" s="1"/>
  <c r="BH230" i="5" a="1"/>
  <c r="BH230" i="5" s="1"/>
  <c r="BH175" i="5" a="1"/>
  <c r="BH175" i="5" s="1"/>
  <c r="AF75" i="5" a="1"/>
  <c r="AF75" i="5" s="1"/>
  <c r="AG75" i="5" s="1" a="1"/>
  <c r="AG75" i="5" s="1"/>
  <c r="AH75" i="5" s="1"/>
  <c r="AM75" i="5" s="1"/>
  <c r="BH155" i="5" a="1"/>
  <c r="BH155" i="5" s="1"/>
  <c r="BH106" i="5" a="1"/>
  <c r="BH106" i="5" s="1"/>
  <c r="BD175" i="5"/>
  <c r="AV175" i="5" a="1"/>
  <c r="AV175" i="5" s="1"/>
  <c r="BG175" i="5" s="1"/>
  <c r="AN79" i="5" a="1"/>
  <c r="AN79" i="5" s="1"/>
  <c r="AO79" i="5" s="1" a="1"/>
  <c r="AO79" i="5" s="1"/>
  <c r="AP79" i="5" s="1"/>
  <c r="AV155" i="5" a="1"/>
  <c r="AV155" i="5" s="1"/>
  <c r="BG155" i="5" s="1"/>
  <c r="AN106" i="5" a="1"/>
  <c r="AN106" i="5" s="1"/>
  <c r="AO106" i="5" s="1" a="1"/>
  <c r="AO106" i="5" s="1"/>
  <c r="AP106" i="5" s="1"/>
  <c r="AN175" i="5" a="1"/>
  <c r="AN175" i="5" s="1"/>
  <c r="AO175" i="5" s="1" a="1"/>
  <c r="AO175" i="5" s="1"/>
  <c r="AP175" i="5" s="1"/>
  <c r="AU150" i="5" a="1"/>
  <c r="AU150" i="5" s="1"/>
  <c r="BF150" i="5" s="1"/>
  <c r="AV65" i="5" a="1"/>
  <c r="AV65" i="5" s="1"/>
  <c r="BG65" i="5" s="1"/>
  <c r="BH132" i="5" a="1"/>
  <c r="BH132" i="5" s="1"/>
  <c r="AQ224" i="5"/>
  <c r="AQ99" i="5"/>
  <c r="AU99" i="5" s="1" a="1"/>
  <c r="AU99" i="5" s="1"/>
  <c r="BF99" i="5" s="1"/>
  <c r="BH166" i="5" a="1"/>
  <c r="BH166" i="5" s="1"/>
  <c r="BH211" i="5" a="1"/>
  <c r="BH211" i="5" s="1"/>
  <c r="BH116" i="5" a="1"/>
  <c r="BH116" i="5" s="1"/>
  <c r="AN116" i="5" a="1"/>
  <c r="AN116" i="5" s="1"/>
  <c r="AO116" i="5" s="1" a="1"/>
  <c r="AO116" i="5" s="1"/>
  <c r="AP116" i="5" s="1"/>
  <c r="AV109" i="5" a="1"/>
  <c r="AV109" i="5" s="1"/>
  <c r="BG109" i="5" s="1"/>
  <c r="AN172" i="5" a="1"/>
  <c r="AN172" i="5" s="1"/>
  <c r="AO172" i="5" s="1" a="1"/>
  <c r="AO172" i="5" s="1"/>
  <c r="AP172" i="5" s="1"/>
  <c r="AU116" i="5" a="1"/>
  <c r="AU116" i="5" s="1"/>
  <c r="BF116" i="5" s="1"/>
  <c r="AV166" i="5" a="1"/>
  <c r="AV166" i="5" s="1"/>
  <c r="BG166" i="5" s="1"/>
  <c r="AV211" i="5" a="1"/>
  <c r="AV211" i="5" s="1"/>
  <c r="BG211" i="5" s="1"/>
  <c r="AV129" i="5" a="1"/>
  <c r="AV129" i="5" s="1"/>
  <c r="BG129" i="5" s="1"/>
  <c r="BH172" i="5" a="1"/>
  <c r="BH172" i="5" s="1"/>
  <c r="AV214" i="5" a="1"/>
  <c r="AV214" i="5" s="1"/>
  <c r="BG214" i="5" s="1"/>
  <c r="AN166" i="5" a="1"/>
  <c r="AN166" i="5" s="1"/>
  <c r="AO166" i="5" s="1" a="1"/>
  <c r="AO166" i="5" s="1"/>
  <c r="AP166" i="5" s="1"/>
  <c r="BH109" i="5" a="1"/>
  <c r="BH109" i="5" s="1"/>
  <c r="AV172" i="5" a="1"/>
  <c r="AV172" i="5" s="1"/>
  <c r="BG172" i="5" s="1"/>
  <c r="AS166" i="5" a="1"/>
  <c r="AS166" i="5" s="1"/>
  <c r="AT166" i="5" s="1" a="1"/>
  <c r="AT166" i="5" s="1"/>
  <c r="BE166" i="5" s="1"/>
  <c r="AQ94" i="5"/>
  <c r="AS94" i="5" s="1" a="1"/>
  <c r="AS94" i="5" s="1"/>
  <c r="AT94" i="5" s="1" a="1"/>
  <c r="AT94" i="5" s="1"/>
  <c r="BE94" i="5" s="1"/>
  <c r="AV204" i="5" a="1"/>
  <c r="AV204" i="5" s="1"/>
  <c r="BG204" i="5" s="1"/>
  <c r="AV128" i="5" a="1"/>
  <c r="AV128" i="5" s="1"/>
  <c r="BG128" i="5" s="1"/>
  <c r="AV283" i="5" a="1"/>
  <c r="AV283" i="5" s="1"/>
  <c r="BG283" i="5" s="1"/>
  <c r="AS170" i="5" a="1"/>
  <c r="AS170" i="5" s="1"/>
  <c r="AT170" i="5" s="1" a="1"/>
  <c r="AT170" i="5" s="1"/>
  <c r="BE170" i="5" s="1"/>
  <c r="BH36" i="5" a="1"/>
  <c r="BH36" i="5" s="1"/>
  <c r="BH51" i="5" a="1"/>
  <c r="BH51" i="5" s="1"/>
  <c r="AV170" i="5" a="1"/>
  <c r="AV170" i="5" s="1"/>
  <c r="BG170" i="5" s="1"/>
  <c r="AN51" i="5" a="1"/>
  <c r="AN51" i="5" s="1"/>
  <c r="AO51" i="5" s="1" a="1"/>
  <c r="AO51" i="5" s="1"/>
  <c r="AP51" i="5" s="1"/>
  <c r="AY51" i="5" s="1" a="1"/>
  <c r="AY51" i="5" s="1"/>
  <c r="AZ51" i="5" s="1"/>
  <c r="AF91" i="5" a="1"/>
  <c r="AF91" i="5" s="1"/>
  <c r="AN44" i="5" a="1"/>
  <c r="AN44" i="5" s="1"/>
  <c r="AO44" i="5" s="1" a="1"/>
  <c r="AO44" i="5" s="1"/>
  <c r="AP44" i="5" s="1"/>
  <c r="AY44" i="5" s="1" a="1"/>
  <c r="AY44" i="5" s="1"/>
  <c r="AZ44" i="5" s="1"/>
  <c r="BH235" i="5" a="1"/>
  <c r="BH235" i="5" s="1"/>
  <c r="AN170" i="5" a="1"/>
  <c r="AN170" i="5" s="1"/>
  <c r="AO170" i="5" s="1" a="1"/>
  <c r="AO170" i="5" s="1"/>
  <c r="AP170" i="5" s="1"/>
  <c r="AV53" i="5" a="1"/>
  <c r="AV53" i="5" s="1"/>
  <c r="BG53" i="5" s="1"/>
  <c r="AN131" i="5" a="1"/>
  <c r="AN131" i="5" s="1"/>
  <c r="AO131" i="5" s="1" a="1"/>
  <c r="AO131" i="5" s="1"/>
  <c r="AP131" i="5" s="1"/>
  <c r="AU214" i="5" a="1"/>
  <c r="AU214" i="5" s="1"/>
  <c r="BF214" i="5" s="1"/>
  <c r="AU172" i="5" a="1"/>
  <c r="AU172" i="5" s="1"/>
  <c r="BF172" i="5" s="1"/>
  <c r="AQ79" i="5"/>
  <c r="AQ212" i="5"/>
  <c r="AS212" i="5" s="1" a="1"/>
  <c r="AS212" i="5" s="1"/>
  <c r="AT212" i="5" s="1" a="1"/>
  <c r="AT212" i="5" s="1"/>
  <c r="BE212" i="5" s="1"/>
  <c r="AU193" i="5" a="1"/>
  <c r="AU193" i="5" s="1"/>
  <c r="BF193" i="5" s="1"/>
  <c r="AS193" i="5" a="1"/>
  <c r="AS193" i="5" s="1"/>
  <c r="AT193" i="5" s="1" a="1"/>
  <c r="AT193" i="5" s="1"/>
  <c r="BE193" i="5" s="1"/>
  <c r="AQ75" i="5"/>
  <c r="AQ285" i="5"/>
  <c r="AU285" i="5" s="1" a="1"/>
  <c r="AU285" i="5" s="1"/>
  <c r="BF285" i="5" s="1"/>
  <c r="BH285" i="5" a="1"/>
  <c r="BH285" i="5" s="1"/>
  <c r="AV285" i="5" a="1"/>
  <c r="AV285" i="5" s="1"/>
  <c r="BG285" i="5" s="1"/>
  <c r="BH78" i="5" a="1"/>
  <c r="BH78" i="5" s="1"/>
  <c r="AV146" i="5" a="1"/>
  <c r="AV146" i="5" s="1"/>
  <c r="BG146" i="5" s="1"/>
  <c r="BH131" i="5" a="1"/>
  <c r="BH131" i="5" s="1"/>
  <c r="BH217" i="5" a="1"/>
  <c r="BH217" i="5" s="1"/>
  <c r="AN214" i="5" a="1"/>
  <c r="AN214" i="5" s="1"/>
  <c r="AO214" i="5" s="1" a="1"/>
  <c r="AO214" i="5" s="1"/>
  <c r="AP214" i="5" s="1"/>
  <c r="AF186" i="5" a="1"/>
  <c r="AF186" i="5" s="1"/>
  <c r="AG186" i="5" s="1" a="1"/>
  <c r="AG186" i="5" s="1"/>
  <c r="AH186" i="5" s="1"/>
  <c r="AM186" i="5" s="1"/>
  <c r="AV130" i="5" a="1"/>
  <c r="AV130" i="5" s="1"/>
  <c r="BG130" i="5" s="1"/>
  <c r="AN230" i="5" a="1"/>
  <c r="AN230" i="5" s="1"/>
  <c r="AO230" i="5" s="1" a="1"/>
  <c r="AO230" i="5" s="1"/>
  <c r="AP230" i="5" s="1"/>
  <c r="AN253" i="5" a="1"/>
  <c r="AN253" i="5" s="1"/>
  <c r="AO253" i="5" s="1" a="1"/>
  <c r="AO253" i="5" s="1"/>
  <c r="AP253" i="5" s="1"/>
  <c r="AY253" i="5" s="1" a="1"/>
  <c r="AY253" i="5" s="1"/>
  <c r="AZ253" i="5" s="1"/>
  <c r="AV291" i="5" a="1"/>
  <c r="AV291" i="5" s="1"/>
  <c r="BG291" i="5" s="1"/>
  <c r="BH100" i="5" a="1"/>
  <c r="BH100" i="5" s="1"/>
  <c r="AN192" i="5" a="1"/>
  <c r="AN192" i="5" s="1"/>
  <c r="AO192" i="5" s="1" a="1"/>
  <c r="AO192" i="5" s="1"/>
  <c r="AP192" i="5" s="1"/>
  <c r="AF223" i="5" a="1"/>
  <c r="AF223" i="5" s="1"/>
  <c r="AG223" i="5" s="1" a="1"/>
  <c r="AG223" i="5" s="1"/>
  <c r="AH223" i="5" s="1"/>
  <c r="AM223" i="5" s="1"/>
  <c r="AN130" i="5" a="1"/>
  <c r="AN130" i="5" s="1"/>
  <c r="AO130" i="5" s="1" a="1"/>
  <c r="AO130" i="5" s="1"/>
  <c r="AP130" i="5" s="1"/>
  <c r="BH216" i="5" a="1"/>
  <c r="BH216" i="5" s="1"/>
  <c r="BH170" i="5" a="1"/>
  <c r="BH170" i="5" s="1"/>
  <c r="AN291" i="5" a="1"/>
  <c r="AN291" i="5" s="1"/>
  <c r="AO291" i="5" s="1" a="1"/>
  <c r="AO291" i="5" s="1"/>
  <c r="AP291" i="5" s="1"/>
  <c r="BH62" i="5" a="1"/>
  <c r="BH62" i="5" s="1"/>
  <c r="AV100" i="5" a="1"/>
  <c r="AV100" i="5" s="1"/>
  <c r="BG100" i="5" s="1"/>
  <c r="AN129" i="5" a="1"/>
  <c r="AN129" i="5" s="1"/>
  <c r="AO129" i="5" s="1" a="1"/>
  <c r="AO129" i="5" s="1"/>
  <c r="AP129" i="5" s="1"/>
  <c r="AS144" i="5" a="1"/>
  <c r="AS144" i="5" s="1"/>
  <c r="BD144" i="5" s="1"/>
  <c r="AN62" i="5" a="1"/>
  <c r="AN62" i="5" s="1"/>
  <c r="AO62" i="5" s="1" a="1"/>
  <c r="AO62" i="5" s="1"/>
  <c r="AP62" i="5" s="1"/>
  <c r="AY62" i="5" s="1" a="1"/>
  <c r="AY62" i="5" s="1"/>
  <c r="AZ62" i="5" s="1"/>
  <c r="AN100" i="5" a="1"/>
  <c r="AN100" i="5" s="1"/>
  <c r="AO100" i="5" s="1" a="1"/>
  <c r="AO100" i="5" s="1"/>
  <c r="AP100" i="5" s="1"/>
  <c r="AF203" i="5" a="1"/>
  <c r="AF203" i="5" s="1"/>
  <c r="AG203" i="5" s="1" a="1"/>
  <c r="AG203" i="5" s="1"/>
  <c r="AH203" i="5" s="1"/>
  <c r="AM203" i="5" s="1"/>
  <c r="AU130" i="5" a="1"/>
  <c r="AU130" i="5" s="1"/>
  <c r="BF130" i="5" s="1"/>
  <c r="BH107" i="5" a="1"/>
  <c r="BH107" i="5" s="1"/>
  <c r="AV144" i="5" a="1"/>
  <c r="AV144" i="5" s="1"/>
  <c r="BG144" i="5" s="1"/>
  <c r="AN211" i="5" a="1"/>
  <c r="AN211" i="5" s="1"/>
  <c r="AO211" i="5" s="1" a="1"/>
  <c r="AO211" i="5" s="1"/>
  <c r="AP211" i="5" s="1"/>
  <c r="BH150" i="5" a="1"/>
  <c r="BH150" i="5" s="1"/>
  <c r="AQ218" i="5"/>
  <c r="AS218" i="5" s="1" a="1"/>
  <c r="AS218" i="5" s="1"/>
  <c r="AT218" i="5" s="1" a="1"/>
  <c r="AT218" i="5" s="1"/>
  <c r="BE218" i="5" s="1"/>
  <c r="AV254" i="5" a="1"/>
  <c r="AV254" i="5" s="1"/>
  <c r="BG254" i="5" s="1"/>
  <c r="BH123" i="5" a="1"/>
  <c r="BH123" i="5" s="1"/>
  <c r="BH254" i="5" a="1"/>
  <c r="BH254" i="5" s="1"/>
  <c r="BH144" i="5" a="1"/>
  <c r="BH144" i="5" s="1"/>
  <c r="BH184" i="5" a="1"/>
  <c r="BH184" i="5" s="1"/>
  <c r="AN36" i="5" a="1"/>
  <c r="AN36" i="5" s="1"/>
  <c r="AO36" i="5" s="1" a="1"/>
  <c r="AO36" i="5" s="1"/>
  <c r="AP36" i="5" s="1"/>
  <c r="AY36" i="5" s="1" a="1"/>
  <c r="AY36" i="5" s="1"/>
  <c r="AZ36" i="5" s="1"/>
  <c r="AV116" i="5" a="1"/>
  <c r="AV116" i="5" s="1"/>
  <c r="BG116" i="5" s="1"/>
  <c r="AN109" i="5" a="1"/>
  <c r="AN109" i="5" s="1"/>
  <c r="AO109" i="5" s="1" a="1"/>
  <c r="AO109" i="5" s="1"/>
  <c r="AP109" i="5" s="1"/>
  <c r="BH278" i="5" a="1"/>
  <c r="BH278" i="5" s="1"/>
  <c r="AQ244" i="5"/>
  <c r="AV244" i="5" a="1"/>
  <c r="AV244" i="5" s="1"/>
  <c r="BG244" i="5" s="1"/>
  <c r="AN244" i="5" a="1"/>
  <c r="AN244" i="5" s="1"/>
  <c r="AO244" i="5" s="1" a="1"/>
  <c r="AO244" i="5" s="1"/>
  <c r="AP244" i="5" s="1"/>
  <c r="BH274" i="5" a="1"/>
  <c r="BH274" i="5" s="1"/>
  <c r="BH277" i="5" a="1"/>
  <c r="BH277" i="5" s="1"/>
  <c r="BH50" i="5" a="1"/>
  <c r="BH50" i="5" s="1"/>
  <c r="AN274" i="5" a="1"/>
  <c r="AN274" i="5" s="1"/>
  <c r="AO274" i="5" s="1" a="1"/>
  <c r="AO274" i="5" s="1"/>
  <c r="AP274" i="5" s="1"/>
  <c r="AS217" i="5" a="1"/>
  <c r="AS217" i="5" s="1"/>
  <c r="AT217" i="5" s="1" a="1"/>
  <c r="AT217" i="5" s="1"/>
  <c r="BE217" i="5" s="1"/>
  <c r="BH266" i="5" a="1"/>
  <c r="BH266" i="5" s="1"/>
  <c r="AQ95" i="5"/>
  <c r="AV50" i="5" a="1"/>
  <c r="AV50" i="5" s="1"/>
  <c r="BG50" i="5" s="1"/>
  <c r="AV216" i="5" a="1"/>
  <c r="AV216" i="5" s="1"/>
  <c r="BG216" i="5" s="1"/>
  <c r="AV217" i="5" a="1"/>
  <c r="AV217" i="5" s="1"/>
  <c r="BG217" i="5" s="1"/>
  <c r="AU109" i="5" a="1"/>
  <c r="AU109" i="5" s="1"/>
  <c r="BF109" i="5" s="1"/>
  <c r="AS50" i="5" a="1"/>
  <c r="AS50" i="5" s="1"/>
  <c r="AT50" i="5" s="1" a="1"/>
  <c r="AT50" i="5" s="1"/>
  <c r="BE50" i="5" s="1"/>
  <c r="AF63" i="5" a="1"/>
  <c r="AF63" i="5" s="1"/>
  <c r="AN50" i="5" a="1"/>
  <c r="AN50" i="5" s="1"/>
  <c r="AO50" i="5" s="1" a="1"/>
  <c r="AO50" i="5" s="1"/>
  <c r="AP50" i="5" s="1"/>
  <c r="AV194" i="5" a="1"/>
  <c r="AV194" i="5" s="1"/>
  <c r="BG194" i="5" s="1"/>
  <c r="AV193" i="5" a="1"/>
  <c r="AV193" i="5" s="1"/>
  <c r="BG193" i="5" s="1"/>
  <c r="AV184" i="5" a="1"/>
  <c r="AV184" i="5" s="1"/>
  <c r="BG184" i="5" s="1"/>
  <c r="BH44" i="5" a="1"/>
  <c r="BH44" i="5" s="1"/>
  <c r="AU156" i="5" a="1"/>
  <c r="AU156" i="5" s="1"/>
  <c r="BF156" i="5" s="1"/>
  <c r="AN47" i="5" a="1"/>
  <c r="AN47" i="5" s="1"/>
  <c r="AO47" i="5" s="1" a="1"/>
  <c r="AO47" i="5" s="1"/>
  <c r="AP47" i="5" s="1"/>
  <c r="AV126" i="5" a="1"/>
  <c r="AV126" i="5" s="1"/>
  <c r="BG126" i="5" s="1"/>
  <c r="BH193" i="5" a="1"/>
  <c r="BH193" i="5" s="1"/>
  <c r="AN193" i="5" a="1"/>
  <c r="AN193" i="5" s="1"/>
  <c r="AO193" i="5" s="1" a="1"/>
  <c r="AO193" i="5" s="1"/>
  <c r="AP193" i="5" s="1"/>
  <c r="BH156" i="5" a="1"/>
  <c r="BH156" i="5" s="1"/>
  <c r="AV156" i="5" a="1"/>
  <c r="AV156" i="5" s="1"/>
  <c r="BG156" i="5" s="1"/>
  <c r="AN156" i="5" a="1"/>
  <c r="AN156" i="5" s="1"/>
  <c r="AO156" i="5" s="1" a="1"/>
  <c r="AO156" i="5" s="1"/>
  <c r="AP156" i="5" s="1"/>
  <c r="BH146" i="5" a="1"/>
  <c r="BH146" i="5" s="1"/>
  <c r="AV159" i="5" a="1"/>
  <c r="AV159" i="5" s="1"/>
  <c r="BG159" i="5" s="1"/>
  <c r="AV131" i="5" a="1"/>
  <c r="AV131" i="5" s="1"/>
  <c r="BG131" i="5" s="1"/>
  <c r="AN115" i="5" a="1"/>
  <c r="AN115" i="5" s="1"/>
  <c r="AO115" i="5" s="1" a="1"/>
  <c r="AO115" i="5" s="1"/>
  <c r="AP115" i="5" s="1"/>
  <c r="AU194" i="5" a="1"/>
  <c r="AU194" i="5" s="1"/>
  <c r="BF194" i="5" s="1"/>
  <c r="AV111" i="5" a="1"/>
  <c r="AV111" i="5" s="1"/>
  <c r="BG111" i="5" s="1"/>
  <c r="AN111" i="5" a="1"/>
  <c r="AN111" i="5" s="1"/>
  <c r="AO111" i="5" s="1" a="1"/>
  <c r="AO111" i="5" s="1"/>
  <c r="AP111" i="5" s="1"/>
  <c r="BH111" i="5" a="1"/>
  <c r="BH111" i="5" s="1"/>
  <c r="BH253" i="5" a="1"/>
  <c r="BH253" i="5" s="1"/>
  <c r="BH284" i="5" a="1"/>
  <c r="BH284" i="5" s="1"/>
  <c r="AV173" i="5" a="1"/>
  <c r="AV173" i="5" s="1"/>
  <c r="BG173" i="5" s="1"/>
  <c r="BH128" i="5" a="1"/>
  <c r="BH128" i="5" s="1"/>
  <c r="BH158" i="5" a="1"/>
  <c r="BH158" i="5" s="1"/>
  <c r="AN255" i="5" a="1"/>
  <c r="AN255" i="5" s="1"/>
  <c r="AO255" i="5" s="1" a="1"/>
  <c r="AO255" i="5" s="1"/>
  <c r="AP255" i="5" s="1"/>
  <c r="BH81" i="5" a="1"/>
  <c r="BH81" i="5" s="1"/>
  <c r="BH244" i="5" a="1"/>
  <c r="BH244" i="5" s="1"/>
  <c r="AN184" i="5" a="1"/>
  <c r="AN184" i="5" s="1"/>
  <c r="AO184" i="5" s="1" a="1"/>
  <c r="AO184" i="5" s="1"/>
  <c r="AP184" i="5" s="1"/>
  <c r="BH115" i="5" a="1"/>
  <c r="BH115" i="5" s="1"/>
  <c r="AF35" i="5" a="1"/>
  <c r="AF35" i="5" s="1"/>
  <c r="AF293" i="5" a="1"/>
  <c r="AF293" i="5" s="1"/>
  <c r="AG293" i="5" s="1" a="1"/>
  <c r="AG293" i="5" s="1"/>
  <c r="AH293" i="5" s="1"/>
  <c r="AM293" i="5" s="1"/>
  <c r="AV115" i="5" a="1"/>
  <c r="AV115" i="5" s="1"/>
  <c r="BG115" i="5" s="1"/>
  <c r="AN114" i="5" a="1"/>
  <c r="AN114" i="5" s="1"/>
  <c r="AO114" i="5" s="1" a="1"/>
  <c r="AO114" i="5" s="1"/>
  <c r="AP114" i="5" s="1"/>
  <c r="AS204" i="5" a="1"/>
  <c r="AS204" i="5" s="1"/>
  <c r="AT204" i="5" s="1" a="1"/>
  <c r="AT204" i="5" s="1"/>
  <c r="BE204" i="5" s="1"/>
  <c r="AS117" i="5" a="1"/>
  <c r="AS117" i="5" s="1"/>
  <c r="AT117" i="5" s="1" a="1"/>
  <c r="AT117" i="5" s="1"/>
  <c r="BE117" i="5" s="1"/>
  <c r="AV132" i="5" a="1"/>
  <c r="AV132" i="5" s="1"/>
  <c r="BG132" i="5" s="1"/>
  <c r="AU184" i="5" a="1"/>
  <c r="AU184" i="5" s="1"/>
  <c r="BF184" i="5" s="1"/>
  <c r="AU265" i="5" a="1"/>
  <c r="AU265" i="5" s="1"/>
  <c r="BF265" i="5" s="1"/>
  <c r="BH265" i="5" a="1"/>
  <c r="BH265" i="5" s="1"/>
  <c r="AN216" i="5" a="1"/>
  <c r="AN216" i="5" s="1"/>
  <c r="AO216" i="5" s="1" a="1"/>
  <c r="AO216" i="5" s="1"/>
  <c r="AP216" i="5" s="1"/>
  <c r="AV107" i="5" a="1"/>
  <c r="AV107" i="5" s="1"/>
  <c r="BG107" i="5" s="1"/>
  <c r="BH126" i="5" a="1"/>
  <c r="BH126" i="5" s="1"/>
  <c r="AN144" i="5" a="1"/>
  <c r="AN144" i="5" s="1"/>
  <c r="AO144" i="5" s="1" a="1"/>
  <c r="AO144" i="5" s="1"/>
  <c r="AP144" i="5" s="1"/>
  <c r="AN132" i="5" a="1"/>
  <c r="AN132" i="5" s="1"/>
  <c r="AO132" i="5" s="1" a="1"/>
  <c r="AO132" i="5" s="1"/>
  <c r="AP132" i="5" s="1"/>
  <c r="BD156" i="5"/>
  <c r="AV117" i="5" a="1"/>
  <c r="AV117" i="5" s="1"/>
  <c r="BG117" i="5" s="1"/>
  <c r="AS274" i="5" a="1"/>
  <c r="AS274" i="5" s="1"/>
  <c r="AT274" i="5" s="1" a="1"/>
  <c r="AT274" i="5" s="1"/>
  <c r="BE274" i="5" s="1"/>
  <c r="AU211" i="5" a="1"/>
  <c r="AU211" i="5" s="1"/>
  <c r="BF211" i="5" s="1"/>
  <c r="BH117" i="5" a="1"/>
  <c r="BH117" i="5" s="1"/>
  <c r="BH243" i="5" a="1"/>
  <c r="BH243" i="5" s="1"/>
  <c r="AN117" i="5" a="1"/>
  <c r="AN117" i="5" s="1"/>
  <c r="AO117" i="5" s="1" a="1"/>
  <c r="AO117" i="5" s="1"/>
  <c r="AP117" i="5" s="1"/>
  <c r="AV265" i="5" a="1"/>
  <c r="AV265" i="5" s="1"/>
  <c r="BG265" i="5" s="1"/>
  <c r="AN265" i="5" a="1"/>
  <c r="AN265" i="5" s="1"/>
  <c r="AO265" i="5" s="1" a="1"/>
  <c r="AO265" i="5" s="1"/>
  <c r="AP265" i="5" s="1"/>
  <c r="BH204" i="5" a="1"/>
  <c r="BH204" i="5" s="1"/>
  <c r="AV243" i="5" a="1"/>
  <c r="AV243" i="5" s="1"/>
  <c r="BG243" i="5" s="1"/>
  <c r="AQ87" i="5"/>
  <c r="AN243" i="5" a="1"/>
  <c r="AN243" i="5" s="1"/>
  <c r="AO243" i="5" s="1" a="1"/>
  <c r="AO243" i="5" s="1"/>
  <c r="AP243" i="5" s="1"/>
  <c r="BH173" i="5" a="1"/>
  <c r="BH173" i="5" s="1"/>
  <c r="AT177" i="5" a="1"/>
  <c r="AT177" i="5" s="1"/>
  <c r="BE177" i="5" s="1"/>
  <c r="BD177" i="5"/>
  <c r="BD115" i="5"/>
  <c r="AT115" i="5" a="1"/>
  <c r="AT115" i="5" s="1"/>
  <c r="BE115" i="5" s="1"/>
  <c r="AQ198" i="5"/>
  <c r="BD211" i="5"/>
  <c r="AT211" i="5" a="1"/>
  <c r="AT211" i="5" s="1"/>
  <c r="BE211" i="5" s="1"/>
  <c r="AS105" i="5" a="1"/>
  <c r="AS105" i="5" s="1"/>
  <c r="AT105" i="5" s="1" a="1"/>
  <c r="AT105" i="5" s="1"/>
  <c r="BE105" i="5" s="1"/>
  <c r="BH286" i="5" a="1"/>
  <c r="BH286" i="5" s="1"/>
  <c r="AN285" i="5" a="1"/>
  <c r="AN285" i="5" s="1"/>
  <c r="AO285" i="5" s="1" a="1"/>
  <c r="AO285" i="5" s="1"/>
  <c r="AP285" i="5" s="1"/>
  <c r="AS270" i="5" a="1"/>
  <c r="AS270" i="5" s="1"/>
  <c r="AT270" i="5" s="1" a="1"/>
  <c r="AT270" i="5" s="1"/>
  <c r="BE270" i="5" s="1"/>
  <c r="AN270" i="5" a="1"/>
  <c r="AN270" i="5" s="1"/>
  <c r="AO270" i="5" s="1" a="1"/>
  <c r="AO270" i="5" s="1"/>
  <c r="AP270" i="5" s="1"/>
  <c r="AV78" i="5" a="1"/>
  <c r="AV78" i="5" s="1"/>
  <c r="BG78" i="5" s="1"/>
  <c r="AV284" i="5" a="1"/>
  <c r="AV284" i="5" s="1"/>
  <c r="BG284" i="5" s="1"/>
  <c r="AV150" i="5" a="1"/>
  <c r="AV150" i="5" s="1"/>
  <c r="BG150" i="5" s="1"/>
  <c r="AV277" i="5" a="1"/>
  <c r="AV277" i="5" s="1"/>
  <c r="BG277" i="5" s="1"/>
  <c r="AN217" i="5" a="1"/>
  <c r="AN217" i="5" s="1"/>
  <c r="AO217" i="5" s="1" a="1"/>
  <c r="AO217" i="5" s="1"/>
  <c r="AP217" i="5" s="1"/>
  <c r="AU115" i="5" a="1"/>
  <c r="AU115" i="5" s="1"/>
  <c r="BF115" i="5" s="1"/>
  <c r="AN78" i="5" a="1"/>
  <c r="AN78" i="5" s="1"/>
  <c r="AO78" i="5" s="1" a="1"/>
  <c r="AO78" i="5" s="1"/>
  <c r="AP78" i="5" s="1"/>
  <c r="AN284" i="5" a="1"/>
  <c r="AN284" i="5" s="1"/>
  <c r="AO284" i="5" s="1" a="1"/>
  <c r="AO284" i="5" s="1"/>
  <c r="AP284" i="5" s="1"/>
  <c r="AN150" i="5" a="1"/>
  <c r="AN150" i="5" s="1"/>
  <c r="AO150" i="5" s="1" a="1"/>
  <c r="AO150" i="5" s="1"/>
  <c r="AP150" i="5" s="1"/>
  <c r="AN277" i="5" a="1"/>
  <c r="AN277" i="5" s="1"/>
  <c r="AO277" i="5" s="1" a="1"/>
  <c r="AO277" i="5" s="1"/>
  <c r="AP277" i="5" s="1"/>
  <c r="BH93" i="5" a="1"/>
  <c r="BH93" i="5" s="1"/>
  <c r="BH194" i="5" a="1"/>
  <c r="BH194" i="5" s="1"/>
  <c r="AN194" i="5" a="1"/>
  <c r="AN194" i="5" s="1"/>
  <c r="AO194" i="5" s="1" a="1"/>
  <c r="AO194" i="5" s="1"/>
  <c r="AP194" i="5" s="1"/>
  <c r="AF287" i="5" a="1"/>
  <c r="AF287" i="5" s="1"/>
  <c r="AG287" i="5" s="1" a="1"/>
  <c r="AG287" i="5" s="1"/>
  <c r="AH287" i="5" s="1"/>
  <c r="AM287" i="5" s="1"/>
  <c r="AV270" i="5" a="1"/>
  <c r="AV270" i="5" s="1"/>
  <c r="BG270" i="5" s="1"/>
  <c r="BH105" i="5" a="1"/>
  <c r="BH105" i="5" s="1"/>
  <c r="BH271" i="5" a="1"/>
  <c r="BH271" i="5" s="1"/>
  <c r="AV93" i="5" a="1"/>
  <c r="AV93" i="5" s="1"/>
  <c r="BG93" i="5" s="1"/>
  <c r="AV105" i="5" a="1"/>
  <c r="AV105" i="5" s="1"/>
  <c r="BG105" i="5" s="1"/>
  <c r="AV271" i="5" a="1"/>
  <c r="AV271" i="5" s="1"/>
  <c r="BG271" i="5" s="1"/>
  <c r="AN146" i="5" a="1"/>
  <c r="AN146" i="5" s="1"/>
  <c r="AO146" i="5" s="1" a="1"/>
  <c r="AO146" i="5" s="1"/>
  <c r="AP146" i="5" s="1"/>
  <c r="AV106" i="5" a="1"/>
  <c r="AV106" i="5" s="1"/>
  <c r="BG106" i="5" s="1"/>
  <c r="AN158" i="5" a="1"/>
  <c r="AN158" i="5" s="1"/>
  <c r="AO158" i="5" s="1" a="1"/>
  <c r="AO158" i="5" s="1"/>
  <c r="AP158" i="5" s="1"/>
  <c r="AN105" i="5" a="1"/>
  <c r="AN105" i="5" s="1"/>
  <c r="AO105" i="5" s="1" a="1"/>
  <c r="AO105" i="5" s="1"/>
  <c r="AP105" i="5" s="1"/>
  <c r="AN271" i="5" a="1"/>
  <c r="AN271" i="5" s="1"/>
  <c r="AO271" i="5" s="1" a="1"/>
  <c r="AO271" i="5" s="1"/>
  <c r="AP271" i="5" s="1"/>
  <c r="AU284" i="5" a="1"/>
  <c r="AU284" i="5" s="1"/>
  <c r="BF284" i="5" s="1"/>
  <c r="AU78" i="5" a="1"/>
  <c r="AU78" i="5" s="1"/>
  <c r="BF78" i="5" s="1"/>
  <c r="AN245" i="5" a="1"/>
  <c r="AN245" i="5" s="1"/>
  <c r="AO245" i="5" s="1" a="1"/>
  <c r="AO245" i="5" s="1"/>
  <c r="AP245" i="5" s="1"/>
  <c r="AU177" i="5" a="1"/>
  <c r="AU177" i="5" s="1"/>
  <c r="BF177" i="5" s="1"/>
  <c r="BH177" i="5" a="1"/>
  <c r="BH177" i="5" s="1"/>
  <c r="AF69" i="5" a="1"/>
  <c r="AF69" i="5" s="1"/>
  <c r="AV181" i="5" a="1"/>
  <c r="AV181" i="5" s="1"/>
  <c r="BG181" i="5" s="1"/>
  <c r="AV177" i="5" a="1"/>
  <c r="AV177" i="5" s="1"/>
  <c r="BG177" i="5" s="1"/>
  <c r="AQ80" i="5"/>
  <c r="AS80" i="5" s="1" a="1"/>
  <c r="AS80" i="5" s="1"/>
  <c r="AN177" i="5" a="1"/>
  <c r="AN177" i="5" s="1"/>
  <c r="AO177" i="5" s="1" a="1"/>
  <c r="AO177" i="5" s="1"/>
  <c r="AP177" i="5" s="1"/>
  <c r="AT184" i="5" a="1"/>
  <c r="AT184" i="5" s="1"/>
  <c r="BE184" i="5" s="1"/>
  <c r="AN61" i="5" a="1"/>
  <c r="AN61" i="5" s="1"/>
  <c r="AO61" i="5" s="1" a="1"/>
  <c r="AO61" i="5" s="1"/>
  <c r="AP61" i="5" s="1"/>
  <c r="AY61" i="5" s="1" a="1"/>
  <c r="AY61" i="5" s="1"/>
  <c r="AZ61" i="5" s="1"/>
  <c r="BH114" i="5" a="1"/>
  <c r="BH114" i="5" s="1"/>
  <c r="AV274" i="5" a="1"/>
  <c r="AV274" i="5" s="1"/>
  <c r="BG274" i="5" s="1"/>
  <c r="AN104" i="5" a="1"/>
  <c r="AN104" i="5" s="1"/>
  <c r="AO104" i="5" s="1" a="1"/>
  <c r="AO104" i="5" s="1"/>
  <c r="AP104" i="5" s="1"/>
  <c r="AQ161" i="5"/>
  <c r="AQ108" i="5"/>
  <c r="BH38" i="5" a="1"/>
  <c r="BH38" i="5" s="1"/>
  <c r="AN38" i="5" a="1"/>
  <c r="AN38" i="5" s="1"/>
  <c r="AO38" i="5" s="1" a="1"/>
  <c r="AO38" i="5" s="1"/>
  <c r="AP38" i="5" s="1"/>
  <c r="AV38" i="5" a="1"/>
  <c r="AV38" i="5" s="1"/>
  <c r="BG38" i="5" s="1"/>
  <c r="AT192" i="5" a="1"/>
  <c r="AT192" i="5" s="1"/>
  <c r="BE192" i="5" s="1"/>
  <c r="BD192" i="5"/>
  <c r="AQ136" i="5"/>
  <c r="AT174" i="5" a="1"/>
  <c r="AT174" i="5" s="1"/>
  <c r="BE174" i="5" s="1"/>
  <c r="BD174" i="5"/>
  <c r="BD159" i="5"/>
  <c r="AT159" i="5" a="1"/>
  <c r="AT159" i="5" s="1"/>
  <c r="BE159" i="5" s="1"/>
  <c r="AN283" i="5" a="1"/>
  <c r="AN283" i="5" s="1"/>
  <c r="AO283" i="5" s="1" a="1"/>
  <c r="AO283" i="5" s="1"/>
  <c r="AP283" i="5" s="1"/>
  <c r="BD228" i="5"/>
  <c r="AU106" i="5" a="1"/>
  <c r="AU106" i="5" s="1"/>
  <c r="BF106" i="5" s="1"/>
  <c r="BH159" i="5" a="1"/>
  <c r="BH159" i="5" s="1"/>
  <c r="BH103" i="5" a="1"/>
  <c r="BH103" i="5" s="1"/>
  <c r="AU174" i="5" a="1"/>
  <c r="AU174" i="5" s="1"/>
  <c r="BF174" i="5" s="1"/>
  <c r="AV103" i="5" a="1"/>
  <c r="AV103" i="5" s="1"/>
  <c r="BG103" i="5" s="1"/>
  <c r="AU159" i="5" a="1"/>
  <c r="AU159" i="5" s="1"/>
  <c r="BF159" i="5" s="1"/>
  <c r="AN159" i="5" a="1"/>
  <c r="AN159" i="5" s="1"/>
  <c r="AO159" i="5" s="1" a="1"/>
  <c r="AO159" i="5" s="1"/>
  <c r="AP159" i="5" s="1"/>
  <c r="BH192" i="5" a="1"/>
  <c r="BH192" i="5" s="1"/>
  <c r="BH104" i="5" a="1"/>
  <c r="BH104" i="5" s="1"/>
  <c r="AN103" i="5" a="1"/>
  <c r="AN103" i="5" s="1"/>
  <c r="AO103" i="5" s="1" a="1"/>
  <c r="AO103" i="5" s="1"/>
  <c r="AP103" i="5" s="1"/>
  <c r="AF42" i="5" a="1"/>
  <c r="AF42" i="5" s="1"/>
  <c r="AG42" i="5" s="1" a="1"/>
  <c r="AG42" i="5" s="1"/>
  <c r="AH42" i="5" s="1"/>
  <c r="AM42" i="5" s="1"/>
  <c r="BH264" i="5" a="1"/>
  <c r="BH264" i="5" s="1"/>
  <c r="AV192" i="5" a="1"/>
  <c r="AV192" i="5" s="1"/>
  <c r="BG192" i="5" s="1"/>
  <c r="AV104" i="5" a="1"/>
  <c r="AV104" i="5" s="1"/>
  <c r="BG104" i="5" s="1"/>
  <c r="BH275" i="5" a="1"/>
  <c r="BH275" i="5" s="1"/>
  <c r="AN264" i="5" a="1"/>
  <c r="AN264" i="5" s="1"/>
  <c r="AO264" i="5" s="1" a="1"/>
  <c r="AO264" i="5" s="1"/>
  <c r="AP264" i="5" s="1"/>
  <c r="BD172" i="5"/>
  <c r="AS103" i="5" a="1"/>
  <c r="AS103" i="5" s="1"/>
  <c r="AU275" i="5" a="1"/>
  <c r="AU275" i="5" s="1"/>
  <c r="BF275" i="5" s="1"/>
  <c r="AV275" i="5" a="1"/>
  <c r="AV275" i="5" s="1"/>
  <c r="BG275" i="5" s="1"/>
  <c r="BH276" i="5" a="1"/>
  <c r="BH276" i="5" s="1"/>
  <c r="AN275" i="5" a="1"/>
  <c r="AN275" i="5" s="1"/>
  <c r="AO275" i="5" s="1" a="1"/>
  <c r="AO275" i="5" s="1"/>
  <c r="AP275" i="5" s="1"/>
  <c r="AV276" i="5" a="1"/>
  <c r="AV276" i="5" s="1"/>
  <c r="BG276" i="5" s="1"/>
  <c r="AS271" i="5" a="1"/>
  <c r="AS271" i="5" s="1"/>
  <c r="AN276" i="5" a="1"/>
  <c r="AN276" i="5" s="1"/>
  <c r="AO276" i="5" s="1" a="1"/>
  <c r="AO276" i="5" s="1"/>
  <c r="AP276" i="5" s="1"/>
  <c r="AS283" i="5" a="1"/>
  <c r="AS283" i="5" s="1"/>
  <c r="BH174" i="5" a="1"/>
  <c r="BH174" i="5" s="1"/>
  <c r="AS104" i="5" a="1"/>
  <c r="AS104" i="5" s="1"/>
  <c r="AU192" i="5" a="1"/>
  <c r="AU192" i="5" s="1"/>
  <c r="BF192" i="5" s="1"/>
  <c r="AS131" i="5" a="1"/>
  <c r="AS131" i="5" s="1"/>
  <c r="AU132" i="5" a="1"/>
  <c r="AU132" i="5" s="1"/>
  <c r="BF132" i="5" s="1"/>
  <c r="AS132" i="5" a="1"/>
  <c r="AS132" i="5" s="1"/>
  <c r="AV174" i="5" a="1"/>
  <c r="AV174" i="5" s="1"/>
  <c r="BG174" i="5" s="1"/>
  <c r="BH61" i="5" a="1"/>
  <c r="BH61" i="5" s="1"/>
  <c r="AN174" i="5" a="1"/>
  <c r="AN174" i="5" s="1"/>
  <c r="AO174" i="5" s="1" a="1"/>
  <c r="AO174" i="5" s="1"/>
  <c r="AP174" i="5" s="1"/>
  <c r="BH283" i="5" a="1"/>
  <c r="BH283" i="5" s="1"/>
  <c r="AF237" i="5" a="1"/>
  <c r="AF237" i="5" s="1"/>
  <c r="AF238" i="5" a="1"/>
  <c r="AF238" i="5" s="1"/>
  <c r="AT127" i="5" a="1"/>
  <c r="AT127" i="5" s="1"/>
  <c r="BE127" i="5" s="1"/>
  <c r="BD127" i="5"/>
  <c r="AT284" i="5" a="1"/>
  <c r="AT284" i="5" s="1"/>
  <c r="BE284" i="5" s="1"/>
  <c r="BD284" i="5"/>
  <c r="AT277" i="5" a="1"/>
  <c r="AT277" i="5" s="1"/>
  <c r="BE277" i="5" s="1"/>
  <c r="BD277" i="5"/>
  <c r="BD106" i="5"/>
  <c r="AT106" i="5" a="1"/>
  <c r="AT106" i="5" s="1"/>
  <c r="BE106" i="5" s="1"/>
  <c r="AT89" i="5" a="1"/>
  <c r="AT89" i="5" s="1"/>
  <c r="BE89" i="5" s="1"/>
  <c r="BD89" i="5"/>
  <c r="AN18" i="5" a="1"/>
  <c r="AN18" i="5" s="1"/>
  <c r="AO18" i="5" s="1" a="1"/>
  <c r="AO18" i="5" s="1"/>
  <c r="BH127" i="5" a="1"/>
  <c r="BH127" i="5" s="1"/>
  <c r="BH255" i="5" a="1"/>
  <c r="BH255" i="5" s="1"/>
  <c r="AF281" i="5" a="1"/>
  <c r="AF281" i="5" s="1"/>
  <c r="BH248" i="5" a="1"/>
  <c r="BH248" i="5" s="1"/>
  <c r="AV127" i="5" a="1"/>
  <c r="AV127" i="5" s="1"/>
  <c r="BG127" i="5" s="1"/>
  <c r="AU89" i="5" a="1"/>
  <c r="AU89" i="5" s="1"/>
  <c r="BF89" i="5" s="1"/>
  <c r="AV248" i="5" a="1"/>
  <c r="AV248" i="5" s="1"/>
  <c r="BG248" i="5" s="1"/>
  <c r="AT194" i="5" a="1"/>
  <c r="AT194" i="5" s="1"/>
  <c r="BE194" i="5" s="1"/>
  <c r="BH182" i="5" a="1"/>
  <c r="BH182" i="5" s="1"/>
  <c r="AN127" i="5" a="1"/>
  <c r="AN127" i="5" s="1"/>
  <c r="AO127" i="5" s="1" a="1"/>
  <c r="AO127" i="5" s="1"/>
  <c r="AP127" i="5" s="1"/>
  <c r="BH89" i="5" a="1"/>
  <c r="BH89" i="5" s="1"/>
  <c r="AN248" i="5" a="1"/>
  <c r="AN248" i="5" s="1"/>
  <c r="AO248" i="5" s="1" a="1"/>
  <c r="AO248" i="5" s="1"/>
  <c r="AP248" i="5" s="1"/>
  <c r="BD150" i="5"/>
  <c r="AV182" i="5" a="1"/>
  <c r="AV182" i="5" s="1"/>
  <c r="BG182" i="5" s="1"/>
  <c r="AV89" i="5" a="1"/>
  <c r="AV89" i="5" s="1"/>
  <c r="BG89" i="5" s="1"/>
  <c r="AN182" i="5" a="1"/>
  <c r="AN182" i="5" s="1"/>
  <c r="AO182" i="5" s="1" a="1"/>
  <c r="AO182" i="5" s="1"/>
  <c r="AP182" i="5" s="1"/>
  <c r="BH58" i="5" a="1"/>
  <c r="BH58" i="5" s="1"/>
  <c r="AU216" i="5" a="1"/>
  <c r="AU216" i="5" s="1"/>
  <c r="BF216" i="5" s="1"/>
  <c r="AN89" i="5" a="1"/>
  <c r="AN89" i="5" s="1"/>
  <c r="AO89" i="5" s="1" a="1"/>
  <c r="AO89" i="5" s="1"/>
  <c r="AP89" i="5" s="1"/>
  <c r="AV58" i="5" a="1"/>
  <c r="AV58" i="5" s="1"/>
  <c r="BG58" i="5" s="1"/>
  <c r="AU277" i="5" a="1"/>
  <c r="AU277" i="5" s="1"/>
  <c r="BF277" i="5" s="1"/>
  <c r="AU127" i="5" a="1"/>
  <c r="AU127" i="5" s="1"/>
  <c r="BF127" i="5" s="1"/>
  <c r="BH257" i="5" a="1"/>
  <c r="BH257" i="5" s="1"/>
  <c r="AV257" i="5" a="1"/>
  <c r="AV257" i="5" s="1"/>
  <c r="BG257" i="5" s="1"/>
  <c r="AU146" i="5" a="1"/>
  <c r="AU146" i="5" s="1"/>
  <c r="BF146" i="5" s="1"/>
  <c r="AT275" i="5" a="1"/>
  <c r="AT275" i="5" s="1"/>
  <c r="BE275" i="5" s="1"/>
  <c r="AF152" i="5" a="1"/>
  <c r="AF152" i="5" s="1"/>
  <c r="AT93" i="5" a="1"/>
  <c r="AT93" i="5" s="1"/>
  <c r="BE93" i="5" s="1"/>
  <c r="BD93" i="5"/>
  <c r="AS242" i="5" a="1"/>
  <c r="AS242" i="5" s="1"/>
  <c r="AU242" i="5" a="1"/>
  <c r="AU242" i="5" s="1"/>
  <c r="BF242" i="5" s="1"/>
  <c r="AV242" i="5" a="1"/>
  <c r="AV242" i="5" s="1"/>
  <c r="BG242" i="5" s="1"/>
  <c r="AS182" i="5" a="1"/>
  <c r="AS182" i="5" s="1"/>
  <c r="AN242" i="5" a="1"/>
  <c r="AN242" i="5" s="1"/>
  <c r="AO242" i="5" s="1" a="1"/>
  <c r="AO242" i="5" s="1"/>
  <c r="AP242" i="5" s="1"/>
  <c r="BH49" i="5" a="1"/>
  <c r="BH49" i="5" s="1"/>
  <c r="BD214" i="5"/>
  <c r="AV49" i="5" a="1"/>
  <c r="AV49" i="5" s="1"/>
  <c r="BG49" i="5" s="1"/>
  <c r="BH181" i="5" a="1"/>
  <c r="BH181" i="5" s="1"/>
  <c r="AN93" i="5" a="1"/>
  <c r="AN93" i="5" s="1"/>
  <c r="AO93" i="5" s="1" a="1"/>
  <c r="AO93" i="5" s="1"/>
  <c r="AP93" i="5" s="1"/>
  <c r="AS181" i="5" a="1"/>
  <c r="AS181" i="5" s="1"/>
  <c r="AU93" i="5" a="1"/>
  <c r="AU93" i="5" s="1"/>
  <c r="BF93" i="5" s="1"/>
  <c r="BD265" i="5"/>
  <c r="BD202" i="5"/>
  <c r="BD100" i="5"/>
  <c r="AN181" i="5" a="1"/>
  <c r="AN181" i="5" s="1"/>
  <c r="AO181" i="5" s="1" a="1"/>
  <c r="AO181" i="5" s="1"/>
  <c r="AP181" i="5" s="1"/>
  <c r="BD109" i="5"/>
  <c r="BH160" i="5" a="1"/>
  <c r="BH160" i="5" s="1"/>
  <c r="AV160" i="5" a="1"/>
  <c r="AV160" i="5" s="1"/>
  <c r="BG160" i="5" s="1"/>
  <c r="BH242" i="5" a="1"/>
  <c r="BH242" i="5" s="1"/>
  <c r="AN160" i="5" a="1"/>
  <c r="AN160" i="5" s="1"/>
  <c r="AO160" i="5" s="1" a="1"/>
  <c r="AO160" i="5" s="1"/>
  <c r="AP160" i="5" s="1"/>
  <c r="BD78" i="5"/>
  <c r="BD130" i="5"/>
  <c r="BD146" i="5"/>
  <c r="BD216" i="5"/>
  <c r="AP257" i="5"/>
  <c r="AP126" i="5"/>
  <c r="AP128" i="5"/>
  <c r="AP66" i="5"/>
  <c r="AP290" i="5"/>
  <c r="AP58" i="5"/>
  <c r="AP49" i="5"/>
  <c r="AP254" i="5"/>
  <c r="AN28" i="5" a="1"/>
  <c r="AN28" i="5" s="1"/>
  <c r="AO28" i="5" s="1" a="1"/>
  <c r="AO28" i="5" s="1"/>
  <c r="AV28" i="5" a="1"/>
  <c r="AV28" i="5" s="1"/>
  <c r="BG28" i="5" s="1"/>
  <c r="BH28" i="5" a="1"/>
  <c r="BH28" i="5" s="1"/>
  <c r="AN9" i="5" a="1"/>
  <c r="AN9" i="5" s="1"/>
  <c r="AO9" i="5" s="1" a="1"/>
  <c r="AO9" i="5" s="1"/>
  <c r="AV9" i="5" a="1"/>
  <c r="AV9" i="5" s="1"/>
  <c r="BG9" i="5" s="1"/>
  <c r="BH9" i="5" a="1"/>
  <c r="BH9" i="5" s="1"/>
  <c r="AV25" i="5" a="1"/>
  <c r="AV25" i="5" s="1"/>
  <c r="BG25" i="5" s="1"/>
  <c r="BH25" i="5" a="1"/>
  <c r="BH25" i="5" s="1"/>
  <c r="AN10" i="5" a="1"/>
  <c r="AN10" i="5" s="1"/>
  <c r="AO10" i="5" s="1" a="1"/>
  <c r="AO10" i="5" s="1"/>
  <c r="BH10" i="5" a="1"/>
  <c r="BH10" i="5" s="1"/>
  <c r="AV10" i="5" a="1"/>
  <c r="AV10" i="5" s="1"/>
  <c r="BG10" i="5" s="1"/>
  <c r="AU26" i="5" a="1"/>
  <c r="AU26" i="5" s="1"/>
  <c r="BF26" i="5" s="1"/>
  <c r="AS26" i="5" a="1"/>
  <c r="AS26" i="5" s="1"/>
  <c r="AP26" i="5"/>
  <c r="AP6" i="5"/>
  <c r="AY6" i="5" s="1" a="1"/>
  <c r="AY6" i="5" s="1"/>
  <c r="AZ6" i="5" s="1"/>
  <c r="AN25" i="5" a="1"/>
  <c r="AN25" i="5" s="1"/>
  <c r="AO25" i="5" s="1" a="1"/>
  <c r="AO25" i="5" s="1"/>
  <c r="AF20" i="5" a="1"/>
  <c r="AF20" i="5" s="1"/>
  <c r="AG20" i="5" s="1" a="1"/>
  <c r="AG20" i="5" s="1"/>
  <c r="AH20" i="5" s="1"/>
  <c r="AM20" i="5" s="1"/>
  <c r="AU228" i="5" l="1" a="1"/>
  <c r="AU228" i="5" s="1"/>
  <c r="BF228" i="5" s="1"/>
  <c r="AY255" i="5" a="1"/>
  <c r="AY255" i="5" s="1"/>
  <c r="AZ255" i="5" s="1"/>
  <c r="AN185" i="5" a="1"/>
  <c r="AN185" i="5" s="1"/>
  <c r="AO185" i="5" s="1" a="1"/>
  <c r="AO185" i="5" s="1"/>
  <c r="AP185" i="5" s="1"/>
  <c r="AF56" i="5" a="1"/>
  <c r="AF56" i="5" s="1"/>
  <c r="AG56" i="5" s="1" a="1"/>
  <c r="AG56" i="5" s="1"/>
  <c r="AH56" i="5" s="1"/>
  <c r="AM56" i="5" s="1"/>
  <c r="AQ55" i="5"/>
  <c r="AU55" i="5" s="1" a="1"/>
  <c r="AU55" i="5" s="1"/>
  <c r="BF55" i="5" s="1"/>
  <c r="AV158" i="5" a="1"/>
  <c r="AV158" i="5" s="1"/>
  <c r="BG158" i="5" s="1"/>
  <c r="BH33" i="5" a="1"/>
  <c r="BH33" i="5" s="1"/>
  <c r="AS158" i="5" a="1"/>
  <c r="AS158" i="5" s="1"/>
  <c r="AT158" i="5" s="1" a="1"/>
  <c r="AT158" i="5" s="1"/>
  <c r="AV171" i="5" a="1"/>
  <c r="AV171" i="5" s="1"/>
  <c r="BG171" i="5" s="1"/>
  <c r="BH171" i="5" a="1"/>
  <c r="BH171" i="5" s="1"/>
  <c r="AN171" i="5" a="1"/>
  <c r="AN171" i="5" s="1"/>
  <c r="AO171" i="5" s="1" a="1"/>
  <c r="AO171" i="5" s="1"/>
  <c r="AP171" i="5" s="1"/>
  <c r="AS171" i="5" a="1"/>
  <c r="AS171" i="5" s="1"/>
  <c r="AT171" i="5" s="1" a="1"/>
  <c r="AT171" i="5" s="1"/>
  <c r="BE171" i="5" s="1"/>
  <c r="AF14" i="5" a="1"/>
  <c r="AF14" i="5" s="1"/>
  <c r="AG14" i="5" s="1" a="1"/>
  <c r="AG14" i="5" s="1"/>
  <c r="AH14" i="5" s="1"/>
  <c r="AM14" i="5" s="1"/>
  <c r="AN52" i="5" a="1"/>
  <c r="AN52" i="5" s="1"/>
  <c r="AO52" i="5" s="1" a="1"/>
  <c r="AO52" i="5" s="1"/>
  <c r="AP52" i="5" s="1"/>
  <c r="BH52" i="5" a="1"/>
  <c r="BH52" i="5" s="1"/>
  <c r="BD52" i="5"/>
  <c r="AG98" i="5" a="1"/>
  <c r="AG98" i="5" s="1"/>
  <c r="AH98" i="5" s="1"/>
  <c r="AM98" i="5" s="1"/>
  <c r="AG63" i="5" a="1"/>
  <c r="AG63" i="5" s="1"/>
  <c r="AH63" i="5" s="1"/>
  <c r="AM63" i="5" s="1"/>
  <c r="AF71" i="5" a="1"/>
  <c r="AF71" i="5" s="1"/>
  <c r="AV52" i="5" a="1"/>
  <c r="AV52" i="5" s="1"/>
  <c r="BG52" i="5" s="1"/>
  <c r="AU52" i="5" a="1"/>
  <c r="AU52" i="5" s="1"/>
  <c r="BF52" i="5" s="1"/>
  <c r="AN206" i="5" a="1"/>
  <c r="AN206" i="5" s="1"/>
  <c r="AO206" i="5" s="1" a="1"/>
  <c r="AO206" i="5" s="1"/>
  <c r="AP206" i="5" s="1"/>
  <c r="AV206" i="5" a="1"/>
  <c r="AV206" i="5" s="1"/>
  <c r="BG206" i="5" s="1"/>
  <c r="AS206" i="5" a="1"/>
  <c r="AS206" i="5" s="1"/>
  <c r="AT206" i="5" s="1" a="1"/>
  <c r="AT206" i="5" s="1"/>
  <c r="BE206" i="5" s="1"/>
  <c r="BH206" i="5" a="1"/>
  <c r="BH206" i="5" s="1"/>
  <c r="AN133" i="5" a="1"/>
  <c r="AN133" i="5" s="1"/>
  <c r="AO133" i="5" s="1" a="1"/>
  <c r="AO133" i="5" s="1"/>
  <c r="AP133" i="5" s="1"/>
  <c r="AN179" i="5" a="1"/>
  <c r="AN179" i="5" s="1"/>
  <c r="AO179" i="5" s="1" a="1"/>
  <c r="AO179" i="5" s="1"/>
  <c r="AP179" i="5" s="1"/>
  <c r="AV133" i="5" a="1"/>
  <c r="AV133" i="5" s="1"/>
  <c r="BG133" i="5" s="1"/>
  <c r="BH134" i="5" a="1"/>
  <c r="BH134" i="5" s="1"/>
  <c r="AG139" i="5" a="1"/>
  <c r="AG139" i="5" s="1"/>
  <c r="AH139" i="5" s="1"/>
  <c r="AM139" i="5" s="1"/>
  <c r="AF145" i="5" a="1"/>
  <c r="AF145" i="5" s="1"/>
  <c r="AV136" i="5" a="1"/>
  <c r="AV136" i="5" s="1"/>
  <c r="BG136" i="5" s="1"/>
  <c r="AN136" i="5" a="1"/>
  <c r="AN136" i="5" s="1"/>
  <c r="AO136" i="5" s="1" a="1"/>
  <c r="AO136" i="5" s="1"/>
  <c r="AP136" i="5" s="1"/>
  <c r="BH179" i="5" a="1"/>
  <c r="BH179" i="5" s="1"/>
  <c r="AV134" i="5" a="1"/>
  <c r="AV134" i="5" s="1"/>
  <c r="BG134" i="5" s="1"/>
  <c r="AV179" i="5" a="1"/>
  <c r="AV179" i="5" s="1"/>
  <c r="BG179" i="5" s="1"/>
  <c r="AG91" i="5" a="1"/>
  <c r="AG91" i="5" s="1"/>
  <c r="AH91" i="5" s="1"/>
  <c r="AM91" i="5" s="1"/>
  <c r="AF92" i="5" a="1"/>
  <c r="AF92" i="5" s="1"/>
  <c r="AN207" i="5" a="1"/>
  <c r="AN207" i="5" s="1"/>
  <c r="AO207" i="5" s="1" a="1"/>
  <c r="AO207" i="5" s="1"/>
  <c r="AP207" i="5" s="1"/>
  <c r="BH207" i="5" a="1"/>
  <c r="BH207" i="5" s="1"/>
  <c r="AN134" i="5" a="1"/>
  <c r="AN134" i="5" s="1"/>
  <c r="AO134" i="5" s="1" a="1"/>
  <c r="AO134" i="5" s="1"/>
  <c r="AP134" i="5" s="1"/>
  <c r="AS134" i="5" a="1"/>
  <c r="AS134" i="5" s="1"/>
  <c r="AT134" i="5" s="1" a="1"/>
  <c r="AT134" i="5" s="1"/>
  <c r="BE134" i="5" s="1"/>
  <c r="AS179" i="5" a="1"/>
  <c r="AS179" i="5" s="1"/>
  <c r="BD179" i="5" s="1"/>
  <c r="AN212" i="5" a="1"/>
  <c r="AN212" i="5" s="1"/>
  <c r="AO212" i="5" s="1" a="1"/>
  <c r="AO212" i="5" s="1"/>
  <c r="AP212" i="5" s="1"/>
  <c r="AG48" i="5" a="1"/>
  <c r="AG48" i="5" s="1"/>
  <c r="AH48" i="5" s="1"/>
  <c r="AM48" i="5" s="1"/>
  <c r="AN233" i="5" a="1"/>
  <c r="AN233" i="5" s="1"/>
  <c r="AO233" i="5" s="1" a="1"/>
  <c r="AO233" i="5" s="1"/>
  <c r="AP233" i="5" s="1"/>
  <c r="AF86" i="5" a="1"/>
  <c r="AF86" i="5" s="1"/>
  <c r="AF88" i="5" s="1" a="1"/>
  <c r="AF88" i="5" s="1"/>
  <c r="AG88" i="5" s="1" a="1"/>
  <c r="AG88" i="5" s="1"/>
  <c r="AH88" i="5" s="1"/>
  <c r="AM88" i="5" s="1"/>
  <c r="AN108" i="5" a="1"/>
  <c r="AN108" i="5" s="1"/>
  <c r="AO108" i="5" s="1" a="1"/>
  <c r="AO108" i="5" s="1"/>
  <c r="AP108" i="5" s="1"/>
  <c r="BH108" i="5" a="1"/>
  <c r="BH108" i="5" s="1"/>
  <c r="AN221" i="5" a="1"/>
  <c r="AN221" i="5" s="1"/>
  <c r="AO221" i="5" s="1" a="1"/>
  <c r="AO221" i="5" s="1"/>
  <c r="AP221" i="5" s="1"/>
  <c r="AF251" i="5" a="1"/>
  <c r="AF251" i="5" s="1"/>
  <c r="AG251" i="5" s="1" a="1"/>
  <c r="AG251" i="5" s="1"/>
  <c r="AH251" i="5" s="1"/>
  <c r="AM251" i="5" s="1"/>
  <c r="AS260" i="5" a="1"/>
  <c r="AS260" i="5" s="1"/>
  <c r="AT260" i="5" s="1" a="1"/>
  <c r="AT260" i="5" s="1"/>
  <c r="BE260" i="5" s="1"/>
  <c r="AN260" i="5" a="1"/>
  <c r="AN260" i="5" s="1"/>
  <c r="AO260" i="5" s="1" a="1"/>
  <c r="AO260" i="5" s="1"/>
  <c r="AP260" i="5" s="1"/>
  <c r="AF205" i="5" a="1"/>
  <c r="AF205" i="5" s="1"/>
  <c r="AG205" i="5" s="1" a="1"/>
  <c r="AG205" i="5" s="1"/>
  <c r="AH205" i="5" s="1"/>
  <c r="AM205" i="5" s="1"/>
  <c r="AN208" i="5" a="1"/>
  <c r="AN208" i="5" s="1"/>
  <c r="AO208" i="5" s="1" a="1"/>
  <c r="AO208" i="5" s="1"/>
  <c r="AP208" i="5" s="1"/>
  <c r="AF222" i="5" a="1"/>
  <c r="AF222" i="5" s="1"/>
  <c r="AG222" i="5" s="1" a="1"/>
  <c r="AG222" i="5" s="1"/>
  <c r="AH222" i="5" s="1"/>
  <c r="AM222" i="5" s="1"/>
  <c r="AF124" i="5" a="1"/>
  <c r="AF124" i="5" s="1"/>
  <c r="AG124" i="5" s="1" a="1"/>
  <c r="AG124" i="5" s="1"/>
  <c r="AH124" i="5" s="1"/>
  <c r="AM124" i="5" s="1"/>
  <c r="AQ267" i="5"/>
  <c r="AU267" i="5" s="1" a="1"/>
  <c r="AU267" i="5" s="1"/>
  <c r="BF267" i="5" s="1"/>
  <c r="AF76" i="5" a="1"/>
  <c r="AF76" i="5" s="1"/>
  <c r="AG76" i="5" s="1" a="1"/>
  <c r="AG76" i="5" s="1"/>
  <c r="AH76" i="5" s="1"/>
  <c r="AM76" i="5" s="1"/>
  <c r="AF259" i="5" a="1"/>
  <c r="AF259" i="5" s="1"/>
  <c r="AG259" i="5" s="1" a="1"/>
  <c r="AG259" i="5" s="1"/>
  <c r="AF141" i="5" a="1"/>
  <c r="AF141" i="5" s="1"/>
  <c r="AG141" i="5" s="1" a="1"/>
  <c r="AG141" i="5" s="1"/>
  <c r="AH141" i="5" s="1"/>
  <c r="AM141" i="5" s="1"/>
  <c r="AN162" i="5" a="1"/>
  <c r="AN162" i="5" s="1"/>
  <c r="AO162" i="5" s="1" a="1"/>
  <c r="AO162" i="5" s="1"/>
  <c r="AF169" i="5" a="1"/>
  <c r="AF169" i="5" s="1"/>
  <c r="AG169" i="5" s="1" a="1"/>
  <c r="AG169" i="5" s="1"/>
  <c r="AH169" i="5" s="1"/>
  <c r="AM169" i="5" s="1"/>
  <c r="AV260" i="5" a="1"/>
  <c r="AV260" i="5" s="1"/>
  <c r="BG260" i="5" s="1"/>
  <c r="AF188" i="5" a="1"/>
  <c r="AF188" i="5" s="1"/>
  <c r="AG188" i="5" s="1" a="1"/>
  <c r="AG188" i="5" s="1"/>
  <c r="AH188" i="5" s="1"/>
  <c r="AM188" i="5" s="1"/>
  <c r="AQ246" i="5"/>
  <c r="AU246" i="5" s="1" a="1"/>
  <c r="AU246" i="5" s="1"/>
  <c r="BF246" i="5" s="1"/>
  <c r="AN209" i="5" a="1"/>
  <c r="AN209" i="5" s="1"/>
  <c r="AO209" i="5" s="1" a="1"/>
  <c r="AO209" i="5" s="1"/>
  <c r="AP209" i="5" s="1"/>
  <c r="AF122" i="5" a="1"/>
  <c r="AF122" i="5" s="1"/>
  <c r="AG122" i="5" s="1" a="1"/>
  <c r="AG122" i="5" s="1"/>
  <c r="AH122" i="5" s="1"/>
  <c r="AM122" i="5" s="1"/>
  <c r="AU233" i="5" a="1"/>
  <c r="AU233" i="5" s="1"/>
  <c r="BF233" i="5" s="1"/>
  <c r="AV209" i="5" a="1"/>
  <c r="AV209" i="5" s="1"/>
  <c r="BG209" i="5" s="1"/>
  <c r="BH209" i="5" a="1"/>
  <c r="BH209" i="5" s="1"/>
  <c r="BD209" i="5"/>
  <c r="BH233" i="5" a="1"/>
  <c r="BH233" i="5" s="1"/>
  <c r="AU209" i="5" a="1"/>
  <c r="AU209" i="5" s="1"/>
  <c r="BF209" i="5" s="1"/>
  <c r="AF102" i="5" a="1"/>
  <c r="AF102" i="5" s="1"/>
  <c r="AG102" i="5" s="1" a="1"/>
  <c r="AG102" i="5" s="1"/>
  <c r="AH102" i="5" s="1"/>
  <c r="AM102" i="5" s="1"/>
  <c r="BH260" i="5" a="1"/>
  <c r="BH260" i="5" s="1"/>
  <c r="AQ148" i="5"/>
  <c r="AU148" i="5" s="1" a="1"/>
  <c r="AU148" i="5" s="1"/>
  <c r="BF148" i="5" s="1"/>
  <c r="AV233" i="5" a="1"/>
  <c r="AV233" i="5" s="1"/>
  <c r="BG233" i="5" s="1"/>
  <c r="AU167" i="5" a="1"/>
  <c r="AU167" i="5" s="1"/>
  <c r="BF167" i="5" s="1"/>
  <c r="BD178" i="5"/>
  <c r="AV99" i="5" a="1"/>
  <c r="AV99" i="5" s="1"/>
  <c r="BG99" i="5" s="1"/>
  <c r="BH180" i="5" a="1"/>
  <c r="BH180" i="5" s="1"/>
  <c r="AV167" i="5" a="1"/>
  <c r="AV167" i="5" s="1"/>
  <c r="BG167" i="5" s="1"/>
  <c r="BH57" i="5" a="1"/>
  <c r="BH57" i="5" s="1"/>
  <c r="AV57" i="5" a="1"/>
  <c r="AV57" i="5" s="1"/>
  <c r="BG57" i="5" s="1"/>
  <c r="AY202" i="5" a="1"/>
  <c r="AY202" i="5" s="1"/>
  <c r="AZ202" i="5" s="1"/>
  <c r="BA202" i="5" s="1"/>
  <c r="AN178" i="5" a="1"/>
  <c r="AN178" i="5" s="1"/>
  <c r="AO178" i="5" s="1" a="1"/>
  <c r="AO178" i="5" s="1"/>
  <c r="AP178" i="5" s="1"/>
  <c r="BD167" i="5"/>
  <c r="AU178" i="5" a="1"/>
  <c r="AU178" i="5" s="1"/>
  <c r="BF178" i="5" s="1"/>
  <c r="BH178" i="5" a="1"/>
  <c r="BH178" i="5" s="1"/>
  <c r="AV183" i="5" a="1"/>
  <c r="AV183" i="5" s="1"/>
  <c r="BG183" i="5" s="1"/>
  <c r="AN120" i="5" a="1"/>
  <c r="AN120" i="5" s="1"/>
  <c r="AO120" i="5" s="1" a="1"/>
  <c r="AO120" i="5" s="1"/>
  <c r="AP120" i="5" s="1"/>
  <c r="AQ96" i="5"/>
  <c r="AS96" i="5" s="1" a="1"/>
  <c r="AS96" i="5" s="1"/>
  <c r="AT96" i="5" s="1" a="1"/>
  <c r="AT96" i="5" s="1"/>
  <c r="BE96" i="5" s="1"/>
  <c r="BH167" i="5" a="1"/>
  <c r="BH167" i="5" s="1"/>
  <c r="AN183" i="5" a="1"/>
  <c r="AN183" i="5" s="1"/>
  <c r="AO183" i="5" s="1" a="1"/>
  <c r="AO183" i="5" s="1"/>
  <c r="AP183" i="5" s="1"/>
  <c r="AY228" i="5" a="1"/>
  <c r="AY228" i="5" s="1"/>
  <c r="AZ228" i="5" s="1"/>
  <c r="BA228" i="5" s="1"/>
  <c r="AN167" i="5" a="1"/>
  <c r="AN167" i="5" s="1"/>
  <c r="AO167" i="5" s="1" a="1"/>
  <c r="AO167" i="5" s="1"/>
  <c r="AP167" i="5" s="1"/>
  <c r="AV178" i="5" a="1"/>
  <c r="AV178" i="5" s="1"/>
  <c r="BG178" i="5" s="1"/>
  <c r="AF240" i="5" a="1"/>
  <c r="AF240" i="5" s="1"/>
  <c r="AG240" i="5" s="1" a="1"/>
  <c r="AG240" i="5" s="1"/>
  <c r="AH240" i="5" s="1"/>
  <c r="AM240" i="5" s="1"/>
  <c r="AG238" i="5" a="1"/>
  <c r="AG238" i="5" s="1"/>
  <c r="AH238" i="5" s="1"/>
  <c r="AM238" i="5" s="1"/>
  <c r="AF239" i="5" a="1"/>
  <c r="AF239" i="5" s="1"/>
  <c r="AG239" i="5" s="1" a="1"/>
  <c r="AG239" i="5" s="1"/>
  <c r="AH239" i="5" s="1"/>
  <c r="AM239" i="5" s="1"/>
  <c r="AG237" i="5" a="1"/>
  <c r="AG237" i="5" s="1"/>
  <c r="AH237" i="5" s="1"/>
  <c r="AM237" i="5" s="1"/>
  <c r="AG164" i="5" a="1"/>
  <c r="AG164" i="5" s="1"/>
  <c r="AH164" i="5" s="1"/>
  <c r="AM164" i="5" s="1"/>
  <c r="AF168" i="5" a="1"/>
  <c r="AF168" i="5" s="1"/>
  <c r="AG168" i="5" s="1" a="1"/>
  <c r="AG168" i="5" s="1"/>
  <c r="AH168" i="5" s="1"/>
  <c r="AM168" i="5" s="1"/>
  <c r="AF282" i="5" a="1"/>
  <c r="AF282" i="5" s="1"/>
  <c r="AG282" i="5" s="1" a="1"/>
  <c r="AG282" i="5" s="1"/>
  <c r="AH282" i="5" s="1"/>
  <c r="AM282" i="5" s="1"/>
  <c r="AG281" i="5" a="1"/>
  <c r="AG281" i="5" s="1"/>
  <c r="AH281" i="5" s="1"/>
  <c r="AM281" i="5" s="1"/>
  <c r="AY290" i="5" a="1"/>
  <c r="AY290" i="5" s="1"/>
  <c r="AZ290" i="5" s="1"/>
  <c r="BB290" i="5" s="1"/>
  <c r="B290" i="5" s="1" a="1"/>
  <c r="B290" i="5" s="1"/>
  <c r="AG268" i="5" a="1"/>
  <c r="AG268" i="5" s="1"/>
  <c r="AF269" i="5" a="1"/>
  <c r="AF269" i="5" s="1"/>
  <c r="AG269" i="5" s="1" a="1"/>
  <c r="AG269" i="5" s="1"/>
  <c r="AH269" i="5" s="1"/>
  <c r="AM269" i="5" s="1"/>
  <c r="AF70" i="5" a="1"/>
  <c r="AF70" i="5" s="1"/>
  <c r="AG70" i="5" s="1" a="1"/>
  <c r="AG70" i="5" s="1"/>
  <c r="AH70" i="5" s="1"/>
  <c r="AM70" i="5" s="1"/>
  <c r="AG69" i="5" a="1"/>
  <c r="AG69" i="5" s="1"/>
  <c r="AH69" i="5" s="1"/>
  <c r="AM69" i="5" s="1"/>
  <c r="AG224" i="5" a="1"/>
  <c r="AG224" i="5" s="1"/>
  <c r="AF226" i="5" a="1"/>
  <c r="AF226" i="5" s="1"/>
  <c r="AF37" i="5" a="1"/>
  <c r="AF37" i="5" s="1"/>
  <c r="AG37" i="5" s="1" a="1"/>
  <c r="AG37" i="5" s="1"/>
  <c r="AH37" i="5" s="1"/>
  <c r="AM37" i="5" s="1"/>
  <c r="AG35" i="5" a="1"/>
  <c r="AG35" i="5" s="1"/>
  <c r="AH35" i="5" s="1"/>
  <c r="AM35" i="5" s="1"/>
  <c r="AF80" i="5" a="1"/>
  <c r="AF80" i="5" s="1"/>
  <c r="AG249" i="5" a="1"/>
  <c r="AG249" i="5" s="1"/>
  <c r="AH249" i="5" s="1"/>
  <c r="AM249" i="5" s="1"/>
  <c r="AF252" i="5" a="1"/>
  <c r="AF252" i="5" s="1"/>
  <c r="AG252" i="5" s="1" a="1"/>
  <c r="AG252" i="5" s="1"/>
  <c r="AH252" i="5" s="1"/>
  <c r="AM252" i="5" s="1"/>
  <c r="AF154" i="5" a="1"/>
  <c r="AF154" i="5" s="1"/>
  <c r="AG154" i="5" s="1" a="1"/>
  <c r="AG154" i="5" s="1"/>
  <c r="AH154" i="5" s="1"/>
  <c r="AM154" i="5" s="1"/>
  <c r="AG152" i="5" a="1"/>
  <c r="AG152" i="5" s="1"/>
  <c r="AH152" i="5" s="1"/>
  <c r="AM152" i="5" s="1"/>
  <c r="AG149" i="5" a="1"/>
  <c r="AG149" i="5" s="1"/>
  <c r="AH149" i="5" s="1"/>
  <c r="AM149" i="5" s="1"/>
  <c r="AF153" i="5" a="1"/>
  <c r="AF153" i="5" s="1"/>
  <c r="AS99" i="5" a="1"/>
  <c r="AS99" i="5" s="1"/>
  <c r="AT99" i="5" s="1" a="1"/>
  <c r="AT99" i="5" s="1"/>
  <c r="BE99" i="5" s="1"/>
  <c r="AT144" i="5" a="1"/>
  <c r="AT144" i="5" s="1"/>
  <c r="BE144" i="5" s="1"/>
  <c r="AT243" i="5" a="1"/>
  <c r="AT243" i="5" s="1"/>
  <c r="BE243" i="5" s="1"/>
  <c r="BD207" i="5"/>
  <c r="BH208" i="5" a="1"/>
  <c r="BH208" i="5" s="1"/>
  <c r="AU207" i="5" a="1"/>
  <c r="AU207" i="5" s="1"/>
  <c r="BF207" i="5" s="1"/>
  <c r="AU208" i="5" a="1"/>
  <c r="AU208" i="5" s="1"/>
  <c r="BF208" i="5" s="1"/>
  <c r="BD208" i="5"/>
  <c r="AV207" i="5" a="1"/>
  <c r="AV207" i="5" s="1"/>
  <c r="BG207" i="5" s="1"/>
  <c r="AY128" i="5" a="1"/>
  <c r="AY128" i="5" s="1"/>
  <c r="AZ128" i="5" s="1"/>
  <c r="BA128" i="5" s="1"/>
  <c r="AV208" i="5" a="1"/>
  <c r="AV208" i="5" s="1"/>
  <c r="BG208" i="5" s="1"/>
  <c r="BH256" i="5" a="1"/>
  <c r="BH256" i="5" s="1"/>
  <c r="AQ183" i="5"/>
  <c r="AN256" i="5" a="1"/>
  <c r="AN256" i="5" s="1"/>
  <c r="AO256" i="5" s="1" a="1"/>
  <c r="AO256" i="5" s="1"/>
  <c r="AP256" i="5" s="1"/>
  <c r="AY256" i="5" s="1" a="1"/>
  <c r="AY256" i="5" s="1"/>
  <c r="AZ256" i="5" s="1"/>
  <c r="AS180" i="5" a="1"/>
  <c r="AS180" i="5" s="1"/>
  <c r="BD180" i="5" s="1"/>
  <c r="AN54" i="5" a="1"/>
  <c r="AN54" i="5" s="1"/>
  <c r="AO54" i="5" s="1" a="1"/>
  <c r="AO54" i="5" s="1"/>
  <c r="AP54" i="5" s="1"/>
  <c r="AY54" i="5" s="1" a="1"/>
  <c r="AY54" i="5" s="1"/>
  <c r="AZ54" i="5" s="1"/>
  <c r="BA54" i="5" s="1"/>
  <c r="BH54" i="5" a="1"/>
  <c r="BH54" i="5" s="1"/>
  <c r="AS173" i="5" a="1"/>
  <c r="AS173" i="5" s="1"/>
  <c r="BD173" i="5" s="1"/>
  <c r="AV258" i="5" a="1"/>
  <c r="AV258" i="5" s="1"/>
  <c r="BG258" i="5" s="1"/>
  <c r="AN272" i="5" a="1"/>
  <c r="AN272" i="5" s="1"/>
  <c r="AO272" i="5" s="1" a="1"/>
  <c r="AO272" i="5" s="1"/>
  <c r="AP272" i="5" s="1"/>
  <c r="BH140" i="5" a="1"/>
  <c r="BH140" i="5" s="1"/>
  <c r="BH272" i="5" a="1"/>
  <c r="BH272" i="5" s="1"/>
  <c r="AQ165" i="5"/>
  <c r="AN180" i="5" a="1"/>
  <c r="AN180" i="5" s="1"/>
  <c r="AO180" i="5" s="1" a="1"/>
  <c r="AO180" i="5" s="1"/>
  <c r="AP180" i="5" s="1"/>
  <c r="AS140" i="5" a="1"/>
  <c r="AS140" i="5" s="1"/>
  <c r="AT140" i="5" s="1" a="1"/>
  <c r="AT140" i="5" s="1"/>
  <c r="BE140" i="5" s="1"/>
  <c r="AN140" i="5" a="1"/>
  <c r="AN140" i="5" s="1"/>
  <c r="AO140" i="5" s="1" a="1"/>
  <c r="AO140" i="5" s="1"/>
  <c r="AP140" i="5" s="1"/>
  <c r="BH65" i="5" a="1"/>
  <c r="BH65" i="5" s="1"/>
  <c r="BD193" i="5"/>
  <c r="AV140" i="5" a="1"/>
  <c r="AV140" i="5" s="1"/>
  <c r="BG140" i="5" s="1"/>
  <c r="AV180" i="5" a="1"/>
  <c r="AV180" i="5" s="1"/>
  <c r="BG180" i="5" s="1"/>
  <c r="AU272" i="5" a="1"/>
  <c r="AU272" i="5" s="1"/>
  <c r="BF272" i="5" s="1"/>
  <c r="BD170" i="5"/>
  <c r="AN33" i="5" a="1"/>
  <c r="AN33" i="5" s="1"/>
  <c r="AO33" i="5" s="1" a="1"/>
  <c r="AO33" i="5" s="1"/>
  <c r="AP33" i="5" s="1"/>
  <c r="AV272" i="5" a="1"/>
  <c r="AV272" i="5" s="1"/>
  <c r="BG272" i="5" s="1"/>
  <c r="AN135" i="5" a="1"/>
  <c r="AN135" i="5" s="1"/>
  <c r="AO135" i="5" s="1" a="1"/>
  <c r="AO135" i="5" s="1"/>
  <c r="AP135" i="5" s="1"/>
  <c r="BH185" i="5" a="1"/>
  <c r="BH185" i="5" s="1"/>
  <c r="AV200" i="5" a="1"/>
  <c r="AV200" i="5" s="1"/>
  <c r="BG200" i="5" s="1"/>
  <c r="AY156" i="5" a="1"/>
  <c r="AY156" i="5" s="1"/>
  <c r="AZ156" i="5" s="1"/>
  <c r="BB156" i="5" s="1"/>
  <c r="B156" i="5" s="1" a="1"/>
  <c r="B156" i="5" s="1"/>
  <c r="AV185" i="5" a="1"/>
  <c r="AV185" i="5" s="1"/>
  <c r="BG185" i="5" s="1"/>
  <c r="AV135" i="5" a="1"/>
  <c r="AV135" i="5" s="1"/>
  <c r="BG135" i="5" s="1"/>
  <c r="BH147" i="5" a="1"/>
  <c r="BH147" i="5" s="1"/>
  <c r="BH198" i="5" a="1"/>
  <c r="BH198" i="5" s="1"/>
  <c r="AV147" i="5" a="1"/>
  <c r="AV147" i="5" s="1"/>
  <c r="BG147" i="5" s="1"/>
  <c r="AY116" i="5" a="1"/>
  <c r="AY116" i="5" s="1"/>
  <c r="AZ116" i="5" s="1"/>
  <c r="BA116" i="5" s="1"/>
  <c r="AQ259" i="5"/>
  <c r="AU94" i="5" a="1"/>
  <c r="AU94" i="5" s="1"/>
  <c r="BF94" i="5" s="1"/>
  <c r="AV79" i="5" a="1"/>
  <c r="AV79" i="5" s="1"/>
  <c r="BG79" i="5" s="1"/>
  <c r="AT129" i="5" a="1"/>
  <c r="AT129" i="5" s="1"/>
  <c r="BE129" i="5" s="1"/>
  <c r="BH94" i="5" a="1"/>
  <c r="BH94" i="5" s="1"/>
  <c r="BH79" i="5" a="1"/>
  <c r="BH79" i="5" s="1"/>
  <c r="AV250" i="5" a="1"/>
  <c r="AV250" i="5" s="1"/>
  <c r="BG250" i="5" s="1"/>
  <c r="AY100" i="5" a="1"/>
  <c r="AY100" i="5" s="1"/>
  <c r="AZ100" i="5" s="1"/>
  <c r="BB100" i="5" s="1"/>
  <c r="B100" i="5" s="1" a="1"/>
  <c r="B100" i="5" s="1"/>
  <c r="AN55" i="5" a="1"/>
  <c r="AN55" i="5" s="1"/>
  <c r="AO55" i="5" s="1" a="1"/>
  <c r="AO55" i="5" s="1"/>
  <c r="AP55" i="5" s="1"/>
  <c r="BH45" i="5" a="1"/>
  <c r="BH45" i="5" s="1"/>
  <c r="AY53" i="5" a="1"/>
  <c r="AY53" i="5" s="1"/>
  <c r="AZ53" i="5" s="1"/>
  <c r="BB53" i="5" s="1"/>
  <c r="B53" i="5" s="1" a="1"/>
  <c r="B53" i="5" s="1"/>
  <c r="AY172" i="5" a="1"/>
  <c r="AY172" i="5" s="1"/>
  <c r="AZ172" i="5" s="1"/>
  <c r="BB172" i="5" s="1"/>
  <c r="B172" i="5" s="1" a="1"/>
  <c r="B172" i="5" s="1"/>
  <c r="AN45" i="5" a="1"/>
  <c r="AN45" i="5" s="1"/>
  <c r="AO45" i="5" s="1" a="1"/>
  <c r="AO45" i="5" s="1"/>
  <c r="AP45" i="5" s="1"/>
  <c r="AY45" i="5" s="1" a="1"/>
  <c r="AY45" i="5" s="1"/>
  <c r="AZ45" i="5" s="1"/>
  <c r="BA45" i="5" s="1"/>
  <c r="AV33" i="5" a="1"/>
  <c r="AV33" i="5" s="1"/>
  <c r="BG33" i="5" s="1"/>
  <c r="BD272" i="5"/>
  <c r="BD94" i="5"/>
  <c r="AY109" i="5" a="1"/>
  <c r="AY109" i="5" s="1"/>
  <c r="AZ109" i="5" s="1"/>
  <c r="BB109" i="5" s="1"/>
  <c r="B109" i="5" s="1" a="1"/>
  <c r="B109" i="5" s="1"/>
  <c r="AQ138" i="5"/>
  <c r="AU138" i="5" s="1" a="1"/>
  <c r="AU138" i="5" s="1"/>
  <c r="BF138" i="5" s="1"/>
  <c r="AV47" i="5" a="1"/>
  <c r="AV47" i="5" s="1"/>
  <c r="BG47" i="5" s="1"/>
  <c r="BD218" i="5"/>
  <c r="AV235" i="5" a="1"/>
  <c r="AV235" i="5" s="1"/>
  <c r="BG235" i="5" s="1"/>
  <c r="AN235" i="5" a="1"/>
  <c r="AN235" i="5" s="1"/>
  <c r="AO235" i="5" s="1" a="1"/>
  <c r="AO235" i="5" s="1"/>
  <c r="AP235" i="5" s="1"/>
  <c r="AN94" i="5" a="1"/>
  <c r="AN94" i="5" s="1"/>
  <c r="AO94" i="5" s="1" a="1"/>
  <c r="AO94" i="5" s="1"/>
  <c r="AP94" i="5" s="1"/>
  <c r="AY50" i="5" a="1"/>
  <c r="AY50" i="5" s="1"/>
  <c r="AZ50" i="5" s="1"/>
  <c r="BA50" i="5" s="1"/>
  <c r="AV218" i="5" a="1"/>
  <c r="AV218" i="5" s="1"/>
  <c r="BG218" i="5" s="1"/>
  <c r="AY107" i="5" a="1"/>
  <c r="AY107" i="5" s="1"/>
  <c r="AZ107" i="5" s="1"/>
  <c r="BB107" i="5" s="1"/>
  <c r="B107" i="5" s="1" a="1"/>
  <c r="B107" i="5" s="1"/>
  <c r="AU218" i="5" a="1"/>
  <c r="AU218" i="5" s="1"/>
  <c r="BF218" i="5" s="1"/>
  <c r="BH218" i="5" a="1"/>
  <c r="BH218" i="5" s="1"/>
  <c r="BD107" i="5"/>
  <c r="BD231" i="5"/>
  <c r="AN59" i="5" a="1"/>
  <c r="AN59" i="5" s="1"/>
  <c r="AO59" i="5" s="1" a="1"/>
  <c r="AO59" i="5" s="1"/>
  <c r="AP59" i="5" s="1"/>
  <c r="AV112" i="5" a="1"/>
  <c r="AV112" i="5" s="1"/>
  <c r="BG112" i="5" s="1"/>
  <c r="AV75" i="5" a="1"/>
  <c r="AV75" i="5" s="1"/>
  <c r="BG75" i="5" s="1"/>
  <c r="AN65" i="5" a="1"/>
  <c r="AN65" i="5" s="1"/>
  <c r="AO65" i="5" s="1" a="1"/>
  <c r="AO65" i="5" s="1"/>
  <c r="AP65" i="5" s="1"/>
  <c r="AY65" i="5" s="1" a="1"/>
  <c r="AY65" i="5" s="1"/>
  <c r="AZ65" i="5" s="1"/>
  <c r="BA65" i="5" s="1"/>
  <c r="AV94" i="5" a="1"/>
  <c r="AV94" i="5" s="1"/>
  <c r="BG94" i="5" s="1"/>
  <c r="AY66" i="5" a="1"/>
  <c r="AY66" i="5" s="1"/>
  <c r="AZ66" i="5" s="1"/>
  <c r="BA66" i="5" s="1"/>
  <c r="AQ72" i="5"/>
  <c r="AU72" i="5" s="1" a="1"/>
  <c r="AU72" i="5" s="1"/>
  <c r="BF72" i="5" s="1"/>
  <c r="AV176" i="5" a="1"/>
  <c r="AV176" i="5" s="1"/>
  <c r="BG176" i="5" s="1"/>
  <c r="AY194" i="5" a="1"/>
  <c r="AY194" i="5" s="1"/>
  <c r="AZ194" i="5" s="1"/>
  <c r="BA194" i="5" s="1"/>
  <c r="BD270" i="5"/>
  <c r="AV220" i="5" a="1"/>
  <c r="AV220" i="5" s="1"/>
  <c r="BG220" i="5" s="1"/>
  <c r="AY117" i="5" a="1"/>
  <c r="AY117" i="5" s="1"/>
  <c r="AZ117" i="5" s="1"/>
  <c r="BB117" i="5" s="1"/>
  <c r="B117" i="5" s="1" a="1"/>
  <c r="B117" i="5" s="1"/>
  <c r="BD50" i="5"/>
  <c r="BD117" i="5"/>
  <c r="AQ101" i="5"/>
  <c r="BD212" i="5"/>
  <c r="AY175" i="5" a="1"/>
  <c r="AY175" i="5" s="1"/>
  <c r="AZ175" i="5" s="1"/>
  <c r="BB175" i="5" s="1"/>
  <c r="B175" i="5" s="1" a="1"/>
  <c r="B175" i="5" s="1"/>
  <c r="BH118" i="5" a="1"/>
  <c r="BH118" i="5" s="1"/>
  <c r="AY130" i="5" a="1"/>
  <c r="AY130" i="5" s="1"/>
  <c r="AZ130" i="5" s="1"/>
  <c r="BB130" i="5" s="1"/>
  <c r="B130" i="5" s="1" a="1"/>
  <c r="B130" i="5" s="1"/>
  <c r="AY231" i="5" a="1"/>
  <c r="AY231" i="5" s="1"/>
  <c r="AZ231" i="5" s="1"/>
  <c r="BA231" i="5" s="1"/>
  <c r="AV143" i="5" a="1"/>
  <c r="AV143" i="5" s="1"/>
  <c r="BG143" i="5" s="1"/>
  <c r="AV55" i="5" a="1"/>
  <c r="AV55" i="5" s="1"/>
  <c r="BG55" i="5" s="1"/>
  <c r="AU212" i="5" a="1"/>
  <c r="AU212" i="5" s="1"/>
  <c r="BF212" i="5" s="1"/>
  <c r="AY265" i="5" a="1"/>
  <c r="AY265" i="5" s="1"/>
  <c r="AZ265" i="5" s="1"/>
  <c r="BA265" i="5" s="1"/>
  <c r="AU133" i="5" a="1"/>
  <c r="AU133" i="5" s="1"/>
  <c r="BF133" i="5" s="1"/>
  <c r="AS133" i="5" a="1"/>
  <c r="AS133" i="5" s="1"/>
  <c r="AY254" i="5" a="1"/>
  <c r="AY254" i="5" s="1"/>
  <c r="AZ254" i="5" s="1"/>
  <c r="BB254" i="5" s="1"/>
  <c r="B254" i="5" s="1" a="1"/>
  <c r="B254" i="5" s="1"/>
  <c r="BD204" i="5"/>
  <c r="AQ235" i="5"/>
  <c r="AY211" i="5" a="1"/>
  <c r="AY211" i="5" s="1"/>
  <c r="AZ211" i="5" s="1"/>
  <c r="BA211" i="5" s="1"/>
  <c r="AY166" i="5" a="1"/>
  <c r="AY166" i="5" s="1"/>
  <c r="AZ166" i="5" s="1"/>
  <c r="BB166" i="5" s="1"/>
  <c r="B166" i="5" s="1" a="1"/>
  <c r="B166" i="5" s="1"/>
  <c r="AY204" i="5" a="1"/>
  <c r="AY204" i="5" s="1"/>
  <c r="AZ204" i="5" s="1"/>
  <c r="BB204" i="5" s="1"/>
  <c r="B204" i="5" s="1" a="1"/>
  <c r="B204" i="5" s="1"/>
  <c r="BH95" i="5" a="1"/>
  <c r="BH95" i="5" s="1"/>
  <c r="AV85" i="5" a="1"/>
  <c r="AV85" i="5" s="1"/>
  <c r="BG85" i="5" s="1"/>
  <c r="AV190" i="5" a="1"/>
  <c r="AV190" i="5" s="1"/>
  <c r="BG190" i="5" s="1"/>
  <c r="AQ199" i="5"/>
  <c r="AY214" i="5" a="1"/>
  <c r="AY214" i="5" s="1"/>
  <c r="AZ214" i="5" s="1"/>
  <c r="BB214" i="5" s="1"/>
  <c r="B214" i="5" s="1" a="1"/>
  <c r="B214" i="5" s="1"/>
  <c r="AV95" i="5" a="1"/>
  <c r="AV95" i="5" s="1"/>
  <c r="BG95" i="5" s="1"/>
  <c r="BD166" i="5"/>
  <c r="BD217" i="5"/>
  <c r="AN218" i="5" a="1"/>
  <c r="AN218" i="5" s="1"/>
  <c r="AO218" i="5" s="1" a="1"/>
  <c r="AO218" i="5" s="1"/>
  <c r="AP218" i="5" s="1"/>
  <c r="AY170" i="5" a="1"/>
  <c r="AY170" i="5" s="1"/>
  <c r="AZ170" i="5" s="1"/>
  <c r="BA170" i="5" s="1"/>
  <c r="BH201" i="5" a="1"/>
  <c r="BH201" i="5" s="1"/>
  <c r="BD105" i="5"/>
  <c r="AV197" i="5" a="1"/>
  <c r="AV197" i="5" s="1"/>
  <c r="BG197" i="5" s="1"/>
  <c r="BH55" i="5" a="1"/>
  <c r="BH55" i="5" s="1"/>
  <c r="AY217" i="5" a="1"/>
  <c r="AY217" i="5" s="1"/>
  <c r="AZ217" i="5" s="1"/>
  <c r="BB217" i="5" s="1"/>
  <c r="B217" i="5" s="1" a="1"/>
  <c r="B217" i="5" s="1"/>
  <c r="AS224" i="5" a="1"/>
  <c r="AS224" i="5" s="1"/>
  <c r="AU224" i="5" a="1"/>
  <c r="AU224" i="5" s="1"/>
  <c r="BF224" i="5" s="1"/>
  <c r="AQ85" i="5"/>
  <c r="AQ201" i="5"/>
  <c r="AQ261" i="5"/>
  <c r="AN266" i="5" a="1"/>
  <c r="AN266" i="5" s="1"/>
  <c r="AO266" i="5" s="1" a="1"/>
  <c r="AO266" i="5" s="1"/>
  <c r="AP266" i="5" s="1"/>
  <c r="AF189" i="5" a="1"/>
  <c r="AF189" i="5" s="1"/>
  <c r="AG189" i="5" s="1" a="1"/>
  <c r="AG189" i="5" s="1"/>
  <c r="AH189" i="5" s="1"/>
  <c r="AM189" i="5" s="1"/>
  <c r="AY277" i="5" a="1"/>
  <c r="AY277" i="5" s="1"/>
  <c r="AZ277" i="5" s="1"/>
  <c r="BB277" i="5" s="1"/>
  <c r="B277" i="5" s="1" a="1"/>
  <c r="B277" i="5" s="1"/>
  <c r="AF225" i="5" a="1"/>
  <c r="AF225" i="5" s="1"/>
  <c r="AG225" i="5" s="1" a="1"/>
  <c r="AG225" i="5" s="1"/>
  <c r="AH225" i="5" s="1"/>
  <c r="AM225" i="5" s="1"/>
  <c r="AF288" i="5" a="1"/>
  <c r="AF288" i="5" s="1"/>
  <c r="AG288" i="5" s="1" a="1"/>
  <c r="AG288" i="5" s="1"/>
  <c r="AH288" i="5" s="1"/>
  <c r="AM288" i="5" s="1"/>
  <c r="BH245" i="5" a="1"/>
  <c r="BH245" i="5" s="1"/>
  <c r="AQ197" i="5"/>
  <c r="AF210" i="5" a="1"/>
  <c r="AF210" i="5" s="1"/>
  <c r="AG210" i="5" s="1" a="1"/>
  <c r="AG210" i="5" s="1"/>
  <c r="AH210" i="5" s="1"/>
  <c r="AM210" i="5" s="1"/>
  <c r="AS285" i="5" a="1"/>
  <c r="AS285" i="5" s="1"/>
  <c r="BD285" i="5" s="1"/>
  <c r="AY126" i="5" a="1"/>
  <c r="AY126" i="5" s="1"/>
  <c r="AZ126" i="5" s="1"/>
  <c r="BA126" i="5" s="1"/>
  <c r="AY78" i="5" a="1"/>
  <c r="AY78" i="5" s="1"/>
  <c r="AZ78" i="5" s="1"/>
  <c r="BA78" i="5" s="1"/>
  <c r="AQ278" i="5"/>
  <c r="AN278" i="5" a="1"/>
  <c r="AN278" i="5" s="1"/>
  <c r="AO278" i="5" s="1" a="1"/>
  <c r="AO278" i="5" s="1"/>
  <c r="AP278" i="5" s="1"/>
  <c r="AV278" i="5" a="1"/>
  <c r="AV278" i="5" s="1"/>
  <c r="BG278" i="5" s="1"/>
  <c r="AY105" i="5" a="1"/>
  <c r="AY105" i="5" s="1"/>
  <c r="AZ105" i="5" s="1"/>
  <c r="BB105" i="5" s="1"/>
  <c r="B105" i="5" s="1" a="1"/>
  <c r="B105" i="5" s="1"/>
  <c r="AV245" i="5" a="1"/>
  <c r="AV245" i="5" s="1"/>
  <c r="BG245" i="5" s="1"/>
  <c r="AY193" i="5" a="1"/>
  <c r="AY193" i="5" s="1"/>
  <c r="AZ193" i="5" s="1"/>
  <c r="BB193" i="5" s="1"/>
  <c r="B193" i="5" s="1" a="1"/>
  <c r="B193" i="5" s="1"/>
  <c r="AS75" i="5" a="1"/>
  <c r="AS75" i="5" s="1"/>
  <c r="AU75" i="5" a="1"/>
  <c r="AU75" i="5" s="1"/>
  <c r="BF75" i="5" s="1"/>
  <c r="AQ200" i="5"/>
  <c r="AY270" i="5" a="1"/>
  <c r="AY270" i="5" s="1"/>
  <c r="AZ270" i="5" s="1"/>
  <c r="BA270" i="5" s="1"/>
  <c r="BH47" i="5" a="1"/>
  <c r="BH47" i="5" s="1"/>
  <c r="AS79" i="5" a="1"/>
  <c r="AS79" i="5" s="1"/>
  <c r="AU79" i="5" a="1"/>
  <c r="AU79" i="5" s="1"/>
  <c r="BF79" i="5" s="1"/>
  <c r="AN95" i="5" a="1"/>
  <c r="AN95" i="5" s="1"/>
  <c r="AO95" i="5" s="1" a="1"/>
  <c r="AO95" i="5" s="1"/>
  <c r="AP95" i="5" s="1"/>
  <c r="BD274" i="5"/>
  <c r="AY38" i="5" a="1"/>
  <c r="AY38" i="5" s="1"/>
  <c r="AZ38" i="5" s="1"/>
  <c r="BB38" i="5" s="1"/>
  <c r="B38" i="5" s="1" a="1"/>
  <c r="B38" i="5" s="1"/>
  <c r="AV46" i="5" a="1"/>
  <c r="AV46" i="5" s="1"/>
  <c r="BG46" i="5" s="1"/>
  <c r="AQ266" i="5"/>
  <c r="AV266" i="5" a="1"/>
  <c r="AV266" i="5" s="1"/>
  <c r="BG266" i="5" s="1"/>
  <c r="AY274" i="5" a="1"/>
  <c r="AY274" i="5" s="1"/>
  <c r="AZ274" i="5" s="1"/>
  <c r="BA274" i="5" s="1"/>
  <c r="BH18" i="5" a="1"/>
  <c r="BH18" i="5" s="1"/>
  <c r="AU80" i="5" a="1"/>
  <c r="AU80" i="5" s="1"/>
  <c r="BF80" i="5" s="1"/>
  <c r="AV18" i="5" a="1"/>
  <c r="AV18" i="5" s="1"/>
  <c r="BG18" i="5" s="1"/>
  <c r="AQ221" i="5"/>
  <c r="AY184" i="5" a="1"/>
  <c r="AY184" i="5" s="1"/>
  <c r="AZ184" i="5" s="1"/>
  <c r="BB184" i="5" s="1"/>
  <c r="B184" i="5" s="1" a="1"/>
  <c r="B184" i="5" s="1"/>
  <c r="AU244" i="5" a="1"/>
  <c r="AU244" i="5" s="1"/>
  <c r="BF244" i="5" s="1"/>
  <c r="AS244" i="5" a="1"/>
  <c r="AS244" i="5" s="1"/>
  <c r="AQ56" i="5"/>
  <c r="AV81" i="5" a="1"/>
  <c r="AV81" i="5" s="1"/>
  <c r="BG81" i="5" s="1"/>
  <c r="AV286" i="5" a="1"/>
  <c r="AV286" i="5" s="1"/>
  <c r="BG286" i="5" s="1"/>
  <c r="AV40" i="5" a="1"/>
  <c r="AV40" i="5" s="1"/>
  <c r="BG40" i="5" s="1"/>
  <c r="AQ97" i="5"/>
  <c r="AS97" i="5" s="1" a="1"/>
  <c r="AS97" i="5" s="1"/>
  <c r="AT97" i="5" s="1" a="1"/>
  <c r="AT97" i="5" s="1"/>
  <c r="BE97" i="5" s="1"/>
  <c r="AU95" i="5" a="1"/>
  <c r="AU95" i="5" s="1"/>
  <c r="BF95" i="5" s="1"/>
  <c r="AS95" i="5" a="1"/>
  <c r="AS95" i="5" s="1"/>
  <c r="AN286" i="5" a="1"/>
  <c r="AN286" i="5" s="1"/>
  <c r="AO286" i="5" s="1" a="1"/>
  <c r="AO286" i="5" s="1"/>
  <c r="AP286" i="5" s="1"/>
  <c r="AY284" i="5" a="1"/>
  <c r="AY284" i="5" s="1"/>
  <c r="AZ284" i="5" s="1"/>
  <c r="BA284" i="5" s="1"/>
  <c r="AN81" i="5" a="1"/>
  <c r="AN81" i="5" s="1"/>
  <c r="AO81" i="5" s="1" a="1"/>
  <c r="AO81" i="5" s="1"/>
  <c r="AP81" i="5" s="1"/>
  <c r="BH236" i="5" a="1"/>
  <c r="BH236" i="5" s="1"/>
  <c r="AN87" i="5" a="1"/>
  <c r="AN87" i="5" s="1"/>
  <c r="AO87" i="5" s="1" a="1"/>
  <c r="AO87" i="5" s="1"/>
  <c r="AP87" i="5" s="1"/>
  <c r="AV87" i="5" a="1"/>
  <c r="AV87" i="5" s="1"/>
  <c r="BG87" i="5" s="1"/>
  <c r="AQ220" i="5"/>
  <c r="AY192" i="5" a="1"/>
  <c r="AY192" i="5" s="1"/>
  <c r="AZ192" i="5" s="1"/>
  <c r="BA192" i="5" s="1"/>
  <c r="BH87" i="5" a="1"/>
  <c r="BH87" i="5" s="1"/>
  <c r="AF294" i="5" a="1"/>
  <c r="AF294" i="5" s="1"/>
  <c r="AY177" i="5" a="1"/>
  <c r="AY177" i="5" s="1"/>
  <c r="AZ177" i="5" s="1"/>
  <c r="BB177" i="5" s="1"/>
  <c r="B177" i="5" s="1" a="1"/>
  <c r="B177" i="5" s="1"/>
  <c r="AS198" i="5" a="1"/>
  <c r="AS198" i="5" s="1"/>
  <c r="AU198" i="5" a="1"/>
  <c r="AU198" i="5" s="1"/>
  <c r="BF198" i="5" s="1"/>
  <c r="AQ163" i="5"/>
  <c r="AY150" i="5" a="1"/>
  <c r="AY150" i="5" s="1"/>
  <c r="AZ150" i="5" s="1"/>
  <c r="BB150" i="5" s="1"/>
  <c r="B150" i="5" s="1" a="1"/>
  <c r="B150" i="5" s="1"/>
  <c r="AY174" i="5" a="1"/>
  <c r="AY174" i="5" s="1"/>
  <c r="AZ174" i="5" s="1"/>
  <c r="BA174" i="5" s="1"/>
  <c r="AY106" i="5" a="1"/>
  <c r="AY106" i="5" s="1"/>
  <c r="AZ106" i="5" s="1"/>
  <c r="BB106" i="5" s="1"/>
  <c r="B106" i="5" s="1" a="1"/>
  <c r="B106" i="5" s="1"/>
  <c r="AY115" i="5" a="1"/>
  <c r="AY115" i="5" s="1"/>
  <c r="AZ115" i="5" s="1"/>
  <c r="BB115" i="5" s="1"/>
  <c r="B115" i="5" s="1" a="1"/>
  <c r="B115" i="5" s="1"/>
  <c r="AY257" i="5" a="1"/>
  <c r="AY257" i="5" s="1"/>
  <c r="AZ257" i="5" s="1"/>
  <c r="BA257" i="5" s="1"/>
  <c r="AY127" i="5" a="1"/>
  <c r="AY127" i="5" s="1"/>
  <c r="AZ127" i="5" s="1"/>
  <c r="BA127" i="5" s="1"/>
  <c r="AV161" i="5" a="1"/>
  <c r="AV161" i="5" s="1"/>
  <c r="BG161" i="5" s="1"/>
  <c r="AY93" i="5" a="1"/>
  <c r="AY93" i="5" s="1"/>
  <c r="AZ93" i="5" s="1"/>
  <c r="BA93" i="5" s="1"/>
  <c r="AN161" i="5" a="1"/>
  <c r="AN161" i="5" s="1"/>
  <c r="AO161" i="5" s="1" a="1"/>
  <c r="AO161" i="5" s="1"/>
  <c r="AP161" i="5" s="1"/>
  <c r="BH161" i="5" a="1"/>
  <c r="BH161" i="5" s="1"/>
  <c r="AP57" i="5"/>
  <c r="AY159" i="5" a="1"/>
  <c r="AY159" i="5" s="1"/>
  <c r="AZ159" i="5" s="1"/>
  <c r="BB159" i="5" s="1"/>
  <c r="B159" i="5" s="1" a="1"/>
  <c r="B159" i="5" s="1"/>
  <c r="AQ46" i="5"/>
  <c r="AU87" i="5" a="1"/>
  <c r="AU87" i="5" s="1"/>
  <c r="BF87" i="5" s="1"/>
  <c r="AS87" i="5" a="1"/>
  <c r="AS87" i="5" s="1"/>
  <c r="AQ236" i="5"/>
  <c r="AT283" i="5" a="1"/>
  <c r="AT283" i="5" s="1"/>
  <c r="BE283" i="5" s="1"/>
  <c r="BD283" i="5"/>
  <c r="AT132" i="5" a="1"/>
  <c r="AT132" i="5" s="1"/>
  <c r="BE132" i="5" s="1"/>
  <c r="BD132" i="5"/>
  <c r="AV280" i="5" a="1"/>
  <c r="AV280" i="5" s="1"/>
  <c r="BG280" i="5" s="1"/>
  <c r="AS136" i="5" a="1"/>
  <c r="AS136" i="5" s="1"/>
  <c r="AU136" i="5" a="1"/>
  <c r="AU136" i="5" s="1"/>
  <c r="BF136" i="5" s="1"/>
  <c r="AT131" i="5" a="1"/>
  <c r="AT131" i="5" s="1"/>
  <c r="BE131" i="5" s="1"/>
  <c r="BD131" i="5"/>
  <c r="AQ234" i="5"/>
  <c r="AN247" i="5" a="1"/>
  <c r="AN247" i="5" s="1"/>
  <c r="AO247" i="5" s="1" a="1"/>
  <c r="AO247" i="5" s="1"/>
  <c r="AT104" i="5" a="1"/>
  <c r="AT104" i="5" s="1"/>
  <c r="BE104" i="5" s="1"/>
  <c r="BD104" i="5"/>
  <c r="AT271" i="5" a="1"/>
  <c r="AT271" i="5" s="1"/>
  <c r="BE271" i="5" s="1"/>
  <c r="BD271" i="5"/>
  <c r="BH110" i="5" a="1"/>
  <c r="BH110" i="5" s="1"/>
  <c r="AY216" i="5" a="1"/>
  <c r="AY216" i="5" s="1"/>
  <c r="AZ216" i="5" s="1"/>
  <c r="BB216" i="5" s="1"/>
  <c r="B216" i="5" s="1" a="1"/>
  <c r="B216" i="5" s="1"/>
  <c r="AT103" i="5" a="1"/>
  <c r="AT103" i="5" s="1"/>
  <c r="BE103" i="5" s="1"/>
  <c r="BD103" i="5"/>
  <c r="AS108" i="5" a="1"/>
  <c r="AS108" i="5" s="1"/>
  <c r="AU108" i="5" a="1"/>
  <c r="AU108" i="5" s="1"/>
  <c r="BF108" i="5" s="1"/>
  <c r="AY146" i="5" a="1"/>
  <c r="AY146" i="5" s="1"/>
  <c r="AZ146" i="5" s="1"/>
  <c r="BA146" i="5" s="1"/>
  <c r="AN137" i="5" a="1"/>
  <c r="AN137" i="5" s="1"/>
  <c r="AO137" i="5" s="1" a="1"/>
  <c r="AO137" i="5" s="1"/>
  <c r="AP137" i="5" s="1"/>
  <c r="AV137" i="5" a="1"/>
  <c r="AV137" i="5" s="1"/>
  <c r="BG137" i="5" s="1"/>
  <c r="BH137" i="5" a="1"/>
  <c r="BH137" i="5" s="1"/>
  <c r="AU161" i="5" a="1"/>
  <c r="AU161" i="5" s="1"/>
  <c r="BF161" i="5" s="1"/>
  <c r="AS161" i="5" a="1"/>
  <c r="AS161" i="5" s="1"/>
  <c r="AY275" i="5" a="1"/>
  <c r="AY275" i="5" s="1"/>
  <c r="AZ275" i="5" s="1"/>
  <c r="BA275" i="5" s="1"/>
  <c r="AY58" i="5" a="1"/>
  <c r="AY58" i="5" s="1"/>
  <c r="AZ58" i="5" s="1"/>
  <c r="BA58" i="5" s="1"/>
  <c r="AY89" i="5" a="1"/>
  <c r="AY89" i="5" s="1"/>
  <c r="AZ89" i="5" s="1"/>
  <c r="BB89" i="5" s="1"/>
  <c r="B89" i="5" s="1" a="1"/>
  <c r="B89" i="5" s="1"/>
  <c r="AQ279" i="5"/>
  <c r="AN279" i="5" a="1"/>
  <c r="AN279" i="5" s="1"/>
  <c r="AO279" i="5" s="1" a="1"/>
  <c r="AO279" i="5" s="1"/>
  <c r="AP279" i="5" s="1"/>
  <c r="AV279" i="5" a="1"/>
  <c r="AV279" i="5" s="1"/>
  <c r="BG279" i="5" s="1"/>
  <c r="BH279" i="5" a="1"/>
  <c r="BH279" i="5" s="1"/>
  <c r="AQ232" i="5"/>
  <c r="AN232" i="5" a="1"/>
  <c r="AN232" i="5" s="1"/>
  <c r="AO232" i="5" s="1" a="1"/>
  <c r="AO232" i="5" s="1"/>
  <c r="AP232" i="5" s="1"/>
  <c r="AV232" i="5" a="1"/>
  <c r="AV232" i="5" s="1"/>
  <c r="BG232" i="5" s="1"/>
  <c r="BH232" i="5" a="1"/>
  <c r="BH232" i="5" s="1"/>
  <c r="AT80" i="5" a="1"/>
  <c r="AT80" i="5" s="1"/>
  <c r="BD80" i="5"/>
  <c r="BD182" i="5"/>
  <c r="AT182" i="5" a="1"/>
  <c r="AT182" i="5" s="1"/>
  <c r="BE182" i="5" s="1"/>
  <c r="AY49" i="5" a="1"/>
  <c r="AY49" i="5" s="1"/>
  <c r="AZ49" i="5" s="1"/>
  <c r="BB49" i="5" s="1"/>
  <c r="B49" i="5" s="1" a="1"/>
  <c r="B49" i="5" s="1"/>
  <c r="AT181" i="5" a="1"/>
  <c r="AT181" i="5" s="1"/>
  <c r="BE181" i="5" s="1"/>
  <c r="BD181" i="5"/>
  <c r="AT242" i="5" a="1"/>
  <c r="AT242" i="5" s="1"/>
  <c r="BD242" i="5"/>
  <c r="BA34" i="5"/>
  <c r="BB34" i="5"/>
  <c r="B34" i="5" s="1" a="1"/>
  <c r="B34" i="5" s="1"/>
  <c r="BB195" i="5"/>
  <c r="B195" i="5" s="1" a="1"/>
  <c r="B195" i="5" s="1"/>
  <c r="BA195" i="5"/>
  <c r="BB51" i="5"/>
  <c r="B51" i="5" s="1" a="1"/>
  <c r="B51" i="5" s="1"/>
  <c r="BA51" i="5"/>
  <c r="BA61" i="5"/>
  <c r="BB61" i="5"/>
  <c r="B61" i="5" s="1" a="1"/>
  <c r="B61" i="5" s="1"/>
  <c r="BB123" i="5"/>
  <c r="B123" i="5" s="1" a="1"/>
  <c r="B123" i="5" s="1"/>
  <c r="BA123" i="5"/>
  <c r="BB253" i="5"/>
  <c r="B253" i="5" s="1" a="1"/>
  <c r="B253" i="5" s="1"/>
  <c r="BA253" i="5"/>
  <c r="BB255" i="5"/>
  <c r="B255" i="5" s="1" a="1"/>
  <c r="B255" i="5" s="1"/>
  <c r="BA255" i="5"/>
  <c r="BA44" i="5"/>
  <c r="BB44" i="5"/>
  <c r="B44" i="5" s="1" a="1"/>
  <c r="B44" i="5" s="1"/>
  <c r="BA36" i="5"/>
  <c r="BB36" i="5"/>
  <c r="B36" i="5" s="1" a="1"/>
  <c r="B36" i="5" s="1"/>
  <c r="AT233" i="5" a="1"/>
  <c r="AT233" i="5" s="1"/>
  <c r="BD233" i="5"/>
  <c r="BA62" i="5"/>
  <c r="BB62" i="5"/>
  <c r="B62" i="5" s="1" a="1"/>
  <c r="B62" i="5" s="1"/>
  <c r="BA6" i="5"/>
  <c r="BB6" i="5"/>
  <c r="B6" i="5" s="1" a="1"/>
  <c r="B6" i="5" s="1"/>
  <c r="AV27" i="5" a="1"/>
  <c r="AV27" i="5" s="1"/>
  <c r="BG27" i="5" s="1"/>
  <c r="AV30" i="5" a="1"/>
  <c r="AV30" i="5" s="1"/>
  <c r="BG30" i="5" s="1"/>
  <c r="AN30" i="5" a="1"/>
  <c r="AN30" i="5" s="1"/>
  <c r="AO30" i="5" s="1" a="1"/>
  <c r="AO30" i="5" s="1"/>
  <c r="AP30" i="5" s="1"/>
  <c r="AV29" i="5" a="1"/>
  <c r="AV29" i="5" s="1"/>
  <c r="BG29" i="5" s="1"/>
  <c r="BH7" i="5" a="1"/>
  <c r="BH7" i="5" s="1"/>
  <c r="AN7" i="5" a="1"/>
  <c r="AN7" i="5" s="1"/>
  <c r="AO7" i="5" s="1" a="1"/>
  <c r="AO7" i="5" s="1"/>
  <c r="BH30" i="5" a="1"/>
  <c r="BH30" i="5" s="1"/>
  <c r="BH29" i="5" a="1"/>
  <c r="BH29" i="5" s="1"/>
  <c r="AQ27" i="5"/>
  <c r="AS27" i="5" s="1" a="1"/>
  <c r="AS27" i="5" s="1"/>
  <c r="AN29" i="5" a="1"/>
  <c r="AN29" i="5" s="1"/>
  <c r="AO29" i="5" s="1" a="1"/>
  <c r="AO29" i="5" s="1"/>
  <c r="AV7" i="5" a="1"/>
  <c r="AV7" i="5" s="1"/>
  <c r="BG7" i="5" s="1"/>
  <c r="AN27" i="5" a="1"/>
  <c r="AN27" i="5" s="1"/>
  <c r="AO27" i="5" s="1" a="1"/>
  <c r="AO27" i="5" s="1"/>
  <c r="AP27" i="5" s="1"/>
  <c r="BH27" i="5" a="1"/>
  <c r="BH27" i="5" s="1"/>
  <c r="AP9" i="5"/>
  <c r="AY9" i="5" s="1" a="1"/>
  <c r="AY9" i="5" s="1"/>
  <c r="AZ9" i="5" s="1"/>
  <c r="AP18" i="5"/>
  <c r="AN11" i="5" a="1"/>
  <c r="AN11" i="5" s="1"/>
  <c r="AO11" i="5" s="1" a="1"/>
  <c r="AO11" i="5" s="1"/>
  <c r="AV11" i="5" a="1"/>
  <c r="AV11" i="5" s="1"/>
  <c r="BG11" i="5" s="1"/>
  <c r="BH11" i="5" a="1"/>
  <c r="BH11" i="5" s="1"/>
  <c r="AN31" i="5" a="1"/>
  <c r="AN31" i="5" s="1"/>
  <c r="AO31" i="5" s="1" a="1"/>
  <c r="AO31" i="5" s="1"/>
  <c r="BH31" i="5" a="1"/>
  <c r="BH31" i="5" s="1"/>
  <c r="AV31" i="5" a="1"/>
  <c r="AV31" i="5" s="1"/>
  <c r="BG31" i="5" s="1"/>
  <c r="AN12" i="5" a="1"/>
  <c r="AN12" i="5" s="1"/>
  <c r="AO12" i="5" s="1" a="1"/>
  <c r="AO12" i="5" s="1"/>
  <c r="AV12" i="5" a="1"/>
  <c r="AV12" i="5" s="1"/>
  <c r="BG12" i="5" s="1"/>
  <c r="BH12" i="5" a="1"/>
  <c r="BH12" i="5" s="1"/>
  <c r="AN8" i="5" a="1"/>
  <c r="AN8" i="5" s="1"/>
  <c r="AO8" i="5" s="1" a="1"/>
  <c r="AO8" i="5" s="1"/>
  <c r="AV8" i="5" a="1"/>
  <c r="AV8" i="5" s="1"/>
  <c r="BG8" i="5" s="1"/>
  <c r="BH8" i="5" a="1"/>
  <c r="BH8" i="5" s="1"/>
  <c r="AP25" i="5"/>
  <c r="AN23" i="5" a="1"/>
  <c r="AN23" i="5" s="1"/>
  <c r="AO23" i="5" s="1" a="1"/>
  <c r="AO23" i="5" s="1"/>
  <c r="BH23" i="5" a="1"/>
  <c r="BH23" i="5" s="1"/>
  <c r="AV23" i="5" a="1"/>
  <c r="AV23" i="5" s="1"/>
  <c r="BG23" i="5" s="1"/>
  <c r="AN24" i="5" a="1"/>
  <c r="AN24" i="5" s="1"/>
  <c r="AO24" i="5" s="1" a="1"/>
  <c r="AO24" i="5" s="1"/>
  <c r="BH24" i="5" a="1"/>
  <c r="BH24" i="5" s="1"/>
  <c r="AV24" i="5" a="1"/>
  <c r="AV24" i="5" s="1"/>
  <c r="BG24" i="5" s="1"/>
  <c r="AN22" i="5" a="1"/>
  <c r="AN22" i="5" s="1"/>
  <c r="AO22" i="5" s="1" a="1"/>
  <c r="AO22" i="5" s="1"/>
  <c r="AV22" i="5" a="1"/>
  <c r="AV22" i="5" s="1"/>
  <c r="BG22" i="5" s="1"/>
  <c r="BH22" i="5" a="1"/>
  <c r="BH22" i="5" s="1"/>
  <c r="AT26" i="5" a="1"/>
  <c r="AT26" i="5" s="1"/>
  <c r="BE26" i="5" s="1"/>
  <c r="BD26" i="5"/>
  <c r="AV17" i="5" a="1"/>
  <c r="AV17" i="5" s="1"/>
  <c r="BG17" i="5" s="1"/>
  <c r="BH17" i="5" a="1"/>
  <c r="BH17" i="5" s="1"/>
  <c r="AP28" i="5"/>
  <c r="AY28" i="5" s="1" a="1"/>
  <c r="AY28" i="5" s="1"/>
  <c r="AP10" i="5"/>
  <c r="AN17" i="5" a="1"/>
  <c r="AN17" i="5" s="1"/>
  <c r="AO17" i="5" s="1" a="1"/>
  <c r="AO17" i="5" s="1"/>
  <c r="AF21" i="5" a="1"/>
  <c r="AF21" i="5" s="1"/>
  <c r="AG21" i="5" s="1" a="1"/>
  <c r="AG21" i="5" s="1"/>
  <c r="AH21" i="5" s="1"/>
  <c r="AM21" i="5" s="1"/>
  <c r="AS55" i="5" l="1" a="1"/>
  <c r="AS55" i="5" s="1"/>
  <c r="AT55" i="5" s="1" a="1"/>
  <c r="AT55" i="5" s="1"/>
  <c r="AF60" i="5" a="1"/>
  <c r="AF60" i="5" s="1"/>
  <c r="AG60" i="5" s="1" a="1"/>
  <c r="AG60" i="5" s="1"/>
  <c r="AH60" i="5" s="1"/>
  <c r="AM60" i="5" s="1"/>
  <c r="BD158" i="5"/>
  <c r="AY171" i="5" a="1"/>
  <c r="AY171" i="5" s="1"/>
  <c r="AZ171" i="5" s="1"/>
  <c r="BB171" i="5" s="1"/>
  <c r="B171" i="5" s="1" a="1"/>
  <c r="B171" i="5" s="1"/>
  <c r="BD171" i="5"/>
  <c r="AF15" i="5" a="1"/>
  <c r="AF15" i="5" s="1"/>
  <c r="AG15" i="5" s="1" a="1"/>
  <c r="AG15" i="5" s="1"/>
  <c r="AH15" i="5" s="1"/>
  <c r="AM15" i="5" s="1"/>
  <c r="AY52" i="5" a="1"/>
  <c r="AY52" i="5" s="1"/>
  <c r="AZ52" i="5" s="1"/>
  <c r="BA52" i="5" s="1"/>
  <c r="AY206" i="5" a="1"/>
  <c r="AY206" i="5" s="1"/>
  <c r="AZ206" i="5" s="1"/>
  <c r="BA206" i="5" s="1"/>
  <c r="BD206" i="5"/>
  <c r="AN139" i="5" a="1"/>
  <c r="AN139" i="5" s="1"/>
  <c r="AO139" i="5" s="1" a="1"/>
  <c r="AO139" i="5" s="1"/>
  <c r="AG71" i="5" a="1"/>
  <c r="AG71" i="5" s="1"/>
  <c r="AH71" i="5" s="1"/>
  <c r="AM71" i="5" s="1"/>
  <c r="AV246" i="5" a="1"/>
  <c r="AV246" i="5" s="1"/>
  <c r="BG246" i="5" s="1"/>
  <c r="AN246" i="5" a="1"/>
  <c r="AN246" i="5" s="1"/>
  <c r="AO246" i="5" s="1" a="1"/>
  <c r="AO246" i="5" s="1"/>
  <c r="AP246" i="5" s="1"/>
  <c r="AV91" i="5" a="1"/>
  <c r="AV91" i="5" s="1"/>
  <c r="BG91" i="5" s="1"/>
  <c r="AY134" i="5" a="1"/>
  <c r="AY134" i="5" s="1"/>
  <c r="AZ134" i="5" s="1"/>
  <c r="BA134" i="5" s="1"/>
  <c r="BD134" i="5"/>
  <c r="AG145" i="5" a="1"/>
  <c r="AG145" i="5" s="1"/>
  <c r="AH145" i="5" s="1"/>
  <c r="AM145" i="5" s="1"/>
  <c r="AT179" i="5" a="1"/>
  <c r="AT179" i="5" s="1"/>
  <c r="BE179" i="5" s="1"/>
  <c r="BH212" i="5" a="1"/>
  <c r="BH212" i="5" s="1"/>
  <c r="AV212" i="5" a="1"/>
  <c r="AV212" i="5" s="1"/>
  <c r="BG212" i="5" s="1"/>
  <c r="BH162" i="5" a="1"/>
  <c r="BH162" i="5" s="1"/>
  <c r="AF142" i="5" a="1"/>
  <c r="AF142" i="5" s="1"/>
  <c r="AG142" i="5" s="1" a="1"/>
  <c r="AG142" i="5" s="1"/>
  <c r="AH142" i="5" s="1"/>
  <c r="AM142" i="5" s="1"/>
  <c r="AV162" i="5" a="1"/>
  <c r="AV162" i="5" s="1"/>
  <c r="BG162" i="5" s="1"/>
  <c r="AQ162" i="5"/>
  <c r="AU162" i="5" s="1" a="1"/>
  <c r="AU162" i="5" s="1"/>
  <c r="BF162" i="5" s="1"/>
  <c r="AG92" i="5" a="1"/>
  <c r="AG92" i="5" s="1"/>
  <c r="AH92" i="5" s="1"/>
  <c r="AM92" i="5" s="1"/>
  <c r="AV120" i="5" a="1"/>
  <c r="AV120" i="5" s="1"/>
  <c r="BG120" i="5" s="1"/>
  <c r="AG80" i="5" a="1"/>
  <c r="AG80" i="5" s="1"/>
  <c r="AH80" i="5" s="1"/>
  <c r="AM80" i="5" s="1"/>
  <c r="AF82" i="5" a="1"/>
  <c r="AF82" i="5" s="1"/>
  <c r="AF84" i="5" s="1" a="1"/>
  <c r="AF84" i="5" s="1"/>
  <c r="AF90" i="5" s="1" a="1"/>
  <c r="AF90" i="5" s="1"/>
  <c r="AV221" i="5" a="1"/>
  <c r="AV221" i="5" s="1"/>
  <c r="BG221" i="5" s="1"/>
  <c r="BH221" i="5" a="1"/>
  <c r="BH221" i="5" s="1"/>
  <c r="BD260" i="5"/>
  <c r="AF125" i="5" a="1"/>
  <c r="AF125" i="5" s="1"/>
  <c r="AG125" i="5" s="1" a="1"/>
  <c r="AG125" i="5" s="1"/>
  <c r="AH125" i="5" s="1"/>
  <c r="AM125" i="5" s="1"/>
  <c r="AF261" i="5" a="1"/>
  <c r="AF261" i="5" s="1"/>
  <c r="AG261" i="5" s="1" a="1"/>
  <c r="AG261" i="5" s="1"/>
  <c r="BB265" i="5"/>
  <c r="B265" i="5" s="1" a="1"/>
  <c r="B265" i="5" s="1"/>
  <c r="BB202" i="5"/>
  <c r="B202" i="5" s="1" a="1"/>
  <c r="B202" i="5" s="1"/>
  <c r="AG86" i="5" a="1"/>
  <c r="AG86" i="5" s="1"/>
  <c r="AH86" i="5" s="1"/>
  <c r="AM86" i="5" s="1"/>
  <c r="BH267" i="5" a="1"/>
  <c r="BH267" i="5" s="1"/>
  <c r="AN267" i="5" a="1"/>
  <c r="AN267" i="5" s="1"/>
  <c r="AO267" i="5" s="1" a="1"/>
  <c r="AO267" i="5" s="1"/>
  <c r="AP267" i="5" s="1"/>
  <c r="AS267" i="5" a="1"/>
  <c r="AS267" i="5" s="1"/>
  <c r="AT267" i="5" s="1" a="1"/>
  <c r="AT267" i="5" s="1"/>
  <c r="BE267" i="5" s="1"/>
  <c r="AV267" i="5" a="1"/>
  <c r="AV267" i="5" s="1"/>
  <c r="BG267" i="5" s="1"/>
  <c r="BB228" i="5"/>
  <c r="B228" i="5" s="1" a="1"/>
  <c r="B228" i="5" s="1"/>
  <c r="BD96" i="5"/>
  <c r="AF73" i="5" a="1"/>
  <c r="AF73" i="5" s="1"/>
  <c r="AG73" i="5" s="1" a="1"/>
  <c r="AG73" i="5" s="1"/>
  <c r="AH73" i="5" s="1"/>
  <c r="AM73" i="5" s="1"/>
  <c r="AN99" i="5" a="1"/>
  <c r="AN99" i="5" s="1"/>
  <c r="AO99" i="5" s="1" a="1"/>
  <c r="AO99" i="5" s="1"/>
  <c r="AP99" i="5" s="1"/>
  <c r="AY57" i="5" a="1"/>
  <c r="AY57" i="5" s="1"/>
  <c r="AZ57" i="5" s="1"/>
  <c r="BB57" i="5" s="1"/>
  <c r="B57" i="5" s="1" a="1"/>
  <c r="B57" i="5" s="1"/>
  <c r="AY47" i="5" a="1"/>
  <c r="AY47" i="5" s="1"/>
  <c r="AZ47" i="5" s="1"/>
  <c r="BA47" i="5" s="1"/>
  <c r="AT173" i="5" a="1"/>
  <c r="AT173" i="5" s="1"/>
  <c r="BE173" i="5" s="1"/>
  <c r="AY144" i="5" a="1"/>
  <c r="AY144" i="5" s="1"/>
  <c r="AZ144" i="5" s="1"/>
  <c r="BA144" i="5" s="1"/>
  <c r="BH99" i="5" a="1"/>
  <c r="BH99" i="5" s="1"/>
  <c r="AH259" i="5"/>
  <c r="AM259" i="5" s="1"/>
  <c r="AF39" i="5" a="1"/>
  <c r="AF39" i="5" s="1"/>
  <c r="BH96" i="5" a="1"/>
  <c r="BH96" i="5" s="1"/>
  <c r="AN96" i="5" a="1"/>
  <c r="AN96" i="5" s="1"/>
  <c r="AO96" i="5" s="1" a="1"/>
  <c r="AO96" i="5" s="1"/>
  <c r="AP96" i="5" s="1"/>
  <c r="BH246" i="5" a="1"/>
  <c r="BH246" i="5" s="1"/>
  <c r="AN168" i="5" a="1"/>
  <c r="AN168" i="5" s="1"/>
  <c r="AO168" i="5" s="1" a="1"/>
  <c r="AO168" i="5" s="1"/>
  <c r="AP168" i="5" s="1"/>
  <c r="AN164" i="5" a="1"/>
  <c r="AN164" i="5" s="1"/>
  <c r="AO164" i="5" s="1" a="1"/>
  <c r="AO164" i="5" s="1"/>
  <c r="AP164" i="5" s="1"/>
  <c r="AY209" i="5" a="1"/>
  <c r="AY209" i="5" s="1"/>
  <c r="AZ209" i="5" s="1"/>
  <c r="BA209" i="5" s="1"/>
  <c r="BB116" i="5"/>
  <c r="B116" i="5" s="1" a="1"/>
  <c r="B116" i="5" s="1"/>
  <c r="AS246" i="5" a="1"/>
  <c r="AS246" i="5" s="1"/>
  <c r="BD246" i="5" s="1"/>
  <c r="AY178" i="5" a="1"/>
  <c r="AY178" i="5" s="1"/>
  <c r="AZ178" i="5" s="1"/>
  <c r="BA178" i="5" s="1"/>
  <c r="BH120" i="5" a="1"/>
  <c r="BH120" i="5" s="1"/>
  <c r="AV96" i="5" a="1"/>
  <c r="AV96" i="5" s="1"/>
  <c r="BG96" i="5" s="1"/>
  <c r="BA53" i="5"/>
  <c r="AU96" i="5" a="1"/>
  <c r="AU96" i="5" s="1"/>
  <c r="BF96" i="5" s="1"/>
  <c r="AF241" i="5" a="1"/>
  <c r="AF241" i="5" s="1"/>
  <c r="AG241" i="5" s="1" a="1"/>
  <c r="AG241" i="5" s="1"/>
  <c r="AH241" i="5" s="1"/>
  <c r="AM241" i="5" s="1"/>
  <c r="AS148" i="5" a="1"/>
  <c r="AS148" i="5" s="1"/>
  <c r="BD148" i="5" s="1"/>
  <c r="AN148" i="5" a="1"/>
  <c r="AN148" i="5" s="1"/>
  <c r="AO148" i="5" s="1" a="1"/>
  <c r="AO148" i="5" s="1"/>
  <c r="AP148" i="5" s="1"/>
  <c r="AY243" i="5" a="1"/>
  <c r="AY243" i="5" s="1"/>
  <c r="AZ243" i="5" s="1"/>
  <c r="BA243" i="5" s="1"/>
  <c r="BD99" i="5"/>
  <c r="BH148" i="5" a="1"/>
  <c r="BH148" i="5" s="1"/>
  <c r="BA204" i="5"/>
  <c r="AV148" i="5" a="1"/>
  <c r="AV148" i="5" s="1"/>
  <c r="BG148" i="5" s="1"/>
  <c r="AT180" i="5" a="1"/>
  <c r="AT180" i="5" s="1"/>
  <c r="BE180" i="5" s="1"/>
  <c r="AN149" i="5" a="1"/>
  <c r="AN149" i="5" s="1"/>
  <c r="AO149" i="5" s="1" a="1"/>
  <c r="AO149" i="5" s="1"/>
  <c r="AP149" i="5" s="1"/>
  <c r="AY167" i="5" a="1"/>
  <c r="AY167" i="5" s="1"/>
  <c r="AZ167" i="5" s="1"/>
  <c r="BA167" i="5" s="1"/>
  <c r="BH269" i="5" a="1"/>
  <c r="BH269" i="5" s="1"/>
  <c r="BA290" i="5"/>
  <c r="AG226" i="5" a="1"/>
  <c r="AG226" i="5" s="1"/>
  <c r="AF227" i="5" a="1"/>
  <c r="AF227" i="5" s="1"/>
  <c r="BA156" i="5"/>
  <c r="AN258" i="5" a="1"/>
  <c r="AN258" i="5" s="1"/>
  <c r="AO258" i="5" s="1" a="1"/>
  <c r="AO258" i="5" s="1"/>
  <c r="AP258" i="5" s="1"/>
  <c r="AH224" i="5"/>
  <c r="AM224" i="5" s="1"/>
  <c r="BB54" i="5"/>
  <c r="B54" i="5" s="1" a="1"/>
  <c r="B54" i="5" s="1"/>
  <c r="BH258" i="5" a="1"/>
  <c r="BH258" i="5" s="1"/>
  <c r="AF157" i="5" a="1"/>
  <c r="AF157" i="5" s="1"/>
  <c r="AG153" i="5" a="1"/>
  <c r="AG153" i="5" s="1"/>
  <c r="AH153" i="5" s="1"/>
  <c r="AM153" i="5" s="1"/>
  <c r="BB66" i="5"/>
  <c r="B66" i="5" s="1" a="1"/>
  <c r="B66" i="5" s="1"/>
  <c r="BH252" i="5" a="1"/>
  <c r="BH252" i="5" s="1"/>
  <c r="BA107" i="5"/>
  <c r="AF295" i="5" a="1"/>
  <c r="AF295" i="5" s="1"/>
  <c r="AG295" i="5" s="1" a="1"/>
  <c r="AG295" i="5" s="1"/>
  <c r="AH295" i="5" s="1"/>
  <c r="AM295" i="5" s="1"/>
  <c r="AG294" i="5" a="1"/>
  <c r="AG294" i="5" s="1"/>
  <c r="AH294" i="5" s="1"/>
  <c r="AM294" i="5" s="1"/>
  <c r="AH268" i="5"/>
  <c r="AM268" i="5" s="1"/>
  <c r="AF64" i="5" a="1"/>
  <c r="AF64" i="5" s="1"/>
  <c r="AY207" i="5" a="1"/>
  <c r="AY207" i="5" s="1"/>
  <c r="AZ207" i="5" s="1"/>
  <c r="BB207" i="5" s="1"/>
  <c r="B207" i="5" s="1" a="1"/>
  <c r="B207" i="5" s="1"/>
  <c r="AN101" i="5" a="1"/>
  <c r="AN101" i="5" s="1"/>
  <c r="AO101" i="5" s="1" a="1"/>
  <c r="AO101" i="5" s="1"/>
  <c r="AP101" i="5" s="1"/>
  <c r="AV165" i="5" a="1"/>
  <c r="AV165" i="5" s="1"/>
  <c r="BG165" i="5" s="1"/>
  <c r="BB128" i="5"/>
  <c r="B128" i="5" s="1" a="1"/>
  <c r="B128" i="5" s="1"/>
  <c r="BA105" i="5"/>
  <c r="AN165" i="5" a="1"/>
  <c r="AN165" i="5" s="1"/>
  <c r="AO165" i="5" s="1" a="1"/>
  <c r="AO165" i="5" s="1"/>
  <c r="AP165" i="5" s="1"/>
  <c r="BH165" i="5" a="1"/>
  <c r="BH165" i="5" s="1"/>
  <c r="AY208" i="5" a="1"/>
  <c r="AY208" i="5" s="1"/>
  <c r="AZ208" i="5" s="1"/>
  <c r="BB208" i="5" s="1"/>
  <c r="B208" i="5" s="1" a="1"/>
  <c r="B208" i="5" s="1"/>
  <c r="BB45" i="5"/>
  <c r="B45" i="5" s="1" a="1"/>
  <c r="B45" i="5" s="1"/>
  <c r="BH250" i="5" a="1"/>
  <c r="BH250" i="5" s="1"/>
  <c r="AS183" i="5" a="1"/>
  <c r="AS183" i="5" s="1"/>
  <c r="AU183" i="5" a="1"/>
  <c r="AU183" i="5" s="1"/>
  <c r="BF183" i="5" s="1"/>
  <c r="BH200" i="5" a="1"/>
  <c r="BH200" i="5" s="1"/>
  <c r="BD140" i="5"/>
  <c r="AN200" i="5" a="1"/>
  <c r="AN200" i="5" s="1"/>
  <c r="AO200" i="5" s="1" a="1"/>
  <c r="AO200" i="5" s="1"/>
  <c r="AP200" i="5" s="1"/>
  <c r="AV287" i="5" a="1"/>
  <c r="AV287" i="5" s="1"/>
  <c r="BG287" i="5" s="1"/>
  <c r="AY185" i="5" a="1"/>
  <c r="AY185" i="5" s="1"/>
  <c r="AZ185" i="5" s="1"/>
  <c r="BA185" i="5" s="1"/>
  <c r="AQ250" i="5"/>
  <c r="AS250" i="5" s="1" a="1"/>
  <c r="AS250" i="5" s="1"/>
  <c r="BB50" i="5"/>
  <c r="B50" i="5" s="1" a="1"/>
  <c r="B50" i="5" s="1"/>
  <c r="AY140" i="5" a="1"/>
  <c r="AY140" i="5" s="1"/>
  <c r="AZ140" i="5" s="1"/>
  <c r="BA140" i="5" s="1"/>
  <c r="AV198" i="5" a="1"/>
  <c r="AV198" i="5" s="1"/>
  <c r="BG198" i="5" s="1"/>
  <c r="AY272" i="5" a="1"/>
  <c r="AY272" i="5" s="1"/>
  <c r="AZ272" i="5" s="1"/>
  <c r="BA214" i="5"/>
  <c r="AN250" i="5" a="1"/>
  <c r="AN250" i="5" s="1"/>
  <c r="AO250" i="5" s="1" a="1"/>
  <c r="AO250" i="5" s="1"/>
  <c r="AP250" i="5" s="1"/>
  <c r="AN198" i="5" a="1"/>
  <c r="AN198" i="5" s="1"/>
  <c r="AO198" i="5" s="1" a="1"/>
  <c r="AO198" i="5" s="1"/>
  <c r="AP198" i="5" s="1"/>
  <c r="AV101" i="5" a="1"/>
  <c r="AV101" i="5" s="1"/>
  <c r="BG101" i="5" s="1"/>
  <c r="BB194" i="5"/>
  <c r="B194" i="5" s="1" a="1"/>
  <c r="B194" i="5" s="1"/>
  <c r="AY135" i="5" a="1"/>
  <c r="AY135" i="5" s="1"/>
  <c r="AZ135" i="5" s="1"/>
  <c r="BA135" i="5" s="1"/>
  <c r="BA100" i="5"/>
  <c r="AQ176" i="5"/>
  <c r="AS176" i="5" s="1" a="1"/>
  <c r="AS176" i="5" s="1"/>
  <c r="BH101" i="5" a="1"/>
  <c r="BH101" i="5" s="1"/>
  <c r="AQ114" i="5"/>
  <c r="AU114" i="5" s="1" a="1"/>
  <c r="AU114" i="5" s="1"/>
  <c r="BF114" i="5" s="1"/>
  <c r="AN97" i="5" a="1"/>
  <c r="AN97" i="5" s="1"/>
  <c r="AO97" i="5" s="1" a="1"/>
  <c r="AO97" i="5" s="1"/>
  <c r="AP97" i="5" s="1"/>
  <c r="AV199" i="5" a="1"/>
  <c r="AV199" i="5" s="1"/>
  <c r="BG199" i="5" s="1"/>
  <c r="BH197" i="5" a="1"/>
  <c r="BH197" i="5" s="1"/>
  <c r="BB65" i="5"/>
  <c r="B65" i="5" s="1" a="1"/>
  <c r="B65" i="5" s="1"/>
  <c r="BH70" i="5" a="1"/>
  <c r="BH70" i="5" s="1"/>
  <c r="AY94" i="5" a="1"/>
  <c r="AY94" i="5" s="1"/>
  <c r="AZ94" i="5" s="1"/>
  <c r="BB94" i="5" s="1"/>
  <c r="B94" i="5" s="1" a="1"/>
  <c r="B94" i="5" s="1"/>
  <c r="AN220" i="5" a="1"/>
  <c r="AN220" i="5" s="1"/>
  <c r="AO220" i="5" s="1" a="1"/>
  <c r="AO220" i="5" s="1"/>
  <c r="AP220" i="5" s="1"/>
  <c r="BH220" i="5" a="1"/>
  <c r="BH220" i="5" s="1"/>
  <c r="AY129" i="5" a="1"/>
  <c r="AY129" i="5" s="1"/>
  <c r="AZ129" i="5" s="1"/>
  <c r="AQ154" i="5"/>
  <c r="AV59" i="5" a="1"/>
  <c r="AV59" i="5" s="1"/>
  <c r="BG59" i="5" s="1"/>
  <c r="AN197" i="5" a="1"/>
  <c r="AN197" i="5" s="1"/>
  <c r="AO197" i="5" s="1" a="1"/>
  <c r="AO197" i="5" s="1"/>
  <c r="AP197" i="5" s="1"/>
  <c r="AU259" i="5" a="1"/>
  <c r="AU259" i="5" s="1"/>
  <c r="BF259" i="5" s="1"/>
  <c r="AS259" i="5" a="1"/>
  <c r="AS259" i="5" s="1"/>
  <c r="BH138" i="5" a="1"/>
  <c r="BH138" i="5" s="1"/>
  <c r="BH59" i="5" a="1"/>
  <c r="BH59" i="5" s="1"/>
  <c r="AN112" i="5" a="1"/>
  <c r="AN112" i="5" s="1"/>
  <c r="AO112" i="5" s="1" a="1"/>
  <c r="AO112" i="5" s="1"/>
  <c r="AP112" i="5" s="1"/>
  <c r="AV56" i="5" a="1"/>
  <c r="AV56" i="5" s="1"/>
  <c r="BG56" i="5" s="1"/>
  <c r="AY33" i="5" a="1"/>
  <c r="AY33" i="5" s="1"/>
  <c r="AZ33" i="5" s="1"/>
  <c r="AV141" i="5" a="1"/>
  <c r="AV141" i="5" s="1"/>
  <c r="BG141" i="5" s="1"/>
  <c r="BA109" i="5"/>
  <c r="BH75" i="5" a="1"/>
  <c r="BH75" i="5" s="1"/>
  <c r="BH112" i="5" a="1"/>
  <c r="BH112" i="5" s="1"/>
  <c r="AN75" i="5" a="1"/>
  <c r="AN75" i="5" s="1"/>
  <c r="AO75" i="5" s="1" a="1"/>
  <c r="AO75" i="5" s="1"/>
  <c r="AP75" i="5" s="1"/>
  <c r="AQ112" i="5"/>
  <c r="AU112" i="5" s="1" a="1"/>
  <c r="AU112" i="5" s="1"/>
  <c r="BF112" i="5" s="1"/>
  <c r="AV118" i="5" a="1"/>
  <c r="AV118" i="5" s="1"/>
  <c r="BG118" i="5" s="1"/>
  <c r="BA172" i="5"/>
  <c r="AY218" i="5" a="1"/>
  <c r="AY218" i="5" s="1"/>
  <c r="AZ218" i="5" s="1"/>
  <c r="BB218" i="5" s="1"/>
  <c r="B218" i="5" s="1" a="1"/>
  <c r="B218" i="5" s="1"/>
  <c r="AN138" i="5" a="1"/>
  <c r="AN138" i="5" s="1"/>
  <c r="AO138" i="5" s="1" a="1"/>
  <c r="AO138" i="5" s="1"/>
  <c r="AP138" i="5" s="1"/>
  <c r="AV138" i="5" a="1"/>
  <c r="AV138" i="5" s="1"/>
  <c r="BG138" i="5" s="1"/>
  <c r="BH176" i="5" a="1"/>
  <c r="BH176" i="5" s="1"/>
  <c r="AN110" i="5" a="1"/>
  <c r="AN110" i="5" s="1"/>
  <c r="AO110" i="5" s="1" a="1"/>
  <c r="AO110" i="5" s="1"/>
  <c r="AP110" i="5" s="1"/>
  <c r="BH222" i="5" a="1"/>
  <c r="BH222" i="5" s="1"/>
  <c r="BH72" i="5" a="1"/>
  <c r="BH72" i="5" s="1"/>
  <c r="AV76" i="5" a="1"/>
  <c r="AV76" i="5" s="1"/>
  <c r="BG76" i="5" s="1"/>
  <c r="AN118" i="5" a="1"/>
  <c r="AN118" i="5" s="1"/>
  <c r="AO118" i="5" s="1" a="1"/>
  <c r="AO118" i="5" s="1"/>
  <c r="AP118" i="5" s="1"/>
  <c r="AS72" i="5" a="1"/>
  <c r="AS72" i="5" s="1"/>
  <c r="AT72" i="5" s="1" a="1"/>
  <c r="AT72" i="5" s="1"/>
  <c r="BE72" i="5" s="1"/>
  <c r="AS138" i="5" a="1"/>
  <c r="AS138" i="5" s="1"/>
  <c r="AT138" i="5" s="1" a="1"/>
  <c r="AT138" i="5" s="1"/>
  <c r="BE138" i="5" s="1"/>
  <c r="BH143" i="5" a="1"/>
  <c r="BH143" i="5" s="1"/>
  <c r="AN176" i="5" a="1"/>
  <c r="AN176" i="5" s="1"/>
  <c r="AO176" i="5" s="1" a="1"/>
  <c r="AO176" i="5" s="1"/>
  <c r="AP176" i="5" s="1"/>
  <c r="BD55" i="5"/>
  <c r="AN40" i="5" a="1"/>
  <c r="AN40" i="5" s="1"/>
  <c r="AO40" i="5" s="1" a="1"/>
  <c r="AO40" i="5" s="1"/>
  <c r="AP40" i="5" s="1"/>
  <c r="AV97" i="5" a="1"/>
  <c r="AV97" i="5" s="1"/>
  <c r="BG97" i="5" s="1"/>
  <c r="AV72" i="5" a="1"/>
  <c r="AV72" i="5" s="1"/>
  <c r="BG72" i="5" s="1"/>
  <c r="BH40" i="5" a="1"/>
  <c r="BH40" i="5" s="1"/>
  <c r="AN72" i="5" a="1"/>
  <c r="AN72" i="5" s="1"/>
  <c r="AO72" i="5" s="1" a="1"/>
  <c r="AO72" i="5" s="1"/>
  <c r="AP72" i="5" s="1"/>
  <c r="BA254" i="5"/>
  <c r="BH247" i="5" a="1"/>
  <c r="BH247" i="5" s="1"/>
  <c r="AQ247" i="5"/>
  <c r="AS247" i="5" s="1" a="1"/>
  <c r="AS247" i="5" s="1"/>
  <c r="AV122" i="5" a="1"/>
  <c r="AV122" i="5" s="1"/>
  <c r="BG122" i="5" s="1"/>
  <c r="AQ169" i="5"/>
  <c r="BB274" i="5"/>
  <c r="B274" i="5" s="1" a="1"/>
  <c r="B274" i="5" s="1"/>
  <c r="BB270" i="5"/>
  <c r="B270" i="5" s="1" a="1"/>
  <c r="B270" i="5" s="1"/>
  <c r="BA175" i="5"/>
  <c r="BB170" i="5"/>
  <c r="B170" i="5" s="1" a="1"/>
  <c r="B170" i="5" s="1"/>
  <c r="BA171" i="5"/>
  <c r="BA117" i="5"/>
  <c r="BA217" i="5"/>
  <c r="BB211" i="5"/>
  <c r="B211" i="5" s="1" a="1"/>
  <c r="B211" i="5" s="1"/>
  <c r="AN240" i="5" a="1"/>
  <c r="AN240" i="5" s="1"/>
  <c r="AO240" i="5" s="1" a="1"/>
  <c r="AO240" i="5" s="1"/>
  <c r="AP240" i="5" s="1"/>
  <c r="AN188" i="5" a="1"/>
  <c r="AN188" i="5" s="1"/>
  <c r="AO188" i="5" s="1" a="1"/>
  <c r="AO188" i="5" s="1"/>
  <c r="AP188" i="5" s="1"/>
  <c r="BB231" i="5"/>
  <c r="B231" i="5" s="1" a="1"/>
  <c r="B231" i="5" s="1"/>
  <c r="AV102" i="5" a="1"/>
  <c r="AV102" i="5" s="1"/>
  <c r="BG102" i="5" s="1"/>
  <c r="AT133" i="5" a="1"/>
  <c r="AT133" i="5" s="1"/>
  <c r="BE133" i="5" s="1"/>
  <c r="BD133" i="5"/>
  <c r="AQ143" i="5"/>
  <c r="AN143" i="5" a="1"/>
  <c r="AN143" i="5" s="1"/>
  <c r="AO143" i="5" s="1" a="1"/>
  <c r="AO143" i="5" s="1"/>
  <c r="AP143" i="5" s="1"/>
  <c r="AN203" i="5" a="1"/>
  <c r="AN203" i="5" s="1"/>
  <c r="AO203" i="5" s="1" a="1"/>
  <c r="AO203" i="5" s="1"/>
  <c r="BB126" i="5"/>
  <c r="B126" i="5" s="1" a="1"/>
  <c r="B126" i="5" s="1"/>
  <c r="AQ110" i="5"/>
  <c r="AU110" i="5" s="1" a="1"/>
  <c r="AU110" i="5" s="1"/>
  <c r="BF110" i="5" s="1"/>
  <c r="BA166" i="5"/>
  <c r="BB78" i="5"/>
  <c r="B78" i="5" s="1" a="1"/>
  <c r="B78" i="5" s="1"/>
  <c r="AN280" i="5" a="1"/>
  <c r="AN280" i="5" s="1"/>
  <c r="AO280" i="5" s="1" a="1"/>
  <c r="AO280" i="5" s="1"/>
  <c r="AP280" i="5" s="1"/>
  <c r="BA130" i="5"/>
  <c r="AV205" i="5" a="1"/>
  <c r="AV205" i="5" s="1"/>
  <c r="BG205" i="5" s="1"/>
  <c r="AV69" i="5" a="1"/>
  <c r="AV69" i="5" s="1"/>
  <c r="BG69" i="5" s="1"/>
  <c r="AN37" i="5" a="1"/>
  <c r="AN37" i="5" s="1"/>
  <c r="AO37" i="5" s="1" a="1"/>
  <c r="AO37" i="5" s="1"/>
  <c r="AN282" i="5" a="1"/>
  <c r="AN282" i="5" s="1"/>
  <c r="AO282" i="5" s="1" a="1"/>
  <c r="AO282" i="5" s="1"/>
  <c r="AP282" i="5" s="1"/>
  <c r="AT224" i="5" a="1"/>
  <c r="AT224" i="5" s="1"/>
  <c r="BE224" i="5" s="1"/>
  <c r="BD224" i="5"/>
  <c r="AT285" i="5" a="1"/>
  <c r="AT285" i="5" s="1"/>
  <c r="BE285" i="5" s="1"/>
  <c r="BA193" i="5"/>
  <c r="AN201" i="5" a="1"/>
  <c r="AN201" i="5" s="1"/>
  <c r="AO201" i="5" s="1" a="1"/>
  <c r="AO201" i="5" s="1"/>
  <c r="AP201" i="5" s="1"/>
  <c r="BH199" i="5" a="1"/>
  <c r="BH199" i="5" s="1"/>
  <c r="AN190" i="5" a="1"/>
  <c r="AN190" i="5" s="1"/>
  <c r="AO190" i="5" s="1" a="1"/>
  <c r="AO190" i="5" s="1"/>
  <c r="AP190" i="5" s="1"/>
  <c r="AY190" i="5" s="1" a="1"/>
  <c r="AY190" i="5" s="1"/>
  <c r="AZ190" i="5" s="1"/>
  <c r="BA190" i="5" s="1"/>
  <c r="AQ88" i="5"/>
  <c r="AV201" i="5" a="1"/>
  <c r="AV201" i="5" s="1"/>
  <c r="BG201" i="5" s="1"/>
  <c r="AQ239" i="5"/>
  <c r="AQ251" i="5"/>
  <c r="BH85" i="5" a="1"/>
  <c r="BH85" i="5" s="1"/>
  <c r="AS199" i="5" a="1"/>
  <c r="AS199" i="5" s="1"/>
  <c r="AU199" i="5" a="1"/>
  <c r="AU199" i="5" s="1"/>
  <c r="BF199" i="5" s="1"/>
  <c r="AN163" i="5" a="1"/>
  <c r="AN163" i="5" s="1"/>
  <c r="AO163" i="5" s="1" a="1"/>
  <c r="AO163" i="5" s="1"/>
  <c r="AP163" i="5" s="1"/>
  <c r="BH190" i="5" a="1"/>
  <c r="BH190" i="5" s="1"/>
  <c r="AN85" i="5" a="1"/>
  <c r="AN85" i="5" s="1"/>
  <c r="AO85" i="5" s="1" a="1"/>
  <c r="AO85" i="5" s="1"/>
  <c r="AP85" i="5" s="1"/>
  <c r="BH32" i="5" a="1"/>
  <c r="BH32" i="5" s="1"/>
  <c r="AN32" i="5" a="1"/>
  <c r="AN32" i="5" s="1"/>
  <c r="AO32" i="5" s="1" a="1"/>
  <c r="AO32" i="5" s="1"/>
  <c r="AP32" i="5" s="1"/>
  <c r="AV32" i="5" a="1"/>
  <c r="AV32" i="5" s="1"/>
  <c r="BG32" i="5" s="1"/>
  <c r="BA277" i="5"/>
  <c r="AV163" i="5" a="1"/>
  <c r="AV163" i="5" s="1"/>
  <c r="BG163" i="5" s="1"/>
  <c r="AN236" i="5" a="1"/>
  <c r="AN236" i="5" s="1"/>
  <c r="AO236" i="5" s="1" a="1"/>
  <c r="AO236" i="5" s="1"/>
  <c r="AP236" i="5" s="1"/>
  <c r="AV68" i="5" a="1"/>
  <c r="AV68" i="5" s="1"/>
  <c r="BG68" i="5" s="1"/>
  <c r="AN199" i="5" a="1"/>
  <c r="AN199" i="5" s="1"/>
  <c r="AO199" i="5" s="1" a="1"/>
  <c r="AO199" i="5" s="1"/>
  <c r="AQ147" i="5"/>
  <c r="AU235" i="5" a="1"/>
  <c r="AU235" i="5" s="1"/>
  <c r="BF235" i="5" s="1"/>
  <c r="AS235" i="5" a="1"/>
  <c r="AS235" i="5" s="1"/>
  <c r="AV223" i="5" a="1"/>
  <c r="AV223" i="5" s="1"/>
  <c r="BG223" i="5" s="1"/>
  <c r="AQ37" i="5"/>
  <c r="AQ205" i="5"/>
  <c r="AQ203" i="5"/>
  <c r="AQ263" i="5"/>
  <c r="AT79" i="5" a="1"/>
  <c r="AT79" i="5" s="1"/>
  <c r="BE79" i="5" s="1"/>
  <c r="BD79" i="5"/>
  <c r="AS278" i="5" a="1"/>
  <c r="AS278" i="5" s="1"/>
  <c r="AU278" i="5" a="1"/>
  <c r="AU278" i="5" s="1"/>
  <c r="BF278" i="5" s="1"/>
  <c r="BD75" i="5"/>
  <c r="AT75" i="5" a="1"/>
  <c r="AT75" i="5" s="1"/>
  <c r="AU261" i="5" a="1"/>
  <c r="AU261" i="5" s="1"/>
  <c r="BF261" i="5" s="1"/>
  <c r="AS261" i="5" a="1"/>
  <c r="AS261" i="5" s="1"/>
  <c r="BH187" i="5" a="1"/>
  <c r="BH187" i="5" s="1"/>
  <c r="AV187" i="5" a="1"/>
  <c r="AV187" i="5" s="1"/>
  <c r="BG187" i="5" s="1"/>
  <c r="AN187" i="5" a="1"/>
  <c r="AN187" i="5" s="1"/>
  <c r="AO187" i="5" s="1" a="1"/>
  <c r="AO187" i="5" s="1"/>
  <c r="AF289" i="5" a="1"/>
  <c r="AF289" i="5" s="1"/>
  <c r="AG289" i="5" s="1" a="1"/>
  <c r="AG289" i="5" s="1"/>
  <c r="AH289" i="5" s="1"/>
  <c r="AM289" i="5" s="1"/>
  <c r="AN121" i="5" a="1"/>
  <c r="AN121" i="5" s="1"/>
  <c r="AO121" i="5" s="1" a="1"/>
  <c r="AO121" i="5" s="1"/>
  <c r="AP121" i="5" s="1"/>
  <c r="AV121" i="5" a="1"/>
  <c r="AV121" i="5" s="1"/>
  <c r="BG121" i="5" s="1"/>
  <c r="BH121" i="5" a="1"/>
  <c r="BH121" i="5" s="1"/>
  <c r="AQ222" i="5"/>
  <c r="AQ262" i="5"/>
  <c r="AQ276" i="5"/>
  <c r="BH262" i="5" a="1"/>
  <c r="BH262" i="5" s="1"/>
  <c r="AN262" i="5" a="1"/>
  <c r="AN262" i="5" s="1"/>
  <c r="AO262" i="5" s="1" a="1"/>
  <c r="AO262" i="5" s="1"/>
  <c r="AP262" i="5" s="1"/>
  <c r="AV262" i="5" a="1"/>
  <c r="AV262" i="5" s="1"/>
  <c r="BG262" i="5" s="1"/>
  <c r="BB192" i="5"/>
  <c r="B192" i="5" s="1" a="1"/>
  <c r="B192" i="5" s="1"/>
  <c r="AN35" i="5" a="1"/>
  <c r="AN35" i="5" s="1"/>
  <c r="AO35" i="5" s="1" a="1"/>
  <c r="AO35" i="5" s="1"/>
  <c r="AP35" i="5" s="1"/>
  <c r="AU201" i="5" a="1"/>
  <c r="AU201" i="5" s="1"/>
  <c r="BF201" i="5" s="1"/>
  <c r="AS201" i="5" a="1"/>
  <c r="AS201" i="5" s="1"/>
  <c r="AS200" i="5" a="1"/>
  <c r="AS200" i="5" s="1"/>
  <c r="AU200" i="5" a="1"/>
  <c r="AU200" i="5" s="1"/>
  <c r="BF200" i="5" s="1"/>
  <c r="AQ219" i="5"/>
  <c r="BH219" i="5" a="1"/>
  <c r="BH219" i="5" s="1"/>
  <c r="AV219" i="5" a="1"/>
  <c r="AV219" i="5" s="1"/>
  <c r="BG219" i="5" s="1"/>
  <c r="AN219" i="5" a="1"/>
  <c r="AN219" i="5" s="1"/>
  <c r="AO219" i="5" s="1" a="1"/>
  <c r="AO219" i="5" s="1"/>
  <c r="AQ70" i="5"/>
  <c r="BA150" i="5"/>
  <c r="AV236" i="5" a="1"/>
  <c r="AV236" i="5" s="1"/>
  <c r="BG236" i="5" s="1"/>
  <c r="BH97" i="5" a="1"/>
  <c r="BH97" i="5" s="1"/>
  <c r="BD97" i="5"/>
  <c r="AS197" i="5" a="1"/>
  <c r="AS197" i="5" s="1"/>
  <c r="AU197" i="5" a="1"/>
  <c r="AU197" i="5" s="1"/>
  <c r="BF197" i="5" s="1"/>
  <c r="BH139" i="5" a="1"/>
  <c r="BH139" i="5" s="1"/>
  <c r="AV139" i="5" a="1"/>
  <c r="AV139" i="5" s="1"/>
  <c r="BG139" i="5" s="1"/>
  <c r="AY286" i="5" a="1"/>
  <c r="AY286" i="5" s="1"/>
  <c r="AZ286" i="5" s="1"/>
  <c r="BA286" i="5" s="1"/>
  <c r="AF213" i="5" a="1"/>
  <c r="AF213" i="5" s="1"/>
  <c r="AG213" i="5" s="1" a="1"/>
  <c r="AG213" i="5" s="1"/>
  <c r="AH213" i="5" s="1"/>
  <c r="AM213" i="5" s="1"/>
  <c r="AU101" i="5" a="1"/>
  <c r="AU101" i="5" s="1"/>
  <c r="BF101" i="5" s="1"/>
  <c r="AS101" i="5" a="1"/>
  <c r="AS101" i="5" s="1"/>
  <c r="AU85" i="5" a="1"/>
  <c r="AU85" i="5" s="1"/>
  <c r="BF85" i="5" s="1"/>
  <c r="AS85" i="5" a="1"/>
  <c r="AS85" i="5" s="1"/>
  <c r="AQ113" i="5"/>
  <c r="AV113" i="5" a="1"/>
  <c r="AV113" i="5" s="1"/>
  <c r="BG113" i="5" s="1"/>
  <c r="AN113" i="5" a="1"/>
  <c r="AN113" i="5" s="1"/>
  <c r="AO113" i="5" s="1" a="1"/>
  <c r="AO113" i="5" s="1"/>
  <c r="AP113" i="5" s="1"/>
  <c r="BH113" i="5" a="1"/>
  <c r="BH113" i="5" s="1"/>
  <c r="AQ76" i="5"/>
  <c r="BA177" i="5"/>
  <c r="AU97" i="5" a="1"/>
  <c r="AU97" i="5" s="1"/>
  <c r="BF97" i="5" s="1"/>
  <c r="AU165" i="5" a="1"/>
  <c r="AU165" i="5" s="1"/>
  <c r="BF165" i="5" s="1"/>
  <c r="AS165" i="5" a="1"/>
  <c r="AS165" i="5" s="1"/>
  <c r="AQ240" i="5"/>
  <c r="AF191" i="5" a="1"/>
  <c r="AF191" i="5" s="1"/>
  <c r="AG191" i="5" s="1" a="1"/>
  <c r="AG191" i="5" s="1"/>
  <c r="AH191" i="5" s="1"/>
  <c r="AM191" i="5" s="1"/>
  <c r="AV63" i="5" a="1"/>
  <c r="AV63" i="5" s="1"/>
  <c r="BG63" i="5" s="1"/>
  <c r="BA38" i="5"/>
  <c r="BH163" i="5" a="1"/>
  <c r="BH163" i="5" s="1"/>
  <c r="AQ291" i="5"/>
  <c r="AU291" i="5" s="1" a="1"/>
  <c r="AU291" i="5" s="1"/>
  <c r="BF291" i="5" s="1"/>
  <c r="AQ292" i="5"/>
  <c r="BH292" i="5" a="1"/>
  <c r="BH292" i="5" s="1"/>
  <c r="AN292" i="5" a="1"/>
  <c r="AN292" i="5" s="1"/>
  <c r="AO292" i="5" s="1" a="1"/>
  <c r="AO292" i="5" s="1"/>
  <c r="AP292" i="5" s="1"/>
  <c r="AV292" i="5" a="1"/>
  <c r="AV292" i="5" s="1"/>
  <c r="BG292" i="5" s="1"/>
  <c r="AV247" i="5" a="1"/>
  <c r="AV247" i="5" s="1"/>
  <c r="BG247" i="5" s="1"/>
  <c r="AN46" i="5" a="1"/>
  <c r="AN46" i="5" s="1"/>
  <c r="AO46" i="5" s="1" a="1"/>
  <c r="AO46" i="5" s="1"/>
  <c r="AP46" i="5" s="1"/>
  <c r="BB127" i="5"/>
  <c r="B127" i="5" s="1" a="1"/>
  <c r="B127" i="5" s="1"/>
  <c r="AT244" i="5" a="1"/>
  <c r="AT244" i="5" s="1"/>
  <c r="BE244" i="5" s="1"/>
  <c r="BD244" i="5"/>
  <c r="BA216" i="5"/>
  <c r="BA184" i="5"/>
  <c r="BB284" i="5"/>
  <c r="B284" i="5" s="1" a="1"/>
  <c r="B284" i="5" s="1"/>
  <c r="AV110" i="5" a="1"/>
  <c r="AV110" i="5" s="1"/>
  <c r="BG110" i="5" s="1"/>
  <c r="BH46" i="5" a="1"/>
  <c r="BH46" i="5" s="1"/>
  <c r="BH293" i="5" a="1"/>
  <c r="BH293" i="5" s="1"/>
  <c r="AY132" i="5" a="1"/>
  <c r="AY132" i="5" s="1"/>
  <c r="AZ132" i="5" s="1"/>
  <c r="AQ280" i="5"/>
  <c r="AU280" i="5" s="1" a="1"/>
  <c r="AU280" i="5" s="1"/>
  <c r="BF280" i="5" s="1"/>
  <c r="BA159" i="5"/>
  <c r="BB257" i="5"/>
  <c r="B257" i="5" s="1" a="1"/>
  <c r="B257" i="5" s="1"/>
  <c r="AY104" i="5" a="1"/>
  <c r="AY104" i="5" s="1"/>
  <c r="AZ104" i="5" s="1"/>
  <c r="BB104" i="5" s="1"/>
  <c r="B104" i="5" s="1" a="1"/>
  <c r="B104" i="5" s="1"/>
  <c r="AS221" i="5" a="1"/>
  <c r="AS221" i="5" s="1"/>
  <c r="AU221" i="5" a="1"/>
  <c r="AU221" i="5" s="1"/>
  <c r="BF221" i="5" s="1"/>
  <c r="AS266" i="5" a="1"/>
  <c r="AS266" i="5" s="1"/>
  <c r="AU266" i="5" a="1"/>
  <c r="AU266" i="5" s="1"/>
  <c r="BF266" i="5" s="1"/>
  <c r="AQ35" i="5"/>
  <c r="BA256" i="5"/>
  <c r="BB256" i="5"/>
  <c r="B256" i="5" s="1" a="1"/>
  <c r="B256" i="5" s="1"/>
  <c r="BB58" i="5"/>
  <c r="B58" i="5" s="1" a="1"/>
  <c r="B58" i="5" s="1"/>
  <c r="AT95" i="5" a="1"/>
  <c r="AT95" i="5" s="1"/>
  <c r="BE95" i="5" s="1"/>
  <c r="BD95" i="5"/>
  <c r="AQ196" i="5"/>
  <c r="BH196" i="5" a="1"/>
  <c r="BH196" i="5" s="1"/>
  <c r="AN196" i="5" a="1"/>
  <c r="AN196" i="5" s="1"/>
  <c r="AO196" i="5" s="1" a="1"/>
  <c r="AO196" i="5" s="1"/>
  <c r="AP196" i="5" s="1"/>
  <c r="AV196" i="5" a="1"/>
  <c r="AV196" i="5" s="1"/>
  <c r="BG196" i="5" s="1"/>
  <c r="BB146" i="5"/>
  <c r="B146" i="5" s="1" a="1"/>
  <c r="B146" i="5" s="1"/>
  <c r="BB174" i="5"/>
  <c r="B174" i="5" s="1" a="1"/>
  <c r="B174" i="5" s="1"/>
  <c r="BA89" i="5"/>
  <c r="BB93" i="5"/>
  <c r="B93" i="5" s="1" a="1"/>
  <c r="B93" i="5" s="1"/>
  <c r="G2" i="8"/>
  <c r="BA49" i="5"/>
  <c r="AS56" i="5" a="1"/>
  <c r="AS56" i="5" s="1"/>
  <c r="AU56" i="5" a="1"/>
  <c r="AU56" i="5" s="1"/>
  <c r="BF56" i="5" s="1"/>
  <c r="AU220" i="5" a="1"/>
  <c r="AU220" i="5" s="1"/>
  <c r="BF220" i="5" s="1"/>
  <c r="AS220" i="5" a="1"/>
  <c r="AS220" i="5" s="1"/>
  <c r="AN68" i="5" a="1"/>
  <c r="AN68" i="5" s="1"/>
  <c r="AO68" i="5" s="1" a="1"/>
  <c r="AO68" i="5" s="1"/>
  <c r="AP68" i="5" s="1"/>
  <c r="BH68" i="5" a="1"/>
  <c r="BH68" i="5" s="1"/>
  <c r="AV119" i="5" a="1"/>
  <c r="AV119" i="5" s="1"/>
  <c r="BG119" i="5" s="1"/>
  <c r="AN119" i="5" a="1"/>
  <c r="AN119" i="5" s="1"/>
  <c r="AO119" i="5" s="1" a="1"/>
  <c r="AO119" i="5" s="1"/>
  <c r="AP119" i="5" s="1"/>
  <c r="BH119" i="5" a="1"/>
  <c r="BH119" i="5" s="1"/>
  <c r="AQ124" i="5"/>
  <c r="AQ160" i="5"/>
  <c r="AQ125" i="5"/>
  <c r="AQ71" i="5"/>
  <c r="AS71" i="5" s="1" a="1"/>
  <c r="AS71" i="5" s="1"/>
  <c r="BH63" i="5" a="1"/>
  <c r="BH63" i="5" s="1"/>
  <c r="AT198" i="5" a="1"/>
  <c r="AT198" i="5" s="1"/>
  <c r="BD198" i="5"/>
  <c r="BA106" i="5"/>
  <c r="BH280" i="5" a="1"/>
  <c r="BH280" i="5" s="1"/>
  <c r="BH237" i="5" a="1"/>
  <c r="BH237" i="5" s="1"/>
  <c r="AQ69" i="5"/>
  <c r="AY283" i="5" a="1"/>
  <c r="AY283" i="5" s="1"/>
  <c r="AZ283" i="5" s="1"/>
  <c r="AQ91" i="5"/>
  <c r="AS91" i="5" s="1" a="1"/>
  <c r="AS91" i="5" s="1"/>
  <c r="AQ83" i="5"/>
  <c r="AV83" i="5" a="1"/>
  <c r="AV83" i="5" s="1"/>
  <c r="BG83" i="5" s="1"/>
  <c r="AN83" i="5" a="1"/>
  <c r="AN83" i="5" s="1"/>
  <c r="AO83" i="5" s="1" a="1"/>
  <c r="AO83" i="5" s="1"/>
  <c r="AP83" i="5" s="1"/>
  <c r="BH83" i="5" a="1"/>
  <c r="BH83" i="5" s="1"/>
  <c r="AT87" i="5" a="1"/>
  <c r="AT87" i="5" s="1"/>
  <c r="BE87" i="5" s="1"/>
  <c r="BD87" i="5"/>
  <c r="BA115" i="5"/>
  <c r="BH42" i="5" a="1"/>
  <c r="BH42" i="5" s="1"/>
  <c r="AS46" i="5" a="1"/>
  <c r="AS46" i="5" s="1"/>
  <c r="AU46" i="5" a="1"/>
  <c r="AU46" i="5" s="1"/>
  <c r="BF46" i="5" s="1"/>
  <c r="AY103" i="5" a="1"/>
  <c r="AY103" i="5" s="1"/>
  <c r="AZ103" i="5" s="1"/>
  <c r="BB275" i="5"/>
  <c r="B275" i="5" s="1" a="1"/>
  <c r="B275" i="5" s="1"/>
  <c r="AV234" i="5" a="1"/>
  <c r="AV234" i="5" s="1"/>
  <c r="BG234" i="5" s="1"/>
  <c r="AY271" i="5" a="1"/>
  <c r="AY271" i="5" s="1"/>
  <c r="AZ271" i="5" s="1"/>
  <c r="AN234" i="5" a="1"/>
  <c r="AN234" i="5" s="1"/>
  <c r="AO234" i="5" s="1" a="1"/>
  <c r="AO234" i="5" s="1"/>
  <c r="AP234" i="5" s="1"/>
  <c r="AQ152" i="5"/>
  <c r="BH234" i="5" a="1"/>
  <c r="BH234" i="5" s="1"/>
  <c r="AP162" i="5"/>
  <c r="AT136" i="5" a="1"/>
  <c r="AT136" i="5" s="1"/>
  <c r="BD136" i="5"/>
  <c r="AY260" i="5" a="1"/>
  <c r="AY260" i="5" s="1"/>
  <c r="AZ260" i="5" s="1"/>
  <c r="AU236" i="5" a="1"/>
  <c r="AU236" i="5" s="1"/>
  <c r="BF236" i="5" s="1"/>
  <c r="AS236" i="5" a="1"/>
  <c r="AS236" i="5" s="1"/>
  <c r="AN63" i="5" a="1"/>
  <c r="AN63" i="5" s="1"/>
  <c r="AO63" i="5" s="1" a="1"/>
  <c r="AO63" i="5" s="1"/>
  <c r="AP63" i="5" s="1"/>
  <c r="AY131" i="5" a="1"/>
  <c r="AY131" i="5" s="1"/>
  <c r="AZ131" i="5" s="1"/>
  <c r="AQ238" i="5"/>
  <c r="AT108" i="5" a="1"/>
  <c r="AT108" i="5" s="1"/>
  <c r="BD108" i="5"/>
  <c r="AS279" i="5" a="1"/>
  <c r="AS279" i="5" s="1"/>
  <c r="AU279" i="5" a="1"/>
  <c r="AU279" i="5" s="1"/>
  <c r="BF279" i="5" s="1"/>
  <c r="AQ43" i="5"/>
  <c r="BH43" i="5" a="1"/>
  <c r="BH43" i="5" s="1"/>
  <c r="AN43" i="5" a="1"/>
  <c r="AN43" i="5" s="1"/>
  <c r="AO43" i="5" s="1" a="1"/>
  <c r="AO43" i="5" s="1"/>
  <c r="AP43" i="5" s="1"/>
  <c r="AV43" i="5" a="1"/>
  <c r="AV43" i="5" s="1"/>
  <c r="BG43" i="5" s="1"/>
  <c r="BE158" i="5"/>
  <c r="AY158" i="5" a="1"/>
  <c r="AY158" i="5" s="1"/>
  <c r="AZ158" i="5" s="1"/>
  <c r="AQ151" i="5"/>
  <c r="AN151" i="5" a="1"/>
  <c r="AN151" i="5" s="1"/>
  <c r="AO151" i="5" s="1" a="1"/>
  <c r="AO151" i="5" s="1"/>
  <c r="AP151" i="5" s="1"/>
  <c r="AV151" i="5" a="1"/>
  <c r="AV151" i="5" s="1"/>
  <c r="BG151" i="5" s="1"/>
  <c r="BH151" i="5" a="1"/>
  <c r="BH151" i="5" s="1"/>
  <c r="AT161" i="5" a="1"/>
  <c r="AT161" i="5" s="1"/>
  <c r="BE161" i="5" s="1"/>
  <c r="BD161" i="5"/>
  <c r="AU232" i="5" a="1"/>
  <c r="AU232" i="5" s="1"/>
  <c r="BF232" i="5" s="1"/>
  <c r="AS232" i="5" a="1"/>
  <c r="AS232" i="5" s="1"/>
  <c r="AP139" i="5"/>
  <c r="AY137" i="5" a="1"/>
  <c r="AY137" i="5" s="1"/>
  <c r="AZ137" i="5" s="1"/>
  <c r="AQ215" i="5"/>
  <c r="BH215" i="5" a="1"/>
  <c r="BH215" i="5" s="1"/>
  <c r="AN215" i="5" a="1"/>
  <c r="AN215" i="5" s="1"/>
  <c r="AO215" i="5" s="1" a="1"/>
  <c r="AO215" i="5" s="1"/>
  <c r="AP215" i="5" s="1"/>
  <c r="AV215" i="5" a="1"/>
  <c r="AV215" i="5" s="1"/>
  <c r="BG215" i="5" s="1"/>
  <c r="AS234" i="5" a="1"/>
  <c r="AS234" i="5" s="1"/>
  <c r="AU234" i="5" a="1"/>
  <c r="AU234" i="5" s="1"/>
  <c r="BF234" i="5" s="1"/>
  <c r="AP247" i="5"/>
  <c r="AQ273" i="5"/>
  <c r="AV273" i="5" a="1"/>
  <c r="AV273" i="5" s="1"/>
  <c r="BG273" i="5" s="1"/>
  <c r="BH273" i="5" a="1"/>
  <c r="BH273" i="5" s="1"/>
  <c r="AN273" i="5" a="1"/>
  <c r="AN273" i="5" s="1"/>
  <c r="AO273" i="5" s="1" a="1"/>
  <c r="AO273" i="5" s="1"/>
  <c r="AP273" i="5" s="1"/>
  <c r="AU163" i="5" a="1"/>
  <c r="AU163" i="5" s="1"/>
  <c r="BF163" i="5" s="1"/>
  <c r="AS163" i="5" a="1"/>
  <c r="AS163" i="5" s="1"/>
  <c r="BE55" i="5"/>
  <c r="AY55" i="5" a="1"/>
  <c r="AY55" i="5" s="1"/>
  <c r="AZ55" i="5" s="1"/>
  <c r="BE80" i="5"/>
  <c r="BE242" i="5"/>
  <c r="AY242" i="5" a="1"/>
  <c r="AY242" i="5" s="1"/>
  <c r="AZ242" i="5" s="1"/>
  <c r="AY182" i="5" a="1"/>
  <c r="AY182" i="5" s="1"/>
  <c r="AZ182" i="5" s="1"/>
  <c r="AY181" i="5" a="1"/>
  <c r="AY181" i="5" s="1"/>
  <c r="AZ181" i="5" s="1"/>
  <c r="BE233" i="5"/>
  <c r="AY233" i="5" a="1"/>
  <c r="AY233" i="5" s="1"/>
  <c r="AZ233" i="5" s="1"/>
  <c r="BA9" i="5"/>
  <c r="BB9" i="5"/>
  <c r="B9" i="5" s="1" a="1"/>
  <c r="B9" i="5" s="1"/>
  <c r="AP29" i="5"/>
  <c r="AY18" i="5" a="1"/>
  <c r="AY18" i="5" s="1"/>
  <c r="AZ18" i="5" s="1"/>
  <c r="AN13" i="5" a="1"/>
  <c r="AN13" i="5" s="1"/>
  <c r="AO13" i="5" s="1" a="1"/>
  <c r="AO13" i="5" s="1"/>
  <c r="AY10" i="5" a="1"/>
  <c r="AY10" i="5" s="1"/>
  <c r="AZ10" i="5" s="1"/>
  <c r="AP7" i="5"/>
  <c r="AY7" i="5" s="1" a="1"/>
  <c r="AY7" i="5" s="1"/>
  <c r="AU27" i="5" a="1"/>
  <c r="AU27" i="5" s="1"/>
  <c r="BF27" i="5" s="1"/>
  <c r="AY30" i="5" a="1"/>
  <c r="AY30" i="5" s="1"/>
  <c r="AZ30" i="5" s="1"/>
  <c r="AZ28" i="5"/>
  <c r="AY26" i="5" a="1"/>
  <c r="AY26" i="5" s="1"/>
  <c r="AZ26" i="5" s="1"/>
  <c r="AV13" i="5" a="1"/>
  <c r="AV13" i="5" s="1"/>
  <c r="BG13" i="5" s="1"/>
  <c r="BH13" i="5" a="1"/>
  <c r="BH13" i="5" s="1"/>
  <c r="AT27" i="5" a="1"/>
  <c r="AT27" i="5" s="1"/>
  <c r="BD27" i="5"/>
  <c r="AP8" i="5"/>
  <c r="AY8" i="5" s="1" a="1"/>
  <c r="AY8" i="5" s="1"/>
  <c r="AZ8" i="5" s="1"/>
  <c r="AP11" i="5"/>
  <c r="AP17" i="5"/>
  <c r="AN19" i="5" a="1"/>
  <c r="AN19" i="5" s="1"/>
  <c r="AO19" i="5" s="1" a="1"/>
  <c r="AO19" i="5" s="1"/>
  <c r="AV19" i="5" a="1"/>
  <c r="AV19" i="5" s="1"/>
  <c r="BG19" i="5" s="1"/>
  <c r="BH19" i="5" a="1"/>
  <c r="BH19" i="5" s="1"/>
  <c r="AP23" i="5"/>
  <c r="AP22" i="5"/>
  <c r="AP12" i="5"/>
  <c r="AY12" i="5" s="1" a="1"/>
  <c r="AY12" i="5" s="1"/>
  <c r="AZ12" i="5" s="1"/>
  <c r="AP24" i="5"/>
  <c r="AP31" i="5"/>
  <c r="AY31" i="5" s="1" a="1"/>
  <c r="AY31" i="5" s="1"/>
  <c r="AZ31" i="5" s="1"/>
  <c r="AF16" i="5" a="1"/>
  <c r="AF16" i="5" s="1"/>
  <c r="AG16" i="5" s="1" a="1"/>
  <c r="AG16" i="5" s="1"/>
  <c r="AH16" i="5" s="1"/>
  <c r="AM16" i="5" s="1"/>
  <c r="BB52" i="5" l="1"/>
  <c r="B52" i="5" s="1" a="1"/>
  <c r="B52" i="5" s="1"/>
  <c r="BB206" i="5"/>
  <c r="B206" i="5" s="1" a="1"/>
  <c r="B206" i="5" s="1"/>
  <c r="BH91" i="5" a="1"/>
  <c r="BH91" i="5" s="1"/>
  <c r="AY120" i="5" a="1"/>
  <c r="AY120" i="5" s="1"/>
  <c r="AZ120" i="5" s="1"/>
  <c r="BB134" i="5"/>
  <c r="B134" i="5" s="1" a="1"/>
  <c r="B134" i="5" s="1"/>
  <c r="AN91" i="5" a="1"/>
  <c r="AN91" i="5" s="1"/>
  <c r="AO91" i="5" s="1" a="1"/>
  <c r="AO91" i="5" s="1"/>
  <c r="AP91" i="5" s="1"/>
  <c r="AQ98" i="5"/>
  <c r="BH98" i="5" a="1"/>
  <c r="BH98" i="5" s="1"/>
  <c r="AV98" i="5" a="1"/>
  <c r="AV98" i="5" s="1"/>
  <c r="BG98" i="5" s="1"/>
  <c r="AN98" i="5" a="1"/>
  <c r="AN98" i="5" s="1"/>
  <c r="AO98" i="5" s="1" a="1"/>
  <c r="AO98" i="5" s="1"/>
  <c r="BB144" i="5"/>
  <c r="B144" i="5" s="1" a="1"/>
  <c r="B144" i="5" s="1"/>
  <c r="AY212" i="5" a="1"/>
  <c r="AY212" i="5" s="1"/>
  <c r="AZ212" i="5" s="1"/>
  <c r="BB212" i="5" s="1"/>
  <c r="B212" i="5" s="1" a="1"/>
  <c r="B212" i="5" s="1"/>
  <c r="AQ111" i="5"/>
  <c r="AU111" i="5" s="1" a="1"/>
  <c r="AU111" i="5" s="1"/>
  <c r="BF111" i="5" s="1"/>
  <c r="AY179" i="5" a="1"/>
  <c r="AY179" i="5" s="1"/>
  <c r="AZ179" i="5" s="1"/>
  <c r="BA179" i="5" s="1"/>
  <c r="AQ269" i="5"/>
  <c r="AS269" i="5" s="1" a="1"/>
  <c r="AS269" i="5" s="1"/>
  <c r="BH80" i="5" a="1"/>
  <c r="BH80" i="5" s="1"/>
  <c r="AQ86" i="5"/>
  <c r="AS86" i="5" s="1" a="1"/>
  <c r="AS86" i="5" s="1"/>
  <c r="AS162" i="5" a="1"/>
  <c r="AS162" i="5" s="1"/>
  <c r="AT162" i="5" s="1" a="1"/>
  <c r="AT162" i="5" s="1"/>
  <c r="AQ155" i="5"/>
  <c r="AN269" i="5" a="1"/>
  <c r="AN269" i="5" s="1"/>
  <c r="AO269" i="5" s="1" a="1"/>
  <c r="AO269" i="5" s="1"/>
  <c r="AP269" i="5" s="1"/>
  <c r="BA57" i="5"/>
  <c r="AV269" i="5" a="1"/>
  <c r="AV269" i="5" s="1"/>
  <c r="BG269" i="5" s="1"/>
  <c r="AT246" i="5" a="1"/>
  <c r="AT246" i="5" s="1"/>
  <c r="BE246" i="5" s="1"/>
  <c r="AG90" i="5" a="1"/>
  <c r="AG90" i="5" s="1"/>
  <c r="AH90" i="5" s="1"/>
  <c r="AM90" i="5" s="1"/>
  <c r="AG84" i="5" a="1"/>
  <c r="AG84" i="5" s="1"/>
  <c r="AH84" i="5" s="1"/>
  <c r="AM84" i="5" s="1"/>
  <c r="AG82" i="5" a="1"/>
  <c r="AG82" i="5" s="1"/>
  <c r="AH82" i="5" s="1"/>
  <c r="AM82" i="5" s="1"/>
  <c r="BH287" i="5" a="1"/>
  <c r="BH287" i="5" s="1"/>
  <c r="BD267" i="5"/>
  <c r="AU250" i="5" a="1"/>
  <c r="AU250" i="5" s="1"/>
  <c r="BF250" i="5" s="1"/>
  <c r="AG64" i="5" a="1"/>
  <c r="AG64" i="5" s="1"/>
  <c r="AH64" i="5" s="1"/>
  <c r="AM64" i="5" s="1"/>
  <c r="AF67" i="5" a="1"/>
  <c r="AF67" i="5" s="1"/>
  <c r="AF74" i="5" s="1" a="1"/>
  <c r="AF74" i="5" s="1"/>
  <c r="AF77" i="5" s="1" a="1"/>
  <c r="AF77" i="5" s="1"/>
  <c r="AF263" i="5" a="1"/>
  <c r="AF263" i="5" s="1"/>
  <c r="AG263" i="5" s="1" a="1"/>
  <c r="AG263" i="5" s="1"/>
  <c r="AH263" i="5" s="1"/>
  <c r="AM263" i="5" s="1"/>
  <c r="AY267" i="5" a="1"/>
  <c r="AY267" i="5" s="1"/>
  <c r="AZ267" i="5" s="1"/>
  <c r="BA267" i="5" s="1"/>
  <c r="AQ48" i="5"/>
  <c r="AN48" i="5" a="1"/>
  <c r="AN48" i="5" s="1"/>
  <c r="AO48" i="5" s="1" a="1"/>
  <c r="AO48" i="5" s="1"/>
  <c r="AV48" i="5" a="1"/>
  <c r="AV48" i="5" s="1"/>
  <c r="BG48" i="5" s="1"/>
  <c r="BH48" i="5" a="1"/>
  <c r="BH48" i="5" s="1"/>
  <c r="AG39" i="5" a="1"/>
  <c r="AG39" i="5" s="1"/>
  <c r="AH39" i="5" s="1"/>
  <c r="AM39" i="5" s="1"/>
  <c r="AF41" i="5" a="1"/>
  <c r="AF41" i="5" s="1"/>
  <c r="AY96" i="5" a="1"/>
  <c r="AY96" i="5" s="1"/>
  <c r="AZ96" i="5" s="1"/>
  <c r="BA96" i="5" s="1"/>
  <c r="BA94" i="5"/>
  <c r="AY99" i="5" a="1"/>
  <c r="AY99" i="5" s="1"/>
  <c r="AZ99" i="5" s="1"/>
  <c r="BB99" i="5" s="1"/>
  <c r="B99" i="5" s="1" a="1"/>
  <c r="B99" i="5" s="1"/>
  <c r="AV168" i="5" a="1"/>
  <c r="AV168" i="5" s="1"/>
  <c r="BG168" i="5" s="1"/>
  <c r="BH168" i="5" a="1"/>
  <c r="BH168" i="5" s="1"/>
  <c r="AQ168" i="5"/>
  <c r="AU168" i="5" s="1" a="1"/>
  <c r="AU168" i="5" s="1"/>
  <c r="BF168" i="5" s="1"/>
  <c r="BA207" i="5"/>
  <c r="AY180" i="5" a="1"/>
  <c r="AY180" i="5" s="1"/>
  <c r="AZ180" i="5" s="1"/>
  <c r="BA180" i="5" s="1"/>
  <c r="AY173" i="5" a="1"/>
  <c r="AY173" i="5" s="1"/>
  <c r="AZ173" i="5" s="1"/>
  <c r="BB173" i="5" s="1"/>
  <c r="B173" i="5" s="1" a="1"/>
  <c r="B173" i="5" s="1"/>
  <c r="BB47" i="5"/>
  <c r="B47" i="5" s="1" a="1"/>
  <c r="B47" i="5" s="1"/>
  <c r="AN287" i="5" a="1"/>
  <c r="AN287" i="5" s="1"/>
  <c r="AO287" i="5" s="1" a="1"/>
  <c r="AO287" i="5" s="1"/>
  <c r="AP287" i="5" s="1"/>
  <c r="AV259" i="5" a="1"/>
  <c r="AV259" i="5" s="1"/>
  <c r="BG259" i="5" s="1"/>
  <c r="BH259" i="5" a="1"/>
  <c r="BH259" i="5" s="1"/>
  <c r="AN259" i="5" a="1"/>
  <c r="AN259" i="5" s="1"/>
  <c r="AO259" i="5" s="1" a="1"/>
  <c r="AO259" i="5" s="1"/>
  <c r="AP259" i="5" s="1"/>
  <c r="AN169" i="5" a="1"/>
  <c r="AN169" i="5" s="1"/>
  <c r="AO169" i="5" s="1" a="1"/>
  <c r="AO169" i="5" s="1"/>
  <c r="AP169" i="5" s="1"/>
  <c r="AT148" i="5" a="1"/>
  <c r="AT148" i="5" s="1"/>
  <c r="BE148" i="5" s="1"/>
  <c r="BH164" i="5" a="1"/>
  <c r="BH164" i="5" s="1"/>
  <c r="BB243" i="5"/>
  <c r="B243" i="5" s="1" a="1"/>
  <c r="B243" i="5" s="1"/>
  <c r="BB209" i="5"/>
  <c r="B209" i="5" s="1" a="1"/>
  <c r="B209" i="5" s="1"/>
  <c r="AQ149" i="5"/>
  <c r="AU149" i="5" s="1" a="1"/>
  <c r="AU149" i="5" s="1"/>
  <c r="BF149" i="5" s="1"/>
  <c r="AQ245" i="5"/>
  <c r="AU245" i="5" s="1" a="1"/>
  <c r="AU245" i="5" s="1"/>
  <c r="BF245" i="5" s="1"/>
  <c r="BB178" i="5"/>
  <c r="B178" i="5" s="1" a="1"/>
  <c r="B178" i="5" s="1"/>
  <c r="BA208" i="5"/>
  <c r="AQ164" i="5"/>
  <c r="AV164" i="5" a="1"/>
  <c r="AV164" i="5" s="1"/>
  <c r="BG164" i="5" s="1"/>
  <c r="BA218" i="5"/>
  <c r="AV60" i="5" a="1"/>
  <c r="AV60" i="5" s="1"/>
  <c r="BG60" i="5" s="1"/>
  <c r="BB167" i="5"/>
  <c r="B167" i="5" s="1" a="1"/>
  <c r="B167" i="5" s="1"/>
  <c r="BH149" i="5" a="1"/>
  <c r="BH149" i="5" s="1"/>
  <c r="AS110" i="5" a="1"/>
  <c r="AS110" i="5" s="1"/>
  <c r="BD110" i="5" s="1"/>
  <c r="AV149" i="5" a="1"/>
  <c r="AV149" i="5" s="1"/>
  <c r="BG149" i="5" s="1"/>
  <c r="AN70" i="5" a="1"/>
  <c r="AN70" i="5" s="1"/>
  <c r="AO70" i="5" s="1" a="1"/>
  <c r="AO70" i="5" s="1"/>
  <c r="AP70" i="5" s="1"/>
  <c r="AY258" i="5" a="1"/>
  <c r="AY258" i="5" s="1"/>
  <c r="AZ258" i="5" s="1"/>
  <c r="BA258" i="5" s="1"/>
  <c r="AV252" i="5" a="1"/>
  <c r="AV252" i="5" s="1"/>
  <c r="BG252" i="5" s="1"/>
  <c r="AV70" i="5" a="1"/>
  <c r="AV70" i="5" s="1"/>
  <c r="BG70" i="5" s="1"/>
  <c r="AQ252" i="5"/>
  <c r="AS252" i="5" s="1" a="1"/>
  <c r="AS252" i="5" s="1"/>
  <c r="AG157" i="5" a="1"/>
  <c r="AG157" i="5" s="1"/>
  <c r="AH157" i="5" s="1"/>
  <c r="AM157" i="5" s="1"/>
  <c r="AQ268" i="5"/>
  <c r="AN268" i="5" a="1"/>
  <c r="AN268" i="5" s="1"/>
  <c r="AO268" i="5" s="1" a="1"/>
  <c r="AO268" i="5" s="1"/>
  <c r="BH268" i="5" a="1"/>
  <c r="BH268" i="5" s="1"/>
  <c r="AV268" i="5" a="1"/>
  <c r="AV268" i="5" s="1"/>
  <c r="BG268" i="5" s="1"/>
  <c r="AN224" i="5" a="1"/>
  <c r="AN224" i="5" s="1"/>
  <c r="AO224" i="5" s="1" a="1"/>
  <c r="AO224" i="5" s="1"/>
  <c r="AP224" i="5" s="1"/>
  <c r="BH224" i="5" a="1"/>
  <c r="BH224" i="5" s="1"/>
  <c r="AV224" i="5" a="1"/>
  <c r="AV224" i="5" s="1"/>
  <c r="BG224" i="5" s="1"/>
  <c r="AH261" i="5"/>
  <c r="AM261" i="5" s="1"/>
  <c r="AG227" i="5" a="1"/>
  <c r="AG227" i="5" s="1"/>
  <c r="AH227" i="5" s="1"/>
  <c r="AM227" i="5" s="1"/>
  <c r="AF229" i="5" a="1"/>
  <c r="AF229" i="5" s="1"/>
  <c r="AG229" i="5" s="1" a="1"/>
  <c r="AG229" i="5" s="1"/>
  <c r="AH229" i="5" s="1"/>
  <c r="AM229" i="5" s="1"/>
  <c r="AN252" i="5" a="1"/>
  <c r="AN252" i="5" s="1"/>
  <c r="AO252" i="5" s="1" a="1"/>
  <c r="AO252" i="5" s="1"/>
  <c r="AP252" i="5" s="1"/>
  <c r="AV169" i="5" a="1"/>
  <c r="AV169" i="5" s="1"/>
  <c r="BG169" i="5" s="1"/>
  <c r="AH226" i="5"/>
  <c r="AM226" i="5" s="1"/>
  <c r="AN249" i="5" a="1"/>
  <c r="AN249" i="5" s="1"/>
  <c r="AO249" i="5" s="1" a="1"/>
  <c r="AO249" i="5" s="1"/>
  <c r="AP249" i="5" s="1"/>
  <c r="AQ249" i="5"/>
  <c r="AV249" i="5" a="1"/>
  <c r="AV249" i="5" s="1"/>
  <c r="BG249" i="5" s="1"/>
  <c r="BH249" i="5" a="1"/>
  <c r="BH249" i="5" s="1"/>
  <c r="AN56" i="5" a="1"/>
  <c r="AN56" i="5" s="1"/>
  <c r="AO56" i="5" s="1" a="1"/>
  <c r="AO56" i="5" s="1"/>
  <c r="AP56" i="5" s="1"/>
  <c r="BB140" i="5"/>
  <c r="B140" i="5" s="1" a="1"/>
  <c r="B140" i="5" s="1"/>
  <c r="AY118" i="5" a="1"/>
  <c r="AY118" i="5" s="1"/>
  <c r="AZ118" i="5" s="1"/>
  <c r="BB118" i="5" s="1"/>
  <c r="B118" i="5" s="1" a="1"/>
  <c r="B118" i="5" s="1"/>
  <c r="AU176" i="5" a="1"/>
  <c r="AU176" i="5" s="1"/>
  <c r="BF176" i="5" s="1"/>
  <c r="AT183" i="5" a="1"/>
  <c r="AT183" i="5" s="1"/>
  <c r="BE183" i="5" s="1"/>
  <c r="BD183" i="5"/>
  <c r="BB185" i="5"/>
  <c r="B185" i="5" s="1" a="1"/>
  <c r="B185" i="5" s="1"/>
  <c r="AV154" i="5" a="1"/>
  <c r="AV154" i="5" s="1"/>
  <c r="BG154" i="5" s="1"/>
  <c r="BH154" i="5" a="1"/>
  <c r="BH154" i="5" s="1"/>
  <c r="AN154" i="5" a="1"/>
  <c r="AN154" i="5" s="1"/>
  <c r="AO154" i="5" s="1" a="1"/>
  <c r="AO154" i="5" s="1"/>
  <c r="AP154" i="5" s="1"/>
  <c r="BH69" i="5" a="1"/>
  <c r="BH69" i="5" s="1"/>
  <c r="AN222" i="5" a="1"/>
  <c r="AN222" i="5" s="1"/>
  <c r="AO222" i="5" s="1" a="1"/>
  <c r="AO222" i="5" s="1"/>
  <c r="AP222" i="5" s="1"/>
  <c r="BH282" i="5" a="1"/>
  <c r="BH282" i="5" s="1"/>
  <c r="AQ282" i="5"/>
  <c r="AS282" i="5" s="1" a="1"/>
  <c r="AS282" i="5" s="1"/>
  <c r="AN69" i="5" a="1"/>
  <c r="AN69" i="5" s="1"/>
  <c r="AO69" i="5" s="1" a="1"/>
  <c r="AO69" i="5" s="1"/>
  <c r="AP69" i="5" s="1"/>
  <c r="BD72" i="5"/>
  <c r="BB272" i="5"/>
  <c r="B272" i="5" s="1" a="1"/>
  <c r="B272" i="5" s="1"/>
  <c r="BA272" i="5"/>
  <c r="AN238" i="5" a="1"/>
  <c r="AN238" i="5" s="1"/>
  <c r="AO238" i="5" s="1" a="1"/>
  <c r="AO238" i="5" s="1"/>
  <c r="AP238" i="5" s="1"/>
  <c r="AY40" i="5" a="1"/>
  <c r="AY40" i="5" s="1"/>
  <c r="AZ40" i="5" s="1"/>
  <c r="BA40" i="5" s="1"/>
  <c r="AV282" i="5" a="1"/>
  <c r="AV282" i="5" s="1"/>
  <c r="BG282" i="5" s="1"/>
  <c r="AN124" i="5" a="1"/>
  <c r="AN124" i="5" s="1"/>
  <c r="AO124" i="5" s="1" a="1"/>
  <c r="AO124" i="5" s="1"/>
  <c r="AP124" i="5" s="1"/>
  <c r="AY59" i="5" a="1"/>
  <c r="AY59" i="5" s="1"/>
  <c r="AZ59" i="5" s="1"/>
  <c r="BB59" i="5" s="1"/>
  <c r="B59" i="5" s="1" a="1"/>
  <c r="B59" i="5" s="1"/>
  <c r="AV222" i="5" a="1"/>
  <c r="AV222" i="5" s="1"/>
  <c r="BG222" i="5" s="1"/>
  <c r="AQ248" i="5"/>
  <c r="AU248" i="5" s="1" a="1"/>
  <c r="AU248" i="5" s="1"/>
  <c r="BF248" i="5" s="1"/>
  <c r="BB135" i="5"/>
  <c r="B135" i="5" s="1" a="1"/>
  <c r="B135" i="5" s="1"/>
  <c r="AS280" i="5" a="1"/>
  <c r="AS280" i="5" s="1"/>
  <c r="AT280" i="5" s="1" a="1"/>
  <c r="AT280" i="5" s="1"/>
  <c r="AV188" i="5" a="1"/>
  <c r="AV188" i="5" s="1"/>
  <c r="BG188" i="5" s="1"/>
  <c r="AS114" i="5" a="1"/>
  <c r="AS114" i="5" s="1"/>
  <c r="BH141" i="5" a="1"/>
  <c r="BH141" i="5" s="1"/>
  <c r="BD259" i="5"/>
  <c r="AT259" i="5" a="1"/>
  <c r="AT259" i="5" s="1"/>
  <c r="BE259" i="5" s="1"/>
  <c r="AV37" i="5" a="1"/>
  <c r="AV37" i="5" s="1"/>
  <c r="BG37" i="5" s="1"/>
  <c r="BH56" i="5" a="1"/>
  <c r="BH56" i="5" s="1"/>
  <c r="BB129" i="5"/>
  <c r="B129" i="5" s="1" a="1"/>
  <c r="B129" i="5" s="1"/>
  <c r="BA129" i="5"/>
  <c r="BH188" i="5" a="1"/>
  <c r="BH188" i="5" s="1"/>
  <c r="BH37" i="5" a="1"/>
  <c r="BH37" i="5" s="1"/>
  <c r="AS112" i="5" a="1"/>
  <c r="AS112" i="5" s="1"/>
  <c r="BD112" i="5" s="1"/>
  <c r="AN141" i="5" a="1"/>
  <c r="AN141" i="5" s="1"/>
  <c r="AO141" i="5" s="1" a="1"/>
  <c r="AO141" i="5" s="1"/>
  <c r="AP141" i="5" s="1"/>
  <c r="AQ81" i="5"/>
  <c r="AN76" i="5" a="1"/>
  <c r="AN76" i="5" s="1"/>
  <c r="AO76" i="5" s="1" a="1"/>
  <c r="AO76" i="5" s="1"/>
  <c r="AP76" i="5" s="1"/>
  <c r="BH241" i="5" a="1"/>
  <c r="BH241" i="5" s="1"/>
  <c r="AV35" i="5" a="1"/>
  <c r="AV35" i="5" s="1"/>
  <c r="BG35" i="5" s="1"/>
  <c r="AN88" i="5" a="1"/>
  <c r="AN88" i="5" s="1"/>
  <c r="AO88" i="5" s="1" a="1"/>
  <c r="AO88" i="5" s="1"/>
  <c r="AP88" i="5" s="1"/>
  <c r="BH76" i="5" a="1"/>
  <c r="BH76" i="5" s="1"/>
  <c r="BB33" i="5"/>
  <c r="B33" i="5" s="1" a="1"/>
  <c r="B33" i="5" s="1"/>
  <c r="BA33" i="5"/>
  <c r="BH35" i="5" a="1"/>
  <c r="BH35" i="5" s="1"/>
  <c r="AV88" i="5" a="1"/>
  <c r="AV88" i="5" s="1"/>
  <c r="BG88" i="5" s="1"/>
  <c r="AY72" i="5" a="1"/>
  <c r="AY72" i="5" s="1"/>
  <c r="AZ72" i="5" s="1"/>
  <c r="BA72" i="5" s="1"/>
  <c r="BH88" i="5" a="1"/>
  <c r="BH88" i="5" s="1"/>
  <c r="BH240" i="5" a="1"/>
  <c r="BH240" i="5" s="1"/>
  <c r="BH169" i="5" a="1"/>
  <c r="BH169" i="5" s="1"/>
  <c r="BH203" i="5" a="1"/>
  <c r="BH203" i="5" s="1"/>
  <c r="AN210" i="5" a="1"/>
  <c r="AN210" i="5" s="1"/>
  <c r="AO210" i="5" s="1" a="1"/>
  <c r="AO210" i="5" s="1"/>
  <c r="BD138" i="5"/>
  <c r="AV240" i="5" a="1"/>
  <c r="AV240" i="5" s="1"/>
  <c r="BG240" i="5" s="1"/>
  <c r="AV203" i="5" a="1"/>
  <c r="AV203" i="5" s="1"/>
  <c r="BG203" i="5" s="1"/>
  <c r="AY139" i="5" a="1"/>
  <c r="AY139" i="5" s="1"/>
  <c r="AZ139" i="5" s="1"/>
  <c r="BB139" i="5" s="1"/>
  <c r="B139" i="5" s="1" a="1"/>
  <c r="B139" i="5" s="1"/>
  <c r="AV124" i="5" a="1"/>
  <c r="AV124" i="5" s="1"/>
  <c r="BG124" i="5" s="1"/>
  <c r="AQ142" i="5"/>
  <c r="BH124" i="5" a="1"/>
  <c r="BH124" i="5" s="1"/>
  <c r="AU247" i="5" a="1"/>
  <c r="AU247" i="5" s="1"/>
  <c r="BF247" i="5" s="1"/>
  <c r="BH122" i="5" a="1"/>
  <c r="BH122" i="5" s="1"/>
  <c r="BH205" i="5" a="1"/>
  <c r="BH205" i="5" s="1"/>
  <c r="AY68" i="5" a="1"/>
  <c r="AY68" i="5" s="1"/>
  <c r="AZ68" i="5" s="1"/>
  <c r="BA68" i="5" s="1"/>
  <c r="AN122" i="5" a="1"/>
  <c r="AN122" i="5" s="1"/>
  <c r="AO122" i="5" s="1" a="1"/>
  <c r="AO122" i="5" s="1"/>
  <c r="AP122" i="5" s="1"/>
  <c r="AN205" i="5" a="1"/>
  <c r="AN205" i="5" s="1"/>
  <c r="AO205" i="5" s="1" a="1"/>
  <c r="AO205" i="5" s="1"/>
  <c r="AP205" i="5" s="1"/>
  <c r="AY138" i="5" a="1"/>
  <c r="AY138" i="5" s="1"/>
  <c r="AZ138" i="5" s="1"/>
  <c r="BB138" i="5" s="1"/>
  <c r="B138" i="5" s="1" a="1"/>
  <c r="B138" i="5" s="1"/>
  <c r="AY97" i="5" a="1"/>
  <c r="AY97" i="5" s="1"/>
  <c r="AZ97" i="5" s="1"/>
  <c r="BA97" i="5" s="1"/>
  <c r="AQ102" i="5"/>
  <c r="AS102" i="5" s="1" a="1"/>
  <c r="AS102" i="5" s="1"/>
  <c r="AY95" i="5" a="1"/>
  <c r="AY95" i="5" s="1"/>
  <c r="AZ95" i="5" s="1"/>
  <c r="BA95" i="5" s="1"/>
  <c r="AY79" i="5" a="1"/>
  <c r="AY79" i="5" s="1"/>
  <c r="AZ79" i="5" s="1"/>
  <c r="BA79" i="5" s="1"/>
  <c r="BH125" i="5" a="1"/>
  <c r="BH125" i="5" s="1"/>
  <c r="AU143" i="5" a="1"/>
  <c r="AU143" i="5" s="1"/>
  <c r="BF143" i="5" s="1"/>
  <c r="AS143" i="5" a="1"/>
  <c r="AS143" i="5" s="1"/>
  <c r="AN189" i="5" a="1"/>
  <c r="AN189" i="5" s="1"/>
  <c r="AO189" i="5" s="1" a="1"/>
  <c r="AO189" i="5" s="1"/>
  <c r="AP189" i="5" s="1"/>
  <c r="AN102" i="5" a="1"/>
  <c r="AN102" i="5" s="1"/>
  <c r="AO102" i="5" s="1" a="1"/>
  <c r="AO102" i="5" s="1"/>
  <c r="AP102" i="5" s="1"/>
  <c r="AY133" i="5" a="1"/>
  <c r="AY133" i="5" s="1"/>
  <c r="AZ133" i="5" s="1"/>
  <c r="BH102" i="5" a="1"/>
  <c r="BH102" i="5" s="1"/>
  <c r="AN251" i="5" a="1"/>
  <c r="AN251" i="5" s="1"/>
  <c r="AO251" i="5" s="1" a="1"/>
  <c r="AO251" i="5" s="1"/>
  <c r="AP251" i="5" s="1"/>
  <c r="AV238" i="5" a="1"/>
  <c r="AV238" i="5" s="1"/>
  <c r="BG238" i="5" s="1"/>
  <c r="AY121" i="5" a="1"/>
  <c r="AY121" i="5" s="1"/>
  <c r="AZ121" i="5" s="1"/>
  <c r="BA121" i="5" s="1"/>
  <c r="AQ223" i="5"/>
  <c r="AU223" i="5" s="1" a="1"/>
  <c r="AU223" i="5" s="1"/>
  <c r="BF223" i="5" s="1"/>
  <c r="AU147" i="5" a="1"/>
  <c r="AU147" i="5" s="1"/>
  <c r="BF147" i="5" s="1"/>
  <c r="AS147" i="5" a="1"/>
  <c r="AS147" i="5" s="1"/>
  <c r="BD147" i="5" s="1"/>
  <c r="AN293" i="5" a="1"/>
  <c r="AN293" i="5" s="1"/>
  <c r="AO293" i="5" s="1" a="1"/>
  <c r="AO293" i="5" s="1"/>
  <c r="AP293" i="5" s="1"/>
  <c r="AN223" i="5" a="1"/>
  <c r="AN223" i="5" s="1"/>
  <c r="AO223" i="5" s="1" a="1"/>
  <c r="AO223" i="5" s="1"/>
  <c r="AP223" i="5" s="1"/>
  <c r="AV251" i="5" a="1"/>
  <c r="AV251" i="5" s="1"/>
  <c r="BG251" i="5" s="1"/>
  <c r="AY32" i="5" a="1"/>
  <c r="AY32" i="5" s="1"/>
  <c r="AZ32" i="5" s="1"/>
  <c r="BB190" i="5"/>
  <c r="B190" i="5" s="1" a="1"/>
  <c r="B190" i="5" s="1"/>
  <c r="BD235" i="5"/>
  <c r="AT235" i="5" a="1"/>
  <c r="AT235" i="5" s="1"/>
  <c r="BE235" i="5" s="1"/>
  <c r="BH251" i="5" a="1"/>
  <c r="BH251" i="5" s="1"/>
  <c r="AN295" i="5" a="1"/>
  <c r="AN295" i="5" s="1"/>
  <c r="AO295" i="5" s="1" a="1"/>
  <c r="AO295" i="5" s="1"/>
  <c r="AP295" i="5" s="1"/>
  <c r="BH239" i="5" a="1"/>
  <c r="BH239" i="5" s="1"/>
  <c r="AV239" i="5" a="1"/>
  <c r="AV239" i="5" s="1"/>
  <c r="BG239" i="5" s="1"/>
  <c r="BA120" i="5"/>
  <c r="BB120" i="5"/>
  <c r="B120" i="5" s="1" a="1"/>
  <c r="B120" i="5" s="1"/>
  <c r="AN239" i="5" a="1"/>
  <c r="AN239" i="5" s="1"/>
  <c r="AO239" i="5" s="1" a="1"/>
  <c r="AO239" i="5" s="1"/>
  <c r="AP239" i="5" s="1"/>
  <c r="AY285" i="5" a="1"/>
  <c r="AY285" i="5" s="1"/>
  <c r="AZ285" i="5" s="1"/>
  <c r="BA285" i="5" s="1"/>
  <c r="AP199" i="5"/>
  <c r="AV225" i="5" a="1"/>
  <c r="AV225" i="5" s="1"/>
  <c r="BG225" i="5" s="1"/>
  <c r="BH288" i="5" a="1"/>
  <c r="BH288" i="5" s="1"/>
  <c r="BH223" i="5" a="1"/>
  <c r="BH223" i="5" s="1"/>
  <c r="BD199" i="5"/>
  <c r="AT199" i="5" a="1"/>
  <c r="AT199" i="5" s="1"/>
  <c r="BE199" i="5" s="1"/>
  <c r="AN73" i="5" a="1"/>
  <c r="AN73" i="5" s="1"/>
  <c r="AO73" i="5" s="1" a="1"/>
  <c r="AO73" i="5" s="1"/>
  <c r="AP73" i="5" s="1"/>
  <c r="AQ210" i="5"/>
  <c r="AQ73" i="5"/>
  <c r="AT278" i="5" a="1"/>
  <c r="AT278" i="5" s="1"/>
  <c r="BD278" i="5"/>
  <c r="AN294" i="5" a="1"/>
  <c r="AN294" i="5" s="1"/>
  <c r="AO294" i="5" s="1" a="1"/>
  <c r="AO294" i="5" s="1"/>
  <c r="AP294" i="5" s="1"/>
  <c r="AT165" i="5" a="1"/>
  <c r="AT165" i="5" s="1"/>
  <c r="BD165" i="5"/>
  <c r="AT85" i="5" a="1"/>
  <c r="AT85" i="5" s="1"/>
  <c r="BE85" i="5" s="1"/>
  <c r="BD85" i="5"/>
  <c r="AT200" i="5" a="1"/>
  <c r="AT200" i="5" s="1"/>
  <c r="BE200" i="5" s="1"/>
  <c r="BD200" i="5"/>
  <c r="AS251" i="5" a="1"/>
  <c r="AS251" i="5" s="1"/>
  <c r="AU251" i="5" a="1"/>
  <c r="AU251" i="5" s="1"/>
  <c r="BF251" i="5" s="1"/>
  <c r="AQ39" i="5"/>
  <c r="AP187" i="5"/>
  <c r="AY187" i="5" s="1" a="1"/>
  <c r="AY187" i="5" s="1"/>
  <c r="AZ187" i="5" s="1"/>
  <c r="BH238" i="5" a="1"/>
  <c r="BH238" i="5" s="1"/>
  <c r="AU76" i="5" a="1"/>
  <c r="AU76" i="5" s="1"/>
  <c r="BF76" i="5" s="1"/>
  <c r="AS76" i="5" a="1"/>
  <c r="AS76" i="5" s="1"/>
  <c r="AU276" i="5" a="1"/>
  <c r="AU276" i="5" s="1"/>
  <c r="BF276" i="5" s="1"/>
  <c r="AS276" i="5" a="1"/>
  <c r="AS276" i="5" s="1"/>
  <c r="AS169" i="5" a="1"/>
  <c r="AS169" i="5" s="1"/>
  <c r="AU169" i="5" a="1"/>
  <c r="AU169" i="5" s="1"/>
  <c r="BF169" i="5" s="1"/>
  <c r="AP37" i="5"/>
  <c r="AT197" i="5" a="1"/>
  <c r="AT197" i="5" s="1"/>
  <c r="BD197" i="5"/>
  <c r="BD201" i="5"/>
  <c r="AT201" i="5" a="1"/>
  <c r="AT201" i="5" s="1"/>
  <c r="BE201" i="5" s="1"/>
  <c r="AU262" i="5" a="1"/>
  <c r="AU262" i="5" s="1"/>
  <c r="BF262" i="5" s="1"/>
  <c r="AS262" i="5" a="1"/>
  <c r="AS262" i="5" s="1"/>
  <c r="AS263" i="5" a="1"/>
  <c r="AS263" i="5" s="1"/>
  <c r="AU263" i="5" a="1"/>
  <c r="AU263" i="5" s="1"/>
  <c r="BF263" i="5" s="1"/>
  <c r="AP203" i="5"/>
  <c r="AU37" i="5" a="1"/>
  <c r="AU37" i="5" s="1"/>
  <c r="BF37" i="5" s="1"/>
  <c r="AS37" i="5" a="1"/>
  <c r="AS37" i="5" s="1"/>
  <c r="AS205" i="5" a="1"/>
  <c r="AS205" i="5" s="1"/>
  <c r="AU205" i="5" a="1"/>
  <c r="AU205" i="5" s="1"/>
  <c r="BF205" i="5" s="1"/>
  <c r="BA104" i="5"/>
  <c r="AP219" i="5"/>
  <c r="AU70" i="5" a="1"/>
  <c r="AU70" i="5" s="1"/>
  <c r="BF70" i="5" s="1"/>
  <c r="AS70" i="5" a="1"/>
  <c r="AS70" i="5" s="1"/>
  <c r="AS203" i="5" a="1"/>
  <c r="AS203" i="5" s="1"/>
  <c r="AU203" i="5" a="1"/>
  <c r="AU203" i="5" s="1"/>
  <c r="BF203" i="5" s="1"/>
  <c r="BE75" i="5"/>
  <c r="AY75" i="5" a="1"/>
  <c r="AY75" i="5" s="1"/>
  <c r="AZ75" i="5" s="1"/>
  <c r="AU88" i="5" a="1"/>
  <c r="AU88" i="5" s="1"/>
  <c r="BF88" i="5" s="1"/>
  <c r="AS88" i="5" a="1"/>
  <c r="AS88" i="5" s="1"/>
  <c r="AU113" i="5" a="1"/>
  <c r="AU113" i="5" s="1"/>
  <c r="BF113" i="5" s="1"/>
  <c r="AS113" i="5" a="1"/>
  <c r="AS113" i="5" s="1"/>
  <c r="AU222" i="5" a="1"/>
  <c r="AU222" i="5" s="1"/>
  <c r="BF222" i="5" s="1"/>
  <c r="AS222" i="5" a="1"/>
  <c r="AS222" i="5" s="1"/>
  <c r="AT261" i="5" a="1"/>
  <c r="AT261" i="5" s="1"/>
  <c r="BD261" i="5"/>
  <c r="AS291" i="5" a="1"/>
  <c r="AS291" i="5" s="1"/>
  <c r="AT291" i="5" s="1" a="1"/>
  <c r="AT291" i="5" s="1"/>
  <c r="BE291" i="5" s="1"/>
  <c r="BB286" i="5"/>
  <c r="B286" i="5" s="1" a="1"/>
  <c r="B286" i="5" s="1"/>
  <c r="AN186" i="5" a="1"/>
  <c r="AN186" i="5" s="1"/>
  <c r="AO186" i="5" s="1" a="1"/>
  <c r="AO186" i="5" s="1"/>
  <c r="AP186" i="5" s="1"/>
  <c r="AV186" i="5" a="1"/>
  <c r="AV186" i="5" s="1"/>
  <c r="BG186" i="5" s="1"/>
  <c r="BH186" i="5" a="1"/>
  <c r="BH186" i="5" s="1"/>
  <c r="AU154" i="5" a="1"/>
  <c r="AU154" i="5" s="1"/>
  <c r="BF154" i="5" s="1"/>
  <c r="AS154" i="5" a="1"/>
  <c r="AS154" i="5" s="1"/>
  <c r="BD101" i="5"/>
  <c r="AT101" i="5" a="1"/>
  <c r="AT101" i="5" s="1"/>
  <c r="AS219" i="5" a="1"/>
  <c r="AS219" i="5" s="1"/>
  <c r="AU219" i="5" a="1"/>
  <c r="AU219" i="5" s="1"/>
  <c r="BF219" i="5" s="1"/>
  <c r="AT176" i="5" a="1"/>
  <c r="AT176" i="5" s="1"/>
  <c r="BE176" i="5" s="1"/>
  <c r="BD176" i="5"/>
  <c r="BH152" i="5" a="1"/>
  <c r="BH152" i="5" s="1"/>
  <c r="AU239" i="5" a="1"/>
  <c r="AU239" i="5" s="1"/>
  <c r="BF239" i="5" s="1"/>
  <c r="AS239" i="5" a="1"/>
  <c r="AS239" i="5" s="1"/>
  <c r="BD250" i="5"/>
  <c r="AT250" i="5" a="1"/>
  <c r="AT250" i="5" s="1"/>
  <c r="BE250" i="5" s="1"/>
  <c r="AN152" i="5" a="1"/>
  <c r="AN152" i="5" s="1"/>
  <c r="AO152" i="5" s="1" a="1"/>
  <c r="AO152" i="5" s="1"/>
  <c r="AP152" i="5" s="1"/>
  <c r="AU240" i="5" a="1"/>
  <c r="AU240" i="5" s="1"/>
  <c r="BF240" i="5" s="1"/>
  <c r="AS240" i="5" a="1"/>
  <c r="AS240" i="5" s="1"/>
  <c r="AT266" i="5" a="1"/>
  <c r="AT266" i="5" s="1"/>
  <c r="BE266" i="5" s="1"/>
  <c r="BD266" i="5"/>
  <c r="AY119" i="5" a="1"/>
  <c r="AY119" i="5" s="1"/>
  <c r="AZ119" i="5" s="1"/>
  <c r="BB119" i="5" s="1"/>
  <c r="B119" i="5" s="1" a="1"/>
  <c r="B119" i="5" s="1"/>
  <c r="AV293" i="5" a="1"/>
  <c r="AV293" i="5" s="1"/>
  <c r="BG293" i="5" s="1"/>
  <c r="AV237" i="5" a="1"/>
  <c r="AV237" i="5" s="1"/>
  <c r="BG237" i="5" s="1"/>
  <c r="AN237" i="5" a="1"/>
  <c r="AN237" i="5" s="1"/>
  <c r="AO237" i="5" s="1" a="1"/>
  <c r="AO237" i="5" s="1"/>
  <c r="AP237" i="5" s="1"/>
  <c r="AN42" i="5" a="1"/>
  <c r="AN42" i="5" s="1"/>
  <c r="AO42" i="5" s="1" a="1"/>
  <c r="AO42" i="5" s="1"/>
  <c r="AP42" i="5" s="1"/>
  <c r="AU292" i="5" a="1"/>
  <c r="AU292" i="5" s="1"/>
  <c r="BF292" i="5" s="1"/>
  <c r="AS292" i="5" a="1"/>
  <c r="AS292" i="5" s="1"/>
  <c r="BD221" i="5"/>
  <c r="AT221" i="5" a="1"/>
  <c r="AT221" i="5" s="1"/>
  <c r="BE221" i="5" s="1"/>
  <c r="AU91" i="5" a="1"/>
  <c r="AU91" i="5" s="1"/>
  <c r="BF91" i="5" s="1"/>
  <c r="AY244" i="5" a="1"/>
  <c r="AY244" i="5" s="1"/>
  <c r="AZ244" i="5" s="1"/>
  <c r="BB132" i="5"/>
  <c r="B132" i="5" s="1" a="1"/>
  <c r="B132" i="5" s="1"/>
  <c r="BA132" i="5"/>
  <c r="AU160" i="5" a="1"/>
  <c r="AU160" i="5" s="1"/>
  <c r="BF160" i="5" s="1"/>
  <c r="AS160" i="5" a="1"/>
  <c r="AS160" i="5" s="1"/>
  <c r="AS124" i="5" a="1"/>
  <c r="AS124" i="5" s="1"/>
  <c r="AU124" i="5" a="1"/>
  <c r="AU124" i="5" s="1"/>
  <c r="BF124" i="5" s="1"/>
  <c r="AQ237" i="5"/>
  <c r="AU237" i="5" s="1" a="1"/>
  <c r="AU237" i="5" s="1"/>
  <c r="BF237" i="5" s="1"/>
  <c r="AV42" i="5" a="1"/>
  <c r="AV42" i="5" s="1"/>
  <c r="BG42" i="5" s="1"/>
  <c r="BD220" i="5"/>
  <c r="AT220" i="5" a="1"/>
  <c r="AT220" i="5" s="1"/>
  <c r="AU196" i="5" a="1"/>
  <c r="AU196" i="5" s="1"/>
  <c r="BF196" i="5" s="1"/>
  <c r="AS196" i="5" a="1"/>
  <c r="AS196" i="5" s="1"/>
  <c r="AU71" i="5" a="1"/>
  <c r="AU71" i="5" s="1"/>
  <c r="BF71" i="5" s="1"/>
  <c r="AV152" i="5" a="1"/>
  <c r="AV152" i="5" s="1"/>
  <c r="BG152" i="5" s="1"/>
  <c r="BD56" i="5"/>
  <c r="AT56" i="5" a="1"/>
  <c r="AT56" i="5" s="1"/>
  <c r="BE56" i="5" s="1"/>
  <c r="AU125" i="5" a="1"/>
  <c r="AU125" i="5" s="1"/>
  <c r="BF125" i="5" s="1"/>
  <c r="AS125" i="5" a="1"/>
  <c r="AS125" i="5" s="1"/>
  <c r="AU35" i="5" a="1"/>
  <c r="AU35" i="5" s="1"/>
  <c r="BF35" i="5" s="1"/>
  <c r="AS35" i="5" a="1"/>
  <c r="AS35" i="5" s="1"/>
  <c r="AY63" i="5" a="1"/>
  <c r="AY63" i="5" s="1"/>
  <c r="AZ63" i="5" s="1"/>
  <c r="BA63" i="5" s="1"/>
  <c r="BB283" i="5"/>
  <c r="B283" i="5" s="1" a="1"/>
  <c r="B283" i="5" s="1"/>
  <c r="BA283" i="5"/>
  <c r="BE198" i="5"/>
  <c r="AY198" i="5" a="1"/>
  <c r="AY198" i="5" s="1"/>
  <c r="AZ198" i="5" s="1"/>
  <c r="AU69" i="5" a="1"/>
  <c r="AU69" i="5" s="1"/>
  <c r="BF69" i="5" s="1"/>
  <c r="AS69" i="5" a="1"/>
  <c r="AS69" i="5" s="1"/>
  <c r="BD46" i="5"/>
  <c r="AT46" i="5" a="1"/>
  <c r="AT46" i="5" s="1"/>
  <c r="BE46" i="5" s="1"/>
  <c r="AU83" i="5" a="1"/>
  <c r="AU83" i="5" s="1"/>
  <c r="BF83" i="5" s="1"/>
  <c r="AS83" i="5" a="1"/>
  <c r="AS83" i="5" s="1"/>
  <c r="AY87" i="5" a="1"/>
  <c r="AY87" i="5" s="1"/>
  <c r="AZ87" i="5" s="1"/>
  <c r="BE136" i="5"/>
  <c r="AY136" i="5" a="1"/>
  <c r="AY136" i="5" s="1"/>
  <c r="AZ136" i="5" s="1"/>
  <c r="BE108" i="5"/>
  <c r="AY108" i="5" a="1"/>
  <c r="AY108" i="5" s="1"/>
  <c r="AZ108" i="5" s="1"/>
  <c r="AS238" i="5" a="1"/>
  <c r="AS238" i="5" s="1"/>
  <c r="AU238" i="5" a="1"/>
  <c r="AU238" i="5" s="1"/>
  <c r="BF238" i="5" s="1"/>
  <c r="BA131" i="5"/>
  <c r="BB131" i="5"/>
  <c r="B131" i="5" s="1" a="1"/>
  <c r="B131" i="5" s="1"/>
  <c r="BB103" i="5"/>
  <c r="B103" i="5" s="1" a="1"/>
  <c r="B103" i="5" s="1"/>
  <c r="BA103" i="5"/>
  <c r="AT236" i="5" a="1"/>
  <c r="AT236" i="5" s="1"/>
  <c r="BD236" i="5"/>
  <c r="BA260" i="5"/>
  <c r="BB260" i="5"/>
  <c r="B260" i="5" s="1" a="1"/>
  <c r="B260" i="5" s="1"/>
  <c r="BA271" i="5"/>
  <c r="BB271" i="5"/>
  <c r="B271" i="5" s="1" a="1"/>
  <c r="B271" i="5" s="1"/>
  <c r="AY161" i="5" a="1"/>
  <c r="AY161" i="5" s="1"/>
  <c r="AZ161" i="5" s="1"/>
  <c r="AT71" i="5" a="1"/>
  <c r="AT71" i="5" s="1"/>
  <c r="BD71" i="5"/>
  <c r="AS215" i="5" a="1"/>
  <c r="AS215" i="5" s="1"/>
  <c r="AU215" i="5" a="1"/>
  <c r="AU215" i="5" s="1"/>
  <c r="BF215" i="5" s="1"/>
  <c r="BD247" i="5"/>
  <c r="AT247" i="5" a="1"/>
  <c r="AT247" i="5" s="1"/>
  <c r="BA137" i="5"/>
  <c r="BB137" i="5"/>
  <c r="B137" i="5" s="1" a="1"/>
  <c r="B137" i="5" s="1"/>
  <c r="AS43" i="5" a="1"/>
  <c r="AS43" i="5" s="1"/>
  <c r="AU43" i="5" a="1"/>
  <c r="AU43" i="5" s="1"/>
  <c r="BF43" i="5" s="1"/>
  <c r="AT91" i="5" a="1"/>
  <c r="AT91" i="5" s="1"/>
  <c r="BD91" i="5"/>
  <c r="AS152" i="5" a="1"/>
  <c r="AS152" i="5" s="1"/>
  <c r="AU152" i="5" a="1"/>
  <c r="AU152" i="5" s="1"/>
  <c r="BF152" i="5" s="1"/>
  <c r="AQ281" i="5"/>
  <c r="AN281" i="5" a="1"/>
  <c r="AN281" i="5" s="1"/>
  <c r="AO281" i="5" s="1" a="1"/>
  <c r="AO281" i="5" s="1"/>
  <c r="AP281" i="5" s="1"/>
  <c r="AV281" i="5" a="1"/>
  <c r="AV281" i="5" s="1"/>
  <c r="BG281" i="5" s="1"/>
  <c r="BH281" i="5" a="1"/>
  <c r="BH281" i="5" s="1"/>
  <c r="AT279" i="5" a="1"/>
  <c r="AT279" i="5" s="1"/>
  <c r="BD279" i="5"/>
  <c r="AT234" i="5" a="1"/>
  <c r="AT234" i="5" s="1"/>
  <c r="BD234" i="5"/>
  <c r="AS273" i="5" a="1"/>
  <c r="AS273" i="5" s="1"/>
  <c r="AU273" i="5" a="1"/>
  <c r="AU273" i="5" s="1"/>
  <c r="BF273" i="5" s="1"/>
  <c r="AT163" i="5" a="1"/>
  <c r="AT163" i="5" s="1"/>
  <c r="BE163" i="5" s="1"/>
  <c r="BD163" i="5"/>
  <c r="AT232" i="5" a="1"/>
  <c r="AT232" i="5" s="1"/>
  <c r="BD232" i="5"/>
  <c r="AU151" i="5" a="1"/>
  <c r="AU151" i="5" s="1"/>
  <c r="BF151" i="5" s="1"/>
  <c r="AS151" i="5" a="1"/>
  <c r="AS151" i="5" s="1"/>
  <c r="BA158" i="5"/>
  <c r="BB158" i="5"/>
  <c r="B158" i="5" s="1" a="1"/>
  <c r="B158" i="5" s="1"/>
  <c r="BA181" i="5"/>
  <c r="BB181" i="5"/>
  <c r="B181" i="5" s="1" a="1"/>
  <c r="B181" i="5" s="1"/>
  <c r="BB182" i="5"/>
  <c r="B182" i="5" s="1" a="1"/>
  <c r="B182" i="5" s="1"/>
  <c r="BA182" i="5"/>
  <c r="BB55" i="5"/>
  <c r="B55" i="5" s="1" a="1"/>
  <c r="B55" i="5" s="1"/>
  <c r="BA55" i="5"/>
  <c r="BB242" i="5"/>
  <c r="B242" i="5" s="1" a="1"/>
  <c r="B242" i="5" s="1"/>
  <c r="BA242" i="5"/>
  <c r="BA233" i="5"/>
  <c r="BB233" i="5"/>
  <c r="B233" i="5" s="1" a="1"/>
  <c r="B233" i="5" s="1"/>
  <c r="BA30" i="5"/>
  <c r="BB30" i="5"/>
  <c r="B30" i="5" s="1" a="1"/>
  <c r="B30" i="5" s="1"/>
  <c r="BA28" i="5"/>
  <c r="BB28" i="5"/>
  <c r="B28" i="5" s="1" a="1"/>
  <c r="B28" i="5" s="1"/>
  <c r="BA8" i="5"/>
  <c r="BB8" i="5"/>
  <c r="B8" i="5" s="1" a="1"/>
  <c r="B8" i="5" s="1"/>
  <c r="BB10" i="5"/>
  <c r="B10" i="5" s="1" a="1"/>
  <c r="B10" i="5" s="1"/>
  <c r="BA10" i="5"/>
  <c r="BB18" i="5"/>
  <c r="B18" i="5" s="1" a="1"/>
  <c r="B18" i="5" s="1"/>
  <c r="BA18" i="5"/>
  <c r="BA12" i="5"/>
  <c r="BB12" i="5"/>
  <c r="B12" i="5" s="1" a="1"/>
  <c r="B12" i="5" s="1"/>
  <c r="BA26" i="5"/>
  <c r="BB26" i="5"/>
  <c r="B26" i="5" s="1" a="1"/>
  <c r="B26" i="5" s="1"/>
  <c r="BA31" i="5"/>
  <c r="BB31" i="5"/>
  <c r="B31" i="5" s="1" a="1"/>
  <c r="B31" i="5" s="1"/>
  <c r="AY27" i="5" a="1"/>
  <c r="AY27" i="5" s="1"/>
  <c r="AZ27" i="5" s="1"/>
  <c r="AY24" i="5" a="1"/>
  <c r="AY24" i="5" s="1"/>
  <c r="AZ24" i="5" s="1"/>
  <c r="AY29" i="5" a="1"/>
  <c r="AY29" i="5" s="1"/>
  <c r="AZ29" i="5" s="1"/>
  <c r="AY23" i="5" a="1"/>
  <c r="AY23" i="5" s="1"/>
  <c r="AZ23" i="5" s="1"/>
  <c r="AY22" i="5" a="1"/>
  <c r="AY22" i="5" s="1"/>
  <c r="AZ22" i="5" s="1"/>
  <c r="AY11" i="5" a="1"/>
  <c r="AY11" i="5" s="1"/>
  <c r="AZ11" i="5" s="1"/>
  <c r="AZ7" i="5"/>
  <c r="AP13" i="5"/>
  <c r="AY13" i="5" s="1" a="1"/>
  <c r="AY13" i="5" s="1"/>
  <c r="AZ13" i="5" s="1"/>
  <c r="AP19" i="5"/>
  <c r="AY19" i="5" s="1" a="1"/>
  <c r="AY19" i="5" s="1"/>
  <c r="AV20" i="5" a="1"/>
  <c r="AV20" i="5" s="1"/>
  <c r="BG20" i="5" s="1"/>
  <c r="BH20" i="5" a="1"/>
  <c r="BH20" i="5" s="1"/>
  <c r="BH14" i="5" a="1"/>
  <c r="BH14" i="5" s="1"/>
  <c r="AV14" i="5" a="1"/>
  <c r="AV14" i="5" s="1"/>
  <c r="BG14" i="5" s="1"/>
  <c r="AN14" i="5" a="1"/>
  <c r="AN14" i="5" s="1"/>
  <c r="AO14" i="5" s="1" a="1"/>
  <c r="AO14" i="5" s="1"/>
  <c r="BE27" i="5"/>
  <c r="AQ25" i="5"/>
  <c r="AN20" i="5" a="1"/>
  <c r="AN20" i="5" s="1"/>
  <c r="AO20" i="5" s="1" a="1"/>
  <c r="AO20" i="5" s="1"/>
  <c r="BB179" i="5" l="1"/>
  <c r="B179" i="5" s="1" a="1"/>
  <c r="B179" i="5" s="1"/>
  <c r="AS111" i="5" a="1"/>
  <c r="AS111" i="5" s="1"/>
  <c r="AT111" i="5" s="1" a="1"/>
  <c r="AT111" i="5" s="1"/>
  <c r="BE111" i="5" s="1"/>
  <c r="AN86" i="5" a="1"/>
  <c r="AN86" i="5" s="1"/>
  <c r="AO86" i="5" s="1" a="1"/>
  <c r="AO86" i="5" s="1"/>
  <c r="AP86" i="5" s="1"/>
  <c r="BA212" i="5"/>
  <c r="BD162" i="5"/>
  <c r="AU86" i="5" a="1"/>
  <c r="AU86" i="5" s="1"/>
  <c r="BF86" i="5" s="1"/>
  <c r="BH86" i="5" a="1"/>
  <c r="BH86" i="5" s="1"/>
  <c r="AP98" i="5"/>
  <c r="AU98" i="5" a="1"/>
  <c r="AU98" i="5" s="1"/>
  <c r="BF98" i="5" s="1"/>
  <c r="AS98" i="5" a="1"/>
  <c r="AS98" i="5" s="1"/>
  <c r="AY246" i="5" a="1"/>
  <c r="AY246" i="5" s="1"/>
  <c r="AZ246" i="5" s="1"/>
  <c r="BA246" i="5" s="1"/>
  <c r="AV71" i="5" a="1"/>
  <c r="AV71" i="5" s="1"/>
  <c r="BG71" i="5" s="1"/>
  <c r="AN71" i="5" a="1"/>
  <c r="AN71" i="5" s="1"/>
  <c r="AO71" i="5" s="1" a="1"/>
  <c r="AO71" i="5" s="1"/>
  <c r="AP71" i="5" s="1"/>
  <c r="BH71" i="5" a="1"/>
  <c r="BH71" i="5" s="1"/>
  <c r="AV86" i="5" a="1"/>
  <c r="AV86" i="5" s="1"/>
  <c r="BG86" i="5" s="1"/>
  <c r="AN80" i="5" a="1"/>
  <c r="AN80" i="5" s="1"/>
  <c r="AO80" i="5" s="1" a="1"/>
  <c r="AO80" i="5" s="1"/>
  <c r="AP80" i="5" s="1"/>
  <c r="AV80" i="5" a="1"/>
  <c r="AV80" i="5" s="1"/>
  <c r="BG80" i="5" s="1"/>
  <c r="AU269" i="5" a="1"/>
  <c r="AU269" i="5" s="1"/>
  <c r="BF269" i="5" s="1"/>
  <c r="AS155" i="5" a="1"/>
  <c r="AS155" i="5" s="1"/>
  <c r="AU155" i="5" a="1"/>
  <c r="AU155" i="5" s="1"/>
  <c r="BF155" i="5" s="1"/>
  <c r="BH145" i="5" a="1"/>
  <c r="BH145" i="5" s="1"/>
  <c r="AV145" i="5" a="1"/>
  <c r="AV145" i="5" s="1"/>
  <c r="BG145" i="5" s="1"/>
  <c r="AN145" i="5" a="1"/>
  <c r="AN145" i="5" s="1"/>
  <c r="AO145" i="5" s="1" a="1"/>
  <c r="AO145" i="5" s="1"/>
  <c r="AQ92" i="5"/>
  <c r="BH92" i="5" a="1"/>
  <c r="BH92" i="5" s="1"/>
  <c r="AV92" i="5" a="1"/>
  <c r="AV92" i="5" s="1"/>
  <c r="BG92" i="5" s="1"/>
  <c r="AN92" i="5" a="1"/>
  <c r="AN92" i="5" s="1"/>
  <c r="AO92" i="5" s="1" a="1"/>
  <c r="AO92" i="5" s="1"/>
  <c r="AU252" i="5" a="1"/>
  <c r="AU252" i="5" s="1"/>
  <c r="BF252" i="5" s="1"/>
  <c r="BB267" i="5"/>
  <c r="B267" i="5" s="1" a="1"/>
  <c r="B267" i="5" s="1"/>
  <c r="BA173" i="5"/>
  <c r="BH64" i="5" a="1"/>
  <c r="BH64" i="5" s="1"/>
  <c r="BB96" i="5"/>
  <c r="B96" i="5" s="1" a="1"/>
  <c r="B96" i="5" s="1"/>
  <c r="AG77" i="5" a="1"/>
  <c r="AG77" i="5" s="1"/>
  <c r="AH77" i="5" s="1"/>
  <c r="AM77" i="5" s="1"/>
  <c r="AY287" i="5" a="1"/>
  <c r="AY287" i="5" s="1"/>
  <c r="AZ287" i="5" s="1"/>
  <c r="BB287" i="5" s="1"/>
  <c r="B287" i="5" s="1" a="1"/>
  <c r="B287" i="5" s="1"/>
  <c r="AG74" i="5" a="1"/>
  <c r="AG74" i="5" s="1"/>
  <c r="AH74" i="5" s="1"/>
  <c r="AM74" i="5" s="1"/>
  <c r="BA99" i="5"/>
  <c r="AG67" i="5" a="1"/>
  <c r="AG67" i="5" s="1"/>
  <c r="AH67" i="5" s="1"/>
  <c r="AM67" i="5" s="1"/>
  <c r="AY148" i="5" a="1"/>
  <c r="AY148" i="5" s="1"/>
  <c r="AZ148" i="5" s="1"/>
  <c r="BB148" i="5" s="1"/>
  <c r="B148" i="5" s="1" a="1"/>
  <c r="B148" i="5" s="1"/>
  <c r="AT110" i="5" a="1"/>
  <c r="AT110" i="5" s="1"/>
  <c r="BE110" i="5" s="1"/>
  <c r="AS168" i="5" a="1"/>
  <c r="AS168" i="5" s="1"/>
  <c r="AT168" i="5" s="1" a="1"/>
  <c r="AT168" i="5" s="1"/>
  <c r="BE168" i="5" s="1"/>
  <c r="BH263" i="5" a="1"/>
  <c r="BH263" i="5" s="1"/>
  <c r="AV39" i="5" a="1"/>
  <c r="AV39" i="5" s="1"/>
  <c r="BG39" i="5" s="1"/>
  <c r="BB180" i="5"/>
  <c r="B180" i="5" s="1" a="1"/>
  <c r="B180" i="5" s="1"/>
  <c r="AP48" i="5"/>
  <c r="AS48" i="5" a="1"/>
  <c r="AS48" i="5" s="1"/>
  <c r="AU48" i="5" a="1"/>
  <c r="AU48" i="5" s="1"/>
  <c r="BF48" i="5" s="1"/>
  <c r="AG41" i="5" a="1"/>
  <c r="AG41" i="5" s="1"/>
  <c r="AH41" i="5" s="1"/>
  <c r="AM41" i="5" s="1"/>
  <c r="AS245" i="5" a="1"/>
  <c r="AS245" i="5" s="1"/>
  <c r="AT245" i="5" s="1" a="1"/>
  <c r="AT245" i="5" s="1"/>
  <c r="BE245" i="5" s="1"/>
  <c r="BB258" i="5"/>
  <c r="B258" i="5" s="1" a="1"/>
  <c r="B258" i="5" s="1"/>
  <c r="AS149" i="5" a="1"/>
  <c r="AS149" i="5" s="1"/>
  <c r="BD149" i="5" s="1"/>
  <c r="BH60" i="5" a="1"/>
  <c r="BH60" i="5" s="1"/>
  <c r="AN60" i="5" a="1"/>
  <c r="AN60" i="5" s="1"/>
  <c r="AO60" i="5" s="1" a="1"/>
  <c r="AO60" i="5" s="1"/>
  <c r="AP60" i="5" s="1"/>
  <c r="AY60" i="5" s="1" a="1"/>
  <c r="AY60" i="5" s="1"/>
  <c r="AZ60" i="5" s="1"/>
  <c r="BA118" i="5"/>
  <c r="AU164" i="5" a="1"/>
  <c r="AU164" i="5" s="1"/>
  <c r="BF164" i="5" s="1"/>
  <c r="AS164" i="5" a="1"/>
  <c r="AS164" i="5" s="1"/>
  <c r="BH226" i="5" a="1"/>
  <c r="BH226" i="5" s="1"/>
  <c r="AV226" i="5" a="1"/>
  <c r="AV226" i="5" s="1"/>
  <c r="BG226" i="5" s="1"/>
  <c r="AQ226" i="5"/>
  <c r="AN226" i="5" a="1"/>
  <c r="AN226" i="5" s="1"/>
  <c r="AO226" i="5" s="1" a="1"/>
  <c r="AO226" i="5" s="1"/>
  <c r="AP226" i="5" s="1"/>
  <c r="AP268" i="5"/>
  <c r="AS249" i="5" a="1"/>
  <c r="AS249" i="5" s="1"/>
  <c r="AU249" i="5" a="1"/>
  <c r="AU249" i="5" s="1"/>
  <c r="BF249" i="5" s="1"/>
  <c r="BH229" i="5" a="1"/>
  <c r="BH229" i="5" s="1"/>
  <c r="AU268" i="5" a="1"/>
  <c r="AU268" i="5" s="1"/>
  <c r="BF268" i="5" s="1"/>
  <c r="AS268" i="5" a="1"/>
  <c r="AS268" i="5" s="1"/>
  <c r="AV261" i="5" a="1"/>
  <c r="AV261" i="5" s="1"/>
  <c r="BG261" i="5" s="1"/>
  <c r="BH261" i="5" a="1"/>
  <c r="BH261" i="5" s="1"/>
  <c r="AN261" i="5" a="1"/>
  <c r="AN261" i="5" s="1"/>
  <c r="AO261" i="5" s="1" a="1"/>
  <c r="AO261" i="5" s="1"/>
  <c r="AP261" i="5" s="1"/>
  <c r="AY224" i="5" a="1"/>
  <c r="AY224" i="5" s="1"/>
  <c r="AZ224" i="5" s="1"/>
  <c r="BB224" i="5" s="1"/>
  <c r="B224" i="5" s="1" a="1"/>
  <c r="B224" i="5" s="1"/>
  <c r="AU282" i="5" a="1"/>
  <c r="AU282" i="5" s="1"/>
  <c r="BF282" i="5" s="1"/>
  <c r="AQ153" i="5"/>
  <c r="AV153" i="5" a="1"/>
  <c r="AV153" i="5" s="1"/>
  <c r="BG153" i="5" s="1"/>
  <c r="BH153" i="5" a="1"/>
  <c r="BH153" i="5" s="1"/>
  <c r="AN153" i="5" a="1"/>
  <c r="AN153" i="5" s="1"/>
  <c r="AO153" i="5" s="1" a="1"/>
  <c r="AO153" i="5" s="1"/>
  <c r="AP153" i="5" s="1"/>
  <c r="AY188" i="5" a="1"/>
  <c r="AY188" i="5" s="1"/>
  <c r="AZ188" i="5" s="1"/>
  <c r="BB188" i="5" s="1"/>
  <c r="B188" i="5" s="1" a="1"/>
  <c r="B188" i="5" s="1"/>
  <c r="AY183" i="5" a="1"/>
  <c r="AY183" i="5" s="1"/>
  <c r="AZ183" i="5" s="1"/>
  <c r="BB40" i="5"/>
  <c r="B40" i="5" s="1" a="1"/>
  <c r="B40" i="5" s="1"/>
  <c r="BB285" i="5"/>
  <c r="B285" i="5" s="1" a="1"/>
  <c r="B285" i="5" s="1"/>
  <c r="BD280" i="5"/>
  <c r="BA138" i="5"/>
  <c r="AT147" i="5" a="1"/>
  <c r="AT147" i="5" s="1"/>
  <c r="BE147" i="5" s="1"/>
  <c r="AT112" i="5" a="1"/>
  <c r="AT112" i="5" s="1"/>
  <c r="BE112" i="5" s="1"/>
  <c r="BH142" i="5" a="1"/>
  <c r="BH142" i="5" s="1"/>
  <c r="AN241" i="5" a="1"/>
  <c r="AN241" i="5" s="1"/>
  <c r="AO241" i="5" s="1" a="1"/>
  <c r="AO241" i="5" s="1"/>
  <c r="AP241" i="5" s="1"/>
  <c r="AV241" i="5" a="1"/>
  <c r="AV241" i="5" s="1"/>
  <c r="BG241" i="5" s="1"/>
  <c r="AQ241" i="5"/>
  <c r="AU241" i="5" s="1" a="1"/>
  <c r="AU241" i="5" s="1"/>
  <c r="BF241" i="5" s="1"/>
  <c r="BA59" i="5"/>
  <c r="AN142" i="5" a="1"/>
  <c r="AN142" i="5" s="1"/>
  <c r="AO142" i="5" s="1" a="1"/>
  <c r="AO142" i="5" s="1"/>
  <c r="AP142" i="5" s="1"/>
  <c r="AN225" i="5" a="1"/>
  <c r="AN225" i="5" s="1"/>
  <c r="AO225" i="5" s="1" a="1"/>
  <c r="AO225" i="5" s="1"/>
  <c r="AP225" i="5" s="1"/>
  <c r="AV142" i="5" a="1"/>
  <c r="AV142" i="5" s="1"/>
  <c r="BG142" i="5" s="1"/>
  <c r="AQ225" i="5"/>
  <c r="AU225" i="5" s="1" a="1"/>
  <c r="AU225" i="5" s="1"/>
  <c r="BF225" i="5" s="1"/>
  <c r="BB97" i="5"/>
  <c r="B97" i="5" s="1" a="1"/>
  <c r="B97" i="5" s="1"/>
  <c r="AS248" i="5" a="1"/>
  <c r="AS248" i="5" s="1"/>
  <c r="BD248" i="5" s="1"/>
  <c r="AQ141" i="5"/>
  <c r="AS141" i="5" s="1" a="1"/>
  <c r="AS141" i="5" s="1"/>
  <c r="AV210" i="5" a="1"/>
  <c r="AV210" i="5" s="1"/>
  <c r="BG210" i="5" s="1"/>
  <c r="BD114" i="5"/>
  <c r="AT114" i="5" a="1"/>
  <c r="AT114" i="5" s="1"/>
  <c r="BB79" i="5"/>
  <c r="B79" i="5" s="1" a="1"/>
  <c r="B79" i="5" s="1"/>
  <c r="BA139" i="5"/>
  <c r="BB72" i="5"/>
  <c r="B72" i="5" s="1" a="1"/>
  <c r="B72" i="5" s="1"/>
  <c r="AY259" i="5" a="1"/>
  <c r="AY259" i="5" s="1"/>
  <c r="AZ259" i="5" s="1"/>
  <c r="AU102" i="5" a="1"/>
  <c r="AU102" i="5" s="1"/>
  <c r="BF102" i="5" s="1"/>
  <c r="BH210" i="5" a="1"/>
  <c r="BH210" i="5" s="1"/>
  <c r="AS81" i="5" a="1"/>
  <c r="AS81" i="5" s="1"/>
  <c r="AU81" i="5" a="1"/>
  <c r="AU81" i="5" s="1"/>
  <c r="BF81" i="5" s="1"/>
  <c r="AN191" i="5" a="1"/>
  <c r="AN191" i="5" s="1"/>
  <c r="AO191" i="5" s="1" a="1"/>
  <c r="AO191" i="5" s="1"/>
  <c r="BB121" i="5"/>
  <c r="B121" i="5" s="1" a="1"/>
  <c r="B121" i="5" s="1"/>
  <c r="AY122" i="5" a="1"/>
  <c r="AY122" i="5" s="1"/>
  <c r="AZ122" i="5" s="1"/>
  <c r="BB122" i="5" s="1"/>
  <c r="B122" i="5" s="1" a="1"/>
  <c r="B122" i="5" s="1"/>
  <c r="AQ294" i="5"/>
  <c r="AS294" i="5" s="1" a="1"/>
  <c r="AS294" i="5" s="1"/>
  <c r="AS223" i="5" a="1"/>
  <c r="AS223" i="5" s="1"/>
  <c r="AT223" i="5" s="1" a="1"/>
  <c r="AT223" i="5" s="1"/>
  <c r="BB68" i="5"/>
  <c r="B68" i="5" s="1" a="1"/>
  <c r="B68" i="5" s="1"/>
  <c r="BH295" i="5" a="1"/>
  <c r="BH295" i="5" s="1"/>
  <c r="AN125" i="5" a="1"/>
  <c r="AN125" i="5" s="1"/>
  <c r="AO125" i="5" s="1" a="1"/>
  <c r="AO125" i="5" s="1"/>
  <c r="AP125" i="5" s="1"/>
  <c r="AV125" i="5" a="1"/>
  <c r="AV125" i="5" s="1"/>
  <c r="BG125" i="5" s="1"/>
  <c r="BH294" i="5" a="1"/>
  <c r="BH294" i="5" s="1"/>
  <c r="BB95" i="5"/>
  <c r="B95" i="5" s="1" a="1"/>
  <c r="B95" i="5" s="1"/>
  <c r="BH73" i="5" a="1"/>
  <c r="BH73" i="5" s="1"/>
  <c r="BH189" i="5" a="1"/>
  <c r="BH189" i="5" s="1"/>
  <c r="AV73" i="5" a="1"/>
  <c r="AV73" i="5" s="1"/>
  <c r="BG73" i="5" s="1"/>
  <c r="AT143" i="5" a="1"/>
  <c r="AT143" i="5" s="1"/>
  <c r="BE143" i="5" s="1"/>
  <c r="BD143" i="5"/>
  <c r="AV189" i="5" a="1"/>
  <c r="AV189" i="5" s="1"/>
  <c r="BG189" i="5" s="1"/>
  <c r="AV295" i="5" a="1"/>
  <c r="AV295" i="5" s="1"/>
  <c r="BG295" i="5" s="1"/>
  <c r="AQ295" i="5"/>
  <c r="AU295" i="5" s="1" a="1"/>
  <c r="AU295" i="5" s="1"/>
  <c r="BF295" i="5" s="1"/>
  <c r="AY199" i="5" a="1"/>
  <c r="AY199" i="5" s="1"/>
  <c r="AZ199" i="5" s="1"/>
  <c r="BB199" i="5" s="1"/>
  <c r="B199" i="5" s="1" a="1"/>
  <c r="B199" i="5" s="1"/>
  <c r="BA119" i="5"/>
  <c r="AN288" i="5" a="1"/>
  <c r="AN288" i="5" s="1"/>
  <c r="AO288" i="5" s="1" a="1"/>
  <c r="AO288" i="5" s="1"/>
  <c r="AP288" i="5" s="1"/>
  <c r="AV288" i="5" a="1"/>
  <c r="AV288" i="5" s="1"/>
  <c r="BG288" i="5" s="1"/>
  <c r="BB133" i="5"/>
  <c r="B133" i="5" s="1" a="1"/>
  <c r="B133" i="5" s="1"/>
  <c r="BA133" i="5"/>
  <c r="AV294" i="5" a="1"/>
  <c r="AV294" i="5" s="1"/>
  <c r="BG294" i="5" s="1"/>
  <c r="BH225" i="5" a="1"/>
  <c r="BH225" i="5" s="1"/>
  <c r="AY201" i="5" a="1"/>
  <c r="AY201" i="5" s="1"/>
  <c r="AZ201" i="5" s="1"/>
  <c r="BA201" i="5" s="1"/>
  <c r="AY235" i="5" a="1"/>
  <c r="AY235" i="5" s="1"/>
  <c r="AZ235" i="5" s="1"/>
  <c r="BD291" i="5"/>
  <c r="AN213" i="5" a="1"/>
  <c r="AN213" i="5" s="1"/>
  <c r="AO213" i="5" s="1" a="1"/>
  <c r="AO213" i="5" s="1"/>
  <c r="BA32" i="5"/>
  <c r="BB32" i="5"/>
  <c r="B32" i="5" s="1" a="1"/>
  <c r="B32" i="5" s="1"/>
  <c r="BH289" i="5" a="1"/>
  <c r="BH289" i="5" s="1"/>
  <c r="AQ213" i="5"/>
  <c r="BA187" i="5"/>
  <c r="BB187" i="5"/>
  <c r="B187" i="5" s="1" a="1"/>
  <c r="B187" i="5" s="1"/>
  <c r="AP210" i="5"/>
  <c r="AT154" i="5" a="1"/>
  <c r="AT154" i="5" s="1"/>
  <c r="BE154" i="5" s="1"/>
  <c r="BD154" i="5"/>
  <c r="BA75" i="5"/>
  <c r="BB75" i="5"/>
  <c r="B75" i="5" s="1" a="1"/>
  <c r="B75" i="5" s="1"/>
  <c r="BE197" i="5"/>
  <c r="AY197" i="5" a="1"/>
  <c r="AY197" i="5" s="1"/>
  <c r="AZ197" i="5" s="1"/>
  <c r="AT251" i="5" a="1"/>
  <c r="AT251" i="5" s="1"/>
  <c r="BD251" i="5"/>
  <c r="AU210" i="5" a="1"/>
  <c r="AU210" i="5" s="1"/>
  <c r="BF210" i="5" s="1"/>
  <c r="AS210" i="5" a="1"/>
  <c r="AS210" i="5" s="1"/>
  <c r="BD252" i="5"/>
  <c r="AT252" i="5" a="1"/>
  <c r="AT252" i="5" s="1"/>
  <c r="BE252" i="5" s="1"/>
  <c r="AS142" i="5" a="1"/>
  <c r="AS142" i="5" s="1"/>
  <c r="AU142" i="5" a="1"/>
  <c r="AU142" i="5" s="1"/>
  <c r="BF142" i="5" s="1"/>
  <c r="BD276" i="5"/>
  <c r="AT276" i="5" a="1"/>
  <c r="AT276" i="5" s="1"/>
  <c r="BE276" i="5" s="1"/>
  <c r="AT269" i="5" a="1"/>
  <c r="AT269" i="5" s="1"/>
  <c r="BD269" i="5"/>
  <c r="BD76" i="5"/>
  <c r="AT76" i="5" a="1"/>
  <c r="AT76" i="5" s="1"/>
  <c r="BE76" i="5" s="1"/>
  <c r="AY85" i="5" a="1"/>
  <c r="AY85" i="5" s="1"/>
  <c r="AZ85" i="5" s="1"/>
  <c r="AT37" i="5" a="1"/>
  <c r="AT37" i="5" s="1"/>
  <c r="BE37" i="5" s="1"/>
  <c r="BD37" i="5"/>
  <c r="BE165" i="5"/>
  <c r="AY165" i="5" a="1"/>
  <c r="AY165" i="5" s="1"/>
  <c r="AZ165" i="5" s="1"/>
  <c r="BD240" i="5"/>
  <c r="AT240" i="5" a="1"/>
  <c r="AT240" i="5" s="1"/>
  <c r="BE240" i="5" s="1"/>
  <c r="BD219" i="5"/>
  <c r="AT219" i="5" a="1"/>
  <c r="AT219" i="5" s="1"/>
  <c r="BE219" i="5" s="1"/>
  <c r="AT203" i="5" a="1"/>
  <c r="AT203" i="5" s="1"/>
  <c r="BE203" i="5" s="1"/>
  <c r="BD203" i="5"/>
  <c r="BE278" i="5"/>
  <c r="AY278" i="5" a="1"/>
  <c r="AY278" i="5" s="1"/>
  <c r="AZ278" i="5" s="1"/>
  <c r="AT70" i="5" a="1"/>
  <c r="AT70" i="5" s="1"/>
  <c r="BE70" i="5" s="1"/>
  <c r="BD70" i="5"/>
  <c r="BE261" i="5"/>
  <c r="BD205" i="5"/>
  <c r="AT205" i="5" a="1"/>
  <c r="AT205" i="5" s="1"/>
  <c r="AT263" i="5" a="1"/>
  <c r="AT263" i="5" s="1"/>
  <c r="BD263" i="5"/>
  <c r="AT102" i="5" a="1"/>
  <c r="AT102" i="5" s="1"/>
  <c r="BD102" i="5"/>
  <c r="AY250" i="5" a="1"/>
  <c r="AY250" i="5" s="1"/>
  <c r="AZ250" i="5" s="1"/>
  <c r="BE101" i="5"/>
  <c r="AY101" i="5" a="1"/>
  <c r="AY101" i="5" s="1"/>
  <c r="AZ101" i="5" s="1"/>
  <c r="AY186" i="5" a="1"/>
  <c r="AY186" i="5" s="1"/>
  <c r="AZ186" i="5" s="1"/>
  <c r="BD222" i="5"/>
  <c r="AT222" i="5" a="1"/>
  <c r="AT222" i="5" s="1"/>
  <c r="BE222" i="5" s="1"/>
  <c r="BD262" i="5"/>
  <c r="AT262" i="5" a="1"/>
  <c r="AT262" i="5" s="1"/>
  <c r="AY176" i="5" a="1"/>
  <c r="AY176" i="5" s="1"/>
  <c r="AZ176" i="5" s="1"/>
  <c r="AS73" i="5" a="1"/>
  <c r="AS73" i="5" s="1"/>
  <c r="AU73" i="5" a="1"/>
  <c r="AU73" i="5" s="1"/>
  <c r="BF73" i="5" s="1"/>
  <c r="AT282" i="5" a="1"/>
  <c r="AT282" i="5" s="1"/>
  <c r="BE282" i="5" s="1"/>
  <c r="BD282" i="5"/>
  <c r="AT113" i="5" a="1"/>
  <c r="AT113" i="5" s="1"/>
  <c r="BD113" i="5"/>
  <c r="AY200" i="5" a="1"/>
  <c r="AY200" i="5" s="1"/>
  <c r="AZ200" i="5" s="1"/>
  <c r="AT239" i="5" a="1"/>
  <c r="AT239" i="5" s="1"/>
  <c r="BE239" i="5" s="1"/>
  <c r="BD239" i="5"/>
  <c r="AT88" i="5" a="1"/>
  <c r="AT88" i="5" s="1"/>
  <c r="BE88" i="5" s="1"/>
  <c r="BD88" i="5"/>
  <c r="AT169" i="5" a="1"/>
  <c r="AT169" i="5" s="1"/>
  <c r="BE169" i="5" s="1"/>
  <c r="BD169" i="5"/>
  <c r="AU39" i="5" a="1"/>
  <c r="AU39" i="5" s="1"/>
  <c r="BF39" i="5" s="1"/>
  <c r="AS39" i="5" a="1"/>
  <c r="AS39" i="5" s="1"/>
  <c r="BB244" i="5"/>
  <c r="B244" i="5" s="1" a="1"/>
  <c r="B244" i="5" s="1"/>
  <c r="BA244" i="5"/>
  <c r="AY56" i="5" a="1"/>
  <c r="AY56" i="5" s="1"/>
  <c r="AZ56" i="5" s="1"/>
  <c r="BA56" i="5" s="1"/>
  <c r="AY42" i="5" a="1"/>
  <c r="AY42" i="5" s="1"/>
  <c r="AZ42" i="5" s="1"/>
  <c r="AT292" i="5" a="1"/>
  <c r="AT292" i="5" s="1"/>
  <c r="BE292" i="5" s="1"/>
  <c r="BD292" i="5"/>
  <c r="AY266" i="5" a="1"/>
  <c r="AY266" i="5" s="1"/>
  <c r="AZ266" i="5" s="1"/>
  <c r="AY221" i="5" a="1"/>
  <c r="AY221" i="5" s="1"/>
  <c r="AZ221" i="5" s="1"/>
  <c r="AT35" i="5" a="1"/>
  <c r="AT35" i="5" s="1"/>
  <c r="BE35" i="5" s="1"/>
  <c r="BD35" i="5"/>
  <c r="AT196" i="5" a="1"/>
  <c r="AT196" i="5" s="1"/>
  <c r="BD196" i="5"/>
  <c r="BD125" i="5"/>
  <c r="AT125" i="5" a="1"/>
  <c r="AT125" i="5" s="1"/>
  <c r="BE125" i="5" s="1"/>
  <c r="BB63" i="5"/>
  <c r="B63" i="5" s="1" a="1"/>
  <c r="B63" i="5" s="1"/>
  <c r="BE220" i="5"/>
  <c r="AY220" i="5" a="1"/>
  <c r="AY220" i="5" s="1"/>
  <c r="AZ220" i="5" s="1"/>
  <c r="AS237" i="5" a="1"/>
  <c r="AS237" i="5" s="1"/>
  <c r="BD237" i="5" s="1"/>
  <c r="AT124" i="5" a="1"/>
  <c r="AT124" i="5" s="1"/>
  <c r="BD124" i="5"/>
  <c r="AT160" i="5" a="1"/>
  <c r="AT160" i="5" s="1"/>
  <c r="BE160" i="5" s="1"/>
  <c r="BD160" i="5"/>
  <c r="BB198" i="5"/>
  <c r="B198" i="5" s="1" a="1"/>
  <c r="B198" i="5" s="1"/>
  <c r="BA198" i="5"/>
  <c r="BD69" i="5"/>
  <c r="AT69" i="5" a="1"/>
  <c r="AT69" i="5" s="1"/>
  <c r="BE69" i="5" s="1"/>
  <c r="AT83" i="5" a="1"/>
  <c r="AT83" i="5" s="1"/>
  <c r="BE83" i="5" s="1"/>
  <c r="BD83" i="5"/>
  <c r="AT86" i="5" a="1"/>
  <c r="AT86" i="5" s="1"/>
  <c r="BE86" i="5" s="1"/>
  <c r="BD86" i="5"/>
  <c r="BA87" i="5"/>
  <c r="BB87" i="5"/>
  <c r="B87" i="5" s="1" a="1"/>
  <c r="B87" i="5" s="1"/>
  <c r="AY46" i="5" a="1"/>
  <c r="AY46" i="5" s="1"/>
  <c r="AZ46" i="5" s="1"/>
  <c r="BE162" i="5"/>
  <c r="AY162" i="5" a="1"/>
  <c r="AY162" i="5" s="1"/>
  <c r="AZ162" i="5" s="1"/>
  <c r="AT238" i="5" a="1"/>
  <c r="AT238" i="5" s="1"/>
  <c r="BE238" i="5" s="1"/>
  <c r="BD238" i="5"/>
  <c r="AY163" i="5" a="1"/>
  <c r="AY163" i="5" s="1"/>
  <c r="AZ163" i="5" s="1"/>
  <c r="BB163" i="5" s="1"/>
  <c r="B163" i="5" s="1" a="1"/>
  <c r="B163" i="5" s="1"/>
  <c r="BE236" i="5"/>
  <c r="AY236" i="5" a="1"/>
  <c r="AY236" i="5" s="1"/>
  <c r="AZ236" i="5" s="1"/>
  <c r="BB108" i="5"/>
  <c r="B108" i="5" s="1" a="1"/>
  <c r="B108" i="5" s="1"/>
  <c r="BA108" i="5"/>
  <c r="BA136" i="5"/>
  <c r="BB136" i="5"/>
  <c r="B136" i="5" s="1" a="1"/>
  <c r="B136" i="5" s="1"/>
  <c r="BE232" i="5"/>
  <c r="AY232" i="5" a="1"/>
  <c r="AY232" i="5" s="1"/>
  <c r="AZ232" i="5" s="1"/>
  <c r="BE91" i="5"/>
  <c r="AY91" i="5" a="1"/>
  <c r="AY91" i="5" s="1"/>
  <c r="AZ91" i="5" s="1"/>
  <c r="AS281" i="5" a="1"/>
  <c r="AS281" i="5" s="1"/>
  <c r="AU281" i="5" a="1"/>
  <c r="AU281" i="5" s="1"/>
  <c r="BF281" i="5" s="1"/>
  <c r="AY291" i="5" a="1"/>
  <c r="AY291" i="5" s="1"/>
  <c r="AZ291" i="5" s="1"/>
  <c r="BD43" i="5"/>
  <c r="AT43" i="5" a="1"/>
  <c r="AT43" i="5" s="1"/>
  <c r="BE43" i="5" s="1"/>
  <c r="BE71" i="5"/>
  <c r="AT151" i="5" a="1"/>
  <c r="AT151" i="5" s="1"/>
  <c r="BE151" i="5" s="1"/>
  <c r="BD151" i="5"/>
  <c r="AT273" i="5" a="1"/>
  <c r="AT273" i="5" s="1"/>
  <c r="BD273" i="5"/>
  <c r="AT215" i="5" a="1"/>
  <c r="AT215" i="5" s="1"/>
  <c r="BE215" i="5" s="1"/>
  <c r="BD215" i="5"/>
  <c r="BE234" i="5"/>
  <c r="AY234" i="5" a="1"/>
  <c r="AY234" i="5" s="1"/>
  <c r="AZ234" i="5" s="1"/>
  <c r="BE247" i="5"/>
  <c r="AY247" i="5" a="1"/>
  <c r="AY247" i="5" s="1"/>
  <c r="AZ247" i="5" s="1"/>
  <c r="BD152" i="5"/>
  <c r="AT152" i="5" a="1"/>
  <c r="AT152" i="5" s="1"/>
  <c r="BE152" i="5" s="1"/>
  <c r="BE280" i="5"/>
  <c r="AY280" i="5" a="1"/>
  <c r="AY280" i="5" s="1"/>
  <c r="AZ280" i="5" s="1"/>
  <c r="BE279" i="5"/>
  <c r="AY279" i="5" a="1"/>
  <c r="AY279" i="5" s="1"/>
  <c r="AZ279" i="5" s="1"/>
  <c r="BB161" i="5"/>
  <c r="B161" i="5" s="1" a="1"/>
  <c r="B161" i="5" s="1"/>
  <c r="BA161" i="5"/>
  <c r="BA22" i="5"/>
  <c r="BB22" i="5"/>
  <c r="B22" i="5" s="1" a="1"/>
  <c r="B22" i="5" s="1"/>
  <c r="BB11" i="5"/>
  <c r="B11" i="5" s="1" a="1"/>
  <c r="B11" i="5" s="1"/>
  <c r="BA11" i="5"/>
  <c r="BB24" i="5"/>
  <c r="B24" i="5" s="1" a="1"/>
  <c r="B24" i="5" s="1"/>
  <c r="BA24" i="5"/>
  <c r="BA27" i="5"/>
  <c r="BB27" i="5"/>
  <c r="B27" i="5" s="1" a="1"/>
  <c r="B27" i="5" s="1"/>
  <c r="BA29" i="5"/>
  <c r="BB29" i="5"/>
  <c r="B29" i="5" s="1" a="1"/>
  <c r="B29" i="5" s="1"/>
  <c r="BA7" i="5"/>
  <c r="BB7" i="5"/>
  <c r="B7" i="5" s="1" a="1"/>
  <c r="B7" i="5" s="1"/>
  <c r="BA23" i="5"/>
  <c r="BB23" i="5"/>
  <c r="B23" i="5" s="1" a="1"/>
  <c r="B23" i="5" s="1"/>
  <c r="BA13" i="5"/>
  <c r="BB13" i="5"/>
  <c r="B13" i="5" s="1" a="1"/>
  <c r="B13" i="5" s="1"/>
  <c r="AZ19" i="5"/>
  <c r="AS25" i="5" a="1"/>
  <c r="AS25" i="5" s="1"/>
  <c r="AU25" i="5" a="1"/>
  <c r="AU25" i="5" s="1"/>
  <c r="BF25" i="5" s="1"/>
  <c r="AN21" i="5" a="1"/>
  <c r="AN21" i="5" s="1"/>
  <c r="AO21" i="5" s="1" a="1"/>
  <c r="AO21" i="5" s="1"/>
  <c r="BH21" i="5" a="1"/>
  <c r="BH21" i="5" s="1"/>
  <c r="AV21" i="5" a="1"/>
  <c r="AV21" i="5" s="1"/>
  <c r="BG21" i="5" s="1"/>
  <c r="AP20" i="5"/>
  <c r="AY20" i="5" s="1" a="1"/>
  <c r="AY20" i="5" s="1"/>
  <c r="BH15" i="5" a="1"/>
  <c r="BH15" i="5" s="1"/>
  <c r="AV15" i="5" a="1"/>
  <c r="AV15" i="5" s="1"/>
  <c r="BG15" i="5" s="1"/>
  <c r="AP14" i="5"/>
  <c r="AY14" i="5" s="1" a="1"/>
  <c r="AY14" i="5" s="1"/>
  <c r="AQ17" i="5"/>
  <c r="AN15" i="5" a="1"/>
  <c r="AN15" i="5" s="1"/>
  <c r="AO15" i="5" s="1" a="1"/>
  <c r="AO15" i="5" s="1"/>
  <c r="BD111" i="5" l="1"/>
  <c r="BB246" i="5"/>
  <c r="B246" i="5" s="1" a="1"/>
  <c r="B246" i="5" s="1"/>
  <c r="G3" i="8"/>
  <c r="AT98" i="5" a="1"/>
  <c r="AT98" i="5" s="1"/>
  <c r="BE98" i="5" s="1"/>
  <c r="BD98" i="5"/>
  <c r="AY80" i="5" a="1"/>
  <c r="AY80" i="5" s="1"/>
  <c r="AZ80" i="5" s="1"/>
  <c r="BB80" i="5" s="1"/>
  <c r="B80" i="5" s="1" a="1"/>
  <c r="B80" i="5" s="1"/>
  <c r="AY71" i="5" a="1"/>
  <c r="AY71" i="5" s="1"/>
  <c r="AZ71" i="5" s="1"/>
  <c r="BA71" i="5" s="1"/>
  <c r="AT155" i="5" a="1"/>
  <c r="AT155" i="5" s="1"/>
  <c r="BE155" i="5" s="1"/>
  <c r="BD155" i="5"/>
  <c r="AP145" i="5"/>
  <c r="AY145" i="5" s="1" a="1"/>
  <c r="AY145" i="5" s="1"/>
  <c r="AZ145" i="5" s="1"/>
  <c r="BA287" i="5"/>
  <c r="BD245" i="5"/>
  <c r="AN64" i="5" a="1"/>
  <c r="AN64" i="5" s="1"/>
  <c r="AO64" i="5" s="1" a="1"/>
  <c r="AO64" i="5" s="1"/>
  <c r="AP64" i="5" s="1"/>
  <c r="AP92" i="5"/>
  <c r="AS92" i="5" a="1"/>
  <c r="AS92" i="5" s="1"/>
  <c r="AU92" i="5" a="1"/>
  <c r="AU92" i="5" s="1"/>
  <c r="BF92" i="5" s="1"/>
  <c r="AN263" i="5" a="1"/>
  <c r="AN263" i="5" s="1"/>
  <c r="AO263" i="5" s="1" a="1"/>
  <c r="AO263" i="5" s="1"/>
  <c r="AP263" i="5" s="1"/>
  <c r="AV64" i="5" a="1"/>
  <c r="AV64" i="5" s="1"/>
  <c r="BG64" i="5" s="1"/>
  <c r="AQ90" i="5"/>
  <c r="BH90" i="5" a="1"/>
  <c r="BH90" i="5" s="1"/>
  <c r="AV90" i="5" a="1"/>
  <c r="AV90" i="5" s="1"/>
  <c r="BG90" i="5" s="1"/>
  <c r="AN90" i="5" a="1"/>
  <c r="AN90" i="5" s="1"/>
  <c r="AO90" i="5" s="1" a="1"/>
  <c r="AO90" i="5" s="1"/>
  <c r="BH84" i="5" a="1"/>
  <c r="BH84" i="5" s="1"/>
  <c r="AN84" i="5" a="1"/>
  <c r="AN84" i="5" s="1"/>
  <c r="AO84" i="5" s="1" a="1"/>
  <c r="AO84" i="5" s="1"/>
  <c r="AP84" i="5" s="1"/>
  <c r="AV84" i="5" a="1"/>
  <c r="AV84" i="5" s="1"/>
  <c r="BG84" i="5" s="1"/>
  <c r="AQ82" i="5"/>
  <c r="AN82" i="5" a="1"/>
  <c r="AN82" i="5" s="1"/>
  <c r="AO82" i="5" s="1" a="1"/>
  <c r="AO82" i="5" s="1"/>
  <c r="BH82" i="5" a="1"/>
  <c r="BH82" i="5" s="1"/>
  <c r="AV82" i="5" a="1"/>
  <c r="AV82" i="5" s="1"/>
  <c r="BG82" i="5" s="1"/>
  <c r="AQ264" i="5"/>
  <c r="AS264" i="5" s="1" a="1"/>
  <c r="AS264" i="5" s="1"/>
  <c r="AT264" i="5" s="1" a="1"/>
  <c r="AT264" i="5" s="1"/>
  <c r="BE264" i="5" s="1"/>
  <c r="AV263" i="5" a="1"/>
  <c r="AV263" i="5" s="1"/>
  <c r="BG263" i="5" s="1"/>
  <c r="AY110" i="5" a="1"/>
  <c r="AY110" i="5" s="1"/>
  <c r="AZ110" i="5" s="1"/>
  <c r="BA110" i="5" s="1"/>
  <c r="BA148" i="5"/>
  <c r="BH74" i="5" a="1"/>
  <c r="BH74" i="5" s="1"/>
  <c r="AV74" i="5" a="1"/>
  <c r="AV74" i="5" s="1"/>
  <c r="BG74" i="5" s="1"/>
  <c r="AN74" i="5" a="1"/>
  <c r="AN74" i="5" s="1"/>
  <c r="AO74" i="5" s="1" a="1"/>
  <c r="AO74" i="5" s="1"/>
  <c r="AN39" i="5" a="1"/>
  <c r="AN39" i="5" s="1"/>
  <c r="AO39" i="5" s="1" a="1"/>
  <c r="AO39" i="5" s="1"/>
  <c r="AP39" i="5" s="1"/>
  <c r="BD168" i="5"/>
  <c r="BH39" i="5" a="1"/>
  <c r="BH39" i="5" s="1"/>
  <c r="AT149" i="5" a="1"/>
  <c r="AT149" i="5" s="1"/>
  <c r="BE149" i="5" s="1"/>
  <c r="AQ293" i="5"/>
  <c r="AS293" i="5" s="1" a="1"/>
  <c r="AS293" i="5" s="1"/>
  <c r="AT48" i="5" a="1"/>
  <c r="AT48" i="5" s="1"/>
  <c r="BE48" i="5" s="1"/>
  <c r="BD48" i="5"/>
  <c r="BA224" i="5"/>
  <c r="AY261" i="5" a="1"/>
  <c r="AY261" i="5" s="1"/>
  <c r="AZ261" i="5" s="1"/>
  <c r="BA261" i="5" s="1"/>
  <c r="BD164" i="5"/>
  <c r="AT164" i="5" a="1"/>
  <c r="AT164" i="5" s="1"/>
  <c r="BE164" i="5" s="1"/>
  <c r="AS241" i="5" a="1"/>
  <c r="AS241" i="5" s="1"/>
  <c r="AT241" i="5" s="1" a="1"/>
  <c r="AT241" i="5" s="1"/>
  <c r="AY112" i="5" a="1"/>
  <c r="AY112" i="5" s="1"/>
  <c r="AZ112" i="5" s="1"/>
  <c r="BA112" i="5" s="1"/>
  <c r="BH227" i="5" a="1"/>
  <c r="BH227" i="5" s="1"/>
  <c r="AQ227" i="5"/>
  <c r="AV227" i="5" a="1"/>
  <c r="AV227" i="5" s="1"/>
  <c r="BG227" i="5" s="1"/>
  <c r="AN227" i="5" a="1"/>
  <c r="AN227" i="5" s="1"/>
  <c r="AO227" i="5" s="1" a="1"/>
  <c r="AO227" i="5" s="1"/>
  <c r="AP227" i="5" s="1"/>
  <c r="AV157" i="5" a="1"/>
  <c r="AV157" i="5" s="1"/>
  <c r="BG157" i="5" s="1"/>
  <c r="AN157" i="5" a="1"/>
  <c r="AN157" i="5" s="1"/>
  <c r="AO157" i="5" s="1" a="1"/>
  <c r="AO157" i="5" s="1"/>
  <c r="AQ157" i="5"/>
  <c r="BH157" i="5" a="1"/>
  <c r="BH157" i="5" s="1"/>
  <c r="BD268" i="5"/>
  <c r="AT268" i="5" a="1"/>
  <c r="AT268" i="5" s="1"/>
  <c r="BE268" i="5" s="1"/>
  <c r="AS153" i="5" a="1"/>
  <c r="AS153" i="5" s="1"/>
  <c r="AU153" i="5" a="1"/>
  <c r="AU153" i="5" s="1"/>
  <c r="BF153" i="5" s="1"/>
  <c r="AV229" i="5" a="1"/>
  <c r="AV229" i="5" s="1"/>
  <c r="BG229" i="5" s="1"/>
  <c r="AN229" i="5" a="1"/>
  <c r="AN229" i="5" s="1"/>
  <c r="AO229" i="5" s="1" a="1"/>
  <c r="AO229" i="5" s="1"/>
  <c r="AP229" i="5" s="1"/>
  <c r="AQ229" i="5"/>
  <c r="BA188" i="5"/>
  <c r="AT249" i="5" a="1"/>
  <c r="AT249" i="5" s="1"/>
  <c r="BE249" i="5" s="1"/>
  <c r="BD249" i="5"/>
  <c r="AU226" i="5" a="1"/>
  <c r="AU226" i="5" s="1"/>
  <c r="BF226" i="5" s="1"/>
  <c r="AS226" i="5" a="1"/>
  <c r="AS226" i="5" s="1"/>
  <c r="AY147" i="5" a="1"/>
  <c r="AY147" i="5" s="1"/>
  <c r="AZ147" i="5" s="1"/>
  <c r="BA147" i="5" s="1"/>
  <c r="BB183" i="5"/>
  <c r="B183" i="5" s="1" a="1"/>
  <c r="B183" i="5" s="1"/>
  <c r="BA183" i="5"/>
  <c r="AY189" i="5" a="1"/>
  <c r="AY189" i="5" s="1"/>
  <c r="AZ189" i="5" s="1"/>
  <c r="BA189" i="5" s="1"/>
  <c r="BD223" i="5"/>
  <c r="AS225" i="5" a="1"/>
  <c r="AS225" i="5" s="1"/>
  <c r="AT225" i="5" s="1" a="1"/>
  <c r="AT225" i="5" s="1"/>
  <c r="BE225" i="5" s="1"/>
  <c r="AT248" i="5" a="1"/>
  <c r="AT248" i="5" s="1"/>
  <c r="BE248" i="5" s="1"/>
  <c r="AU294" i="5" a="1"/>
  <c r="AU294" i="5" s="1"/>
  <c r="BF294" i="5" s="1"/>
  <c r="BA122" i="5"/>
  <c r="AU141" i="5" a="1"/>
  <c r="AU141" i="5" s="1"/>
  <c r="BF141" i="5" s="1"/>
  <c r="AY288" i="5" a="1"/>
  <c r="AY288" i="5" s="1"/>
  <c r="AZ288" i="5" s="1"/>
  <c r="BB288" i="5" s="1"/>
  <c r="B288" i="5" s="1" a="1"/>
  <c r="B288" i="5" s="1"/>
  <c r="BE114" i="5"/>
  <c r="AY114" i="5" a="1"/>
  <c r="AY114" i="5" s="1"/>
  <c r="AZ114" i="5" s="1"/>
  <c r="BA259" i="5"/>
  <c r="BB259" i="5"/>
  <c r="B259" i="5" s="1" a="1"/>
  <c r="B259" i="5" s="1"/>
  <c r="BH191" i="5" a="1"/>
  <c r="BH191" i="5" s="1"/>
  <c r="AV191" i="5" a="1"/>
  <c r="AV191" i="5" s="1"/>
  <c r="BG191" i="5" s="1"/>
  <c r="AY245" i="5" a="1"/>
  <c r="AY245" i="5" s="1"/>
  <c r="AZ245" i="5" s="1"/>
  <c r="BA245" i="5" s="1"/>
  <c r="AY276" i="5" a="1"/>
  <c r="AY276" i="5" s="1"/>
  <c r="AZ276" i="5" s="1"/>
  <c r="BA276" i="5" s="1"/>
  <c r="AT81" i="5" a="1"/>
  <c r="AT81" i="5" s="1"/>
  <c r="BE81" i="5" s="1"/>
  <c r="BD81" i="5"/>
  <c r="AQ230" i="5"/>
  <c r="AU230" i="5" s="1" a="1"/>
  <c r="AU230" i="5" s="1"/>
  <c r="BF230" i="5" s="1"/>
  <c r="AV213" i="5" a="1"/>
  <c r="AV213" i="5" s="1"/>
  <c r="BG213" i="5" s="1"/>
  <c r="AY70" i="5" a="1"/>
  <c r="AY70" i="5" s="1"/>
  <c r="AZ70" i="5" s="1"/>
  <c r="BA70" i="5" s="1"/>
  <c r="BH213" i="5" a="1"/>
  <c r="BH213" i="5" s="1"/>
  <c r="AS295" i="5" a="1"/>
  <c r="AS295" i="5" s="1"/>
  <c r="BD295" i="5" s="1"/>
  <c r="BA199" i="5"/>
  <c r="BB201" i="5"/>
  <c r="B201" i="5" s="1" a="1"/>
  <c r="B201" i="5" s="1"/>
  <c r="AY143" i="5" a="1"/>
  <c r="AY143" i="5" s="1"/>
  <c r="AZ143" i="5" s="1"/>
  <c r="BB60" i="5"/>
  <c r="B60" i="5" s="1" a="1"/>
  <c r="B60" i="5" s="1"/>
  <c r="BA60" i="5"/>
  <c r="AN289" i="5" a="1"/>
  <c r="AN289" i="5" s="1"/>
  <c r="AO289" i="5" s="1" a="1"/>
  <c r="AO289" i="5" s="1"/>
  <c r="AP289" i="5" s="1"/>
  <c r="AY282" i="5" a="1"/>
  <c r="AY282" i="5" s="1"/>
  <c r="AZ282" i="5" s="1"/>
  <c r="BB282" i="5" s="1"/>
  <c r="B282" i="5" s="1" a="1"/>
  <c r="B282" i="5" s="1"/>
  <c r="AY37" i="5" a="1"/>
  <c r="AY37" i="5" s="1"/>
  <c r="AZ37" i="5" s="1"/>
  <c r="BA37" i="5" s="1"/>
  <c r="AY76" i="5" a="1"/>
  <c r="AY76" i="5" s="1"/>
  <c r="AZ76" i="5" s="1"/>
  <c r="BB76" i="5" s="1"/>
  <c r="B76" i="5" s="1" a="1"/>
  <c r="B76" i="5" s="1"/>
  <c r="AV289" i="5" a="1"/>
  <c r="AV289" i="5" s="1"/>
  <c r="BG289" i="5" s="1"/>
  <c r="AY252" i="5" a="1"/>
  <c r="AY252" i="5" s="1"/>
  <c r="AZ252" i="5" s="1"/>
  <c r="BB252" i="5" s="1"/>
  <c r="B252" i="5" s="1" a="1"/>
  <c r="B252" i="5" s="1"/>
  <c r="AY203" i="5" a="1"/>
  <c r="AY203" i="5" s="1"/>
  <c r="AZ203" i="5" s="1"/>
  <c r="BA203" i="5" s="1"/>
  <c r="AY111" i="5" a="1"/>
  <c r="AY111" i="5" s="1"/>
  <c r="AZ111" i="5" s="1"/>
  <c r="BA111" i="5" s="1"/>
  <c r="BB235" i="5"/>
  <c r="B235" i="5" s="1" a="1"/>
  <c r="B235" i="5" s="1"/>
  <c r="BA235" i="5"/>
  <c r="BD73" i="5"/>
  <c r="AT73" i="5" a="1"/>
  <c r="AT73" i="5" s="1"/>
  <c r="BE73" i="5" s="1"/>
  <c r="BB278" i="5"/>
  <c r="B278" i="5" s="1" a="1"/>
  <c r="B278" i="5" s="1"/>
  <c r="BA278" i="5"/>
  <c r="BB186" i="5"/>
  <c r="B186" i="5" s="1" a="1"/>
  <c r="B186" i="5" s="1"/>
  <c r="BA186" i="5"/>
  <c r="AT142" i="5" a="1"/>
  <c r="AT142" i="5" s="1"/>
  <c r="BE142" i="5" s="1"/>
  <c r="BD142" i="5"/>
  <c r="AY239" i="5" a="1"/>
  <c r="AY239" i="5" s="1"/>
  <c r="AZ239" i="5" s="1"/>
  <c r="BA101" i="5"/>
  <c r="BB101" i="5"/>
  <c r="B101" i="5" s="1" a="1"/>
  <c r="B101" i="5" s="1"/>
  <c r="BE263" i="5"/>
  <c r="AY240" i="5" a="1"/>
  <c r="AY240" i="5" s="1"/>
  <c r="AZ240" i="5" s="1"/>
  <c r="AT141" i="5" a="1"/>
  <c r="AT141" i="5" s="1"/>
  <c r="BE141" i="5" s="1"/>
  <c r="BD141" i="5"/>
  <c r="BE205" i="5"/>
  <c r="AY205" i="5" a="1"/>
  <c r="AY205" i="5" s="1"/>
  <c r="AZ205" i="5" s="1"/>
  <c r="BB85" i="5"/>
  <c r="B85" i="5" s="1" a="1"/>
  <c r="B85" i="5" s="1"/>
  <c r="BA85" i="5"/>
  <c r="AT237" i="5" a="1"/>
  <c r="AT237" i="5" s="1"/>
  <c r="BE237" i="5" s="1"/>
  <c r="BB56" i="5"/>
  <c r="B56" i="5" s="1" a="1"/>
  <c r="B56" i="5" s="1"/>
  <c r="BB176" i="5"/>
  <c r="B176" i="5" s="1" a="1"/>
  <c r="B176" i="5" s="1"/>
  <c r="BA176" i="5"/>
  <c r="AY168" i="5" a="1"/>
  <c r="AY168" i="5" s="1"/>
  <c r="AZ168" i="5" s="1"/>
  <c r="BE251" i="5"/>
  <c r="AY251" i="5" a="1"/>
  <c r="AY251" i="5" s="1"/>
  <c r="AZ251" i="5" s="1"/>
  <c r="BE113" i="5"/>
  <c r="AY113" i="5" a="1"/>
  <c r="AY113" i="5" s="1"/>
  <c r="AZ113" i="5" s="1"/>
  <c r="BB165" i="5"/>
  <c r="B165" i="5" s="1" a="1"/>
  <c r="B165" i="5" s="1"/>
  <c r="BA165" i="5"/>
  <c r="BE269" i="5"/>
  <c r="AY269" i="5" a="1"/>
  <c r="AY269" i="5" s="1"/>
  <c r="AZ269" i="5" s="1"/>
  <c r="BB197" i="5"/>
  <c r="B197" i="5" s="1" a="1"/>
  <c r="B197" i="5" s="1"/>
  <c r="BA197" i="5"/>
  <c r="AP191" i="5"/>
  <c r="AP213" i="5"/>
  <c r="AT210" i="5" a="1"/>
  <c r="AT210" i="5" s="1"/>
  <c r="BE210" i="5" s="1"/>
  <c r="BD210" i="5"/>
  <c r="AY35" i="5" a="1"/>
  <c r="AY35" i="5" s="1"/>
  <c r="AZ35" i="5" s="1"/>
  <c r="BB35" i="5" s="1"/>
  <c r="B35" i="5" s="1" a="1"/>
  <c r="B35" i="5" s="1"/>
  <c r="AT39" i="5" a="1"/>
  <c r="AT39" i="5" s="1"/>
  <c r="BD39" i="5"/>
  <c r="BE262" i="5"/>
  <c r="AY262" i="5" a="1"/>
  <c r="AY262" i="5" s="1"/>
  <c r="AZ262" i="5" s="1"/>
  <c r="BA250" i="5"/>
  <c r="BB250" i="5"/>
  <c r="B250" i="5" s="1" a="1"/>
  <c r="B250" i="5" s="1"/>
  <c r="AY169" i="5" a="1"/>
  <c r="AY169" i="5" s="1"/>
  <c r="AZ169" i="5" s="1"/>
  <c r="BB200" i="5"/>
  <c r="B200" i="5" s="1" a="1"/>
  <c r="B200" i="5" s="1"/>
  <c r="BA200" i="5"/>
  <c r="AY219" i="5" a="1"/>
  <c r="AY219" i="5" s="1"/>
  <c r="AZ219" i="5" s="1"/>
  <c r="BE223" i="5"/>
  <c r="AY223" i="5" a="1"/>
  <c r="AY223" i="5" s="1"/>
  <c r="AZ223" i="5" s="1"/>
  <c r="AY222" i="5" a="1"/>
  <c r="AY222" i="5" s="1"/>
  <c r="AZ222" i="5" s="1"/>
  <c r="BE102" i="5"/>
  <c r="AY102" i="5" a="1"/>
  <c r="AY102" i="5" s="1"/>
  <c r="AZ102" i="5" s="1"/>
  <c r="AY154" i="5" a="1"/>
  <c r="AY154" i="5" s="1"/>
  <c r="AZ154" i="5" s="1"/>
  <c r="AY88" i="5" a="1"/>
  <c r="AY88" i="5" s="1"/>
  <c r="AZ88" i="5" s="1"/>
  <c r="AS213" i="5" a="1"/>
  <c r="AS213" i="5" s="1"/>
  <c r="AU213" i="5" a="1"/>
  <c r="AU213" i="5" s="1"/>
  <c r="BF213" i="5" s="1"/>
  <c r="BB221" i="5"/>
  <c r="B221" i="5" s="1" a="1"/>
  <c r="B221" i="5" s="1"/>
  <c r="BA221" i="5"/>
  <c r="AY292" i="5" a="1"/>
  <c r="AY292" i="5" s="1"/>
  <c r="AZ292" i="5" s="1"/>
  <c r="BA266" i="5"/>
  <c r="BB266" i="5"/>
  <c r="B266" i="5" s="1" a="1"/>
  <c r="B266" i="5" s="1"/>
  <c r="BA42" i="5"/>
  <c r="BB42" i="5"/>
  <c r="B42" i="5" s="1" a="1"/>
  <c r="B42" i="5" s="1"/>
  <c r="AT294" i="5" a="1"/>
  <c r="AT294" i="5" s="1"/>
  <c r="BE294" i="5" s="1"/>
  <c r="BD294" i="5"/>
  <c r="AY160" i="5" a="1"/>
  <c r="AY160" i="5" s="1"/>
  <c r="AZ160" i="5" s="1"/>
  <c r="AY125" i="5" a="1"/>
  <c r="AY125" i="5" s="1"/>
  <c r="AZ125" i="5" s="1"/>
  <c r="AY86" i="5" a="1"/>
  <c r="AY86" i="5" s="1"/>
  <c r="AZ86" i="5" s="1"/>
  <c r="BA86" i="5" s="1"/>
  <c r="BE124" i="5"/>
  <c r="AY124" i="5" a="1"/>
  <c r="AY124" i="5" s="1"/>
  <c r="AZ124" i="5" s="1"/>
  <c r="BE196" i="5"/>
  <c r="AY196" i="5" a="1"/>
  <c r="AY196" i="5" s="1"/>
  <c r="AZ196" i="5" s="1"/>
  <c r="BB220" i="5"/>
  <c r="B220" i="5" s="1" a="1"/>
  <c r="B220" i="5" s="1"/>
  <c r="BA220" i="5"/>
  <c r="AY69" i="5" a="1"/>
  <c r="AY69" i="5" s="1"/>
  <c r="AZ69" i="5" s="1"/>
  <c r="BB46" i="5"/>
  <c r="B46" i="5" s="1" a="1"/>
  <c r="B46" i="5" s="1"/>
  <c r="BA46" i="5"/>
  <c r="AY83" i="5" a="1"/>
  <c r="AY83" i="5" s="1"/>
  <c r="AZ83" i="5" s="1"/>
  <c r="BB236" i="5"/>
  <c r="B236" i="5" s="1" a="1"/>
  <c r="B236" i="5" s="1"/>
  <c r="BA236" i="5"/>
  <c r="AY151" i="5" a="1"/>
  <c r="AY151" i="5" s="1"/>
  <c r="AZ151" i="5" s="1"/>
  <c r="BB151" i="5" s="1"/>
  <c r="B151" i="5" s="1" a="1"/>
  <c r="B151" i="5" s="1"/>
  <c r="BA163" i="5"/>
  <c r="BB162" i="5"/>
  <c r="B162" i="5" s="1" a="1"/>
  <c r="B162" i="5" s="1"/>
  <c r="BA162" i="5"/>
  <c r="AY238" i="5" a="1"/>
  <c r="AY238" i="5" s="1"/>
  <c r="AZ238" i="5" s="1"/>
  <c r="BB291" i="5"/>
  <c r="B291" i="5" s="1" a="1"/>
  <c r="B291" i="5" s="1"/>
  <c r="BA291" i="5"/>
  <c r="AT281" i="5" a="1"/>
  <c r="AT281" i="5" s="1"/>
  <c r="BE281" i="5" s="1"/>
  <c r="BD281" i="5"/>
  <c r="BB279" i="5"/>
  <c r="B279" i="5" s="1" a="1"/>
  <c r="B279" i="5" s="1"/>
  <c r="BA279" i="5"/>
  <c r="BE273" i="5"/>
  <c r="AY273" i="5" a="1"/>
  <c r="AY273" i="5" s="1"/>
  <c r="AZ273" i="5" s="1"/>
  <c r="BA280" i="5"/>
  <c r="BB280" i="5"/>
  <c r="B280" i="5" s="1" a="1"/>
  <c r="B280" i="5" s="1"/>
  <c r="BB247" i="5"/>
  <c r="B247" i="5" s="1" a="1"/>
  <c r="B247" i="5" s="1"/>
  <c r="BA247" i="5"/>
  <c r="BB232" i="5"/>
  <c r="B232" i="5" s="1" a="1"/>
  <c r="B232" i="5" s="1"/>
  <c r="BA232" i="5"/>
  <c r="BA91" i="5"/>
  <c r="BB91" i="5"/>
  <c r="B91" i="5" s="1" a="1"/>
  <c r="B91" i="5" s="1"/>
  <c r="BB234" i="5"/>
  <c r="B234" i="5" s="1" a="1"/>
  <c r="B234" i="5" s="1"/>
  <c r="BA234" i="5"/>
  <c r="AY43" i="5" a="1"/>
  <c r="AY43" i="5" s="1"/>
  <c r="AZ43" i="5" s="1"/>
  <c r="BB71" i="5"/>
  <c r="B71" i="5" s="1" a="1"/>
  <c r="B71" i="5" s="1"/>
  <c r="AY215" i="5" a="1"/>
  <c r="AY215" i="5" s="1"/>
  <c r="AZ215" i="5" s="1"/>
  <c r="AY152" i="5" a="1"/>
  <c r="AY152" i="5" s="1"/>
  <c r="AZ152" i="5" s="1"/>
  <c r="BA19" i="5"/>
  <c r="BB19" i="5"/>
  <c r="B19" i="5" s="1" a="1"/>
  <c r="B19" i="5" s="1"/>
  <c r="AZ20" i="5"/>
  <c r="AZ14" i="5"/>
  <c r="AS17" i="5" a="1"/>
  <c r="AS17" i="5" s="1"/>
  <c r="AU17" i="5" a="1"/>
  <c r="AU17" i="5" s="1"/>
  <c r="BF17" i="5" s="1"/>
  <c r="AP15" i="5"/>
  <c r="AN16" i="5" a="1"/>
  <c r="AN16" i="5" s="1"/>
  <c r="AO16" i="5" s="1" a="1"/>
  <c r="AO16" i="5" s="1"/>
  <c r="BH16" i="5" a="1"/>
  <c r="BH16" i="5" s="1"/>
  <c r="AV16" i="5" a="1"/>
  <c r="AV16" i="5" s="1"/>
  <c r="BG16" i="5" s="1"/>
  <c r="AP21" i="5"/>
  <c r="AT25" i="5" a="1"/>
  <c r="AT25" i="5" s="1"/>
  <c r="BE25" i="5" s="1"/>
  <c r="BD25" i="5"/>
  <c r="BA80" i="5" l="1"/>
  <c r="AY98" i="5" a="1"/>
  <c r="AY98" i="5" s="1"/>
  <c r="AZ98" i="5" s="1"/>
  <c r="AQ84" i="5"/>
  <c r="AS84" i="5" s="1" a="1"/>
  <c r="AS84" i="5" s="1"/>
  <c r="BD84" i="5" s="1"/>
  <c r="AY155" i="5" a="1"/>
  <c r="AY155" i="5" s="1"/>
  <c r="AZ155" i="5" s="1"/>
  <c r="BB110" i="5"/>
  <c r="B110" i="5" s="1" a="1"/>
  <c r="B110" i="5" s="1"/>
  <c r="BB145" i="5"/>
  <c r="B145" i="5" s="1" a="1"/>
  <c r="B145" i="5" s="1"/>
  <c r="BA145" i="5"/>
  <c r="AY64" i="5" a="1"/>
  <c r="AY64" i="5" s="1"/>
  <c r="AZ64" i="5" s="1"/>
  <c r="BA64" i="5" s="1"/>
  <c r="AT92" i="5" a="1"/>
  <c r="AT92" i="5" s="1"/>
  <c r="BE92" i="5" s="1"/>
  <c r="BD92" i="5"/>
  <c r="AP90" i="5"/>
  <c r="AU90" i="5" a="1"/>
  <c r="AU90" i="5" s="1"/>
  <c r="BF90" i="5" s="1"/>
  <c r="AS90" i="5" a="1"/>
  <c r="AS90" i="5" s="1"/>
  <c r="AY263" i="5" a="1"/>
  <c r="AY263" i="5" s="1"/>
  <c r="AZ263" i="5" s="1"/>
  <c r="BB263" i="5" s="1"/>
  <c r="B263" i="5" s="1" a="1"/>
  <c r="B263" i="5" s="1"/>
  <c r="BB261" i="5"/>
  <c r="B261" i="5" s="1" a="1"/>
  <c r="B261" i="5" s="1"/>
  <c r="AP82" i="5"/>
  <c r="AU82" i="5" a="1"/>
  <c r="AU82" i="5" s="1"/>
  <c r="BF82" i="5" s="1"/>
  <c r="AS82" i="5" a="1"/>
  <c r="AS82" i="5" s="1"/>
  <c r="AU264" i="5" a="1"/>
  <c r="AU264" i="5" s="1"/>
  <c r="BF264" i="5" s="1"/>
  <c r="BD264" i="5"/>
  <c r="AV77" i="5" a="1"/>
  <c r="AV77" i="5" s="1"/>
  <c r="BG77" i="5" s="1"/>
  <c r="AN77" i="5" a="1"/>
  <c r="AN77" i="5" s="1"/>
  <c r="AO77" i="5" s="1" a="1"/>
  <c r="AO77" i="5" s="1"/>
  <c r="AP77" i="5" s="1"/>
  <c r="BH77" i="5" a="1"/>
  <c r="BH77" i="5" s="1"/>
  <c r="AY149" i="5" a="1"/>
  <c r="AY149" i="5" s="1"/>
  <c r="AZ149" i="5" s="1"/>
  <c r="BA149" i="5" s="1"/>
  <c r="AP74" i="5"/>
  <c r="AY74" i="5" s="1" a="1"/>
  <c r="AY74" i="5" s="1"/>
  <c r="AZ74" i="5" s="1"/>
  <c r="BH67" i="5" a="1"/>
  <c r="BH67" i="5" s="1"/>
  <c r="AV67" i="5" a="1"/>
  <c r="AV67" i="5" s="1"/>
  <c r="BG67" i="5" s="1"/>
  <c r="AN67" i="5" a="1"/>
  <c r="AN67" i="5" s="1"/>
  <c r="AO67" i="5" s="1" a="1"/>
  <c r="AO67" i="5" s="1"/>
  <c r="AU293" i="5" a="1"/>
  <c r="AU293" i="5" s="1"/>
  <c r="BF293" i="5" s="1"/>
  <c r="BB112" i="5"/>
  <c r="B112" i="5" s="1" a="1"/>
  <c r="B112" i="5" s="1"/>
  <c r="BD241" i="5"/>
  <c r="AY48" i="5" a="1"/>
  <c r="AY48" i="5" s="1"/>
  <c r="AZ48" i="5" s="1"/>
  <c r="AQ41" i="5"/>
  <c r="AV41" i="5" a="1"/>
  <c r="AV41" i="5" s="1"/>
  <c r="BG41" i="5" s="1"/>
  <c r="BH41" i="5" a="1"/>
  <c r="BH41" i="5" s="1"/>
  <c r="AN41" i="5" a="1"/>
  <c r="AN41" i="5" s="1"/>
  <c r="AO41" i="5" s="1" a="1"/>
  <c r="AO41" i="5" s="1"/>
  <c r="AY164" i="5" a="1"/>
  <c r="AY164" i="5" s="1"/>
  <c r="AZ164" i="5" s="1"/>
  <c r="AY237" i="5" a="1"/>
  <c r="AY237" i="5" s="1"/>
  <c r="AZ237" i="5" s="1"/>
  <c r="BA237" i="5" s="1"/>
  <c r="AT226" i="5" a="1"/>
  <c r="AT226" i="5" s="1"/>
  <c r="BE226" i="5" s="1"/>
  <c r="BD226" i="5"/>
  <c r="AY268" i="5" a="1"/>
  <c r="AY268" i="5" s="1"/>
  <c r="AZ268" i="5" s="1"/>
  <c r="AY249" i="5" a="1"/>
  <c r="AY249" i="5" s="1"/>
  <c r="AZ249" i="5" s="1"/>
  <c r="AU157" i="5" a="1"/>
  <c r="AU157" i="5" s="1"/>
  <c r="BF157" i="5" s="1"/>
  <c r="AS157" i="5" a="1"/>
  <c r="AS157" i="5" s="1"/>
  <c r="AP157" i="5"/>
  <c r="AS229" i="5" a="1"/>
  <c r="AS229" i="5" s="1"/>
  <c r="AU229" i="5" a="1"/>
  <c r="AU229" i="5" s="1"/>
  <c r="BF229" i="5" s="1"/>
  <c r="BB147" i="5"/>
  <c r="B147" i="5" s="1" a="1"/>
  <c r="B147" i="5" s="1"/>
  <c r="AS227" i="5" a="1"/>
  <c r="AS227" i="5" s="1"/>
  <c r="AU227" i="5" a="1"/>
  <c r="AU227" i="5" s="1"/>
  <c r="BF227" i="5" s="1"/>
  <c r="AT153" i="5" a="1"/>
  <c r="AT153" i="5" s="1"/>
  <c r="BE153" i="5" s="1"/>
  <c r="BD153" i="5"/>
  <c r="BB189" i="5"/>
  <c r="B189" i="5" s="1" a="1"/>
  <c r="B189" i="5" s="1"/>
  <c r="BB245" i="5"/>
  <c r="B245" i="5" s="1" a="1"/>
  <c r="B245" i="5" s="1"/>
  <c r="BD225" i="5"/>
  <c r="BB276" i="5"/>
  <c r="B276" i="5" s="1" a="1"/>
  <c r="B276" i="5" s="1"/>
  <c r="BA288" i="5"/>
  <c r="AT295" i="5" a="1"/>
  <c r="AT295" i="5" s="1"/>
  <c r="BE295" i="5" s="1"/>
  <c r="AY191" i="5" a="1"/>
  <c r="AY191" i="5" s="1"/>
  <c r="AZ191" i="5" s="1"/>
  <c r="BB191" i="5" s="1"/>
  <c r="B191" i="5" s="1" a="1"/>
  <c r="B191" i="5" s="1"/>
  <c r="AY248" i="5" a="1"/>
  <c r="AY248" i="5" s="1"/>
  <c r="AZ248" i="5" s="1"/>
  <c r="BA282" i="5"/>
  <c r="BB114" i="5"/>
  <c r="B114" i="5" s="1" a="1"/>
  <c r="B114" i="5" s="1"/>
  <c r="BA114" i="5"/>
  <c r="AY81" i="5" a="1"/>
  <c r="AY81" i="5" s="1"/>
  <c r="AZ81" i="5" s="1"/>
  <c r="BB70" i="5"/>
  <c r="B70" i="5" s="1" a="1"/>
  <c r="B70" i="5" s="1"/>
  <c r="AY289" i="5" a="1"/>
  <c r="AY289" i="5" s="1"/>
  <c r="AZ289" i="5" s="1"/>
  <c r="BB289" i="5" s="1"/>
  <c r="B289" i="5" s="1" a="1"/>
  <c r="B289" i="5" s="1"/>
  <c r="AS230" i="5" a="1"/>
  <c r="AS230" i="5" s="1"/>
  <c r="AT230" i="5" s="1" a="1"/>
  <c r="AT230" i="5" s="1"/>
  <c r="BE230" i="5" s="1"/>
  <c r="BA76" i="5"/>
  <c r="BB37" i="5"/>
  <c r="B37" i="5" s="1" a="1"/>
  <c r="B37" i="5" s="1"/>
  <c r="BA252" i="5"/>
  <c r="AY73" i="5" a="1"/>
  <c r="AY73" i="5" s="1"/>
  <c r="AZ73" i="5" s="1"/>
  <c r="BB73" i="5" s="1"/>
  <c r="B73" i="5" s="1" a="1"/>
  <c r="B73" i="5" s="1"/>
  <c r="BB111" i="5"/>
  <c r="B111" i="5" s="1" a="1"/>
  <c r="B111" i="5" s="1"/>
  <c r="BB203" i="5"/>
  <c r="B203" i="5" s="1" a="1"/>
  <c r="B203" i="5" s="1"/>
  <c r="BA143" i="5"/>
  <c r="BB143" i="5"/>
  <c r="B143" i="5" s="1" a="1"/>
  <c r="B143" i="5" s="1"/>
  <c r="BA35" i="5"/>
  <c r="AT293" i="5" a="1"/>
  <c r="AT293" i="5" s="1"/>
  <c r="BE293" i="5" s="1"/>
  <c r="BD293" i="5"/>
  <c r="BB269" i="5"/>
  <c r="B269" i="5" s="1" a="1"/>
  <c r="B269" i="5" s="1"/>
  <c r="BA269" i="5"/>
  <c r="BB169" i="5"/>
  <c r="B169" i="5" s="1" a="1"/>
  <c r="B169" i="5" s="1"/>
  <c r="BA169" i="5"/>
  <c r="BA113" i="5"/>
  <c r="BB113" i="5"/>
  <c r="B113" i="5" s="1" a="1"/>
  <c r="B113" i="5" s="1"/>
  <c r="BA205" i="5"/>
  <c r="BB205" i="5"/>
  <c r="B205" i="5" s="1" a="1"/>
  <c r="B205" i="5" s="1"/>
  <c r="BE241" i="5"/>
  <c r="AY241" i="5" a="1"/>
  <c r="AY241" i="5" s="1"/>
  <c r="AZ241" i="5" s="1"/>
  <c r="BD213" i="5"/>
  <c r="AT213" i="5" a="1"/>
  <c r="AT213" i="5" s="1"/>
  <c r="BA223" i="5"/>
  <c r="BB223" i="5"/>
  <c r="B223" i="5" s="1" a="1"/>
  <c r="B223" i="5" s="1"/>
  <c r="BA251" i="5"/>
  <c r="BB251" i="5"/>
  <c r="B251" i="5" s="1" a="1"/>
  <c r="B251" i="5" s="1"/>
  <c r="BA239" i="5"/>
  <c r="BB239" i="5"/>
  <c r="B239" i="5" s="1" a="1"/>
  <c r="B239" i="5" s="1"/>
  <c r="BB262" i="5"/>
  <c r="B262" i="5" s="1" a="1"/>
  <c r="B262" i="5" s="1"/>
  <c r="BA262" i="5"/>
  <c r="BA154" i="5"/>
  <c r="BB154" i="5"/>
  <c r="B154" i="5" s="1" a="1"/>
  <c r="B154" i="5" s="1"/>
  <c r="BA168" i="5"/>
  <c r="BB168" i="5"/>
  <c r="B168" i="5" s="1" a="1"/>
  <c r="B168" i="5" s="1"/>
  <c r="AY141" i="5" a="1"/>
  <c r="AY141" i="5" s="1"/>
  <c r="AZ141" i="5" s="1"/>
  <c r="BB88" i="5"/>
  <c r="B88" i="5" s="1" a="1"/>
  <c r="B88" i="5" s="1"/>
  <c r="BA88" i="5"/>
  <c r="BB219" i="5"/>
  <c r="B219" i="5" s="1" a="1"/>
  <c r="B219" i="5" s="1"/>
  <c r="BA219" i="5"/>
  <c r="BB102" i="5"/>
  <c r="B102" i="5" s="1" a="1"/>
  <c r="B102" i="5" s="1"/>
  <c r="BA102" i="5"/>
  <c r="AY142" i="5" a="1"/>
  <c r="AY142" i="5" s="1"/>
  <c r="AZ142" i="5" s="1"/>
  <c r="BE39" i="5"/>
  <c r="AY39" i="5" a="1"/>
  <c r="AY39" i="5" s="1"/>
  <c r="AZ39" i="5" s="1"/>
  <c r="BB222" i="5"/>
  <c r="B222" i="5" s="1" a="1"/>
  <c r="B222" i="5" s="1"/>
  <c r="BA222" i="5"/>
  <c r="AY225" i="5" a="1"/>
  <c r="AY225" i="5" s="1"/>
  <c r="AZ225" i="5" s="1"/>
  <c r="BB240" i="5"/>
  <c r="B240" i="5" s="1" a="1"/>
  <c r="B240" i="5" s="1"/>
  <c r="BA240" i="5"/>
  <c r="AY210" i="5" a="1"/>
  <c r="AY210" i="5" s="1"/>
  <c r="AZ210" i="5" s="1"/>
  <c r="AY294" i="5" a="1"/>
  <c r="AY294" i="5" s="1"/>
  <c r="AZ294" i="5" s="1"/>
  <c r="BB294" i="5" s="1"/>
  <c r="B294" i="5" s="1" a="1"/>
  <c r="B294" i="5" s="1"/>
  <c r="BB292" i="5"/>
  <c r="B292" i="5" s="1" a="1"/>
  <c r="B292" i="5" s="1"/>
  <c r="BA292" i="5"/>
  <c r="BA196" i="5"/>
  <c r="BB196" i="5"/>
  <c r="B196" i="5" s="1" a="1"/>
  <c r="B196" i="5" s="1"/>
  <c r="BA124" i="5"/>
  <c r="BB124" i="5"/>
  <c r="B124" i="5" s="1" a="1"/>
  <c r="B124" i="5" s="1"/>
  <c r="BB125" i="5"/>
  <c r="B125" i="5" s="1" a="1"/>
  <c r="B125" i="5" s="1"/>
  <c r="BA125" i="5"/>
  <c r="BB160" i="5"/>
  <c r="B160" i="5" s="1" a="1"/>
  <c r="B160" i="5" s="1"/>
  <c r="BA160" i="5"/>
  <c r="BB86" i="5"/>
  <c r="B86" i="5" s="1" a="1"/>
  <c r="B86" i="5" s="1"/>
  <c r="BA83" i="5"/>
  <c r="BB83" i="5"/>
  <c r="B83" i="5" s="1" a="1"/>
  <c r="B83" i="5" s="1"/>
  <c r="BA69" i="5"/>
  <c r="BB69" i="5"/>
  <c r="B69" i="5" s="1" a="1"/>
  <c r="B69" i="5" s="1"/>
  <c r="BA151" i="5"/>
  <c r="BA238" i="5"/>
  <c r="BB238" i="5"/>
  <c r="B238" i="5" s="1" a="1"/>
  <c r="B238" i="5" s="1"/>
  <c r="AY281" i="5" a="1"/>
  <c r="AY281" i="5" s="1"/>
  <c r="AZ281" i="5" s="1"/>
  <c r="BB281" i="5" s="1"/>
  <c r="B281" i="5" s="1" a="1"/>
  <c r="B281" i="5" s="1"/>
  <c r="BA152" i="5"/>
  <c r="BB152" i="5"/>
  <c r="B152" i="5" s="1" a="1"/>
  <c r="B152" i="5" s="1"/>
  <c r="BA215" i="5"/>
  <c r="BB215" i="5"/>
  <c r="B215" i="5" s="1" a="1"/>
  <c r="B215" i="5" s="1"/>
  <c r="BA273" i="5"/>
  <c r="BB273" i="5"/>
  <c r="B273" i="5" s="1" a="1"/>
  <c r="B273" i="5" s="1"/>
  <c r="BB43" i="5"/>
  <c r="B43" i="5" s="1" a="1"/>
  <c r="B43" i="5" s="1"/>
  <c r="BA43" i="5"/>
  <c r="BA14" i="5"/>
  <c r="BB14" i="5"/>
  <c r="B14" i="5" s="1" a="1"/>
  <c r="B14" i="5" s="1"/>
  <c r="BA20" i="5"/>
  <c r="BB20" i="5"/>
  <c r="B20" i="5" s="1" a="1"/>
  <c r="B20" i="5" s="1"/>
  <c r="AY15" i="5" a="1"/>
  <c r="AY15" i="5" s="1"/>
  <c r="AZ15" i="5" s="1"/>
  <c r="AY25" i="5" a="1"/>
  <c r="AY25" i="5" s="1"/>
  <c r="AZ25" i="5" s="1"/>
  <c r="AY21" i="5" a="1"/>
  <c r="AY21" i="5" s="1"/>
  <c r="AZ21" i="5" s="1"/>
  <c r="AP16" i="5"/>
  <c r="AT17" i="5" a="1"/>
  <c r="AT17" i="5" s="1"/>
  <c r="BE17" i="5" s="1"/>
  <c r="BD17" i="5"/>
  <c r="BA98" i="5" l="1"/>
  <c r="BB98" i="5"/>
  <c r="B98" i="5" s="1" a="1"/>
  <c r="B98" i="5" s="1"/>
  <c r="AT84" i="5" a="1"/>
  <c r="AT84" i="5" s="1"/>
  <c r="BE84" i="5" s="1"/>
  <c r="AU84" i="5" a="1"/>
  <c r="AU84" i="5" s="1"/>
  <c r="BF84" i="5" s="1"/>
  <c r="BB64" i="5"/>
  <c r="B64" i="5" s="1" a="1"/>
  <c r="B64" i="5" s="1"/>
  <c r="BA263" i="5"/>
  <c r="BB155" i="5"/>
  <c r="B155" i="5" s="1" a="1"/>
  <c r="B155" i="5" s="1"/>
  <c r="BA155" i="5"/>
  <c r="AY92" i="5" a="1"/>
  <c r="AY92" i="5" s="1"/>
  <c r="AZ92" i="5" s="1"/>
  <c r="BA92" i="5" s="1"/>
  <c r="AT90" i="5" a="1"/>
  <c r="AT90" i="5" s="1"/>
  <c r="BE90" i="5" s="1"/>
  <c r="BD90" i="5"/>
  <c r="AY77" i="5" a="1"/>
  <c r="AY77" i="5" s="1"/>
  <c r="AZ77" i="5" s="1"/>
  <c r="BB77" i="5" s="1"/>
  <c r="B77" i="5" s="1" a="1"/>
  <c r="B77" i="5" s="1"/>
  <c r="AT82" i="5" a="1"/>
  <c r="AT82" i="5" s="1"/>
  <c r="BE82" i="5" s="1"/>
  <c r="BD82" i="5"/>
  <c r="BB149" i="5"/>
  <c r="B149" i="5" s="1" a="1"/>
  <c r="B149" i="5" s="1"/>
  <c r="BB237" i="5"/>
  <c r="B237" i="5" s="1" a="1"/>
  <c r="B237" i="5" s="1"/>
  <c r="AY264" i="5" a="1"/>
  <c r="AY264" i="5" s="1"/>
  <c r="AZ264" i="5" s="1"/>
  <c r="BA264" i="5" s="1"/>
  <c r="BA74" i="5"/>
  <c r="BB74" i="5"/>
  <c r="B74" i="5" s="1" a="1"/>
  <c r="B74" i="5" s="1"/>
  <c r="AP67" i="5"/>
  <c r="AY67" i="5" s="1" a="1"/>
  <c r="AY67" i="5" s="1"/>
  <c r="AZ67" i="5" s="1"/>
  <c r="BA48" i="5"/>
  <c r="BB48" i="5"/>
  <c r="B48" i="5" s="1" a="1"/>
  <c r="B48" i="5" s="1"/>
  <c r="AP41" i="5"/>
  <c r="AS41" i="5" a="1"/>
  <c r="AS41" i="5" s="1"/>
  <c r="AU41" i="5" a="1"/>
  <c r="AU41" i="5" s="1"/>
  <c r="BF41" i="5" s="1"/>
  <c r="BB164" i="5"/>
  <c r="B164" i="5" s="1" a="1"/>
  <c r="B164" i="5" s="1"/>
  <c r="BA164" i="5"/>
  <c r="AY153" i="5" a="1"/>
  <c r="AY153" i="5" s="1"/>
  <c r="AZ153" i="5" s="1"/>
  <c r="BA153" i="5" s="1"/>
  <c r="AY226" i="5" a="1"/>
  <c r="AY226" i="5" s="1"/>
  <c r="AZ226" i="5" s="1"/>
  <c r="BD229" i="5"/>
  <c r="AT229" i="5" a="1"/>
  <c r="AT229" i="5" s="1"/>
  <c r="BD157" i="5"/>
  <c r="AT157" i="5" a="1"/>
  <c r="AT157" i="5" s="1"/>
  <c r="BE157" i="5" s="1"/>
  <c r="BB249" i="5"/>
  <c r="B249" i="5" s="1" a="1"/>
  <c r="B249" i="5" s="1"/>
  <c r="BA249" i="5"/>
  <c r="BA268" i="5"/>
  <c r="BB268" i="5"/>
  <c r="B268" i="5" s="1" a="1"/>
  <c r="B268" i="5" s="1"/>
  <c r="BD227" i="5"/>
  <c r="AT227" i="5" a="1"/>
  <c r="AT227" i="5" s="1"/>
  <c r="BE227" i="5" s="1"/>
  <c r="BA191" i="5"/>
  <c r="AY295" i="5" a="1"/>
  <c r="AY295" i="5" s="1"/>
  <c r="AZ295" i="5" s="1"/>
  <c r="BB295" i="5" s="1"/>
  <c r="B295" i="5" s="1" a="1"/>
  <c r="B295" i="5" s="1"/>
  <c r="BA248" i="5"/>
  <c r="BB248" i="5"/>
  <c r="B248" i="5" s="1" a="1"/>
  <c r="B248" i="5" s="1"/>
  <c r="BD230" i="5"/>
  <c r="BA81" i="5"/>
  <c r="BB81" i="5"/>
  <c r="B81" i="5" s="1" a="1"/>
  <c r="B81" i="5" s="1"/>
  <c r="BA289" i="5"/>
  <c r="AY293" i="5" a="1"/>
  <c r="AY293" i="5" s="1"/>
  <c r="AZ293" i="5" s="1"/>
  <c r="BA293" i="5" s="1"/>
  <c r="BA73" i="5"/>
  <c r="BB142" i="5"/>
  <c r="B142" i="5" s="1" a="1"/>
  <c r="B142" i="5" s="1"/>
  <c r="BA142" i="5"/>
  <c r="BA294" i="5"/>
  <c r="AY230" i="5" a="1"/>
  <c r="AY230" i="5" s="1"/>
  <c r="AZ230" i="5" s="1"/>
  <c r="BA241" i="5"/>
  <c r="BB241" i="5"/>
  <c r="B241" i="5" s="1" a="1"/>
  <c r="B241" i="5" s="1"/>
  <c r="BB39" i="5"/>
  <c r="B39" i="5" s="1" a="1"/>
  <c r="B39" i="5" s="1"/>
  <c r="BA39" i="5"/>
  <c r="BA141" i="5"/>
  <c r="BB141" i="5"/>
  <c r="B141" i="5" s="1" a="1"/>
  <c r="B141" i="5" s="1"/>
  <c r="BA225" i="5"/>
  <c r="BB225" i="5"/>
  <c r="B225" i="5" s="1" a="1"/>
  <c r="B225" i="5" s="1"/>
  <c r="BA210" i="5"/>
  <c r="BB210" i="5"/>
  <c r="B210" i="5" s="1" a="1"/>
  <c r="B210" i="5" s="1"/>
  <c r="BE213" i="5"/>
  <c r="AY213" i="5" a="1"/>
  <c r="AY213" i="5" s="1"/>
  <c r="AZ213" i="5" s="1"/>
  <c r="BA281" i="5"/>
  <c r="BA15" i="5"/>
  <c r="BB15" i="5"/>
  <c r="B15" i="5" s="1" a="1"/>
  <c r="B15" i="5" s="1"/>
  <c r="BA21" i="5"/>
  <c r="BB21" i="5"/>
  <c r="B21" i="5" s="1" a="1"/>
  <c r="B21" i="5" s="1"/>
  <c r="BB25" i="5"/>
  <c r="B25" i="5" s="1" a="1"/>
  <c r="B25" i="5" s="1"/>
  <c r="BA25" i="5"/>
  <c r="AY16" i="5" a="1"/>
  <c r="AY16" i="5" s="1"/>
  <c r="AZ16" i="5" s="1"/>
  <c r="AY17" i="5" a="1"/>
  <c r="AY17" i="5" s="1"/>
  <c r="AZ17" i="5" s="1"/>
  <c r="AY84" i="5" l="1" a="1"/>
  <c r="AY84" i="5" s="1"/>
  <c r="AZ84" i="5" s="1"/>
  <c r="BA84" i="5" s="1"/>
  <c r="BB92" i="5"/>
  <c r="B92" i="5" s="1" a="1"/>
  <c r="B92" i="5" s="1"/>
  <c r="AY90" i="5" a="1"/>
  <c r="AY90" i="5" s="1"/>
  <c r="AZ90" i="5" s="1"/>
  <c r="BA90" i="5" s="1"/>
  <c r="BA77" i="5"/>
  <c r="BB264" i="5"/>
  <c r="B264" i="5" s="1" a="1"/>
  <c r="B264" i="5" s="1"/>
  <c r="AY82" i="5" a="1"/>
  <c r="AY82" i="5" s="1"/>
  <c r="AZ82" i="5" s="1"/>
  <c r="BA67" i="5"/>
  <c r="BB67" i="5"/>
  <c r="B67" i="5" s="1" a="1"/>
  <c r="B67" i="5" s="1"/>
  <c r="AT41" i="5" a="1"/>
  <c r="AT41" i="5" s="1"/>
  <c r="BE41" i="5" s="1"/>
  <c r="BD41" i="5"/>
  <c r="BB153" i="5"/>
  <c r="B153" i="5" s="1" a="1"/>
  <c r="B153" i="5" s="1"/>
  <c r="BB226" i="5"/>
  <c r="B226" i="5" s="1" a="1"/>
  <c r="B226" i="5" s="1"/>
  <c r="BA226" i="5"/>
  <c r="AY227" i="5" a="1"/>
  <c r="AY227" i="5" s="1"/>
  <c r="AZ227" i="5" s="1"/>
  <c r="BE229" i="5"/>
  <c r="AY229" i="5" a="1"/>
  <c r="AY229" i="5" s="1"/>
  <c r="AZ229" i="5" s="1"/>
  <c r="AY157" i="5" a="1"/>
  <c r="AY157" i="5" s="1"/>
  <c r="AZ157" i="5" s="1"/>
  <c r="BA295" i="5"/>
  <c r="BB293" i="5"/>
  <c r="B293" i="5" s="1" a="1"/>
  <c r="B293" i="5" s="1"/>
  <c r="BA213" i="5"/>
  <c r="BB213" i="5"/>
  <c r="B213" i="5" s="1" a="1"/>
  <c r="B213" i="5" s="1"/>
  <c r="BB230" i="5"/>
  <c r="B230" i="5" s="1" a="1"/>
  <c r="B230" i="5" s="1"/>
  <c r="BA230" i="5"/>
  <c r="BA17" i="5"/>
  <c r="BB17" i="5"/>
  <c r="B17" i="5" s="1" a="1"/>
  <c r="B17" i="5" s="1"/>
  <c r="BB16" i="5"/>
  <c r="B16" i="5" s="1" a="1"/>
  <c r="B16" i="5" s="1"/>
  <c r="BA16" i="5"/>
  <c r="BB84" i="5" l="1"/>
  <c r="B84" i="5" s="1" a="1"/>
  <c r="B84" i="5" s="1"/>
  <c r="BB90" i="5"/>
  <c r="B90" i="5" s="1" a="1"/>
  <c r="B90" i="5" s="1"/>
  <c r="BB82" i="5"/>
  <c r="B82" i="5" s="1" a="1"/>
  <c r="B82" i="5" s="1"/>
  <c r="BA82" i="5"/>
  <c r="AY41" i="5" a="1"/>
  <c r="AY41" i="5" s="1"/>
  <c r="AZ41" i="5" s="1"/>
  <c r="BA41" i="5" s="1"/>
  <c r="BB229" i="5"/>
  <c r="BA229" i="5"/>
  <c r="BB157" i="5"/>
  <c r="B157" i="5" s="1" a="1"/>
  <c r="B157" i="5" s="1"/>
  <c r="BA157" i="5"/>
  <c r="BB227" i="5"/>
  <c r="B227" i="5" s="1" a="1"/>
  <c r="B227" i="5" s="1"/>
  <c r="BA227" i="5"/>
  <c r="B229" i="5" l="1" a="1"/>
  <c r="B229" i="5" s="1"/>
  <c r="I9" i="7"/>
  <c r="BB41" i="5"/>
  <c r="B41" i="5" s="1" a="1"/>
  <c r="B41" i="5" s="1"/>
  <c r="K10" i="8"/>
  <c r="C3" i="8"/>
  <c r="S11" i="7" l="1"/>
  <c r="S12" i="7"/>
  <c r="S13" i="7"/>
  <c r="S14" i="7"/>
  <c r="S15" i="7"/>
  <c r="L10" i="8"/>
  <c r="K16" i="8" a="1"/>
  <c r="K16" i="8" s="1"/>
  <c r="K11" i="8" a="1"/>
  <c r="K11" i="8" s="1"/>
  <c r="K15" i="8" a="1"/>
  <c r="K15" i="8" s="1"/>
  <c r="K12" i="8" a="1"/>
  <c r="K12" i="8" s="1"/>
  <c r="K13" i="8" a="1"/>
  <c r="K13" i="8" s="1"/>
  <c r="K17" i="8" a="1"/>
  <c r="K17" i="8" s="1"/>
  <c r="K14" i="8" a="1"/>
  <c r="K14" i="8" s="1"/>
  <c r="AS16" i="8"/>
  <c r="AS17" i="8"/>
  <c r="AS11" i="8"/>
  <c r="AS14" i="8"/>
  <c r="AS13" i="8"/>
  <c r="AS15" i="8"/>
  <c r="AS12" i="8"/>
  <c r="S9" i="7" l="1"/>
  <c r="M10" i="8"/>
  <c r="L14" i="8" a="1"/>
  <c r="L14" i="8" s="1"/>
  <c r="L11" i="8" a="1"/>
  <c r="L11" i="8" s="1"/>
  <c r="L13" i="8" a="1"/>
  <c r="L13" i="8" s="1"/>
  <c r="L12" i="8" a="1"/>
  <c r="L12" i="8" s="1"/>
  <c r="L16" i="8" a="1"/>
  <c r="L16" i="8" s="1"/>
  <c r="L17" i="8" a="1"/>
  <c r="L17" i="8" s="1"/>
  <c r="L15" i="8" a="1"/>
  <c r="L15" i="8" s="1"/>
  <c r="N10" i="8" l="1"/>
  <c r="M11" i="8" a="1"/>
  <c r="M11" i="8" s="1"/>
  <c r="M15" i="8" a="1"/>
  <c r="M15" i="8" s="1"/>
  <c r="M13" i="8" a="1"/>
  <c r="M13" i="8" s="1"/>
  <c r="M14" i="8" a="1"/>
  <c r="M14" i="8" s="1"/>
  <c r="M16" i="8" a="1"/>
  <c r="M16" i="8" s="1"/>
  <c r="M12" i="8" a="1"/>
  <c r="M12" i="8" s="1"/>
  <c r="M17" i="8" a="1"/>
  <c r="M17" i="8" s="1"/>
  <c r="AT16" i="8"/>
  <c r="AT12" i="8"/>
  <c r="AT17" i="8"/>
  <c r="AT15" i="8"/>
  <c r="AT14" i="8"/>
  <c r="AT13" i="8"/>
  <c r="AT11" i="8"/>
  <c r="O10" i="8" l="1"/>
  <c r="N15" i="8" a="1"/>
  <c r="N15" i="8" s="1"/>
  <c r="N17" i="8" a="1"/>
  <c r="N17" i="8" s="1"/>
  <c r="N11" i="8" a="1"/>
  <c r="N11" i="8" s="1"/>
  <c r="N12" i="8" a="1"/>
  <c r="N12" i="8" s="1"/>
  <c r="N14" i="8" a="1"/>
  <c r="N14" i="8" s="1"/>
  <c r="N13" i="8" a="1"/>
  <c r="N13" i="8" s="1"/>
  <c r="N16" i="8" a="1"/>
  <c r="N16" i="8" s="1"/>
  <c r="P10" i="8" l="1"/>
  <c r="O17" i="8" a="1"/>
  <c r="O17" i="8" s="1"/>
  <c r="O16" i="8" a="1"/>
  <c r="O16" i="8" s="1"/>
  <c r="O13" i="8" a="1"/>
  <c r="O13" i="8" s="1"/>
  <c r="O15" i="8" a="1"/>
  <c r="O15" i="8" s="1"/>
  <c r="O12" i="8" a="1"/>
  <c r="O12" i="8" s="1"/>
  <c r="O14" i="8" a="1"/>
  <c r="O14" i="8" s="1"/>
  <c r="O11" i="8" a="1"/>
  <c r="O11" i="8" s="1"/>
  <c r="Q10" i="8" l="1"/>
  <c r="P12" i="8" a="1"/>
  <c r="P12" i="8" s="1"/>
  <c r="P11" i="8" a="1"/>
  <c r="P11" i="8" s="1"/>
  <c r="P17" i="8" a="1"/>
  <c r="P17" i="8" s="1"/>
  <c r="P16" i="8" a="1"/>
  <c r="P16" i="8" s="1"/>
  <c r="P14" i="8" a="1"/>
  <c r="P14" i="8" s="1"/>
  <c r="P13" i="8" a="1"/>
  <c r="P13" i="8" s="1"/>
  <c r="P15" i="8" a="1"/>
  <c r="P15" i="8" s="1"/>
  <c r="R10" i="8" l="1"/>
  <c r="Q16" i="8" a="1"/>
  <c r="Q16" i="8" s="1"/>
  <c r="Q11" i="8" a="1"/>
  <c r="Q11" i="8" s="1"/>
  <c r="Q17" i="8" a="1"/>
  <c r="Q17" i="8" s="1"/>
  <c r="Q12" i="8" a="1"/>
  <c r="Q12" i="8" s="1"/>
  <c r="Q15" i="8" a="1"/>
  <c r="Q15" i="8" s="1"/>
  <c r="Q14" i="8" a="1"/>
  <c r="Q14" i="8" s="1"/>
  <c r="Q13" i="8" a="1"/>
  <c r="Q13" i="8" s="1"/>
  <c r="S10" i="8" l="1"/>
  <c r="R14" i="8" a="1"/>
  <c r="R14" i="8" s="1"/>
  <c r="R13" i="8" a="1"/>
  <c r="R13" i="8" s="1"/>
  <c r="R11" i="8" a="1"/>
  <c r="R11" i="8" s="1"/>
  <c r="R12" i="8" a="1"/>
  <c r="R12" i="8" s="1"/>
  <c r="R15" i="8" a="1"/>
  <c r="R15" i="8" s="1"/>
  <c r="R16" i="8" a="1"/>
  <c r="R16" i="8" s="1"/>
  <c r="R17" i="8" a="1"/>
  <c r="R17" i="8" s="1"/>
  <c r="T10" i="8" l="1"/>
  <c r="S17" i="8" a="1"/>
  <c r="S17" i="8" s="1"/>
  <c r="S12" i="8" a="1"/>
  <c r="S12" i="8" s="1"/>
  <c r="S16" i="8" a="1"/>
  <c r="S16" i="8" s="1"/>
  <c r="S13" i="8" a="1"/>
  <c r="S13" i="8" s="1"/>
  <c r="S15" i="8" a="1"/>
  <c r="S15" i="8" s="1"/>
  <c r="S14" i="8" a="1"/>
  <c r="S14" i="8" s="1"/>
  <c r="S11" i="8" a="1"/>
  <c r="S11" i="8" s="1"/>
  <c r="U10" i="8" l="1"/>
  <c r="T11" i="8" a="1"/>
  <c r="T11" i="8" s="1"/>
  <c r="T14" i="8" a="1"/>
  <c r="T14" i="8" s="1"/>
  <c r="T13" i="8" a="1"/>
  <c r="T13" i="8" s="1"/>
  <c r="T16" i="8" a="1"/>
  <c r="T16" i="8" s="1"/>
  <c r="T12" i="8" a="1"/>
  <c r="T12" i="8" s="1"/>
  <c r="T15" i="8" a="1"/>
  <c r="T15" i="8" s="1"/>
  <c r="T17" i="8" a="1"/>
  <c r="T17" i="8" s="1"/>
  <c r="V10" i="8" l="1"/>
  <c r="U14" i="8" a="1"/>
  <c r="U14" i="8" s="1"/>
  <c r="U16" i="8" a="1"/>
  <c r="U16" i="8" s="1"/>
  <c r="U12" i="8" a="1"/>
  <c r="U12" i="8" s="1"/>
  <c r="U11" i="8" a="1"/>
  <c r="U11" i="8" s="1"/>
  <c r="U13" i="8" a="1"/>
  <c r="U13" i="8" s="1"/>
  <c r="U17" i="8" a="1"/>
  <c r="U17" i="8" s="1"/>
  <c r="U15" i="8" a="1"/>
  <c r="U15" i="8" s="1"/>
  <c r="W10" i="8" l="1"/>
  <c r="V15" i="8" a="1"/>
  <c r="V15" i="8" s="1"/>
  <c r="V17" i="8" a="1"/>
  <c r="V17" i="8" s="1"/>
  <c r="V14" i="8" a="1"/>
  <c r="V14" i="8" s="1"/>
  <c r="V13" i="8" a="1"/>
  <c r="V13" i="8" s="1"/>
  <c r="V16" i="8" a="1"/>
  <c r="V16" i="8" s="1"/>
  <c r="V12" i="8" a="1"/>
  <c r="V12" i="8" s="1"/>
  <c r="V11" i="8" a="1"/>
  <c r="V11" i="8" s="1"/>
  <c r="X10" i="8" l="1"/>
  <c r="W15" i="8" a="1"/>
  <c r="W15" i="8" s="1"/>
  <c r="W17" i="8" a="1"/>
  <c r="W17" i="8" s="1"/>
  <c r="W16" i="8" a="1"/>
  <c r="W16" i="8" s="1"/>
  <c r="W14" i="8" a="1"/>
  <c r="W14" i="8" s="1"/>
  <c r="W12" i="8" a="1"/>
  <c r="W12" i="8" s="1"/>
  <c r="W13" i="8" a="1"/>
  <c r="W13" i="8" s="1"/>
  <c r="W11" i="8" a="1"/>
  <c r="W11" i="8" s="1"/>
  <c r="Y10" i="8" l="1"/>
  <c r="X11" i="8" a="1"/>
  <c r="X11" i="8" s="1"/>
  <c r="X17" i="8" a="1"/>
  <c r="X17" i="8" s="1"/>
  <c r="X16" i="8" a="1"/>
  <c r="X16" i="8" s="1"/>
  <c r="X13" i="8" a="1"/>
  <c r="X13" i="8" s="1"/>
  <c r="X15" i="8" a="1"/>
  <c r="X15" i="8" s="1"/>
  <c r="X12" i="8" a="1"/>
  <c r="X12" i="8" s="1"/>
  <c r="X14" i="8" a="1"/>
  <c r="X14" i="8" s="1"/>
  <c r="Z10" i="8" l="1"/>
  <c r="Y15" i="8" a="1"/>
  <c r="Y15" i="8" s="1"/>
  <c r="Y13" i="8" a="1"/>
  <c r="Y13" i="8" s="1"/>
  <c r="Y16" i="8" a="1"/>
  <c r="Y16" i="8" s="1"/>
  <c r="Y12" i="8" a="1"/>
  <c r="Y12" i="8" s="1"/>
  <c r="Y11" i="8" a="1"/>
  <c r="Y11" i="8" s="1"/>
  <c r="Y17" i="8" a="1"/>
  <c r="Y17" i="8" s="1"/>
  <c r="Y14" i="8" a="1"/>
  <c r="Y14" i="8" s="1"/>
  <c r="AA10" i="8" l="1"/>
  <c r="Z13" i="8" a="1"/>
  <c r="Z13" i="8" s="1"/>
  <c r="Z12" i="8" a="1"/>
  <c r="Z12" i="8" s="1"/>
  <c r="Z11" i="8" a="1"/>
  <c r="Z11" i="8" s="1"/>
  <c r="Z15" i="8" a="1"/>
  <c r="Z15" i="8" s="1"/>
  <c r="Z17" i="8" a="1"/>
  <c r="Z17" i="8" s="1"/>
  <c r="Z16" i="8" a="1"/>
  <c r="Z16" i="8" s="1"/>
  <c r="Z14" i="8" a="1"/>
  <c r="Z14" i="8" s="1"/>
  <c r="AB10" i="8" l="1"/>
  <c r="AA17" i="8" a="1"/>
  <c r="AA17" i="8" s="1"/>
  <c r="AA16" i="8" a="1"/>
  <c r="AA16" i="8" s="1"/>
  <c r="AA12" i="8" a="1"/>
  <c r="AA12" i="8" s="1"/>
  <c r="AA14" i="8" a="1"/>
  <c r="AA14" i="8" s="1"/>
  <c r="AA11" i="8" a="1"/>
  <c r="AA11" i="8" s="1"/>
  <c r="AA13" i="8" a="1"/>
  <c r="AA13" i="8" s="1"/>
  <c r="AA15" i="8" a="1"/>
  <c r="AA15" i="8" s="1"/>
  <c r="AC10" i="8" l="1"/>
  <c r="AB17" i="8" a="1"/>
  <c r="AB17" i="8" s="1"/>
  <c r="AB16" i="8" a="1"/>
  <c r="AB16" i="8" s="1"/>
  <c r="AB13" i="8" a="1"/>
  <c r="AB13" i="8" s="1"/>
  <c r="AB14" i="8" a="1"/>
  <c r="AB14" i="8" s="1"/>
  <c r="AB12" i="8" a="1"/>
  <c r="AB12" i="8" s="1"/>
  <c r="AB15" i="8" a="1"/>
  <c r="AB15" i="8" s="1"/>
  <c r="AB11" i="8" a="1"/>
  <c r="AB11" i="8" s="1"/>
  <c r="AD10" i="8" l="1"/>
  <c r="AC11" i="8" a="1"/>
  <c r="AC11" i="8" s="1"/>
  <c r="AC14" i="8" a="1"/>
  <c r="AC14" i="8" s="1"/>
  <c r="AC16" i="8" a="1"/>
  <c r="AC16" i="8" s="1"/>
  <c r="AC12" i="8" a="1"/>
  <c r="AC12" i="8" s="1"/>
  <c r="AC17" i="8" a="1"/>
  <c r="AC17" i="8" s="1"/>
  <c r="AC13" i="8" a="1"/>
  <c r="AC13" i="8" s="1"/>
  <c r="AC15" i="8" a="1"/>
  <c r="AC15" i="8" s="1"/>
  <c r="AE10" i="8" l="1"/>
  <c r="AD15" i="8" a="1"/>
  <c r="AD15" i="8" s="1"/>
  <c r="AD16" i="8" a="1"/>
  <c r="AD16" i="8" s="1"/>
  <c r="AD14" i="8" a="1"/>
  <c r="AD14" i="8" s="1"/>
  <c r="AD17" i="8" a="1"/>
  <c r="AD17" i="8" s="1"/>
  <c r="AD11" i="8" a="1"/>
  <c r="AD11" i="8" s="1"/>
  <c r="AD12" i="8" a="1"/>
  <c r="AD12" i="8" s="1"/>
  <c r="AD13" i="8" a="1"/>
  <c r="AD13" i="8" s="1"/>
  <c r="AF10" i="8" l="1"/>
  <c r="AE11" i="8" a="1"/>
  <c r="AE11" i="8" s="1"/>
  <c r="AE12" i="8" a="1"/>
  <c r="AE12" i="8" s="1"/>
  <c r="AE13" i="8" a="1"/>
  <c r="AE13" i="8" s="1"/>
  <c r="AE15" i="8" a="1"/>
  <c r="AE15" i="8" s="1"/>
  <c r="AE17" i="8" a="1"/>
  <c r="AE17" i="8" s="1"/>
  <c r="AE14" i="8" a="1"/>
  <c r="AE14" i="8" s="1"/>
  <c r="AE16" i="8" a="1"/>
  <c r="AE16" i="8" s="1"/>
  <c r="AG10" i="8" l="1"/>
  <c r="AF16" i="8" a="1"/>
  <c r="AF16" i="8" s="1"/>
  <c r="AF15" i="8" a="1"/>
  <c r="AF15" i="8" s="1"/>
  <c r="AF17" i="8" a="1"/>
  <c r="AF17" i="8" s="1"/>
  <c r="AF14" i="8" a="1"/>
  <c r="AF14" i="8" s="1"/>
  <c r="AF13" i="8" a="1"/>
  <c r="AF13" i="8" s="1"/>
  <c r="AF11" i="8" a="1"/>
  <c r="AF11" i="8" s="1"/>
  <c r="AF12" i="8" a="1"/>
  <c r="AF12" i="8" s="1"/>
  <c r="AH10" i="8" l="1"/>
  <c r="AG17" i="8" a="1"/>
  <c r="AG17" i="8" s="1"/>
  <c r="AG11" i="8" a="1"/>
  <c r="AG11" i="8" s="1"/>
  <c r="AG14" i="8" a="1"/>
  <c r="AG14" i="8" s="1"/>
  <c r="AG13" i="8" a="1"/>
  <c r="AG13" i="8" s="1"/>
  <c r="AG16" i="8" a="1"/>
  <c r="AG16" i="8" s="1"/>
  <c r="AG15" i="8" a="1"/>
  <c r="AG15" i="8" s="1"/>
  <c r="AG12" i="8" a="1"/>
  <c r="AG12" i="8" s="1"/>
  <c r="AI10" i="8" l="1"/>
  <c r="AH12" i="8" a="1"/>
  <c r="AH12" i="8" s="1"/>
  <c r="AH11" i="8" a="1"/>
  <c r="AH11" i="8" s="1"/>
  <c r="AH16" i="8" a="1"/>
  <c r="AH16" i="8" s="1"/>
  <c r="AH17" i="8" a="1"/>
  <c r="AH17" i="8" s="1"/>
  <c r="AH13" i="8" a="1"/>
  <c r="AH13" i="8" s="1"/>
  <c r="AH15" i="8" a="1"/>
  <c r="AH15" i="8" s="1"/>
  <c r="AH14" i="8" a="1"/>
  <c r="AH14" i="8" s="1"/>
  <c r="AJ10" i="8" l="1"/>
  <c r="AI14" i="8" a="1"/>
  <c r="AI14" i="8" s="1"/>
  <c r="AI16" i="8" a="1"/>
  <c r="AI16" i="8" s="1"/>
  <c r="AI13" i="8" a="1"/>
  <c r="AI13" i="8" s="1"/>
  <c r="AI11" i="8" a="1"/>
  <c r="AI11" i="8" s="1"/>
  <c r="AI12" i="8" a="1"/>
  <c r="AI12" i="8" s="1"/>
  <c r="AI17" i="8" a="1"/>
  <c r="AI17" i="8" s="1"/>
  <c r="AI15" i="8" a="1"/>
  <c r="AI15" i="8" s="1"/>
  <c r="AK10" i="8" l="1"/>
  <c r="AJ17" i="8" a="1"/>
  <c r="AJ17" i="8" s="1"/>
  <c r="AJ15" i="8" a="1"/>
  <c r="AJ15" i="8" s="1"/>
  <c r="AJ14" i="8" a="1"/>
  <c r="AJ14" i="8" s="1"/>
  <c r="AJ11" i="8" a="1"/>
  <c r="AJ11" i="8" s="1"/>
  <c r="AJ13" i="8" a="1"/>
  <c r="AJ13" i="8" s="1"/>
  <c r="AJ12" i="8" a="1"/>
  <c r="AJ12" i="8" s="1"/>
  <c r="AJ16" i="8" a="1"/>
  <c r="AJ16" i="8" s="1"/>
  <c r="AL10" i="8" l="1"/>
  <c r="AK11" i="8" a="1"/>
  <c r="AK11" i="8" s="1"/>
  <c r="AK12" i="8" a="1"/>
  <c r="AK12" i="8" s="1"/>
  <c r="AK17" i="8" a="1"/>
  <c r="AK17" i="8" s="1"/>
  <c r="AK16" i="8" a="1"/>
  <c r="AK16" i="8" s="1"/>
  <c r="AK15" i="8" a="1"/>
  <c r="AK15" i="8" s="1"/>
  <c r="AK13" i="8" a="1"/>
  <c r="AK13" i="8" s="1"/>
  <c r="AK14" i="8" a="1"/>
  <c r="AK14" i="8" s="1"/>
  <c r="AM10" i="8" l="1"/>
  <c r="AL11" i="8" a="1"/>
  <c r="AL11" i="8" s="1"/>
  <c r="AL15" i="8" a="1"/>
  <c r="AL15" i="8" s="1"/>
  <c r="AL14" i="8" a="1"/>
  <c r="AL14" i="8" s="1"/>
  <c r="AL13" i="8" a="1"/>
  <c r="AL13" i="8" s="1"/>
  <c r="AL17" i="8" a="1"/>
  <c r="AL17" i="8" s="1"/>
  <c r="AL16" i="8" a="1"/>
  <c r="AL16" i="8" s="1"/>
  <c r="AL12" i="8" a="1"/>
  <c r="AL12" i="8" s="1"/>
  <c r="AN10" i="8" l="1"/>
  <c r="AM13" i="8" a="1"/>
  <c r="AM13" i="8" s="1"/>
  <c r="AM12" i="8" a="1"/>
  <c r="AM12" i="8" s="1"/>
  <c r="AM14" i="8" a="1"/>
  <c r="AM14" i="8" s="1"/>
  <c r="AM16" i="8" a="1"/>
  <c r="AM16" i="8" s="1"/>
  <c r="AM15" i="8" a="1"/>
  <c r="AM15" i="8" s="1"/>
  <c r="AM11" i="8" a="1"/>
  <c r="AM11" i="8" s="1"/>
  <c r="AM17" i="8" a="1"/>
  <c r="AM17" i="8" s="1"/>
  <c r="AO10" i="8" l="1"/>
  <c r="AN15" i="8" a="1"/>
  <c r="AN15" i="8" s="1"/>
  <c r="AN14" i="8" a="1"/>
  <c r="AN14" i="8" s="1"/>
  <c r="AN17" i="8" a="1"/>
  <c r="AN17" i="8" s="1"/>
  <c r="AN12" i="8" a="1"/>
  <c r="AN12" i="8" s="1"/>
  <c r="AN11" i="8" a="1"/>
  <c r="AN11" i="8" s="1"/>
  <c r="AN13" i="8" a="1"/>
  <c r="AN13" i="8" s="1"/>
  <c r="AN16" i="8" a="1"/>
  <c r="AN16" i="8" s="1"/>
  <c r="AO11" i="8" l="1" a="1"/>
  <c r="AO11" i="8" s="1"/>
  <c r="AP11" i="8" s="1"/>
  <c r="AQ11" i="8" s="1"/>
  <c r="AO15" i="8" a="1"/>
  <c r="AO15" i="8" s="1"/>
  <c r="AP15" i="8" s="1"/>
  <c r="AQ15" i="8" s="1"/>
  <c r="AO14" i="8" a="1"/>
  <c r="AO14" i="8" s="1"/>
  <c r="AP14" i="8" s="1"/>
  <c r="AQ14" i="8" s="1"/>
  <c r="AO17" i="8" a="1"/>
  <c r="AO17" i="8" s="1"/>
  <c r="AP17" i="8" s="1"/>
  <c r="AQ17" i="8" s="1"/>
  <c r="AO12" i="8" a="1"/>
  <c r="AO12" i="8" s="1"/>
  <c r="AP12" i="8" s="1"/>
  <c r="AQ12" i="8" s="1"/>
  <c r="AO16" i="8" a="1"/>
  <c r="AO16" i="8" s="1"/>
  <c r="AP16" i="8" s="1"/>
  <c r="AQ16" i="8" s="1"/>
  <c r="AO13" i="8" a="1"/>
  <c r="AO13" i="8" s="1"/>
  <c r="AP13" i="8" s="1"/>
  <c r="AQ13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li__jl</author>
  </authors>
  <commentList>
    <comment ref="E23" authorId="0" shapeId="0" xr:uid="{2CA718D9-0474-4C45-8AFD-E9EBB886F5A3}">
      <text>
        <r>
          <rPr>
            <b/>
            <sz val="9"/>
            <color indexed="81"/>
            <rFont val="돋움"/>
            <family val="3"/>
            <charset val="129"/>
          </rPr>
          <t>근로기준법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조</t>
        </r>
      </text>
    </comment>
    <comment ref="E25" authorId="0" shapeId="0" xr:uid="{3729327F-2C2F-4A15-9F43-403898406E69}">
      <text>
        <r>
          <rPr>
            <b/>
            <sz val="9"/>
            <color indexed="81"/>
            <rFont val="돋움"/>
            <family val="3"/>
            <charset val="129"/>
          </rPr>
          <t>소득세법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시행령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 xr:uid="{A2821418-1DE6-4F74-92E4-8416F2CE19AE}">
      <text>
        <r>
          <rPr>
            <b/>
            <sz val="9"/>
            <color indexed="81"/>
            <rFont val="돋움"/>
            <family val="3"/>
            <charset val="129"/>
          </rPr>
          <t>일용근로소득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원천징수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세액계산</t>
        </r>
        <r>
          <rPr>
            <b/>
            <sz val="9"/>
            <color indexed="81"/>
            <rFont val="Tahoma"/>
            <family val="2"/>
          </rPr>
          <t>https://www.nts.go.kr/nts/cm/cntnts/cntntsView.do?mi=6427&amp;cntntsId=7863</t>
        </r>
      </text>
    </comment>
    <comment ref="E27" authorId="0" shapeId="0" xr:uid="{701C2278-2A6D-4101-8A93-6E482582ABC5}">
      <text>
        <r>
          <rPr>
            <b/>
            <sz val="9"/>
            <color indexed="81"/>
            <rFont val="돋움"/>
            <family val="3"/>
            <charset val="129"/>
          </rPr>
          <t>국민연금법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시행규칙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돋움"/>
            <family val="3"/>
            <charset val="129"/>
          </rPr>
          <t>조</t>
        </r>
      </text>
    </comment>
    <comment ref="E29" authorId="0" shapeId="0" xr:uid="{FC3580F4-386A-44B7-BE9F-EC308278F8F2}">
      <text>
        <r>
          <rPr>
            <b/>
            <sz val="9"/>
            <color indexed="81"/>
            <rFont val="돋움"/>
            <family val="3"/>
            <charset val="129"/>
          </rPr>
          <t>국민건강보험법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돋움"/>
            <family val="3"/>
            <charset val="129"/>
          </rPr>
          <t>조</t>
        </r>
      </text>
    </comment>
    <comment ref="E30" authorId="0" shapeId="0" xr:uid="{240F30E6-E529-475D-AF83-49EB05789F5F}">
      <text>
        <r>
          <rPr>
            <b/>
            <sz val="9"/>
            <color indexed="81"/>
            <rFont val="돋움"/>
            <family val="3"/>
            <charset val="129"/>
          </rPr>
          <t>국민건강보험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일용근로자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건강보험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안내</t>
        </r>
      </text>
    </comment>
    <comment ref="E31" authorId="0" shapeId="0" xr:uid="{7DF46BE4-752C-4C26-A37C-BC779DF08971}">
      <text>
        <r>
          <rPr>
            <b/>
            <sz val="9"/>
            <color indexed="81"/>
            <rFont val="돋움"/>
            <family val="3"/>
            <charset val="129"/>
          </rPr>
          <t>고용보험법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돋움"/>
            <family val="3"/>
            <charset val="129"/>
          </rPr>
          <t>호</t>
        </r>
      </text>
    </comment>
    <comment ref="E33" authorId="0" shapeId="0" xr:uid="{94261039-6B80-4251-9871-80C4F294C3C8}">
      <text>
        <r>
          <rPr>
            <b/>
            <sz val="9"/>
            <color indexed="81"/>
            <rFont val="돋움"/>
            <family val="3"/>
            <charset val="129"/>
          </rPr>
          <t>산업재해보상보험법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시행령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</t>
        </r>
        <r>
          <rPr>
            <b/>
            <sz val="9"/>
            <color indexed="81"/>
            <rFont val="Tahoma"/>
            <family val="2"/>
          </rPr>
          <t>23</t>
        </r>
        <r>
          <rPr>
            <b/>
            <sz val="9"/>
            <color indexed="81"/>
            <rFont val="돋움"/>
            <family val="3"/>
            <charset val="129"/>
          </rPr>
          <t>조</t>
        </r>
      </text>
    </comment>
    <comment ref="E35" authorId="0" shapeId="0" xr:uid="{6EC1C6E2-10FB-40DD-AFE5-9D096CB337D3}">
      <text>
        <r>
          <rPr>
            <b/>
            <sz val="9"/>
            <color indexed="81"/>
            <rFont val="돋움"/>
            <family val="3"/>
            <charset val="129"/>
          </rPr>
          <t>산업재해보상보험법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돋움"/>
            <family val="3"/>
            <charset val="129"/>
          </rPr>
          <t>조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<sst xmlns="http://schemas.openxmlformats.org/spreadsheetml/2006/main" count="2235" uniqueCount="352">
  <si>
    <t>Sheet</t>
    <phoneticPr fontId="2" type="noConversion"/>
  </si>
  <si>
    <t>Last Update</t>
    <phoneticPr fontId="2" type="noConversion"/>
  </si>
  <si>
    <t>Overview</t>
    <phoneticPr fontId="2" type="noConversion"/>
  </si>
  <si>
    <t>Regulation</t>
    <phoneticPr fontId="2" type="noConversion"/>
  </si>
  <si>
    <t>일용근로자 관련 법령 및 정의 및 내부 운영 지침</t>
    <phoneticPr fontId="2" type="noConversion"/>
  </si>
  <si>
    <t>0.Setting</t>
    <phoneticPr fontId="2" type="noConversion"/>
  </si>
  <si>
    <t>일용근로자 인적사항</t>
    <phoneticPr fontId="2" type="noConversion"/>
  </si>
  <si>
    <t>3.Payslip</t>
    <phoneticPr fontId="2" type="noConversion"/>
  </si>
  <si>
    <t>일용근로자 급여명세서</t>
    <phoneticPr fontId="2" type="noConversion"/>
  </si>
  <si>
    <t>원천세 신고 &amp; 4대보험 신고를 위한 정리</t>
    <phoneticPr fontId="2" type="noConversion"/>
  </si>
  <si>
    <t>No.</t>
    <phoneticPr fontId="2" type="noConversion"/>
  </si>
  <si>
    <t>Key</t>
    <phoneticPr fontId="2" type="noConversion"/>
  </si>
  <si>
    <t>등록일</t>
    <phoneticPr fontId="2" type="noConversion"/>
  </si>
  <si>
    <t>이름</t>
    <phoneticPr fontId="2" type="noConversion"/>
  </si>
  <si>
    <t>주민등록번호</t>
    <phoneticPr fontId="2" type="noConversion"/>
  </si>
  <si>
    <t>연락처</t>
    <phoneticPr fontId="2" type="noConversion"/>
  </si>
  <si>
    <t>국적</t>
    <phoneticPr fontId="2" type="noConversion"/>
  </si>
  <si>
    <t>비자</t>
    <phoneticPr fontId="2" type="noConversion"/>
  </si>
  <si>
    <t>은행</t>
    <phoneticPr fontId="2" type="noConversion"/>
  </si>
  <si>
    <t>계좌번호</t>
    <phoneticPr fontId="2" type="noConversion"/>
  </si>
  <si>
    <t>테스트</t>
  </si>
  <si>
    <t>010-12X4-XX78</t>
  </si>
  <si>
    <t>한국</t>
    <phoneticPr fontId="2" type="noConversion"/>
  </si>
  <si>
    <t>국민은행</t>
  </si>
  <si>
    <t>하나은행</t>
  </si>
  <si>
    <t>신한은행</t>
  </si>
  <si>
    <t>카카오뱅크</t>
  </si>
  <si>
    <t>기업은행</t>
  </si>
  <si>
    <t>Error Check</t>
    <phoneticPr fontId="2" type="noConversion"/>
  </si>
  <si>
    <t>근무일자</t>
    <phoneticPr fontId="2" type="noConversion"/>
  </si>
  <si>
    <t>업무</t>
    <phoneticPr fontId="2" type="noConversion"/>
  </si>
  <si>
    <t>이름</t>
  </si>
  <si>
    <t>확인</t>
    <phoneticPr fontId="2" type="noConversion"/>
  </si>
  <si>
    <t>월</t>
    <phoneticPr fontId="2" type="noConversion"/>
  </si>
  <si>
    <t>주간</t>
    <phoneticPr fontId="2" type="noConversion"/>
  </si>
  <si>
    <t>최초
등록일</t>
    <phoneticPr fontId="2" type="noConversion"/>
  </si>
  <si>
    <t>공휴일</t>
    <phoneticPr fontId="2" type="noConversion"/>
  </si>
  <si>
    <t>연속
근무월</t>
    <phoneticPr fontId="2" type="noConversion"/>
  </si>
  <si>
    <t>월간
근무일</t>
    <phoneticPr fontId="2" type="noConversion"/>
  </si>
  <si>
    <t>주간
근무일</t>
    <phoneticPr fontId="2" type="noConversion"/>
  </si>
  <si>
    <t>주간
근로시간</t>
    <phoneticPr fontId="2" type="noConversion"/>
  </si>
  <si>
    <t>4대
적용</t>
    <phoneticPr fontId="2" type="noConversion"/>
  </si>
  <si>
    <t>시급</t>
    <phoneticPr fontId="2" type="noConversion"/>
  </si>
  <si>
    <t>일급</t>
    <phoneticPr fontId="2" type="noConversion"/>
  </si>
  <si>
    <t>지급총액</t>
    <phoneticPr fontId="2" type="noConversion"/>
  </si>
  <si>
    <t>과세표준</t>
    <phoneticPr fontId="2" type="noConversion"/>
  </si>
  <si>
    <t>보험기준액</t>
    <phoneticPr fontId="2" type="noConversion"/>
  </si>
  <si>
    <t>건강보험</t>
    <phoneticPr fontId="2" type="noConversion"/>
  </si>
  <si>
    <t>장기요양</t>
    <phoneticPr fontId="2" type="noConversion"/>
  </si>
  <si>
    <t>국민연금</t>
    <phoneticPr fontId="2" type="noConversion"/>
  </si>
  <si>
    <t>고용보험</t>
    <phoneticPr fontId="2" type="noConversion"/>
  </si>
  <si>
    <t>공제총액</t>
    <phoneticPr fontId="2" type="noConversion"/>
  </si>
  <si>
    <t>실지급액</t>
    <phoneticPr fontId="2" type="noConversion"/>
  </si>
  <si>
    <t>청구 Claim</t>
    <phoneticPr fontId="2" type="noConversion"/>
  </si>
  <si>
    <t>건강보험(ER)</t>
    <phoneticPr fontId="2" type="noConversion"/>
  </si>
  <si>
    <t>장기요양(ER)</t>
    <phoneticPr fontId="2" type="noConversion"/>
  </si>
  <si>
    <t>국민연금(ER)</t>
    <phoneticPr fontId="2" type="noConversion"/>
  </si>
  <si>
    <t>고용보험(ER)</t>
    <phoneticPr fontId="2" type="noConversion"/>
  </si>
  <si>
    <t>산재보험(ER)</t>
    <phoneticPr fontId="2" type="noConversion"/>
  </si>
  <si>
    <t>지급일</t>
    <phoneticPr fontId="2" type="noConversion"/>
  </si>
  <si>
    <t>테스터</t>
    <phoneticPr fontId="2" type="noConversion"/>
  </si>
  <si>
    <t>근무
시작</t>
    <phoneticPr fontId="2" type="noConversion"/>
  </si>
  <si>
    <t>근무
종료</t>
    <phoneticPr fontId="2" type="noConversion"/>
  </si>
  <si>
    <t>휴게
시간</t>
    <phoneticPr fontId="2" type="noConversion"/>
  </si>
  <si>
    <t>근로
시간</t>
    <phoneticPr fontId="2" type="noConversion"/>
  </si>
  <si>
    <t>야간
근로</t>
    <phoneticPr fontId="2" type="noConversion"/>
  </si>
  <si>
    <t>▼공휴일</t>
    <phoneticPr fontId="2" type="noConversion"/>
  </si>
  <si>
    <t>▼일용근로자 소득세</t>
    <phoneticPr fontId="2" type="noConversion"/>
  </si>
  <si>
    <t>Date</t>
    <phoneticPr fontId="2" type="noConversion"/>
  </si>
  <si>
    <t>Holiday</t>
    <phoneticPr fontId="2" type="noConversion"/>
  </si>
  <si>
    <t>Start</t>
    <phoneticPr fontId="2" type="noConversion"/>
  </si>
  <si>
    <t>End</t>
    <phoneticPr fontId="2" type="noConversion"/>
  </si>
  <si>
    <t>요율</t>
    <phoneticPr fontId="2" type="noConversion"/>
  </si>
  <si>
    <t>근로소득세액공제</t>
    <phoneticPr fontId="2" type="noConversion"/>
  </si>
  <si>
    <t>소액부징수기준</t>
    <phoneticPr fontId="2" type="noConversion"/>
  </si>
  <si>
    <t>신정</t>
  </si>
  <si>
    <t>설날 연휴</t>
  </si>
  <si>
    <t>삼일절</t>
  </si>
  <si>
    <t>대체 휴일</t>
  </si>
  <si>
    <t>어린이날, 석가탄신일</t>
  </si>
  <si>
    <t>대통령 선거</t>
  </si>
  <si>
    <t>현충일</t>
  </si>
  <si>
    <t>광복절</t>
  </si>
  <si>
    <t>개천절</t>
  </si>
  <si>
    <t>추석 연휴</t>
  </si>
  <si>
    <t>▼Social Insurnace Rate</t>
    <phoneticPr fontId="2" type="noConversion"/>
  </si>
  <si>
    <t>한글날</t>
  </si>
  <si>
    <t>Type</t>
    <phoneticPr fontId="2" type="noConversion"/>
  </si>
  <si>
    <t>크리스마스</t>
  </si>
  <si>
    <t>어린이날</t>
  </si>
  <si>
    <t>석가탄신일</t>
  </si>
  <si>
    <t>장기요양보험(ER)</t>
    <phoneticPr fontId="2" type="noConversion"/>
  </si>
  <si>
    <t>전국동시지방선거</t>
  </si>
  <si>
    <t>국회의원 선거</t>
  </si>
  <si>
    <t>Adjustment
시급</t>
    <phoneticPr fontId="2" type="noConversion"/>
  </si>
  <si>
    <t>Adjustment
보험기준액</t>
    <phoneticPr fontId="2" type="noConversion"/>
  </si>
  <si>
    <t>Adjustment
공제</t>
    <phoneticPr fontId="2" type="noConversion"/>
  </si>
  <si>
    <t>비과세소득기준</t>
    <phoneticPr fontId="1" type="noConversion"/>
  </si>
  <si>
    <t>소득세</t>
  </si>
  <si>
    <t>지방세</t>
  </si>
  <si>
    <t>Adjustment
지급일</t>
    <phoneticPr fontId="2" type="noConversion"/>
  </si>
  <si>
    <t>FC</t>
    <phoneticPr fontId="1" type="noConversion"/>
  </si>
  <si>
    <t>HUB</t>
    <phoneticPr fontId="1" type="noConversion"/>
  </si>
  <si>
    <t>근무처</t>
    <phoneticPr fontId="1" type="noConversion"/>
  </si>
  <si>
    <t>Start</t>
    <phoneticPr fontId="1" type="noConversion"/>
  </si>
  <si>
    <t>End</t>
    <phoneticPr fontId="1" type="noConversion"/>
  </si>
  <si>
    <t xml:space="preserve"> 일용근로자 관련법령 및 정의</t>
    <phoneticPr fontId="2" type="noConversion"/>
  </si>
  <si>
    <t>일용근로자       :</t>
    <phoneticPr fontId="2" type="noConversion"/>
  </si>
  <si>
    <t>원칙적으로 사용자와의 근로계약이 명시적 또는 묵시적으로 당일 체결되고 당일로서 종료되는 자</t>
    <phoneticPr fontId="2" type="noConversion"/>
  </si>
  <si>
    <t>상용근로자       :</t>
    <phoneticPr fontId="2" type="noConversion"/>
  </si>
  <si>
    <t>일정한 고용계약을 통해 계속적·정기적으로 고용되고, 상시 근로를 제공하며, 4대보험 등 법령상 권리와 의미가 일반적으로 적용되는 근로자</t>
    <phoneticPr fontId="2" type="noConversion"/>
  </si>
  <si>
    <t>일용근로자에 대한 법령과 실무 등에서 정의 및 적용기준이 정확히 일치하지는 않으나 통상적으로 사용자와의 근로계약이 명시적 또는 묵시적으로 당일 체결되고 당일로서 종료되는 자를 의미하며,</t>
    <phoneticPr fontId="2" type="noConversion"/>
  </si>
  <si>
    <t>근로계약상으로는 일용으로 되었지만 그 회사의 고용형태를 볼 때 일반적으로 계속사용을 전제로 고용되거나, 일용관계가 중단 없이 계속되는 경우는 상용근로자 봄이 타당하다는 대법원 판례나</t>
    <phoneticPr fontId="2" type="noConversion"/>
  </si>
  <si>
    <t>고용노동부의 행정해석등이 있으며, 매일 근로 계약서를 새로 작성하더라도 동일 사업장에서 3개월 이상 계속 근무하는 경우 통상적으로 상용 근무자로 간주될 수 있다.</t>
    <phoneticPr fontId="2" type="noConversion"/>
  </si>
  <si>
    <t>* 통상  8시간 근무시간을 가정하여 고용기간이 1개월 이상이고, 월 8일 이상 근무한 일용근로자는 국민연금과 건강보험 모두에서 직장가입 요건을 충족한다.</t>
  </si>
  <si>
    <t>* 소득세법상 3개월 이상 계속근로한 일용근로자의 근로소득은 상용 근로자의 근로소득으로 간주하여 일반근로소득으로 근로소득 간이세액표의 세액에 따라 원천징수하며, 연말정산 대상이 된다.</t>
    <phoneticPr fontId="2" type="noConversion"/>
  </si>
  <si>
    <t>※ 근로자의 구분은 근로의 형식보다 실제 근로 형태와 고용관계의 지속성에 기반하여 상용근로자 여부를 판단하며, 통상적으로 3개월 이상 계속 근무하는 경우 상용 근무자로 간주될 수 있다.</t>
    <phoneticPr fontId="2" type="noConversion"/>
  </si>
  <si>
    <t>소득세 및 4대보험 적용 기준</t>
    <phoneticPr fontId="2" type="noConversion"/>
  </si>
  <si>
    <t>일용근로(1개월 미만)</t>
    <phoneticPr fontId="2" type="noConversion"/>
  </si>
  <si>
    <t>일용근로(1개월 이상)</t>
    <phoneticPr fontId="2" type="noConversion"/>
  </si>
  <si>
    <t>일용근로(3개월 이상) = 상용근로</t>
    <phoneticPr fontId="2" type="noConversion"/>
  </si>
  <si>
    <t>소득세 및 지방세</t>
    <phoneticPr fontId="2" type="noConversion"/>
  </si>
  <si>
    <t>일용 근로 소득</t>
    <phoneticPr fontId="2" type="noConversion"/>
  </si>
  <si>
    <t>일반 근로 소득</t>
    <phoneticPr fontId="2" type="noConversion"/>
  </si>
  <si>
    <t>X</t>
    <phoneticPr fontId="2" type="noConversion"/>
  </si>
  <si>
    <t>O</t>
    <phoneticPr fontId="2" type="noConversion"/>
  </si>
  <si>
    <t>산재보험</t>
    <phoneticPr fontId="2" type="noConversion"/>
  </si>
  <si>
    <t>관련 법령</t>
    <phoneticPr fontId="2" type="noConversion"/>
  </si>
  <si>
    <t>법령명시</t>
    <phoneticPr fontId="2" type="noConversion"/>
  </si>
  <si>
    <t>적용 기준 및 행정해석</t>
    <phoneticPr fontId="2" type="noConversion"/>
  </si>
  <si>
    <t>근로기준법</t>
    <phoneticPr fontId="2" type="noConversion"/>
  </si>
  <si>
    <t>법령 명시</t>
    <phoneticPr fontId="2" type="noConversion"/>
  </si>
  <si>
    <t>근로자란 임금을 목적으로 사업 또는 사업장에 근로를 제공하는 자, "일용근로자"에 대한 직접 명시 없음</t>
    <phoneticPr fontId="2" type="noConversion"/>
  </si>
  <si>
    <t>‘일용근로자’ 직접 명시 없음. 근로자란 임금을 목적으로 종속적으로 근무하는 자(제2조)</t>
    <phoneticPr fontId="2" type="noConversion"/>
  </si>
  <si>
    <t>모든 근로자에게 최저임금, 주휴수당, 휴게시간, 연장·야간·휴일수당 적용</t>
    <phoneticPr fontId="2" type="noConversion"/>
  </si>
  <si>
    <t>적용 기준</t>
    <phoneticPr fontId="2" type="noConversion"/>
  </si>
  <si>
    <t>최저임금, 휴게시간, 주휴수당, 연장·휴일·야간 근로수당 등 적용</t>
    <phoneticPr fontId="2" type="noConversion"/>
  </si>
  <si>
    <t>고용형태(정규직/계약직/일용직 등)와 무관하게 근로자 권리는 동일하게 보호됨</t>
    <phoneticPr fontId="2" type="noConversion"/>
  </si>
  <si>
    <t>소득세법</t>
    <phoneticPr fontId="2" type="noConversion"/>
  </si>
  <si>
    <t xml:space="preserve">근로 제공일 또는 시간에 따라 대가를 계산하며, 건설공사 종사자는 1년 미만, 기타 업무 종사자는 3개월 미만 고용된 자 </t>
    <phoneticPr fontId="2" type="noConversion"/>
  </si>
  <si>
    <t>연말정산 대상 제외, 대신 일용근로소득 지급명세서 매월 제출</t>
    <phoneticPr fontId="2" type="noConversion"/>
  </si>
  <si>
    <t xml:space="preserve">일용근로자는 1일 15만 원까지 비과세, 초과분은 6% 소득세 + 0.6% 지방세 원천징수, 연말정산 제외, 대신 매달 일용근로소득 지급명세서 제출 </t>
    <phoneticPr fontId="2" type="noConversion"/>
  </si>
  <si>
    <t>국세청 유권해석: 반복 고용되는 경우 상용근로자로 간주될 수 있음</t>
    <phoneticPr fontId="2" type="noConversion"/>
  </si>
  <si>
    <t>사업장에서 고용되어 일하는 근로자는 사업장 가입자 , 국민연금법 본문에 "일용근로자"에 대한 직접 명시 없음</t>
    <phoneticPr fontId="2" type="noConversion"/>
  </si>
  <si>
    <t>국민연금공단 해석: 동일인 반복 고용 → 사실상 상용으로 간주 가능</t>
    <phoneticPr fontId="2" type="noConversion"/>
  </si>
  <si>
    <t>①고용기간이 1개월 미만, ②월 근로일수가 8일 미만 인 경우 사업장가입자에서 제외 (고용기간 1개월 이상, 근로일 수 8일 이상인 경우 가입대상)</t>
    <phoneticPr fontId="2" type="noConversion"/>
  </si>
  <si>
    <t>건강보험법</t>
    <phoneticPr fontId="2" type="noConversion"/>
  </si>
  <si>
    <t>‘일용근로자’ 직접 명시 없음. 직장가입자는 “상시 근무자” (시행령 제41조)</t>
    <phoneticPr fontId="2" type="noConversion"/>
  </si>
  <si>
    <t>1개월 이상 근무 + 월 8일 이상 근무 시 직장가입자 포함</t>
    <phoneticPr fontId="2" type="noConversion"/>
  </si>
  <si>
    <t>가입자는 직장가입자와 지역가입자로 구분, 고용 기간이 1개월 미만인 일용근로자는 제외</t>
    <phoneticPr fontId="2" type="noConversion"/>
  </si>
  <si>
    <t>고용보험법</t>
    <phoneticPr fontId="2" type="noConversion"/>
  </si>
  <si>
    <t>“일용근로자”란 1개월 미만 고용되는 자 (시행령 제3조)</t>
    <phoneticPr fontId="2" type="noConversion"/>
  </si>
  <si>
    <t>주 15시간 또는 월 60시간 미만자는 적용 제외</t>
    <phoneticPr fontId="2" type="noConversion"/>
  </si>
  <si>
    <t>고용기간이 1개월 이상인 일용근로자 중 1개월 동안의 근로일수가 8일 이상인 근로자는 건강보험 직장가입 대상에 포함</t>
    <phoneticPr fontId="2" type="noConversion"/>
  </si>
  <si>
    <t>단, 3개월 이상 반복·계속 근무 시 고용보험 가입 대상자</t>
    <phoneticPr fontId="2" type="noConversion"/>
  </si>
  <si>
    <t>“일용근로자”란 1개월 미만 동안 고용되는 사람</t>
    <phoneticPr fontId="2" type="noConversion"/>
  </si>
  <si>
    <t>산재보험법</t>
    <phoneticPr fontId="2" type="noConversion"/>
  </si>
  <si>
    <t>시행규칙: “일용근로자”란 1일 단위로 고용된 자 (제2조)</t>
    <phoneticPr fontId="2" type="noConversion"/>
  </si>
  <si>
    <t>모든 근로자 산재보험 전원 의무 가입 대상</t>
    <phoneticPr fontId="2" type="noConversion"/>
  </si>
  <si>
    <t>해당 사업에서 3개월 이상 계속 근로하거나 일용근로자는 고용보험 가입 대상자</t>
    <phoneticPr fontId="2" type="noConversion"/>
  </si>
  <si>
    <t>단, 3개월 이상 계속 근무하거나 상용근로자와 유사 시 ‘일용’으로 보지 않음</t>
    <phoneticPr fontId="2" type="noConversion"/>
  </si>
  <si>
    <t>“일용근로자”란 1일 단위로 고용되거나 근로일에 따라 일당 형식의 임금을 지급받는 근로자</t>
    <phoneticPr fontId="2" type="noConversion"/>
  </si>
  <si>
    <t>다만 근로관계가 3개월 이상 계속되는 경우 혹은 근로형태가 상용근로자와 비슷하다고 인정되는 경우 일용근로자로 보지 않는다.</t>
    <phoneticPr fontId="2" type="noConversion"/>
  </si>
  <si>
    <t>산재보험은 근로자의 고용형태(정규직/계약직/일용직/단시간 등)에 관계없이 전원 의무 가입</t>
    <phoneticPr fontId="2" type="noConversion"/>
  </si>
  <si>
    <t>일용근로자 사용 내부 운영 지침</t>
    <phoneticPr fontId="2" type="noConversion"/>
  </si>
  <si>
    <t>2. 일용근로자의 근태는 유닛의 일용근로자 담당자가 관리하며 근무일자, 근무시작시간, 근무종료시간, 휴게시간 등을 정확히 입력한다.</t>
    <phoneticPr fontId="2" type="noConversion"/>
  </si>
  <si>
    <t>* 주휴수당의 경우 주 2일 이상 근무한 근로자를 대상으로 지급하며, 주 2일부터 5일까지 발생한 근무분에 대한 주휴수당을 지급한다.</t>
    <phoneticPr fontId="2" type="noConversion"/>
  </si>
  <si>
    <t>5. 일용근로자의 근로소득은 소득세법에 따라 원천징수 및 지급명세서를 제출하여 처리한다.</t>
    <phoneticPr fontId="2" type="noConversion"/>
  </si>
  <si>
    <t>구 분</t>
  </si>
  <si>
    <t>일반 근로소득</t>
  </si>
  <si>
    <t>일용 근로소득</t>
  </si>
  <si>
    <t>개 념</t>
  </si>
  <si>
    <t>특정 고용주에게 계속하여 고용되어 지급받는 급여</t>
  </si>
  <si>
    <t>특정 고용주에게 계속하여 고용되어 있지 아니하고 일급 또는 시간급 등으로 받는 급여</t>
  </si>
  <si>
    <t>특 징</t>
  </si>
  <si>
    <t>근로계약상 근로제공에 대한 시간 또는 일수나 그 성과에 의하지 아니하고
월정액에 의해 급여를 지급받는 경우 (고용기간 관계없이 일반근로소득)</t>
    <phoneticPr fontId="2" type="noConversion"/>
  </si>
  <si>
    <t>근로를 제공한 날이나 시간에 따라 근로대가를 계산하거나 근로를
 제공한 날 또는 시간의 근로성과에 따라 급여를 계산하여 지급받음</t>
    <phoneticPr fontId="2" type="noConversion"/>
  </si>
  <si>
    <t>원천징수 세액 계산</t>
  </si>
  <si>
    <t>근로소득 간이세액표의 세액 (근로자가 비율 선택 가능)</t>
  </si>
  <si>
    <t>[일급(비과세소득제외)-15만원] × 6% × [1-55%(근로소득세액공제)]</t>
  </si>
  <si>
    <t>연말정산</t>
  </si>
  <si>
    <t>연말정산 대상</t>
  </si>
  <si>
    <t>연말정산 대상에 해당되지 아니함 (지급시 원천징수로서 납세의무 종료)</t>
    <phoneticPr fontId="2" type="noConversion"/>
  </si>
  <si>
    <t>지급명세서 제출시기</t>
  </si>
  <si>
    <t>다음해 3월 10일까지</t>
  </si>
  <si>
    <t>’21.6.30. 이전 지급분</t>
  </si>
  <si>
    <t>지급일이 속하는 분기의 마지막 달의 다음 달 말일</t>
  </si>
  <si>
    <t>’21.7.1. 이후 지급분</t>
  </si>
  <si>
    <t>지급일이 속하는 달의 다음 달 말일</t>
  </si>
  <si>
    <t>*일용근로자의 납세의무는 원천징수로 과세 종료*(완납적 분리과세), * 세율 6% 단일세율, 근로소득세액공제 외의 소득·세액공제 없음</t>
    <phoneticPr fontId="2" type="noConversion"/>
  </si>
  <si>
    <t>*소액부징수</t>
    <phoneticPr fontId="2" type="noConversion"/>
  </si>
  <si>
    <t>원천징수세액이 1,000원 미만인 경우 소득세를 징수하지 아니하며 지급금액을 기준으로 소액부징수를 판단함 (일 총급여액이 187천원(결정세액 999원) 이하인 경우 원천징수세액 없음)</t>
    <phoneticPr fontId="2" type="noConversion"/>
  </si>
  <si>
    <t>5일간 일당을 한번에 지급시 5일 일당에 대한 원천징수세액 합계가 1,000원 이상인 경우 소액부징수를 적용하지 아니함</t>
    <phoneticPr fontId="2" type="noConversion"/>
  </si>
  <si>
    <t>* 1일 2이상 사업장에서 일용근로 제공시 세액계산은 사업장별로 계산하여 소액부징수 여부를 판단하는 것임(원천세과-216, 2011.04.08.)</t>
    <phoneticPr fontId="2" type="noConversion"/>
  </si>
  <si>
    <t>6. 일용근로자의 4대보험은 관련법령을 준수하여 아래와 같이 원천징수 및 취득·상실 처리한다.</t>
    <phoneticPr fontId="2" type="noConversion"/>
  </si>
  <si>
    <t>6-.1  4대보험 원천징수 기준</t>
    <phoneticPr fontId="2" type="noConversion"/>
  </si>
  <si>
    <t>일용근로자 근무 구분</t>
    <phoneticPr fontId="2" type="noConversion"/>
  </si>
  <si>
    <t>4대보험 적용</t>
    <phoneticPr fontId="2" type="noConversion"/>
  </si>
  <si>
    <t>원천징수</t>
    <phoneticPr fontId="2" type="noConversion"/>
  </si>
  <si>
    <t>전월 근무 후 당월 8일 이상 근무</t>
    <phoneticPr fontId="2" type="noConversion"/>
  </si>
  <si>
    <t>국민연금, 건강보험(장기요양보험),
 고용보험, 산재보험 적용</t>
    <phoneticPr fontId="2" type="noConversion"/>
  </si>
  <si>
    <t>당월 1일 근무 후 8일 이상 근무</t>
    <phoneticPr fontId="2" type="noConversion"/>
  </si>
  <si>
    <t>당월 중도부터 근무 후 8일 이상 근무</t>
    <phoneticPr fontId="2" type="noConversion"/>
  </si>
  <si>
    <t>고용보험, 산재보험 적용</t>
    <phoneticPr fontId="2" type="noConversion"/>
  </si>
  <si>
    <t>당월 8일 미만 근무</t>
    <phoneticPr fontId="2" type="noConversion"/>
  </si>
  <si>
    <t>6-2  4대보험 요율</t>
    <phoneticPr fontId="2" type="noConversion"/>
  </si>
  <si>
    <t>* 2025년 기준</t>
    <phoneticPr fontId="2" type="noConversion"/>
  </si>
  <si>
    <t>구분</t>
    <phoneticPr fontId="2" type="noConversion"/>
  </si>
  <si>
    <t>근로자 부담 요율</t>
    <phoneticPr fontId="2" type="noConversion"/>
  </si>
  <si>
    <t>회사 부담 요율</t>
    <phoneticPr fontId="2" type="noConversion"/>
  </si>
  <si>
    <t>회사 부담 요율(DBS)</t>
    <phoneticPr fontId="2" type="noConversion"/>
  </si>
  <si>
    <t>6-3  4대보험 신고</t>
    <phoneticPr fontId="2" type="noConversion"/>
  </si>
  <si>
    <t>* 고용보험과 산재보험의 신고는 근로내용확인신고서를 통해 다음 달 15일까지 신고한다.</t>
    <phoneticPr fontId="2" type="noConversion"/>
  </si>
  <si>
    <t>* 국민연금과 건강보험의 취득신고는 해당월 다음 달 15일까지, 상실신고는 취득월 다음달 15일까지 처리한다.</t>
    <phoneticPr fontId="2" type="noConversion"/>
  </si>
  <si>
    <t>* 국민연금과 건강보험의 취득신고 여부는 1달 60시간 이상 기준인 8일 근무를 기준으로 하며, 국민연금과 건강보험의 납부 기준일인 매월 1일을 기준으로 한다.</t>
    <phoneticPr fontId="2" type="noConversion"/>
  </si>
  <si>
    <t>7. 일용근로자의 3개월 이상 연속근로를 금지한다.</t>
    <phoneticPr fontId="2" type="noConversion"/>
  </si>
  <si>
    <t>* 일용근로자가 동일한 사업장에서 3개월 이상 계속근로하는 경우 상용근로자로 간주되어 노무적, 행정적, 비용적 문제가 발생</t>
    <phoneticPr fontId="2" type="noConversion"/>
  </si>
  <si>
    <t>* 1년 이상 계속 근로를 제공하는 경우 연차 및 퇴직금에 대한 지급의무가 발생할 수 있음.</t>
    <phoneticPr fontId="2" type="noConversion"/>
  </si>
  <si>
    <t>※ 연속 3개월(역월 기준) 근무한 일용근로자의 경우 다음 1개월은 근무를 제한해야 리스크를 줄일 수 있음.</t>
    <phoneticPr fontId="2" type="noConversion"/>
  </si>
  <si>
    <t>8. 재직원의 일용근로를 금지한다.</t>
    <phoneticPr fontId="2" type="noConversion"/>
  </si>
  <si>
    <t>* 재직원의 일용근로는 소득 누락 혹은 탈루로 인한 세무적인 문제, 4대 보험법과 근로기준법을 위반할 수 있으며 행정적, 노무적 리스크가 발생하므로 금지한다.</t>
    <phoneticPr fontId="2" type="noConversion"/>
  </si>
  <si>
    <t>9. 외국인 일용근로자를 사용하는 경우 외국인 등록번호 및 비자내역을 확인한다.</t>
    <phoneticPr fontId="2" type="noConversion"/>
  </si>
  <si>
    <t>4. 일용근로자는 근로기준법에서 규정하는 휴일, 연장, 야간 근로에 대한 수당 및 주휴수당에 준하는 인센티브를 지급한다</t>
    <phoneticPr fontId="2" type="noConversion"/>
  </si>
  <si>
    <t>고용보험 여부</t>
    <phoneticPr fontId="2" type="noConversion"/>
  </si>
  <si>
    <t>보험구분</t>
    <phoneticPr fontId="22" type="noConversion"/>
  </si>
  <si>
    <t>성명</t>
    <phoneticPr fontId="25" type="noConversion"/>
  </si>
  <si>
    <t>주민(외국인)등록번호</t>
    <phoneticPr fontId="22" type="noConversion"/>
  </si>
  <si>
    <t>신고월</t>
    <phoneticPr fontId="25" type="noConversion"/>
  </si>
  <si>
    <t>국적코드</t>
    <phoneticPr fontId="25" type="noConversion"/>
  </si>
  <si>
    <t>체류자격코드</t>
    <phoneticPr fontId="25" type="noConversion"/>
  </si>
  <si>
    <t>전화(지역번호)</t>
    <phoneticPr fontId="22" type="noConversion"/>
  </si>
  <si>
    <t>전화(국번)</t>
    <phoneticPr fontId="22" type="noConversion"/>
  </si>
  <si>
    <t>전화(뒷번호)</t>
    <phoneticPr fontId="22" type="noConversion"/>
  </si>
  <si>
    <t>직종코드</t>
    <phoneticPr fontId="25" type="noConversion"/>
  </si>
  <si>
    <t>근로일수</t>
    <phoneticPr fontId="22" type="noConversion"/>
  </si>
  <si>
    <t>일평균
근로시간</t>
    <phoneticPr fontId="22" type="noConversion"/>
  </si>
  <si>
    <t>보수지급
기초일수</t>
    <phoneticPr fontId="22" type="noConversion"/>
  </si>
  <si>
    <t>보수총액
(과세소득)</t>
    <phoneticPr fontId="22" type="noConversion"/>
  </si>
  <si>
    <t>임금총액</t>
    <phoneticPr fontId="22" type="noConversion"/>
  </si>
  <si>
    <t>이직사유코드</t>
    <phoneticPr fontId="22" type="noConversion"/>
  </si>
  <si>
    <t>보험료부과구분
부호</t>
    <phoneticPr fontId="22" type="noConversion"/>
  </si>
  <si>
    <t>보험료부과구분
사유</t>
    <phoneticPr fontId="22" type="noConversion"/>
  </si>
  <si>
    <t>국세청
일용근로소득
신고여부</t>
    <phoneticPr fontId="22" type="noConversion"/>
  </si>
  <si>
    <t>지급월</t>
    <phoneticPr fontId="22" type="noConversion"/>
  </si>
  <si>
    <t>총지급액
(과세소득)</t>
    <phoneticPr fontId="22" type="noConversion"/>
  </si>
  <si>
    <t>비과세소득</t>
    <phoneticPr fontId="22" type="noConversion"/>
  </si>
  <si>
    <t>소득세</t>
    <phoneticPr fontId="22" type="noConversion"/>
  </si>
  <si>
    <t>지방소득세</t>
    <phoneticPr fontId="22" type="noConversion"/>
  </si>
  <si>
    <t>일자리
안정자금
신청여부</t>
    <phoneticPr fontId="22" type="noConversion"/>
  </si>
  <si>
    <t>지급방식</t>
    <phoneticPr fontId="1" type="noConversion"/>
  </si>
  <si>
    <t>지급구분</t>
    <phoneticPr fontId="1" type="noConversion"/>
  </si>
  <si>
    <t>D+2</t>
  </si>
  <si>
    <t>Contents</t>
    <phoneticPr fontId="2" type="noConversion"/>
  </si>
  <si>
    <t>A</t>
  </si>
  <si>
    <t>A</t>
    <phoneticPr fontId="1" type="noConversion"/>
  </si>
  <si>
    <t>B</t>
  </si>
  <si>
    <t>B</t>
    <phoneticPr fontId="1" type="noConversion"/>
  </si>
  <si>
    <t>FC</t>
  </si>
  <si>
    <t>HUB</t>
  </si>
  <si>
    <t>차주 화</t>
  </si>
  <si>
    <t>업무</t>
    <phoneticPr fontId="1" type="noConversion"/>
  </si>
  <si>
    <t>지급옵션</t>
    <phoneticPr fontId="1" type="noConversion"/>
  </si>
  <si>
    <t>시급</t>
    <phoneticPr fontId="1" type="noConversion"/>
  </si>
  <si>
    <t>주휴최소시간</t>
    <phoneticPr fontId="1" type="noConversion"/>
  </si>
  <si>
    <t>주휴적용일</t>
    <phoneticPr fontId="1" type="noConversion"/>
  </si>
  <si>
    <t>▼Payroll Option</t>
    <phoneticPr fontId="2" type="noConversion"/>
  </si>
  <si>
    <t>주휴적용</t>
    <phoneticPr fontId="2" type="noConversion"/>
  </si>
  <si>
    <t>어린이날</t>
    <phoneticPr fontId="1" type="noConversion"/>
  </si>
  <si>
    <t>휴일인센티브</t>
    <phoneticPr fontId="1" type="noConversion"/>
  </si>
  <si>
    <t>연장인센티브</t>
    <phoneticPr fontId="1" type="noConversion"/>
  </si>
  <si>
    <t>야간인센티브</t>
    <phoneticPr fontId="1" type="noConversion"/>
  </si>
  <si>
    <t>휴일
인센
티브</t>
    <phoneticPr fontId="2" type="noConversion"/>
  </si>
  <si>
    <t>연장
인센
티브</t>
    <phoneticPr fontId="2" type="noConversion"/>
  </si>
  <si>
    <t>야간
인센
티브</t>
    <phoneticPr fontId="2" type="noConversion"/>
  </si>
  <si>
    <t>주휴
수당</t>
    <phoneticPr fontId="2" type="noConversion"/>
  </si>
  <si>
    <t>Adjustment 
지급총액</t>
    <phoneticPr fontId="2" type="noConversion"/>
  </si>
  <si>
    <t>주휴
시간</t>
    <phoneticPr fontId="1" type="noConversion"/>
  </si>
  <si>
    <t>장기요양보험</t>
    <phoneticPr fontId="2" type="noConversion"/>
  </si>
  <si>
    <t>1일 공제 상한</t>
    <phoneticPr fontId="1" type="noConversion"/>
  </si>
  <si>
    <t>공제이월</t>
    <phoneticPr fontId="1" type="noConversion"/>
  </si>
  <si>
    <t>청구 Claim 
이월</t>
    <phoneticPr fontId="2" type="noConversion"/>
  </si>
  <si>
    <t>OK</t>
    <phoneticPr fontId="1" type="noConversion"/>
  </si>
  <si>
    <t>김X아</t>
  </si>
  <si>
    <t>김X석</t>
  </si>
  <si>
    <t>정X동</t>
  </si>
  <si>
    <t>조X희</t>
  </si>
  <si>
    <t>김X우</t>
  </si>
  <si>
    <t>서X은</t>
  </si>
  <si>
    <t>길X수</t>
  </si>
  <si>
    <t>010-7X6X-X9X5</t>
  </si>
  <si>
    <t>110X98XX7530</t>
  </si>
  <si>
    <t>010-8X0X-X0X9</t>
  </si>
  <si>
    <t>982X03XX901018</t>
  </si>
  <si>
    <t>010-6X1X-X3X0</t>
  </si>
  <si>
    <t>333X04XX46879</t>
  </si>
  <si>
    <t>010-3X6X-X4X7</t>
  </si>
  <si>
    <t>757X02XX284249</t>
  </si>
  <si>
    <t>010-2X2X-X2X2</t>
  </si>
  <si>
    <t>945X02XX268466</t>
  </si>
  <si>
    <t>010-3X4X-X9X7</t>
  </si>
  <si>
    <t>219X02XX284640</t>
  </si>
  <si>
    <t>010-5X0X-X6X5</t>
  </si>
  <si>
    <t>010X57XX685907</t>
  </si>
  <si>
    <t>010-5X8X-X4X0</t>
  </si>
  <si>
    <t>920X02XX253123</t>
  </si>
  <si>
    <t>한국</t>
  </si>
  <si>
    <t>청구상환</t>
    <phoneticPr fontId="2" type="noConversion"/>
  </si>
  <si>
    <t>▼근무내역 입력</t>
    <phoneticPr fontId="2" type="noConversion"/>
  </si>
  <si>
    <t>HC</t>
    <phoneticPr fontId="1" type="noConversion"/>
  </si>
  <si>
    <t>Amount</t>
    <phoneticPr fontId="1" type="noConversion"/>
  </si>
  <si>
    <t>990XX62XX3X13</t>
  </si>
  <si>
    <t>960XX51XX9X15</t>
  </si>
  <si>
    <t>971XX61XX9X25</t>
  </si>
  <si>
    <t>940XX41XX7X32</t>
  </si>
  <si>
    <t>980XX81XX7X17</t>
  </si>
  <si>
    <t>931XX31XX3X14</t>
  </si>
  <si>
    <t>980XX82XX3X25</t>
  </si>
  <si>
    <t>941XX31XX3X14</t>
  </si>
  <si>
    <t>일일지급</t>
  </si>
  <si>
    <t>주간지급</t>
  </si>
  <si>
    <t>비자</t>
    <phoneticPr fontId="1" type="noConversion"/>
  </si>
  <si>
    <t>고용보험</t>
    <phoneticPr fontId="1" type="noConversion"/>
  </si>
  <si>
    <t>고용보험2</t>
    <phoneticPr fontId="1" type="noConversion"/>
  </si>
  <si>
    <t>은행</t>
    <phoneticPr fontId="1" type="noConversion"/>
  </si>
  <si>
    <t>급여귀속기간</t>
    <phoneticPr fontId="1" type="noConversion"/>
  </si>
  <si>
    <t>지급총액</t>
    <phoneticPr fontId="1" type="noConversion"/>
  </si>
  <si>
    <t>Total</t>
    <phoneticPr fontId="1" type="noConversion"/>
  </si>
  <si>
    <t>근로자 수</t>
    <phoneticPr fontId="1" type="noConversion"/>
  </si>
  <si>
    <t>근로시간</t>
    <phoneticPr fontId="1" type="noConversion"/>
  </si>
  <si>
    <t>▼근로내용확인신고 전자신고용</t>
    <phoneticPr fontId="1" type="noConversion"/>
  </si>
  <si>
    <t>1. 일용근로자는 근무 전 근로계약서를 작성하며, 근로계약서를 준수한다.</t>
    <phoneticPr fontId="2" type="noConversion"/>
  </si>
  <si>
    <t>3. 일용근로자의 이번 주(일-토) 근로에 대한 급여는  담당자가 확인한 근태내역을 기준으로 계산되며,  다음 주 X요일에 일괄 지급한다.</t>
    <phoneticPr fontId="2" type="noConversion"/>
  </si>
  <si>
    <t>※ 국민연금, 건강보험(장기요양보험) 적용 대상자는 8일째 근무일에 해당 월의 근로소득 중 최초 8일분에 대해 보험료를 일괄 공제합니다. 이후 추가 근무일에 대해서는 일급 기준으로 보험료를 계속 공제한다.</t>
    <phoneticPr fontId="2" type="noConversion"/>
  </si>
  <si>
    <t>* 가능한 외국인 일용근로자를 사용하지 않는다.</t>
    <phoneticPr fontId="2" type="noConversion"/>
  </si>
  <si>
    <t>* 일용근로자는 원칙적으로 휴일근로수당 지급대상에 해당하지 않으나, 인력 확보 경쟁력 제고 및 노무 리스크 방지를 위하여 휴일 근로수당을 지급한다.</t>
    <phoneticPr fontId="2" type="noConversion"/>
  </si>
  <si>
    <t>일용근로자 급여계산설정</t>
    <phoneticPr fontId="1" type="noConversion"/>
  </si>
  <si>
    <t>일용근로자 근무기록입력 및 급여계산</t>
    <phoneticPr fontId="2" type="noConversion"/>
  </si>
  <si>
    <t>▼일용근로자 인적사항 입력</t>
    <phoneticPr fontId="2" type="noConversion"/>
  </si>
  <si>
    <t>지급일 입력 ▶</t>
    <phoneticPr fontId="1" type="noConversion"/>
  </si>
  <si>
    <t>귀속월 입력 ▶</t>
    <phoneticPr fontId="1" type="noConversion"/>
  </si>
  <si>
    <t>회계전표 양식으로 변환</t>
    <phoneticPr fontId="1" type="noConversion"/>
  </si>
  <si>
    <t>6.Accounting</t>
    <phoneticPr fontId="2" type="noConversion"/>
  </si>
  <si>
    <t>5.Tax_SI</t>
    <phoneticPr fontId="2" type="noConversion"/>
  </si>
  <si>
    <t>1.EE_List</t>
    <phoneticPr fontId="2" type="noConversion"/>
  </si>
  <si>
    <t>일자별 지급내역 정리</t>
    <phoneticPr fontId="2" type="noConversion"/>
  </si>
  <si>
    <t>2.WorkLog</t>
    <phoneticPr fontId="2" type="noConversion"/>
  </si>
  <si>
    <t>4.PaySummary</t>
    <phoneticPr fontId="2" type="noConversion"/>
  </si>
  <si>
    <t>개요</t>
    <phoneticPr fontId="1" type="noConversion"/>
  </si>
  <si>
    <t>이 파일은 일용근로자의 인적사항, 근무기록, 급여계산, 원천세 및 4대보험 신고까지의 전 과정을 관리하기 위한 일용근로자 Payroll 통합 관리 시트입니다.</t>
    <phoneticPr fontId="1" type="noConversion"/>
  </si>
  <si>
    <t>각 시트는 일용근로자 Payroll의  설정 → 입력 → 계산 → 지급 → 신고 → 회계처리의 흐름으로 구성되어 있습니다.</t>
    <phoneticPr fontId="1" type="noConversion"/>
  </si>
  <si>
    <t>Version</t>
    <phoneticPr fontId="1" type="noConversion"/>
  </si>
  <si>
    <t>V0.9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</si>
</sst>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yy/mm/dd"/>
    <numFmt numFmtId="177" formatCode="h:mm;@"/>
    <numFmt numFmtId="178" formatCode="#,##0_);[Red]\(#,##0\);_-* &quot;-&quot;_-"/>
    <numFmt numFmtId="179" formatCode="0.000%"/>
    <numFmt numFmtId="180" formatCode="0.0%"/>
    <numFmt numFmtId="181" formatCode="yy/mm/dd\(aaa\)"/>
    <numFmt numFmtId="182" formatCode="General;;"/>
    <numFmt numFmtId="183" formatCode="[Red]#,##0_);\(#,##0\);_-* &quot;-&quot;_-"/>
    <numFmt numFmtId="184" formatCode="h:mm;;"/>
    <numFmt numFmtId="185" formatCode="d&quot;일&quot;"/>
  </numFmts>
  <fonts count="29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scheme val="minor"/>
    </font>
    <font>
      <sz val="10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0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  <font>
      <sz val="8"/>
      <color rgb="FF222222"/>
      <name val="맑은 고딕"/>
      <family val="3"/>
      <charset val="129"/>
      <scheme val="minor"/>
    </font>
    <font>
      <b/>
      <sz val="9"/>
      <color rgb="FF0070C0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2"/>
      <scheme val="minor"/>
    </font>
    <font>
      <b/>
      <sz val="9"/>
      <color theme="0"/>
      <name val="맑은 고딕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medium">
        <color theme="0" tint="-0.249977111117893"/>
      </right>
      <top style="medium">
        <color indexed="64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indexed="64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indexed="64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indexed="64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B9B9B9"/>
      </bottom>
      <diagonal/>
    </border>
    <border>
      <left style="medium">
        <color rgb="FFD2D2D2"/>
      </left>
      <right/>
      <top style="medium">
        <color indexed="64"/>
      </top>
      <bottom style="medium">
        <color rgb="FFB9B9B9"/>
      </bottom>
      <diagonal/>
    </border>
    <border>
      <left/>
      <right style="medium">
        <color rgb="FFD2D2D2"/>
      </right>
      <top style="medium">
        <color indexed="64"/>
      </top>
      <bottom style="medium">
        <color rgb="FFB9B9B9"/>
      </bottom>
      <diagonal/>
    </border>
    <border>
      <left/>
      <right/>
      <top/>
      <bottom style="medium">
        <color rgb="FFD2D2D2"/>
      </bottom>
      <diagonal/>
    </border>
    <border>
      <left style="medium">
        <color rgb="FFD2D2D2"/>
      </left>
      <right/>
      <top style="medium">
        <color rgb="FFB9B9B9"/>
      </top>
      <bottom style="medium">
        <color rgb="FFD2D2D2"/>
      </bottom>
      <diagonal/>
    </border>
    <border>
      <left/>
      <right/>
      <top style="medium">
        <color rgb="FFB9B9B9"/>
      </top>
      <bottom style="medium">
        <color rgb="FFD2D2D2"/>
      </bottom>
      <diagonal/>
    </border>
    <border>
      <left/>
      <right style="medium">
        <color rgb="FFD2D2D2"/>
      </right>
      <top style="medium">
        <color rgb="FFB9B9B9"/>
      </top>
      <bottom style="medium">
        <color rgb="FFD2D2D2"/>
      </bottom>
      <diagonal/>
    </border>
    <border>
      <left/>
      <right style="medium">
        <color rgb="FFD2D2D2"/>
      </right>
      <top style="medium">
        <color rgb="FFD2D2D2"/>
      </top>
      <bottom/>
      <diagonal/>
    </border>
    <border>
      <left style="medium">
        <color rgb="FFD2D2D2"/>
      </left>
      <right/>
      <top style="medium">
        <color rgb="FFD2D2D2"/>
      </top>
      <bottom/>
      <diagonal/>
    </border>
    <border>
      <left/>
      <right/>
      <top style="medium">
        <color rgb="FFD2D2D2"/>
      </top>
      <bottom/>
      <diagonal/>
    </border>
    <border>
      <left/>
      <right style="medium">
        <color rgb="FFD2D2D2"/>
      </right>
      <top/>
      <bottom style="medium">
        <color rgb="FFD2D2D2"/>
      </bottom>
      <diagonal/>
    </border>
    <border>
      <left style="medium">
        <color rgb="FFD2D2D2"/>
      </left>
      <right/>
      <top/>
      <bottom style="medium">
        <color rgb="FFD2D2D2"/>
      </bottom>
      <diagonal/>
    </border>
    <border>
      <left style="medium">
        <color rgb="FFD2D2D2"/>
      </left>
      <right/>
      <top style="medium">
        <color rgb="FFD2D2D2"/>
      </top>
      <bottom style="medium">
        <color rgb="FFD2D2D2"/>
      </bottom>
      <diagonal/>
    </border>
    <border>
      <left/>
      <right/>
      <top style="medium">
        <color rgb="FFD2D2D2"/>
      </top>
      <bottom style="medium">
        <color rgb="FFD2D2D2"/>
      </bottom>
      <diagonal/>
    </border>
    <border>
      <left/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/>
      <right style="medium">
        <color rgb="FFD2D2D2"/>
      </right>
      <top/>
      <bottom style="medium">
        <color indexed="64"/>
      </bottom>
      <diagonal/>
    </border>
    <border>
      <left style="medium">
        <color rgb="FFD2D2D2"/>
      </left>
      <right/>
      <top/>
      <bottom style="medium">
        <color indexed="64"/>
      </bottom>
      <diagonal/>
    </border>
    <border>
      <left style="medium">
        <color rgb="FFD2D2D2"/>
      </left>
      <right/>
      <top style="medium">
        <color rgb="FFD2D2D2"/>
      </top>
      <bottom style="medium">
        <color indexed="64"/>
      </bottom>
      <diagonal/>
    </border>
    <border>
      <left/>
      <right style="medium">
        <color rgb="FFD2D2D2"/>
      </right>
      <top style="medium">
        <color rgb="FFD2D2D2"/>
      </top>
      <bottom style="medium">
        <color indexed="64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>
      <alignment vertical="center"/>
    </xf>
    <xf numFmtId="0" fontId="23" fillId="0" borderId="0">
      <alignment vertical="center"/>
    </xf>
    <xf numFmtId="41" fontId="26" fillId="0" borderId="0" applyFont="0" applyFill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14" fontId="0" fillId="0" borderId="2" xfId="0" applyNumberFormat="1" applyBorder="1" applyAlignment="1"/>
    <xf numFmtId="0" fontId="0" fillId="3" borderId="3" xfId="0" applyFill="1" applyBorder="1" applyAlignment="1"/>
    <xf numFmtId="0" fontId="0" fillId="0" borderId="3" xfId="0" applyBorder="1" applyAlignment="1"/>
    <xf numFmtId="14" fontId="0" fillId="0" borderId="4" xfId="0" applyNumberForma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6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7" borderId="11" xfId="0" applyFont="1" applyFill="1" applyBorder="1" applyAlignment="1">
      <alignment vertical="top"/>
    </xf>
    <xf numFmtId="14" fontId="0" fillId="0" borderId="0" xfId="0" applyNumberFormat="1" applyAlignment="1"/>
    <xf numFmtId="9" fontId="0" fillId="0" borderId="0" xfId="0" applyNumberFormat="1" applyAlignment="1"/>
    <xf numFmtId="10" fontId="0" fillId="0" borderId="0" xfId="0" applyNumberFormat="1" applyAlignment="1"/>
    <xf numFmtId="0" fontId="3" fillId="5" borderId="11" xfId="0" applyFont="1" applyFill="1" applyBorder="1" applyAlignment="1">
      <alignment horizontal="center" vertical="top" wrapText="1"/>
    </xf>
    <xf numFmtId="176" fontId="3" fillId="5" borderId="11" xfId="0" applyNumberFormat="1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center" vertical="top" wrapText="1"/>
    </xf>
    <xf numFmtId="177" fontId="3" fillId="5" borderId="11" xfId="0" applyNumberFormat="1" applyFont="1" applyFill="1" applyBorder="1" applyAlignment="1">
      <alignment horizontal="center" vertical="top" wrapText="1"/>
    </xf>
    <xf numFmtId="0" fontId="3" fillId="7" borderId="11" xfId="0" applyFont="1" applyFill="1" applyBorder="1" applyAlignment="1">
      <alignment horizontal="center" vertical="top" wrapText="1"/>
    </xf>
    <xf numFmtId="14" fontId="3" fillId="7" borderId="11" xfId="0" applyNumberFormat="1" applyFont="1" applyFill="1" applyBorder="1" applyAlignment="1">
      <alignment horizontal="center" vertical="top" wrapText="1"/>
    </xf>
    <xf numFmtId="176" fontId="3" fillId="7" borderId="11" xfId="0" applyNumberFormat="1" applyFont="1" applyFill="1" applyBorder="1" applyAlignment="1">
      <alignment horizontal="center" vertical="top" wrapText="1"/>
    </xf>
    <xf numFmtId="177" fontId="3" fillId="7" borderId="11" xfId="0" applyNumberFormat="1" applyFont="1" applyFill="1" applyBorder="1" applyAlignment="1">
      <alignment horizontal="center" vertical="top" wrapText="1"/>
    </xf>
    <xf numFmtId="178" fontId="3" fillId="7" borderId="11" xfId="0" applyNumberFormat="1" applyFont="1" applyFill="1" applyBorder="1" applyAlignment="1">
      <alignment vertical="top" wrapText="1"/>
    </xf>
    <xf numFmtId="178" fontId="3" fillId="5" borderId="11" xfId="0" applyNumberFormat="1" applyFont="1" applyFill="1" applyBorder="1" applyAlignment="1">
      <alignment vertical="top" wrapText="1"/>
    </xf>
    <xf numFmtId="0" fontId="7" fillId="8" borderId="8" xfId="0" applyFont="1" applyFill="1" applyBorder="1" applyAlignment="1">
      <alignment vertical="top" wrapText="1"/>
    </xf>
    <xf numFmtId="0" fontId="7" fillId="9" borderId="8" xfId="0" applyFont="1" applyFill="1" applyBorder="1" applyAlignment="1">
      <alignment vertical="top" wrapText="1"/>
    </xf>
    <xf numFmtId="0" fontId="7" fillId="10" borderId="8" xfId="0" applyFont="1" applyFill="1" applyBorder="1" applyAlignment="1">
      <alignment vertical="top" wrapText="1"/>
    </xf>
    <xf numFmtId="179" fontId="0" fillId="0" borderId="0" xfId="0" applyNumberFormat="1" applyAlignment="1"/>
    <xf numFmtId="0" fontId="3" fillId="11" borderId="8" xfId="0" applyFont="1" applyFill="1" applyBorder="1" applyAlignment="1">
      <alignment vertical="top" wrapText="1"/>
    </xf>
    <xf numFmtId="0" fontId="7" fillId="12" borderId="9" xfId="0" applyFont="1" applyFill="1" applyBorder="1" applyAlignment="1">
      <alignment vertical="top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6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3" fillId="0" borderId="0" xfId="0" applyFont="1">
      <alignment vertical="center"/>
    </xf>
    <xf numFmtId="0" fontId="10" fillId="13" borderId="14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4" fillId="13" borderId="40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/>
    </xf>
    <xf numFmtId="180" fontId="10" fillId="0" borderId="18" xfId="0" applyNumberFormat="1" applyFont="1" applyBorder="1" applyAlignment="1">
      <alignment horizontal="center" vertical="center"/>
    </xf>
    <xf numFmtId="180" fontId="10" fillId="0" borderId="19" xfId="0" applyNumberFormat="1" applyFont="1" applyBorder="1" applyAlignment="1">
      <alignment horizontal="center" vertical="center"/>
    </xf>
    <xf numFmtId="179" fontId="10" fillId="0" borderId="18" xfId="0" applyNumberFormat="1" applyFont="1" applyBorder="1" applyAlignment="1">
      <alignment horizontal="center" vertical="center"/>
    </xf>
    <xf numFmtId="179" fontId="10" fillId="0" borderId="19" xfId="0" applyNumberFormat="1" applyFont="1" applyBorder="1" applyAlignment="1">
      <alignment horizontal="center" vertical="center"/>
    </xf>
    <xf numFmtId="10" fontId="10" fillId="0" borderId="18" xfId="0" applyNumberFormat="1" applyFont="1" applyBorder="1" applyAlignment="1">
      <alignment horizontal="center" vertical="center"/>
    </xf>
    <xf numFmtId="10" fontId="10" fillId="0" borderId="19" xfId="0" applyNumberFormat="1" applyFont="1" applyBorder="1" applyAlignment="1">
      <alignment horizontal="center" vertical="center"/>
    </xf>
    <xf numFmtId="0" fontId="10" fillId="0" borderId="21" xfId="0" applyFont="1" applyBorder="1">
      <alignment vertical="center"/>
    </xf>
    <xf numFmtId="179" fontId="10" fillId="0" borderId="21" xfId="0" applyNumberFormat="1" applyFont="1" applyBorder="1" applyAlignment="1">
      <alignment horizontal="center" vertical="center"/>
    </xf>
    <xf numFmtId="179" fontId="10" fillId="0" borderId="22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7" borderId="6" xfId="0" applyFill="1" applyBorder="1" applyAlignment="1"/>
    <xf numFmtId="181" fontId="3" fillId="7" borderId="11" xfId="0" applyNumberFormat="1" applyFont="1" applyFill="1" applyBorder="1" applyAlignment="1">
      <alignment horizontal="center" vertical="top" wrapText="1"/>
    </xf>
    <xf numFmtId="181" fontId="3" fillId="5" borderId="11" xfId="0" applyNumberFormat="1" applyFont="1" applyFill="1" applyBorder="1" applyAlignment="1">
      <alignment vertical="top" wrapText="1"/>
    </xf>
    <xf numFmtId="14" fontId="0" fillId="0" borderId="0" xfId="0" applyNumberFormat="1">
      <alignment vertical="center"/>
    </xf>
    <xf numFmtId="182" fontId="3" fillId="7" borderId="11" xfId="0" applyNumberFormat="1" applyFont="1" applyFill="1" applyBorder="1" applyAlignment="1">
      <alignment horizontal="center" vertical="top" wrapText="1"/>
    </xf>
    <xf numFmtId="183" fontId="3" fillId="7" borderId="11" xfId="0" applyNumberFormat="1" applyFont="1" applyFill="1" applyBorder="1" applyAlignment="1">
      <alignment vertical="top" wrapText="1"/>
    </xf>
    <xf numFmtId="183" fontId="3" fillId="5" borderId="11" xfId="0" applyNumberFormat="1" applyFont="1" applyFill="1" applyBorder="1" applyAlignment="1">
      <alignment vertical="top" wrapText="1"/>
    </xf>
    <xf numFmtId="184" fontId="3" fillId="7" borderId="11" xfId="0" applyNumberFormat="1" applyFont="1" applyFill="1" applyBorder="1" applyAlignment="1">
      <alignment horizontal="center" vertical="top" wrapText="1"/>
    </xf>
    <xf numFmtId="0" fontId="7" fillId="16" borderId="9" xfId="0" applyFont="1" applyFill="1" applyBorder="1" applyAlignment="1">
      <alignment vertical="top" wrapText="1"/>
    </xf>
    <xf numFmtId="176" fontId="3" fillId="5" borderId="62" xfId="0" applyNumberFormat="1" applyFont="1" applyFill="1" applyBorder="1" applyAlignment="1">
      <alignment horizontal="center" vertical="top" wrapText="1"/>
    </xf>
    <xf numFmtId="184" fontId="3" fillId="7" borderId="62" xfId="0" applyNumberFormat="1" applyFont="1" applyFill="1" applyBorder="1" applyAlignment="1">
      <alignment horizontal="center" vertical="top" wrapText="1"/>
    </xf>
    <xf numFmtId="0" fontId="3" fillId="7" borderId="62" xfId="0" applyFont="1" applyFill="1" applyBorder="1" applyAlignment="1">
      <alignment horizontal="center" vertical="top" wrapText="1"/>
    </xf>
    <xf numFmtId="178" fontId="3" fillId="7" borderId="62" xfId="0" applyNumberFormat="1" applyFont="1" applyFill="1" applyBorder="1" applyAlignment="1">
      <alignment vertical="top" wrapText="1"/>
    </xf>
    <xf numFmtId="178" fontId="3" fillId="5" borderId="62" xfId="0" applyNumberFormat="1" applyFont="1" applyFill="1" applyBorder="1" applyAlignment="1">
      <alignment vertical="top" wrapText="1"/>
    </xf>
    <xf numFmtId="182" fontId="3" fillId="7" borderId="62" xfId="0" applyNumberFormat="1" applyFont="1" applyFill="1" applyBorder="1" applyAlignment="1">
      <alignment horizontal="center" vertical="top" wrapText="1"/>
    </xf>
    <xf numFmtId="183" fontId="3" fillId="7" borderId="62" xfId="0" applyNumberFormat="1" applyFont="1" applyFill="1" applyBorder="1" applyAlignment="1">
      <alignment vertical="top" wrapText="1"/>
    </xf>
    <xf numFmtId="183" fontId="3" fillId="5" borderId="62" xfId="0" applyNumberFormat="1" applyFont="1" applyFill="1" applyBorder="1" applyAlignment="1">
      <alignment vertical="top" wrapText="1"/>
    </xf>
    <xf numFmtId="181" fontId="3" fillId="5" borderId="62" xfId="0" applyNumberFormat="1" applyFont="1" applyFill="1" applyBorder="1" applyAlignment="1">
      <alignment vertical="top" wrapText="1"/>
    </xf>
    <xf numFmtId="0" fontId="3" fillId="7" borderId="11" xfId="0" applyFont="1" applyFill="1" applyBorder="1" applyAlignment="1">
      <alignment horizontal="center" vertical="top" shrinkToFit="1"/>
    </xf>
    <xf numFmtId="0" fontId="27" fillId="4" borderId="5" xfId="0" applyFont="1" applyFill="1" applyBorder="1" applyAlignment="1">
      <alignment vertical="top" wrapText="1"/>
    </xf>
    <xf numFmtId="0" fontId="28" fillId="8" borderId="5" xfId="0" applyFont="1" applyFill="1" applyBorder="1" applyAlignment="1">
      <alignment vertical="top" wrapText="1"/>
    </xf>
    <xf numFmtId="0" fontId="28" fillId="9" borderId="5" xfId="0" applyFont="1" applyFill="1" applyBorder="1" applyAlignment="1">
      <alignment vertical="top" wrapText="1"/>
    </xf>
    <xf numFmtId="0" fontId="28" fillId="10" borderId="5" xfId="0" applyFont="1" applyFill="1" applyBorder="1" applyAlignment="1">
      <alignment vertical="top" wrapText="1"/>
    </xf>
    <xf numFmtId="0" fontId="28" fillId="16" borderId="12" xfId="0" applyFont="1" applyFill="1" applyBorder="1" applyAlignment="1">
      <alignment vertical="top" wrapText="1"/>
    </xf>
    <xf numFmtId="41" fontId="0" fillId="0" borderId="0" xfId="2" applyFont="1">
      <alignment vertical="center"/>
    </xf>
    <xf numFmtId="14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21" fillId="14" borderId="61" xfId="0" applyFont="1" applyFill="1" applyBorder="1" applyAlignment="1">
      <alignment horizontal="center" vertical="center"/>
    </xf>
    <xf numFmtId="0" fontId="24" fillId="14" borderId="61" xfId="1" applyFont="1" applyFill="1" applyBorder="1" applyAlignment="1">
      <alignment horizontal="center" vertical="center"/>
    </xf>
    <xf numFmtId="0" fontId="24" fillId="0" borderId="61" xfId="1" applyFont="1" applyBorder="1" applyAlignment="1">
      <alignment horizontal="center" vertical="center"/>
    </xf>
    <xf numFmtId="0" fontId="21" fillId="0" borderId="61" xfId="0" applyFont="1" applyBorder="1" applyAlignment="1">
      <alignment horizontal="center" vertical="center"/>
    </xf>
    <xf numFmtId="0" fontId="24" fillId="0" borderId="61" xfId="1" applyFont="1" applyBorder="1" applyAlignment="1">
      <alignment horizontal="center" vertical="center" wrapText="1"/>
    </xf>
    <xf numFmtId="0" fontId="24" fillId="15" borderId="61" xfId="1" applyFont="1" applyFill="1" applyBorder="1" applyAlignment="1">
      <alignment horizontal="center" vertical="center" wrapText="1"/>
    </xf>
    <xf numFmtId="0" fontId="24" fillId="14" borderId="61" xfId="1" applyFont="1" applyFill="1" applyBorder="1" applyAlignment="1">
      <alignment horizontal="center"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61" xfId="0" applyFont="1" applyBorder="1" applyAlignment="1">
      <alignment horizontal="center" vertical="center"/>
    </xf>
    <xf numFmtId="185" fontId="24" fillId="14" borderId="61" xfId="1" applyNumberFormat="1" applyFont="1" applyFill="1" applyBorder="1" applyAlignment="1">
      <alignment horizontal="center" vertical="center"/>
    </xf>
    <xf numFmtId="178" fontId="0" fillId="5" borderId="0" xfId="0" applyNumberFormat="1" applyFill="1">
      <alignment vertical="center"/>
    </xf>
    <xf numFmtId="9" fontId="0" fillId="5" borderId="0" xfId="0" applyNumberFormat="1" applyFill="1">
      <alignment vertical="center"/>
    </xf>
    <xf numFmtId="14" fontId="0" fillId="5" borderId="0" xfId="0" applyNumberFormat="1" applyFill="1" applyAlignment="1"/>
    <xf numFmtId="178" fontId="0" fillId="5" borderId="0" xfId="0" applyNumberFormat="1" applyFill="1" applyAlignment="1"/>
    <xf numFmtId="9" fontId="0" fillId="5" borderId="0" xfId="0" applyNumberFormat="1" applyFill="1" applyAlignment="1"/>
    <xf numFmtId="0" fontId="0" fillId="5" borderId="0" xfId="0" applyFill="1" applyAlignment="1"/>
    <xf numFmtId="10" fontId="0" fillId="5" borderId="0" xfId="0" applyNumberFormat="1" applyFill="1" applyAlignment="1"/>
    <xf numFmtId="14" fontId="0" fillId="5" borderId="6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81" fontId="0" fillId="0" borderId="0" xfId="0" applyNumberFormat="1">
      <alignment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80" fontId="16" fillId="0" borderId="59" xfId="0" applyNumberFormat="1" applyFont="1" applyBorder="1" applyAlignment="1">
      <alignment horizontal="center" vertical="center"/>
    </xf>
    <xf numFmtId="180" fontId="16" fillId="0" borderId="60" xfId="0" applyNumberFormat="1" applyFont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0" fillId="13" borderId="14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14" fillId="0" borderId="52" xfId="0" applyFont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49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42" xfId="0" applyFont="1" applyFill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0" fillId="13" borderId="31" xfId="0" applyFont="1" applyFill="1" applyBorder="1" applyAlignment="1">
      <alignment horizontal="center" vertical="center"/>
    </xf>
    <xf numFmtId="0" fontId="10" fillId="13" borderId="27" xfId="0" applyFont="1" applyFill="1" applyBorder="1" applyAlignment="1">
      <alignment horizontal="center" vertical="center"/>
    </xf>
    <xf numFmtId="0" fontId="10" fillId="0" borderId="33" xfId="0" applyFont="1" applyBorder="1">
      <alignment vertical="center"/>
    </xf>
    <xf numFmtId="0" fontId="10" fillId="0" borderId="34" xfId="0" applyFont="1" applyBorder="1">
      <alignment vertical="center"/>
    </xf>
    <xf numFmtId="0" fontId="10" fillId="0" borderId="29" xfId="0" applyFont="1" applyBorder="1">
      <alignment vertical="center"/>
    </xf>
    <xf numFmtId="0" fontId="10" fillId="0" borderId="30" xfId="0" applyFont="1" applyBorder="1">
      <alignment vertical="center"/>
    </xf>
    <xf numFmtId="0" fontId="10" fillId="13" borderId="0" xfId="0" applyFont="1" applyFill="1" applyAlignment="1">
      <alignment horizontal="center" vertical="center"/>
    </xf>
    <xf numFmtId="0" fontId="10" fillId="13" borderId="3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12" xfId="0" applyFont="1" applyBorder="1">
      <alignment vertical="center"/>
    </xf>
    <xf numFmtId="0" fontId="10" fillId="0" borderId="35" xfId="0" applyFont="1" applyBorder="1">
      <alignment vertical="center"/>
    </xf>
    <xf numFmtId="0" fontId="10" fillId="0" borderId="38" xfId="0" applyFont="1" applyBorder="1">
      <alignment vertical="center"/>
    </xf>
    <xf numFmtId="0" fontId="10" fillId="0" borderId="39" xfId="0" applyFont="1" applyBorder="1">
      <alignment vertical="center"/>
    </xf>
    <xf numFmtId="0" fontId="10" fillId="13" borderId="23" xfId="0" applyFont="1" applyFill="1" applyBorder="1" applyAlignment="1">
      <alignment horizontal="center" vertical="center"/>
    </xf>
    <xf numFmtId="0" fontId="10" fillId="0" borderId="25" xfId="0" applyFont="1" applyBorder="1">
      <alignment vertical="center"/>
    </xf>
    <xf numFmtId="0" fontId="10" fillId="0" borderId="26" xfId="0" applyFont="1" applyBorder="1">
      <alignment vertical="center"/>
    </xf>
    <xf numFmtId="0" fontId="0" fillId="17" borderId="0" xfId="0" applyFill="1">
      <alignment vertical="center"/>
    </xf>
    <xf numFmtId="0" fontId="0" fillId="17" borderId="61" xfId="0" applyFill="1" applyBorder="1">
      <alignment vertical="center"/>
    </xf>
    <xf numFmtId="0" fontId="0" fillId="0" borderId="61" xfId="0" applyBorder="1">
      <alignment vertical="center"/>
    </xf>
    <xf numFmtId="41" fontId="0" fillId="0" borderId="61" xfId="2" applyFont="1" applyBorder="1">
      <alignment vertical="center"/>
    </xf>
    <xf numFmtId="0" fontId="0" fillId="0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3">
    <cellStyle name="Comma [0]" xfId="2" builtinId="6"/>
    <cellStyle name="Normal" xfId="0" builtinId="0"/>
    <cellStyle name="표준_작성예" xfId="1" xr:uid="{16815223-F620-458F-854C-61DCB7447E4A}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81" formatCode="yy/mm/dd\(aaa\)"/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81" formatCode="yy/mm/dd\(aaa\)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83" formatCode="[Red]#,##0_);\(#,##0\);_-* &quot;-&quot;_-"/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83" formatCode="[Red]#,##0_);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82" formatCode="General;;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82" formatCode="General;;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8" formatCode="#,##0_);[Red]\(#,##0\);_-* &quot;-&quot;_-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84" formatCode="h:mm;;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7" formatCode="h:mm;@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6" formatCode="yy/mm/dd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9" formatCode="yyyy/mm/dd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7" formatCode="h:mm;@"/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7" formatCode="h:mm;@"/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7" formatCode="h:mm;@"/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strike val="0"/>
        <outline val="0"/>
        <shadow val="0"/>
        <u val="none"/>
        <vertAlign val="baseline"/>
        <color auto="1"/>
        <name val="맑은 고딕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6" formatCode="yy/mm/dd"/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176" formatCode="yy/mm/dd"/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/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numFmt numFmtId="19" formatCode="yyyy/mm/dd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0" tint="-0.249977111117893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numFmt numFmtId="14" formatCode="0.00%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numFmt numFmtId="19" formatCode="yyyy/mm/dd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numFmt numFmtId="19" formatCode="yyyy/mm/dd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78" formatCode="#,##0_);[Red]\(#,##0\);_-* &quot;-&quot;_-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178" formatCode="#,##0_);[Red]\(#,##0\);_-* &quot;-&quot;_-"/>
      <fill>
        <patternFill patternType="solid">
          <fgColor indexed="64"/>
          <bgColor theme="7" tint="0.79998168889431442"/>
        </patternFill>
      </fill>
    </dxf>
    <dxf>
      <numFmt numFmtId="19" formatCode="yyyy/mm/dd"/>
      <fill>
        <patternFill patternType="solid">
          <fgColor indexed="64"/>
          <bgColor theme="7" tint="0.79998168889431442"/>
        </patternFill>
      </fill>
    </dxf>
    <dxf>
      <numFmt numFmtId="19" formatCode="yyyy/mm/dd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178" formatCode="#,##0_);[Red]\(#,##0\);_-* &quot;-&quot;_-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numFmt numFmtId="178" formatCode="#,##0_);[Red]\(#,##0\);_-* &quot;-&quot;_-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numFmt numFmtId="19" formatCode="yyyy/mm/dd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numFmt numFmtId="19" formatCode="yyyy/mm/dd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numFmt numFmtId="19" formatCode="yyyy/mm/dd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2D29D-B06A-40D4-833A-E42146CF27D0}" name="Table3" displayName="Table3" ref="P3:Q86" totalsRowShown="0" headerRowDxfId="116" dataDxfId="115">
  <autoFilter ref="P3:Q86" xr:uid="{0762D29D-B06A-40D4-833A-E42146CF27D0}"/>
  <tableColumns count="2">
    <tableColumn id="1" xr3:uid="{6FD6EB3F-6E7E-4B05-A532-10BB4A658981}" name="Date" dataDxfId="114"/>
    <tableColumn id="2" xr3:uid="{E90E5EDB-DD11-4981-B028-A7059186ABA1}" name="Holiday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EC03AF-346A-4D7C-9FAF-90B4528DBA96}" name="Table5" displayName="Table5" ref="B21:G23" totalsRowShown="0" headerRowDxfId="112" dataDxfId="111">
  <autoFilter ref="B21:G23" xr:uid="{2BEC03AF-346A-4D7C-9FAF-90B4528DBA96}"/>
  <tableColumns count="6">
    <tableColumn id="1" xr3:uid="{F2840059-69A1-4954-8CDE-A559240F80B4}" name="Start" dataDxfId="110"/>
    <tableColumn id="2" xr3:uid="{B29FDDCA-6910-4FCB-BC27-76AEE5A68F16}" name="End" dataDxfId="109"/>
    <tableColumn id="3" xr3:uid="{AB237758-0001-44E5-81C3-4EC689101E79}" name="비과세소득기준" dataDxfId="108"/>
    <tableColumn id="4" xr3:uid="{55241CFD-A214-4735-BF91-9E20CC7DCBC6}" name="요율" dataDxfId="107"/>
    <tableColumn id="5" xr3:uid="{1ADDC7D3-79DA-470F-83E4-7E4566B4E368}" name="근로소득세액공제" dataDxfId="106"/>
    <tableColumn id="6" xr3:uid="{177FB4A6-6E5B-4BB9-A692-6955F090833A}" name="소액부징수기준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1CDEC7-3485-4EA4-885F-CF2AB896581F}" name="Table7" displayName="Table7" ref="B3:N11" totalsRowShown="0" dataDxfId="104">
  <autoFilter ref="B3:N11" xr:uid="{0B1CDEC7-3485-4EA4-885F-CF2AB896581F}"/>
  <tableColumns count="13">
    <tableColumn id="1" xr3:uid="{9C6BA37A-A4D8-45FA-AEBF-86F804C483B3}" name="근무처" dataDxfId="103"/>
    <tableColumn id="2" xr3:uid="{F61744C7-1BDA-4333-9A81-D5304151606B}" name="업무" dataDxfId="102"/>
    <tableColumn id="3" xr3:uid="{67FDF91E-4EFB-4822-BEF9-B2F19E36AA03}" name="Start" dataDxfId="101"/>
    <tableColumn id="4" xr3:uid="{45E25924-74D5-4BBE-80D0-0F9552BD8B35}" name="End" dataDxfId="100"/>
    <tableColumn id="5" xr3:uid="{65AF4388-A447-4F61-B92C-605D3A0B88C7}" name="시급" dataDxfId="99"/>
    <tableColumn id="6" xr3:uid="{9C7ED477-503A-4B16-82B6-847FDE074967}" name="지급구분" dataDxfId="98"/>
    <tableColumn id="7" xr3:uid="{AC12BEF9-DEE7-4181-8AC1-43F61F7E7EA0}" name="지급옵션" dataDxfId="97"/>
    <tableColumn id="8" xr3:uid="{B7452340-F28A-4ABF-92A2-17DFBDB35A9F}" name="주휴최소시간" dataDxfId="96"/>
    <tableColumn id="9" xr3:uid="{00821F07-0A54-4791-8B50-7434AAD26013}" name="주휴적용일" dataDxfId="95"/>
    <tableColumn id="10" xr3:uid="{132383C1-BA81-4A69-ADC7-FE8F85E5CDA3}" name="휴일인센티브" dataDxfId="94"/>
    <tableColumn id="11" xr3:uid="{0C777B1B-B31A-458D-A8A9-42701C432FEF}" name="연장인센티브" dataDxfId="93"/>
    <tableColumn id="12" xr3:uid="{69E7ED2F-771B-42BC-9220-9A5C104C603F}" name="야간인센티브" dataDxfId="92"/>
    <tableColumn id="13" xr3:uid="{E0475D6F-F7AA-4007-89F7-66C950C64416}" name="1일 공제 상한" dataDxfId="9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711EB8-EBE9-4C67-A0B9-3C3996526AAD}" name="Table8" displayName="Table8" ref="J21:M32" totalsRowShown="0" headerRowDxfId="90" dataDxfId="89">
  <autoFilter ref="J21:M32" xr:uid="{07711EB8-EBE9-4C67-A0B9-3C3996526AAD}"/>
  <tableColumns count="4">
    <tableColumn id="1" xr3:uid="{80A20843-8B6C-4292-BEB7-B2DEC6F29220}" name="Start" dataDxfId="88"/>
    <tableColumn id="2" xr3:uid="{87FD1DEA-0553-4385-BCC7-C58C6A2481AB}" name="End" dataDxfId="87"/>
    <tableColumn id="3" xr3:uid="{DEC6EABE-5AAC-4209-B081-F2782247F70E}" name="Type" dataDxfId="86"/>
    <tableColumn id="4" xr3:uid="{1B06B6B2-D6E1-4771-B94B-2FCC479E1EDF}" name="요율" dataDxfId="8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8D9AB-4F50-4278-922B-08D78F2F5FA3}" name="Table1" displayName="Table1" ref="B2:L11" totalsRowShown="0" headerRowDxfId="84" dataDxfId="82" headerRowBorderDxfId="83" tableBorderDxfId="81" totalsRowBorderDxfId="80">
  <autoFilter ref="B2:L11" xr:uid="{BBD8D9AB-4F50-4278-922B-08D78F2F5FA3}"/>
  <tableColumns count="11">
    <tableColumn id="1" xr3:uid="{0D4B8397-F22F-4E60-BC44-2AFC9F6721D6}" name="No." dataDxfId="79">
      <calculatedColumnFormula>ROW(A3)-2</calculatedColumnFormula>
    </tableColumn>
    <tableColumn id="2" xr3:uid="{EC8C9818-14D0-42F8-B5E5-108A2A9ED0DD}" name="Key" dataDxfId="78">
      <calculatedColumnFormula>G3&amp;L3</calculatedColumnFormula>
    </tableColumn>
    <tableColumn id="3" xr3:uid="{B7EBB723-F2BF-4661-B055-7995ECDE009D}" name="등록일" dataDxfId="77"/>
    <tableColumn id="4" xr3:uid="{5E817054-7333-4B56-8810-9644A644E18A}" name="이름" dataDxfId="76"/>
    <tableColumn id="5" xr3:uid="{5F329C47-3E8A-4BC3-A541-F5A88E807A6D}" name="주민등록번호" dataDxfId="75"/>
    <tableColumn id="6" xr3:uid="{12594FA9-C244-440C-82A0-309AF1121731}" name="연락처" dataDxfId="74"/>
    <tableColumn id="7" xr3:uid="{5BC81E58-C978-4714-894D-4AAA85B93373}" name="국적" dataDxfId="73"/>
    <tableColumn id="8" xr3:uid="{B4654117-0247-481C-8AB6-A461A75AE17E}" name="비자" dataDxfId="72"/>
    <tableColumn id="9" xr3:uid="{37A1934E-1355-46D7-925D-4A19EAE84090}" name="고용보험 여부" dataDxfId="71"/>
    <tableColumn id="10" xr3:uid="{34805A96-7B59-4DC5-A493-02951A141FB1}" name="은행" dataDxfId="70"/>
    <tableColumn id="11" xr3:uid="{CD7EC600-4331-4D72-95C8-2FDDB35DDC31}" name="계좌번호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CD8906-822D-410C-8444-7722928FD6B9}" name="Table2" displayName="Table2" ref="B5:BK295" totalsRowShown="0" headerRowDxfId="68" dataDxfId="66" headerRowBorderDxfId="67" tableBorderDxfId="65" totalsRowBorderDxfId="64">
  <autoFilter ref="B5:BK295" xr:uid="{D9CD8906-822D-410C-8444-7722928FD6B9}"/>
  <sortState xmlns:xlrd2="http://schemas.microsoft.com/office/spreadsheetml/2017/richdata2" ref="B6:BK295">
    <sortCondition ref="D5:D295"/>
  </sortState>
  <tableColumns count="62">
    <tableColumn id="1" xr3:uid="{8272ADD3-3DDA-40E2-A5C9-7AC046750242}" name="Error Check" dataDxfId="63">
      <calculatedColumnFormula array="1">_xlfn.IFS(BB6&lt;&gt;BC6,"Claim확인",N6&lt;&gt;"OK","확인필요",TRUE,"")</calculatedColumnFormula>
    </tableColumn>
    <tableColumn id="2" xr3:uid="{9CFCA61A-90A5-460A-9D4A-063F765B4445}" name="Key" dataDxfId="62">
      <calculatedColumnFormula>H6&amp;J6</calculatedColumnFormula>
    </tableColumn>
    <tableColumn id="4" xr3:uid="{DF7929D6-EBF3-4CB2-A200-9486FB39585E}" name="근무일자" dataDxfId="61"/>
    <tableColumn id="59" xr3:uid="{54ABCE84-A672-4BDE-93FF-16C9EEB21BC7}" name="근무처" dataDxfId="60"/>
    <tableColumn id="5" xr3:uid="{0A0DBA6D-A5B9-40E1-9539-2F9BB49E1FFF}" name="업무" dataDxfId="59"/>
    <tableColumn id="6" xr3:uid="{3ED4C1A9-8038-4FA8-8E98-0D54B8359505}" name="이름" dataDxfId="58"/>
    <tableColumn id="7" xr3:uid="{A5FD5309-A065-42AD-AFFF-5F1B08AAC135}" name="연락처" dataDxfId="57"/>
    <tableColumn id="60" xr3:uid="{CFBD9F15-2B54-4586-B42B-801A63677F65}" name="은행" dataDxfId="56"/>
    <tableColumn id="8" xr3:uid="{012A3260-5004-49FB-BF87-44A65C2B6809}" name="계좌번호" dataDxfId="55"/>
    <tableColumn id="9" xr3:uid="{18EC1EBE-F9E8-4FD6-867A-8087306B62E2}" name="근무_x000a_시작" dataDxfId="54"/>
    <tableColumn id="10" xr3:uid="{249BCB08-FBC5-4708-859E-DAB9A803E126}" name="근무_x000a_종료" dataDxfId="53"/>
    <tableColumn id="11" xr3:uid="{2D952B32-3509-469D-A9B9-AFF9275FAD03}" name="휴게_x000a_시간" dataDxfId="52"/>
    <tableColumn id="12" xr3:uid="{E730F05B-3269-4EDD-9255-B77DCD28BFAE}" name="확인" dataDxfId="51"/>
    <tableColumn id="13" xr3:uid="{EE9FFF1C-88FB-4400-9BDF-1AE081414EB0}" name="주민등록번호" dataDxfId="50">
      <calculatedColumnFormula>_xlfn.XLOOKUP(Table2[[#This Row],[Key]],Table1[Key],Table1[주민등록번호],"",0)</calculatedColumnFormula>
    </tableColumn>
    <tableColumn id="38" xr3:uid="{57F5543F-9E54-41E7-9AF6-10A02BBF2330}" name="비자" dataDxfId="49">
      <calculatedColumnFormula>_xlfn.XLOOKUP(Table2[[#This Row],[Key]],Table1[Key],Table1[비자],"",0)</calculatedColumnFormula>
    </tableColumn>
    <tableColumn id="44" xr3:uid="{417C724D-5114-4259-8F0E-8F3261DA707A}" name="고용보험" dataDxfId="48">
      <calculatedColumnFormula>IF(P6=0,0,_xlfn.XLOOKUP(Table2[[#This Row],[Key]],Table1[Key],Table1[고용보험 여부],0,0))</calculatedColumnFormula>
    </tableColumn>
    <tableColumn id="14" xr3:uid="{03CE34A1-F339-45A3-9E9F-16F8628B71B4}" name="월" dataDxfId="47">
      <calculatedColumnFormula>TEXT(D6,"YYMM")</calculatedColumnFormula>
    </tableColumn>
    <tableColumn id="15" xr3:uid="{F2F64106-820B-43F3-ABAB-A7B23F191FC1}" name="주간" dataDxfId="46">
      <calculatedColumnFormula>YEAR(Table2[[#This Row],[근무일자]])&amp;TEXT(WEEKNUM(Table2[[#This Row],[근무일자]]),"00")</calculatedColumnFormula>
    </tableColumn>
    <tableColumn id="16" xr3:uid="{B7D53C42-9886-428A-8985-3FBE9CC8A4BF}" name="최초_x000a_등록일" dataDxfId="45">
      <calculatedColumnFormula>_xlfn.XLOOKUP(Table2[[#This Row],[Key]],Table1[Key],Table1[등록일],"",0)</calculatedColumnFormula>
    </tableColumn>
    <tableColumn id="17" xr3:uid="{B75FA074-B1CD-49DD-8399-35E21D779C6C}" name="근로_x000a_시간" dataDxfId="44">
      <calculatedColumnFormula>IF(AND(K6&lt;&gt;"",L6&lt;&gt;""),IF(AND(K6&lt;&gt;L6,L6&lt;=6/24),1+L6,L6)-K6-M6,0)</calculatedColumnFormula>
    </tableColumn>
    <tableColumn id="18" xr3:uid="{2EF4CFDB-A403-4FF3-BF9A-185CC7BBED54}" name="야간_x000a_근로" dataDxfId="43">
      <calculatedColumnFormula>MIN(IF(U6&gt;0,_xlfn.IFS(K6&lt;6/24,6/24-K6,L6&gt;22/24,L6-22/24,AND(K6&lt;=22/24,L6&lt;=6/24),2/24+L6,TRUE,0),0),U6)</calculatedColumnFormula>
    </tableColumn>
    <tableColumn id="19" xr3:uid="{48119B5C-081D-48C9-9C29-65417620F674}" name="공휴일" dataDxfId="42">
      <calculatedColumnFormula>_xlfn.XLOOKUP(Table2[[#This Row],[근무일자]],Table3[Date],Table3[Holiday],"",0)</calculatedColumnFormula>
    </tableColumn>
    <tableColumn id="20" xr3:uid="{75A226DD-61AF-4E09-BC9C-D8BDA2F8D454}" name="연속_x000a_근무월" dataDxfId="41">
      <calculatedColumnFormula>IF(D6&lt;&gt;"",1,0)+IF(COUNTIFS(Table2[주민등록번호],O6,Table2[월],TEXT(EOMONTH(D6,-1),"YYMM"))&gt;0,1+IF(COUNTIFS(Table2[주민등록번호],O6,Table2[월],TEXT(EOMONTH(D6,-2),"YYMM"))&gt;0,1+IF(COUNTIFS(Table2[주민등록번호],O6,Table2[월],TEXT(EOMONTH(D6,-3),"YYMM"))&gt;0,1,0),0),0)</calculatedColumnFormula>
    </tableColumn>
    <tableColumn id="21" xr3:uid="{84F5CEF0-0711-4BB2-9106-540052A236C5}" name="월간_x000a_근무일" dataDxfId="40">
      <calculatedColumnFormula>COUNTIFS(Table2[주민등록번호],O6,Table2[월],R6,Table2[근무일자],"&lt;="&amp;D6)</calculatedColumnFormula>
    </tableColumn>
    <tableColumn id="22" xr3:uid="{BBBAE97C-C852-4BAB-BA4F-17AE96DA1743}" name="주간_x000a_근무일" dataDxfId="39">
      <calculatedColumnFormula>COUNTIFS(Table2[주민등록번호],O6,Table2[주간],S6,Table2[근무일자],"&lt;="&amp;D6)</calculatedColumnFormula>
    </tableColumn>
    <tableColumn id="23" xr3:uid="{C85073B8-909F-438A-B78F-BF8522A4237D}" name="주간_x000a_근로시간" dataDxfId="38">
      <calculatedColumnFormula>SUMIFS(Table2[근로
시간],Table2[주민등록번호],O6,Table2[주간],S6,Table2[근무일자],"&lt;="&amp;D6)*24</calculatedColumnFormula>
    </tableColumn>
    <tableColumn id="24" xr3:uid="{1D77F4E2-27D4-400A-AC2D-39AEDD001468}" name="4대_x000a_적용" dataDxfId="37">
      <calculatedColumnFormula>IF(AND(Y6&gt;=8,COUNTIFS(Table2[주민등록번호],O6,Table2[근무일자],"&gt;="&amp;EOMONTH(D6,-2)+1,Table2[근무일자],"&lt;="&amp;EOMONTH(D6,-1)+1)&gt;0),"V","")</calculatedColumnFormula>
    </tableColumn>
    <tableColumn id="25" xr3:uid="{805FF6FA-7872-4B30-B2A1-5ED17D285D73}" name="시급" dataDxfId="36">
      <calculatedColumnFormula array="1">IF(AD6&lt;&gt;"",AD6,_xlfn.XLOOKUP(1,(D6&lt;=Table7[End])*(E6=Table7[근무처])*(F6=Table7[업무]),Table7[시급],0,0))</calculatedColumnFormula>
    </tableColumn>
    <tableColumn id="26" xr3:uid="{243EC4E9-AE83-494B-BBD2-C0E1A5D1EC9C}" name="Adjustment_x000a_시급" dataDxfId="35"/>
    <tableColumn id="27" xr3:uid="{A486BF15-134D-4356-9485-6ABE45D30C23}" name="일급" dataDxfId="34">
      <calculatedColumnFormula>ROUND(U6*24*AC6,0)</calculatedColumnFormula>
    </tableColumn>
    <tableColumn id="37" xr3:uid="{67549B71-4C64-4E7E-94F2-451A9199E043}" name="주휴적용" dataDxfId="33">
      <calculatedColumnFormula array="1">IF(AND(AA6&gt;=15,(AA6-U6*24)&lt;=40),IF(Z6&gt;=_xlfn.XLOOKUP(1,(D6&lt;=Table7[End])*(E6=Table7[근무처])*(F6=Table7[업무]),Table7[주휴적용일],0,0),1,0)+_xlfn.XLOOKUP(1,(Table2[주간]=Table2[[#This Row],[주간]])*(Table2[근무일자]&lt;Table2[[#This Row],[근무일자]])*(Table2[주민등록번호]=Table2[[#This Row],[주민등록번호]]),Table2[주휴적용],0,0,-1),0)</calculatedColumnFormula>
    </tableColumn>
    <tableColumn id="61" xr3:uid="{AA79EEE0-F075-4B27-BD9D-EE7E971B6818}" name="주휴_x000a_시간" dataDxfId="32">
      <calculatedColumnFormula array="1">MAX((_xlfn.IFS(AF6=0,0,AF6=1,AA6,AF6&gt;1,U6*24)-IF(AA6&gt;40,AA6-40,0))/5,0)</calculatedColumnFormula>
    </tableColumn>
    <tableColumn id="28" xr3:uid="{EFADDC05-C75C-42A0-B6DF-0C59BAA523DF}" name="주휴_x000a_수당" dataDxfId="31">
      <calculatedColumnFormula>ROUND(AG6*AC6,0)</calculatedColumnFormula>
    </tableColumn>
    <tableColumn id="29" xr3:uid="{B858FDCE-1DB8-4DF4-8723-812EB123D20B}" name="휴일_x000a_인센_x000a_티브" dataDxfId="30">
      <calculatedColumnFormula array="1">IF(W6="",0,ROUND(AC6*U6*24*_xlfn.XLOOKUP(1,(D6&lt;=Table7[End])*(E6=Table7[근무처])*(F6=Table7[업무]),Table7[휴일인센티브],0,0),0))</calculatedColumnFormula>
    </tableColumn>
    <tableColumn id="30" xr3:uid="{A35B23FF-6D33-454F-A5BC-3C5200C64924}" name="연장_x000a_인센_x000a_티브" dataDxfId="29">
      <calculatedColumnFormula array="1">ROUND(AC6*IF(U6&gt;=8/24,U6-8/24,0)*24*_xlfn.XLOOKUP(1,(D6&lt;=Table7[End])*(E6=Table7[근무처])*(F6=Table7[업무]),Table7[야간인센티브],0,0),0)</calculatedColumnFormula>
    </tableColumn>
    <tableColumn id="31" xr3:uid="{1856E922-CD82-4828-A55B-39D0633B4492}" name="야간_x000a_인센_x000a_티브" dataDxfId="28">
      <calculatedColumnFormula array="1">IF(V6=0,0,ROUND(AC6*V6*24*_xlfn.XLOOKUP(1,(D6&lt;=Table7[End])*(E6=Table7[근무처])*(F6=Table7[업무]),Table7[야간인센티브],0,0),0))</calculatedColumnFormula>
    </tableColumn>
    <tableColumn id="32" xr3:uid="{0DF30AFE-BBF5-4A85-81CB-89306FE81329}" name="Adjustment _x000a_지급총액" dataDxfId="27"/>
    <tableColumn id="33" xr3:uid="{A66F82FA-DBFC-4898-94E4-CDB1FAA18A92}" name="지급총액" dataDxfId="26">
      <calculatedColumnFormula>SUM(AE6,AH6:AL6)</calculatedColumnFormula>
    </tableColumn>
    <tableColumn id="34" xr3:uid="{3B1C6263-0A3F-4618-A06B-AF92DC1AA695}" name="과세표준" dataDxfId="25">
      <calculatedColumnFormula array="1">IF(AM6&gt;=_xlfn.XLOOKUP(TRUE,D6&lt;=Table5[End],Table5[비과세소득기준],0,0),AM6-_xlfn.XLOOKUP(TRUE,D6&lt;=Table5[End],Table5[비과세소득기준],0,0),0)</calculatedColumnFormula>
    </tableColumn>
    <tableColumn id="58" xr3:uid="{637BA6A8-1A22-4A1C-8C0C-60F346052773}" name="소득세" dataDxfId="24">
      <calculatedColumnFormula array="1">ROUNDDOWN(_xlfn.LET(_xlpm.setvalue,_xlfn.XLOOKUP(TRUE,D6&lt;=Table5[End],Table5[[요율]:[근로소득세액공제]],0,0),_xlpm.tax,AN6*PRODUCT((_xlpm.setvalue-{0,1})*{1,-1}),_xlpm.threshold,_xlfn.XLOOKUP(TRUE,D6&lt;=Table5[End],Table5[소액부징수기준],0,0),IF(_xlpm.tax&gt;=_xlpm.threshold,_xlpm.tax,0)),-1)</calculatedColumnFormula>
    </tableColumn>
    <tableColumn id="57" xr3:uid="{0158BAD8-0101-4639-A534-D3438F2CB4FD}" name="지방세" dataDxfId="23">
      <calculatedColumnFormula>ROUNDDOWN(Table2[[#This Row],[소득세]]*10%,-1)</calculatedColumnFormula>
    </tableColumn>
    <tableColumn id="35" xr3:uid="{C008BBC6-D7A2-491F-B6D5-47FBB64CDED8}" name="보험기준액" dataDxfId="22">
      <calculatedColumnFormula>IF(AB6="v",AM6+IF(Y6=8,SUMIFS(Table2[지급총액],Table2[주민등록번호],O6,Table2[월],R6,Table2[월간
근무일],"&lt;="&amp;8)-AM6,0),0)+_xlfn.NUMBERVALUE(AR6)</calculatedColumnFormula>
    </tableColumn>
    <tableColumn id="36" xr3:uid="{4E002A86-4A43-49D2-B995-AB1AD59CF844}" name="Adjustment_x000a_보험기준액" dataDxfId="21"/>
    <tableColumn id="39" xr3:uid="{D4DA227A-A278-47F8-9629-1F14AFBEF786}" name="건강보험" dataDxfId="20">
      <calculatedColumnFormula array="1">ROUNDDOWN($AQ6*_xlfn.XLOOKUP(1,(AS$5=Table8[Type])*($D6&lt;=Table8[End]),Table8[요율],0,0),0)</calculatedColumnFormula>
    </tableColumn>
    <tableColumn id="40" xr3:uid="{A132576E-6DE2-49B0-A6AD-C74C91D5CA9F}" name="장기요양보험" dataDxfId="19">
      <calculatedColumnFormula array="1">ROUNDDOWN(AS6*_xlfn.XLOOKUP(1,(AT$5=Table8[Type])*($D6&lt;=Table8[End]),Table8[요율],0,0),-1)</calculatedColumnFormula>
    </tableColumn>
    <tableColumn id="41" xr3:uid="{9073BF0E-9D92-40A0-B2BB-8676C0F6E591}" name="국민연금" dataDxfId="18">
      <calculatedColumnFormula array="1">ROUNDDOWN($AQ6*_xlfn.XLOOKUP(1,(AU$5=Table8[Type])*($D6&lt;=Table8[End]),Table8[요율],0,0),-1)</calculatedColumnFormula>
    </tableColumn>
    <tableColumn id="42" xr3:uid="{E47DC9EE-728B-44A7-9883-383866A3CBF8}" name="고용보험2" dataDxfId="17">
      <calculatedColumnFormula array="1">ROUNDDOWN(AM6*_xlfn.XLOOKUP(1,(AV$5=Table8[Type])*($D6&lt;=Table8[End]),Table8[요율],0,0),-1)</calculatedColumnFormula>
    </tableColumn>
    <tableColumn id="43" xr3:uid="{E2165805-C5B7-4906-B6E8-F9C59C2453FD}" name="청구상환" dataDxfId="16">
      <calculatedColumnFormula array="1">_xlfn.XLOOKUP(1,(O6=Table2[주민등록번호])*(D6&gt;Table2[근무일자]),Table2[청구 Claim 
이월],0,0,-1)</calculatedColumnFormula>
    </tableColumn>
    <tableColumn id="45" xr3:uid="{51663E69-3FD4-4E6D-91B2-6776968362B2}" name="Adjustment_x000a_공제" dataDxfId="15"/>
    <tableColumn id="63" xr3:uid="{8CD60A1A-83BE-4481-BDD4-39089CDFB129}" name="공제이월" dataDxfId="14">
      <calculatedColumnFormula array="1">MAX(SUM(AO6:AP6,AS6:AX6)-_xlfn.XLOOKUP(1,(D6&lt;=Table7[End])*(E6=Table7[근무처])*(F6=Table7[업무]),Table7[1일 공제 상한],0,0),0)</calculatedColumnFormula>
    </tableColumn>
    <tableColumn id="46" xr3:uid="{1C6D6B9D-9B8F-481B-BD65-693EC1A928C0}" name="공제총액" dataDxfId="13">
      <calculatedColumnFormula>SUM(AO6:AP6,AS6:AX6)-AY6</calculatedColumnFormula>
    </tableColumn>
    <tableColumn id="47" xr3:uid="{85B1FA24-6636-4CB0-9142-5A927EFF7308}" name="실지급액" dataDxfId="12">
      <calculatedColumnFormula>MAX(AM6-AZ6,0)</calculatedColumnFormula>
    </tableColumn>
    <tableColumn id="48" xr3:uid="{7F4E50C9-AE86-46C2-A011-F02E00CD6E15}" name="청구 Claim" dataDxfId="11">
      <calculatedColumnFormula>-(MIN(AM6-AZ6,0)-AY6)</calculatedColumnFormula>
    </tableColumn>
    <tableColumn id="49" xr3:uid="{64F4727D-EB29-400A-975B-BDC102790680}" name="청구 Claim _x000a_이월" dataDxfId="10"/>
    <tableColumn id="50" xr3:uid="{AF91C899-48C5-4406-A6D8-C764C353E71C}" name="건강보험(ER)" dataDxfId="9">
      <calculatedColumnFormula>AS6</calculatedColumnFormula>
    </tableColumn>
    <tableColumn id="51" xr3:uid="{5425C9C7-2591-4361-9EEE-50D4578F0758}" name="장기요양(ER)" dataDxfId="8">
      <calculatedColumnFormula>AT6</calculatedColumnFormula>
    </tableColumn>
    <tableColumn id="52" xr3:uid="{F0AFD919-6CFC-4F4D-A3B2-C5CBD2CB1F3D}" name="국민연금(ER)" dataDxfId="7">
      <calculatedColumnFormula>AU6</calculatedColumnFormula>
    </tableColumn>
    <tableColumn id="53" xr3:uid="{4BBFE229-88F6-433F-9402-8B3BCC4CB2E8}" name="고용보험(ER)" dataDxfId="6">
      <calculatedColumnFormula>AV6</calculatedColumnFormula>
    </tableColumn>
    <tableColumn id="54" xr3:uid="{7AC58026-C07A-4E3F-B59A-6E21A27DB5DF}" name="산재보험(ER)" dataDxfId="5">
      <calculatedColumnFormula array="1">ROUNDDOWN(AM6*_xlfn.XLOOKUP(1,(BH$5=Table8[Type])*($D6&lt;=Table8[End]),Table8[요율],0,0),-1)</calculatedColumnFormula>
    </tableColumn>
    <tableColumn id="3" xr3:uid="{5DD1233F-6437-4627-ADDB-1AA1CB1F6F19}" name="지급방식" dataDxfId="4">
      <calculatedColumnFormula array="1">_xlfn.XLOOKUP(1,(D6&lt;=Table7[End])*(E6=Table7[근무처])*(F6=Table7[업무]),Table7[지급옵션],0,0)</calculatedColumnFormula>
    </tableColumn>
    <tableColumn id="55" xr3:uid="{083D6593-82FA-4E7B-914A-E54F6504FC99}" name="지급일" dataDxfId="3">
      <calculatedColumnFormula>IF(BK6&lt;&gt;"",BK6,IFERROR(D6+_xlfn.NUMBERVALUE(RIGHT(BI6,1)),D6-WEEKDAY(D6)+CHOOSE(MATCH(RIGHT(BI6),{"일","월","화","수","목","금","토"},0),8,9,10,11,12,13,14)))</calculatedColumnFormula>
    </tableColumn>
    <tableColumn id="56" xr3:uid="{308AA4B1-12C7-4A99-9EA4-F9B77EA0A7E8}" name="Adjustment_x000a_지급일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E95E-804A-4EAF-B0C0-28AE5C2A14D7}">
  <sheetPr codeName="Sheet1">
    <tabColor theme="0"/>
  </sheetPr>
  <dimension ref="B3:D16"/>
  <sheetViews>
    <sheetView showGridLines="0" tabSelected="1" workbookViewId="0">
      <selection activeCell="B6" sqref="B6:C15"/>
    </sheetView>
  </sheetViews>
  <sheetFormatPr defaultRowHeight="15.6" x14ac:dyDescent="0.35"/>
  <cols>
    <col min="2" max="2" width="14.33203125" bestFit="1" customWidth="1"/>
    <col min="3" max="3" width="46.6640625" bestFit="1" customWidth="1"/>
    <col min="4" max="4" width="12" bestFit="1" customWidth="1"/>
  </cols>
  <sheetData>
    <row r="3" spans="2:4" x14ac:dyDescent="0.35">
      <c r="B3" s="51" t="s">
        <v>348</v>
      </c>
    </row>
    <row r="4" spans="2:4" x14ac:dyDescent="0.35">
      <c r="B4" s="51" t="s">
        <v>349</v>
      </c>
    </row>
    <row r="5" spans="2:4" x14ac:dyDescent="0.35">
      <c r="B5" s="51"/>
    </row>
    <row r="6" spans="2:4" x14ac:dyDescent="0.35">
      <c r="B6" s="2" t="s">
        <v>0</v>
      </c>
      <c r="C6" s="2" t="s">
        <v>252</v>
      </c>
      <c r="D6" s="3" t="s">
        <v>1</v>
      </c>
    </row>
    <row r="7" spans="2:4" x14ac:dyDescent="0.35">
      <c r="B7" s="4" t="s">
        <v>2</v>
      </c>
      <c r="C7" s="5" t="s">
        <v>347</v>
      </c>
      <c r="D7" s="6">
        <v>45931</v>
      </c>
    </row>
    <row r="8" spans="2:4" x14ac:dyDescent="0.35">
      <c r="B8" s="4" t="s">
        <v>3</v>
      </c>
      <c r="C8" s="5" t="s">
        <v>4</v>
      </c>
      <c r="D8" s="6">
        <v>45931</v>
      </c>
    </row>
    <row r="9" spans="2:4" x14ac:dyDescent="0.35">
      <c r="B9" s="4" t="s">
        <v>5</v>
      </c>
      <c r="C9" s="5" t="s">
        <v>335</v>
      </c>
      <c r="D9" s="6">
        <v>45931</v>
      </c>
    </row>
    <row r="10" spans="2:4" x14ac:dyDescent="0.35">
      <c r="B10" s="4" t="s">
        <v>343</v>
      </c>
      <c r="C10" s="5" t="s">
        <v>6</v>
      </c>
      <c r="D10" s="6">
        <v>45931</v>
      </c>
    </row>
    <row r="11" spans="2:4" x14ac:dyDescent="0.35">
      <c r="B11" s="4" t="s">
        <v>345</v>
      </c>
      <c r="C11" s="5" t="s">
        <v>336</v>
      </c>
      <c r="D11" s="6">
        <v>45931</v>
      </c>
    </row>
    <row r="12" spans="2:4" x14ac:dyDescent="0.35">
      <c r="B12" s="4" t="s">
        <v>7</v>
      </c>
      <c r="C12" s="5" t="s">
        <v>8</v>
      </c>
      <c r="D12" s="6">
        <v>45931</v>
      </c>
    </row>
    <row r="13" spans="2:4" x14ac:dyDescent="0.35">
      <c r="B13" s="4" t="s">
        <v>346</v>
      </c>
      <c r="C13" s="5" t="s">
        <v>344</v>
      </c>
      <c r="D13" s="6">
        <v>45931</v>
      </c>
    </row>
    <row r="14" spans="2:4" x14ac:dyDescent="0.35">
      <c r="B14" s="4" t="s">
        <v>342</v>
      </c>
      <c r="C14" s="5" t="s">
        <v>9</v>
      </c>
      <c r="D14" s="6">
        <v>45931</v>
      </c>
    </row>
    <row r="15" spans="2:4" ht="16.2" thickBot="1" x14ac:dyDescent="0.4">
      <c r="B15" s="7" t="s">
        <v>341</v>
      </c>
      <c r="C15" s="8" t="s">
        <v>340</v>
      </c>
      <c r="D15" s="9">
        <v>45931</v>
      </c>
    </row>
    <row r="16" spans="2:4" x14ac:dyDescent="0.35">
      <c r="B16" t="s">
        <v>350</v>
      </c>
      <c r="C16" t="s">
        <v>351</v>
      </c>
      <c r="D16" s="85">
        <v>45931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9069-3872-40AB-B54C-F1DC20F1A641}">
  <sheetPr codeName="Sheet2">
    <tabColor theme="0"/>
  </sheetPr>
  <dimension ref="B2:AG95"/>
  <sheetViews>
    <sheetView showGridLines="0" workbookViewId="0">
      <selection activeCell="E9" sqref="E9"/>
    </sheetView>
  </sheetViews>
  <sheetFormatPr defaultColWidth="10" defaultRowHeight="16.5" customHeight="1" x14ac:dyDescent="0.35"/>
  <cols>
    <col min="1" max="3" width="3.109375" style="43" customWidth="1"/>
    <col min="4" max="7" width="20.6640625" style="43" customWidth="1"/>
    <col min="8" max="8" width="10" style="43"/>
    <col min="9" max="9" width="32.88671875" style="43" customWidth="1"/>
    <col min="10" max="10" width="43.44140625" style="43" customWidth="1"/>
    <col min="11" max="30" width="10" style="43"/>
    <col min="31" max="31" width="11.88671875" style="43" bestFit="1" customWidth="1"/>
    <col min="32" max="32" width="82.33203125" style="43" bestFit="1" customWidth="1"/>
    <col min="33" max="16384" width="10" style="43"/>
  </cols>
  <sheetData>
    <row r="2" spans="2:12" ht="21" x14ac:dyDescent="0.35">
      <c r="B2" s="41" t="s">
        <v>106</v>
      </c>
      <c r="C2" s="42"/>
    </row>
    <row r="3" spans="2:12" ht="4.95" customHeight="1" x14ac:dyDescent="0.35"/>
    <row r="4" spans="2:12" ht="16.5" customHeight="1" x14ac:dyDescent="0.35">
      <c r="D4" s="44" t="s">
        <v>107</v>
      </c>
      <c r="E4" s="45" t="s">
        <v>108</v>
      </c>
    </row>
    <row r="5" spans="2:12" ht="16.5" customHeight="1" x14ac:dyDescent="0.35">
      <c r="D5" s="44" t="s">
        <v>109</v>
      </c>
      <c r="E5" s="45" t="s">
        <v>110</v>
      </c>
    </row>
    <row r="6" spans="2:12" ht="4.95" customHeight="1" x14ac:dyDescent="0.35"/>
    <row r="7" spans="2:12" ht="16.5" customHeight="1" x14ac:dyDescent="0.35">
      <c r="D7" s="46" t="s">
        <v>111</v>
      </c>
      <c r="E7" s="46"/>
      <c r="F7" s="46"/>
      <c r="G7" s="47"/>
      <c r="H7" s="47"/>
      <c r="I7" s="47"/>
      <c r="J7" s="47"/>
    </row>
    <row r="8" spans="2:12" ht="16.5" customHeight="1" x14ac:dyDescent="0.35">
      <c r="D8" s="46" t="s">
        <v>112</v>
      </c>
      <c r="E8" s="48"/>
      <c r="F8" s="48"/>
      <c r="G8" s="49"/>
      <c r="H8" s="49"/>
      <c r="I8" s="49"/>
      <c r="J8" s="49"/>
    </row>
    <row r="9" spans="2:12" ht="16.5" customHeight="1" x14ac:dyDescent="0.35">
      <c r="D9" s="46" t="s">
        <v>113</v>
      </c>
      <c r="E9" s="48"/>
      <c r="F9" s="48"/>
      <c r="G9" s="49"/>
      <c r="H9" s="49"/>
      <c r="I9" s="49"/>
      <c r="J9" s="49"/>
    </row>
    <row r="10" spans="2:12" ht="16.5" customHeight="1" x14ac:dyDescent="0.35">
      <c r="D10" s="46" t="s">
        <v>114</v>
      </c>
      <c r="E10" s="48"/>
      <c r="F10" s="48"/>
      <c r="G10" s="49"/>
      <c r="H10" s="49"/>
      <c r="I10" s="49"/>
      <c r="J10" s="49"/>
    </row>
    <row r="11" spans="2:12" ht="16.5" customHeight="1" x14ac:dyDescent="0.35">
      <c r="D11" s="46" t="s">
        <v>115</v>
      </c>
      <c r="E11" s="50"/>
      <c r="F11" s="50"/>
      <c r="L11" s="49"/>
    </row>
    <row r="12" spans="2:12" ht="16.5" customHeight="1" x14ac:dyDescent="0.35">
      <c r="D12" s="45" t="s">
        <v>116</v>
      </c>
      <c r="E12" s="47"/>
      <c r="F12" s="47"/>
      <c r="G12" s="47"/>
      <c r="H12" s="47"/>
      <c r="I12" s="47"/>
      <c r="J12" s="47"/>
    </row>
    <row r="13" spans="2:12" ht="4.95" customHeight="1" x14ac:dyDescent="0.35"/>
    <row r="14" spans="2:12" ht="16.5" customHeight="1" thickBot="1" x14ac:dyDescent="0.4">
      <c r="C14" s="51" t="s">
        <v>117</v>
      </c>
    </row>
    <row r="15" spans="2:12" ht="16.5" customHeight="1" thickBot="1" x14ac:dyDescent="0.4">
      <c r="D15" s="52"/>
      <c r="E15" s="53" t="s">
        <v>118</v>
      </c>
      <c r="F15" s="53" t="s">
        <v>119</v>
      </c>
      <c r="G15" s="147" t="s">
        <v>120</v>
      </c>
      <c r="H15" s="148"/>
      <c r="I15" s="55"/>
    </row>
    <row r="16" spans="2:12" ht="16.5" customHeight="1" thickBot="1" x14ac:dyDescent="0.4">
      <c r="D16" s="56" t="s">
        <v>121</v>
      </c>
      <c r="E16" s="57" t="s">
        <v>122</v>
      </c>
      <c r="F16" s="57" t="s">
        <v>122</v>
      </c>
      <c r="G16" s="142" t="s">
        <v>123</v>
      </c>
      <c r="H16" s="143"/>
      <c r="I16" s="55"/>
    </row>
    <row r="17" spans="3:33" ht="16.5" customHeight="1" thickBot="1" x14ac:dyDescent="0.4">
      <c r="D17" s="56" t="s">
        <v>49</v>
      </c>
      <c r="E17" s="57" t="s">
        <v>124</v>
      </c>
      <c r="F17" s="57" t="s">
        <v>125</v>
      </c>
      <c r="G17" s="142" t="s">
        <v>125</v>
      </c>
      <c r="H17" s="143"/>
      <c r="I17" s="55"/>
    </row>
    <row r="18" spans="3:33" ht="16.5" customHeight="1" thickBot="1" x14ac:dyDescent="0.4">
      <c r="D18" s="56" t="s">
        <v>47</v>
      </c>
      <c r="E18" s="57" t="s">
        <v>124</v>
      </c>
      <c r="F18" s="57" t="s">
        <v>125</v>
      </c>
      <c r="G18" s="142" t="s">
        <v>125</v>
      </c>
      <c r="H18" s="143"/>
      <c r="I18" s="55"/>
    </row>
    <row r="19" spans="3:33" ht="16.5" customHeight="1" thickBot="1" x14ac:dyDescent="0.4">
      <c r="D19" s="56" t="s">
        <v>50</v>
      </c>
      <c r="E19" s="57" t="s">
        <v>125</v>
      </c>
      <c r="F19" s="57" t="s">
        <v>125</v>
      </c>
      <c r="G19" s="142" t="s">
        <v>125</v>
      </c>
      <c r="H19" s="143"/>
      <c r="I19" s="55"/>
    </row>
    <row r="20" spans="3:33" ht="16.5" customHeight="1" thickBot="1" x14ac:dyDescent="0.4">
      <c r="D20" s="59" t="s">
        <v>126</v>
      </c>
      <c r="E20" s="60" t="s">
        <v>125</v>
      </c>
      <c r="F20" s="60" t="s">
        <v>125</v>
      </c>
      <c r="G20" s="132" t="s">
        <v>125</v>
      </c>
      <c r="H20" s="133"/>
      <c r="I20" s="55"/>
    </row>
    <row r="21" spans="3:33" ht="4.95" customHeight="1" x14ac:dyDescent="0.35"/>
    <row r="22" spans="3:33" ht="16.5" customHeight="1" thickBot="1" x14ac:dyDescent="0.4">
      <c r="C22" s="51" t="s">
        <v>127</v>
      </c>
      <c r="AF22" s="43" t="s">
        <v>128</v>
      </c>
      <c r="AG22" s="43" t="s">
        <v>129</v>
      </c>
    </row>
    <row r="23" spans="3:33" ht="16.5" customHeight="1" x14ac:dyDescent="0.35">
      <c r="D23" s="188" t="s">
        <v>130</v>
      </c>
      <c r="E23" s="62" t="s">
        <v>131</v>
      </c>
      <c r="F23" s="189" t="s">
        <v>132</v>
      </c>
      <c r="G23" s="190"/>
      <c r="H23" s="190"/>
      <c r="I23" s="190"/>
      <c r="J23" s="190"/>
      <c r="AE23" s="43" t="s">
        <v>130</v>
      </c>
      <c r="AF23" s="43" t="s">
        <v>133</v>
      </c>
      <c r="AG23" s="43" t="s">
        <v>134</v>
      </c>
    </row>
    <row r="24" spans="3:33" ht="16.5" customHeight="1" thickBot="1" x14ac:dyDescent="0.4">
      <c r="D24" s="173"/>
      <c r="E24" s="63" t="s">
        <v>135</v>
      </c>
      <c r="F24" s="176" t="s">
        <v>136</v>
      </c>
      <c r="G24" s="177"/>
      <c r="H24" s="177"/>
      <c r="I24" s="177"/>
      <c r="J24" s="177"/>
      <c r="AG24" s="43" t="s">
        <v>137</v>
      </c>
    </row>
    <row r="25" spans="3:33" ht="16.5" customHeight="1" x14ac:dyDescent="0.35">
      <c r="D25" s="172" t="s">
        <v>138</v>
      </c>
      <c r="E25" s="64" t="s">
        <v>131</v>
      </c>
      <c r="F25" s="174" t="s">
        <v>139</v>
      </c>
      <c r="G25" s="175"/>
      <c r="H25" s="175"/>
      <c r="I25" s="175"/>
      <c r="J25" s="175"/>
      <c r="AG25" s="43" t="s">
        <v>140</v>
      </c>
    </row>
    <row r="26" spans="3:33" ht="16.5" customHeight="1" thickBot="1" x14ac:dyDescent="0.4">
      <c r="D26" s="173"/>
      <c r="E26" s="63" t="s">
        <v>135</v>
      </c>
      <c r="F26" s="176" t="s">
        <v>141</v>
      </c>
      <c r="G26" s="177"/>
      <c r="H26" s="177"/>
      <c r="I26" s="177"/>
      <c r="J26" s="177"/>
      <c r="AG26" s="43" t="s">
        <v>142</v>
      </c>
    </row>
    <row r="27" spans="3:33" ht="16.5" customHeight="1" x14ac:dyDescent="0.35">
      <c r="D27" s="172" t="s">
        <v>49</v>
      </c>
      <c r="E27" s="64" t="s">
        <v>131</v>
      </c>
      <c r="F27" s="174" t="s">
        <v>143</v>
      </c>
      <c r="G27" s="175"/>
      <c r="H27" s="175"/>
      <c r="I27" s="175"/>
      <c r="J27" s="175"/>
      <c r="AG27" s="43" t="s">
        <v>144</v>
      </c>
    </row>
    <row r="28" spans="3:33" ht="16.5" customHeight="1" thickBot="1" x14ac:dyDescent="0.4">
      <c r="D28" s="173"/>
      <c r="E28" s="63" t="s">
        <v>135</v>
      </c>
      <c r="F28" s="176" t="s">
        <v>145</v>
      </c>
      <c r="G28" s="177"/>
      <c r="H28" s="177"/>
      <c r="I28" s="177"/>
      <c r="J28" s="177"/>
      <c r="AE28" s="43" t="s">
        <v>146</v>
      </c>
      <c r="AF28" s="43" t="s">
        <v>147</v>
      </c>
      <c r="AG28" s="43" t="s">
        <v>148</v>
      </c>
    </row>
    <row r="29" spans="3:33" ht="16.5" customHeight="1" x14ac:dyDescent="0.35">
      <c r="D29" s="172" t="s">
        <v>47</v>
      </c>
      <c r="E29" s="64" t="s">
        <v>131</v>
      </c>
      <c r="F29" s="174" t="s">
        <v>149</v>
      </c>
      <c r="G29" s="175"/>
      <c r="H29" s="175"/>
      <c r="I29" s="175"/>
      <c r="J29" s="175"/>
      <c r="AE29" s="43" t="s">
        <v>150</v>
      </c>
      <c r="AF29" s="43" t="s">
        <v>151</v>
      </c>
      <c r="AG29" s="43" t="s">
        <v>152</v>
      </c>
    </row>
    <row r="30" spans="3:33" ht="16.5" customHeight="1" thickBot="1" x14ac:dyDescent="0.4">
      <c r="D30" s="173"/>
      <c r="E30" s="63" t="s">
        <v>135</v>
      </c>
      <c r="F30" s="176" t="s">
        <v>153</v>
      </c>
      <c r="G30" s="177"/>
      <c r="H30" s="177"/>
      <c r="I30" s="177"/>
      <c r="J30" s="177"/>
      <c r="AG30" s="43" t="s">
        <v>154</v>
      </c>
    </row>
    <row r="31" spans="3:33" ht="16.5" customHeight="1" x14ac:dyDescent="0.35">
      <c r="D31" s="172" t="s">
        <v>50</v>
      </c>
      <c r="E31" s="64" t="s">
        <v>131</v>
      </c>
      <c r="F31" s="174" t="s">
        <v>155</v>
      </c>
      <c r="G31" s="175"/>
      <c r="H31" s="175"/>
      <c r="I31" s="175"/>
      <c r="J31" s="175"/>
      <c r="AE31" s="43" t="s">
        <v>156</v>
      </c>
      <c r="AF31" s="43" t="s">
        <v>157</v>
      </c>
      <c r="AG31" s="43" t="s">
        <v>158</v>
      </c>
    </row>
    <row r="32" spans="3:33" ht="16.5" customHeight="1" thickBot="1" x14ac:dyDescent="0.4">
      <c r="D32" s="173"/>
      <c r="E32" s="63" t="s">
        <v>135</v>
      </c>
      <c r="F32" s="176" t="s">
        <v>159</v>
      </c>
      <c r="G32" s="177"/>
      <c r="H32" s="177"/>
      <c r="I32" s="177"/>
      <c r="J32" s="177"/>
      <c r="AG32" s="43" t="s">
        <v>160</v>
      </c>
    </row>
    <row r="33" spans="2:10" ht="16.5" customHeight="1" x14ac:dyDescent="0.35">
      <c r="D33" s="178" t="s">
        <v>126</v>
      </c>
      <c r="E33" s="180" t="s">
        <v>131</v>
      </c>
      <c r="F33" s="182" t="s">
        <v>161</v>
      </c>
      <c r="G33" s="183"/>
      <c r="H33" s="183"/>
      <c r="I33" s="183"/>
      <c r="J33" s="183"/>
    </row>
    <row r="34" spans="2:10" ht="16.5" customHeight="1" x14ac:dyDescent="0.35">
      <c r="D34" s="178"/>
      <c r="E34" s="181"/>
      <c r="F34" s="184" t="s">
        <v>162</v>
      </c>
      <c r="G34" s="185"/>
      <c r="H34" s="185"/>
      <c r="I34" s="185"/>
      <c r="J34" s="185"/>
    </row>
    <row r="35" spans="2:10" ht="16.5" customHeight="1" thickBot="1" x14ac:dyDescent="0.4">
      <c r="D35" s="179"/>
      <c r="E35" s="65" t="s">
        <v>135</v>
      </c>
      <c r="F35" s="186" t="s">
        <v>163</v>
      </c>
      <c r="G35" s="187"/>
      <c r="H35" s="187"/>
      <c r="I35" s="187"/>
      <c r="J35" s="187"/>
    </row>
    <row r="37" spans="2:10" ht="21" x14ac:dyDescent="0.35">
      <c r="B37" s="41" t="s">
        <v>164</v>
      </c>
      <c r="C37" s="42"/>
    </row>
    <row r="38" spans="2:10" ht="4.95" customHeight="1" x14ac:dyDescent="0.35"/>
    <row r="39" spans="2:10" ht="16.5" customHeight="1" x14ac:dyDescent="0.35">
      <c r="C39" s="47" t="s">
        <v>330</v>
      </c>
    </row>
    <row r="40" spans="2:10" ht="4.95" customHeight="1" x14ac:dyDescent="0.35">
      <c r="C40" s="47"/>
    </row>
    <row r="41" spans="2:10" ht="16.5" customHeight="1" x14ac:dyDescent="0.35">
      <c r="C41" s="47" t="s">
        <v>165</v>
      </c>
    </row>
    <row r="42" spans="2:10" ht="4.95" customHeight="1" x14ac:dyDescent="0.35">
      <c r="C42" s="47"/>
    </row>
    <row r="43" spans="2:10" ht="16.5" customHeight="1" x14ac:dyDescent="0.35">
      <c r="C43" s="47" t="s">
        <v>331</v>
      </c>
    </row>
    <row r="44" spans="2:10" ht="4.95" customHeight="1" x14ac:dyDescent="0.35">
      <c r="C44" s="47"/>
    </row>
    <row r="45" spans="2:10" ht="16.5" customHeight="1" x14ac:dyDescent="0.35">
      <c r="C45" s="47" t="s">
        <v>222</v>
      </c>
    </row>
    <row r="46" spans="2:10" ht="16.5" customHeight="1" x14ac:dyDescent="0.35">
      <c r="C46" s="47"/>
      <c r="D46" s="43" t="s">
        <v>334</v>
      </c>
    </row>
    <row r="47" spans="2:10" ht="16.5" customHeight="1" x14ac:dyDescent="0.35">
      <c r="C47" s="47"/>
      <c r="D47" s="43" t="s">
        <v>166</v>
      </c>
    </row>
    <row r="48" spans="2:10" ht="4.95" customHeight="1" x14ac:dyDescent="0.35">
      <c r="C48" s="47"/>
    </row>
    <row r="49" spans="3:10" ht="16.5" customHeight="1" thickBot="1" x14ac:dyDescent="0.4">
      <c r="C49" s="47" t="s">
        <v>167</v>
      </c>
    </row>
    <row r="50" spans="3:10" ht="16.5" customHeight="1" thickBot="1" x14ac:dyDescent="0.4">
      <c r="D50" s="66" t="s">
        <v>168</v>
      </c>
      <c r="E50" s="162" t="s">
        <v>169</v>
      </c>
      <c r="F50" s="163"/>
      <c r="G50" s="164"/>
      <c r="H50" s="162" t="s">
        <v>170</v>
      </c>
      <c r="I50" s="163"/>
      <c r="J50" s="163"/>
    </row>
    <row r="51" spans="3:10" ht="16.5" customHeight="1" thickBot="1" x14ac:dyDescent="0.4">
      <c r="D51" s="67" t="s">
        <v>171</v>
      </c>
      <c r="E51" s="165" t="s">
        <v>172</v>
      </c>
      <c r="F51" s="166"/>
      <c r="G51" s="167"/>
      <c r="H51" s="165" t="s">
        <v>173</v>
      </c>
      <c r="I51" s="166"/>
      <c r="J51" s="166"/>
    </row>
    <row r="52" spans="3:10" ht="16.5" customHeight="1" x14ac:dyDescent="0.35">
      <c r="D52" s="152" t="s">
        <v>174</v>
      </c>
      <c r="E52" s="154" t="s">
        <v>175</v>
      </c>
      <c r="F52" s="155"/>
      <c r="G52" s="156"/>
      <c r="H52" s="154" t="s">
        <v>176</v>
      </c>
      <c r="I52" s="155"/>
      <c r="J52" s="155"/>
    </row>
    <row r="53" spans="3:10" ht="16.5" customHeight="1" thickBot="1" x14ac:dyDescent="0.4">
      <c r="D53" s="168"/>
      <c r="E53" s="169"/>
      <c r="F53" s="170"/>
      <c r="G53" s="171"/>
      <c r="H53" s="169"/>
      <c r="I53" s="170"/>
      <c r="J53" s="170"/>
    </row>
    <row r="54" spans="3:10" ht="16.5" customHeight="1" thickBot="1" x14ac:dyDescent="0.4">
      <c r="D54" s="67" t="s">
        <v>177</v>
      </c>
      <c r="E54" s="149" t="s">
        <v>178</v>
      </c>
      <c r="F54" s="150"/>
      <c r="G54" s="151"/>
      <c r="H54" s="149" t="s">
        <v>179</v>
      </c>
      <c r="I54" s="150"/>
      <c r="J54" s="150"/>
    </row>
    <row r="55" spans="3:10" ht="16.5" customHeight="1" thickBot="1" x14ac:dyDescent="0.4">
      <c r="D55" s="67" t="s">
        <v>180</v>
      </c>
      <c r="E55" s="149" t="s">
        <v>181</v>
      </c>
      <c r="F55" s="150"/>
      <c r="G55" s="151"/>
      <c r="H55" s="149" t="s">
        <v>182</v>
      </c>
      <c r="I55" s="150"/>
      <c r="J55" s="150"/>
    </row>
    <row r="56" spans="3:10" ht="16.5" customHeight="1" thickBot="1" x14ac:dyDescent="0.4">
      <c r="D56" s="152" t="s">
        <v>183</v>
      </c>
      <c r="E56" s="154" t="s">
        <v>184</v>
      </c>
      <c r="F56" s="155"/>
      <c r="G56" s="156"/>
      <c r="H56" s="149" t="s">
        <v>185</v>
      </c>
      <c r="I56" s="151"/>
      <c r="J56" s="68" t="s">
        <v>186</v>
      </c>
    </row>
    <row r="57" spans="3:10" ht="16.5" customHeight="1" thickBot="1" x14ac:dyDescent="0.4">
      <c r="D57" s="153"/>
      <c r="E57" s="157"/>
      <c r="F57" s="158"/>
      <c r="G57" s="159"/>
      <c r="H57" s="160" t="s">
        <v>187</v>
      </c>
      <c r="I57" s="161"/>
      <c r="J57" s="69" t="s">
        <v>188</v>
      </c>
    </row>
    <row r="58" spans="3:10" ht="13.2" x14ac:dyDescent="0.35">
      <c r="D58" s="144" t="s">
        <v>189</v>
      </c>
      <c r="E58" s="144"/>
      <c r="F58" s="144"/>
      <c r="G58" s="144"/>
      <c r="H58" s="144"/>
      <c r="I58" s="144"/>
      <c r="J58" s="144"/>
    </row>
    <row r="59" spans="3:10" ht="13.2" x14ac:dyDescent="0.35">
      <c r="D59" s="70" t="s">
        <v>190</v>
      </c>
      <c r="E59" s="145" t="s">
        <v>191</v>
      </c>
      <c r="F59" s="145"/>
      <c r="G59" s="145"/>
      <c r="H59" s="145"/>
      <c r="I59" s="145"/>
      <c r="J59" s="145"/>
    </row>
    <row r="60" spans="3:10" ht="13.2" x14ac:dyDescent="0.35">
      <c r="D60" s="70"/>
      <c r="E60" s="145" t="s">
        <v>192</v>
      </c>
      <c r="F60" s="145"/>
      <c r="G60" s="145"/>
      <c r="H60" s="145"/>
      <c r="I60" s="145"/>
      <c r="J60" s="145"/>
    </row>
    <row r="61" spans="3:10" ht="13.2" x14ac:dyDescent="0.35">
      <c r="D61" s="70"/>
      <c r="E61" s="145" t="s">
        <v>193</v>
      </c>
      <c r="F61" s="145"/>
      <c r="G61" s="145"/>
      <c r="H61" s="145"/>
      <c r="I61" s="145"/>
      <c r="J61" s="145"/>
    </row>
    <row r="62" spans="3:10" ht="4.95" customHeight="1" x14ac:dyDescent="0.35"/>
    <row r="63" spans="3:10" ht="16.5" customHeight="1" x14ac:dyDescent="0.35">
      <c r="C63" s="47" t="s">
        <v>194</v>
      </c>
    </row>
    <row r="64" spans="3:10" ht="4.95" customHeight="1" x14ac:dyDescent="0.35"/>
    <row r="65" spans="4:9" ht="16.5" customHeight="1" thickBot="1" x14ac:dyDescent="0.4">
      <c r="D65" s="47" t="s">
        <v>195</v>
      </c>
    </row>
    <row r="66" spans="4:9" ht="16.5" customHeight="1" thickBot="1" x14ac:dyDescent="0.4">
      <c r="D66" s="146" t="s">
        <v>196</v>
      </c>
      <c r="E66" s="147"/>
      <c r="F66" s="147" t="s">
        <v>197</v>
      </c>
      <c r="G66" s="148"/>
      <c r="H66" s="54" t="s">
        <v>198</v>
      </c>
    </row>
    <row r="67" spans="4:9" ht="16.5" customHeight="1" thickBot="1" x14ac:dyDescent="0.4">
      <c r="D67" s="134" t="s">
        <v>199</v>
      </c>
      <c r="E67" s="135"/>
      <c r="F67" s="136" t="s">
        <v>200</v>
      </c>
      <c r="G67" s="137"/>
      <c r="H67" s="138" t="s">
        <v>125</v>
      </c>
    </row>
    <row r="68" spans="4:9" ht="16.5" customHeight="1" thickBot="1" x14ac:dyDescent="0.4">
      <c r="D68" s="134" t="s">
        <v>201</v>
      </c>
      <c r="E68" s="135"/>
      <c r="F68" s="136"/>
      <c r="G68" s="137"/>
      <c r="H68" s="139"/>
    </row>
    <row r="69" spans="4:9" ht="16.5" customHeight="1" thickBot="1" x14ac:dyDescent="0.4">
      <c r="D69" s="140" t="s">
        <v>202</v>
      </c>
      <c r="E69" s="141"/>
      <c r="F69" s="142" t="s">
        <v>203</v>
      </c>
      <c r="G69" s="143"/>
      <c r="H69" s="58" t="s">
        <v>124</v>
      </c>
    </row>
    <row r="70" spans="4:9" ht="16.5" customHeight="1" thickBot="1" x14ac:dyDescent="0.4">
      <c r="D70" s="130" t="s">
        <v>204</v>
      </c>
      <c r="E70" s="131"/>
      <c r="F70" s="132" t="s">
        <v>203</v>
      </c>
      <c r="G70" s="133"/>
      <c r="H70" s="61" t="s">
        <v>124</v>
      </c>
    </row>
    <row r="71" spans="4:9" ht="16.5" customHeight="1" x14ac:dyDescent="0.35">
      <c r="D71" s="46" t="s">
        <v>332</v>
      </c>
      <c r="F71" s="55"/>
      <c r="G71" s="55"/>
    </row>
    <row r="72" spans="4:9" ht="4.95" customHeight="1" x14ac:dyDescent="0.35"/>
    <row r="73" spans="4:9" ht="16.5" customHeight="1" thickBot="1" x14ac:dyDescent="0.4">
      <c r="D73" s="47" t="s">
        <v>205</v>
      </c>
      <c r="F73" s="55"/>
      <c r="G73" s="71" t="s">
        <v>206</v>
      </c>
      <c r="H73" s="55"/>
      <c r="I73" s="55"/>
    </row>
    <row r="74" spans="4:9" ht="16.5" customHeight="1" thickBot="1" x14ac:dyDescent="0.4">
      <c r="D74" s="52" t="s">
        <v>207</v>
      </c>
      <c r="E74" s="53" t="s">
        <v>208</v>
      </c>
      <c r="F74" s="53" t="s">
        <v>209</v>
      </c>
      <c r="G74" s="54" t="s">
        <v>210</v>
      </c>
      <c r="H74" s="55"/>
      <c r="I74" s="55"/>
    </row>
    <row r="75" spans="4:9" ht="16.5" customHeight="1" thickBot="1" x14ac:dyDescent="0.4">
      <c r="D75" s="56" t="s">
        <v>49</v>
      </c>
      <c r="E75" s="72">
        <v>4.4999999999999998E-2</v>
      </c>
      <c r="F75" s="72">
        <v>4.4999999999999998E-2</v>
      </c>
      <c r="G75" s="73">
        <v>4.4999999999999998E-2</v>
      </c>
    </row>
    <row r="76" spans="4:9" ht="16.5" customHeight="1" thickBot="1" x14ac:dyDescent="0.4">
      <c r="D76" s="56" t="s">
        <v>47</v>
      </c>
      <c r="E76" s="74">
        <v>3.5450000000000002E-2</v>
      </c>
      <c r="F76" s="74">
        <v>3.5450000000000002E-2</v>
      </c>
      <c r="G76" s="75">
        <v>3.5450000000000002E-2</v>
      </c>
      <c r="H76" s="55"/>
      <c r="I76" s="55"/>
    </row>
    <row r="77" spans="4:9" ht="16.5" customHeight="1" thickBot="1" x14ac:dyDescent="0.4">
      <c r="D77" s="56" t="s">
        <v>48</v>
      </c>
      <c r="E77" s="76">
        <v>0.1295</v>
      </c>
      <c r="F77" s="76">
        <v>0.1295</v>
      </c>
      <c r="G77" s="77">
        <v>0.1295</v>
      </c>
    </row>
    <row r="78" spans="4:9" ht="16.5" customHeight="1" thickBot="1" x14ac:dyDescent="0.4">
      <c r="D78" s="56" t="s">
        <v>50</v>
      </c>
      <c r="E78" s="72">
        <v>8.9999999999999993E-3</v>
      </c>
      <c r="F78" s="76">
        <v>1.7500000000000002E-2</v>
      </c>
      <c r="G78" s="77">
        <v>1.35E-2</v>
      </c>
    </row>
    <row r="79" spans="4:9" ht="16.5" customHeight="1" thickBot="1" x14ac:dyDescent="0.4">
      <c r="D79" s="59" t="s">
        <v>126</v>
      </c>
      <c r="E79" s="78"/>
      <c r="F79" s="79">
        <v>7.9699999999999997E-3</v>
      </c>
      <c r="G79" s="80">
        <v>7.6600000000000001E-3</v>
      </c>
    </row>
    <row r="80" spans="4:9" ht="4.95" customHeight="1" x14ac:dyDescent="0.35"/>
    <row r="81" spans="3:4" ht="16.5" customHeight="1" x14ac:dyDescent="0.35">
      <c r="D81" s="47" t="s">
        <v>211</v>
      </c>
    </row>
    <row r="82" spans="3:4" ht="16.5" customHeight="1" x14ac:dyDescent="0.35">
      <c r="D82" s="47" t="s">
        <v>212</v>
      </c>
    </row>
    <row r="83" spans="3:4" ht="16.5" customHeight="1" x14ac:dyDescent="0.35">
      <c r="D83" s="47" t="s">
        <v>213</v>
      </c>
    </row>
    <row r="84" spans="3:4" ht="16.5" customHeight="1" x14ac:dyDescent="0.35">
      <c r="D84" s="47" t="s">
        <v>214</v>
      </c>
    </row>
    <row r="85" spans="3:4" ht="4.95" customHeight="1" x14ac:dyDescent="0.35"/>
    <row r="86" spans="3:4" ht="16.5" customHeight="1" x14ac:dyDescent="0.35">
      <c r="C86" s="47" t="s">
        <v>215</v>
      </c>
    </row>
    <row r="87" spans="3:4" ht="16.5" customHeight="1" x14ac:dyDescent="0.35">
      <c r="C87" s="47"/>
      <c r="D87" s="43" t="s">
        <v>216</v>
      </c>
    </row>
    <row r="88" spans="3:4" ht="16.5" customHeight="1" x14ac:dyDescent="0.35">
      <c r="C88" s="47"/>
      <c r="D88" s="43" t="s">
        <v>217</v>
      </c>
    </row>
    <row r="89" spans="3:4" ht="16.5" customHeight="1" x14ac:dyDescent="0.35">
      <c r="C89" s="47"/>
      <c r="D89" s="81" t="s">
        <v>218</v>
      </c>
    </row>
    <row r="90" spans="3:4" ht="4.95" customHeight="1" x14ac:dyDescent="0.35"/>
    <row r="91" spans="3:4" ht="16.5" customHeight="1" x14ac:dyDescent="0.35">
      <c r="C91" s="47" t="s">
        <v>219</v>
      </c>
    </row>
    <row r="92" spans="3:4" ht="16.5" customHeight="1" x14ac:dyDescent="0.35">
      <c r="C92" s="47"/>
      <c r="D92" s="43" t="s">
        <v>220</v>
      </c>
    </row>
    <row r="93" spans="3:4" ht="4.95" customHeight="1" x14ac:dyDescent="0.35"/>
    <row r="94" spans="3:4" ht="16.5" customHeight="1" x14ac:dyDescent="0.35">
      <c r="C94" s="47" t="s">
        <v>221</v>
      </c>
    </row>
    <row r="95" spans="3:4" ht="16.5" customHeight="1" x14ac:dyDescent="0.35">
      <c r="D95" s="43" t="s">
        <v>333</v>
      </c>
    </row>
  </sheetData>
  <mergeCells count="55">
    <mergeCell ref="G20:H20"/>
    <mergeCell ref="G15:H15"/>
    <mergeCell ref="G16:H16"/>
    <mergeCell ref="G17:H17"/>
    <mergeCell ref="G18:H18"/>
    <mergeCell ref="G19:H19"/>
    <mergeCell ref="D23:D24"/>
    <mergeCell ref="F23:J23"/>
    <mergeCell ref="F24:J24"/>
    <mergeCell ref="D25:D26"/>
    <mergeCell ref="F25:J25"/>
    <mergeCell ref="F26:J26"/>
    <mergeCell ref="D27:D28"/>
    <mergeCell ref="F27:J27"/>
    <mergeCell ref="F28:J28"/>
    <mergeCell ref="D29:D30"/>
    <mergeCell ref="F29:J29"/>
    <mergeCell ref="F30:J30"/>
    <mergeCell ref="D31:D32"/>
    <mergeCell ref="F31:J31"/>
    <mergeCell ref="F32:J32"/>
    <mergeCell ref="D33:D35"/>
    <mergeCell ref="E33:E34"/>
    <mergeCell ref="F33:J33"/>
    <mergeCell ref="F34:J34"/>
    <mergeCell ref="F35:J35"/>
    <mergeCell ref="E50:G50"/>
    <mergeCell ref="H50:J50"/>
    <mergeCell ref="E51:G51"/>
    <mergeCell ref="H51:J51"/>
    <mergeCell ref="D52:D53"/>
    <mergeCell ref="E52:G53"/>
    <mergeCell ref="H52:J53"/>
    <mergeCell ref="E54:G54"/>
    <mergeCell ref="H54:J54"/>
    <mergeCell ref="E55:G55"/>
    <mergeCell ref="H55:J55"/>
    <mergeCell ref="D56:D57"/>
    <mergeCell ref="E56:G57"/>
    <mergeCell ref="H56:I56"/>
    <mergeCell ref="H57:I57"/>
    <mergeCell ref="D58:J58"/>
    <mergeCell ref="E59:J59"/>
    <mergeCell ref="E60:J60"/>
    <mergeCell ref="E61:J61"/>
    <mergeCell ref="D66:E66"/>
    <mergeCell ref="F66:G66"/>
    <mergeCell ref="D70:E70"/>
    <mergeCell ref="F70:G70"/>
    <mergeCell ref="D67:E67"/>
    <mergeCell ref="F67:G68"/>
    <mergeCell ref="H67:H68"/>
    <mergeCell ref="D68:E68"/>
    <mergeCell ref="D69:E69"/>
    <mergeCell ref="F69:G6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7F29-1258-4929-A87F-0202BD9FF3F1}">
  <sheetPr codeName="Sheet3">
    <tabColor theme="0" tint="-0.14999847407452621"/>
  </sheetPr>
  <dimension ref="B2:AE86"/>
  <sheetViews>
    <sheetView showGridLines="0" topLeftCell="F1" workbookViewId="0">
      <selection activeCell="H20" sqref="H20"/>
    </sheetView>
  </sheetViews>
  <sheetFormatPr defaultRowHeight="15.6" x14ac:dyDescent="0.35"/>
  <cols>
    <col min="1" max="1" width="2.6640625" customWidth="1"/>
    <col min="2" max="5" width="11.6640625" customWidth="1"/>
    <col min="6" max="6" width="17.5546875" bestFit="1" customWidth="1"/>
    <col min="7" max="7" width="10.5546875" customWidth="1"/>
    <col min="8" max="8" width="11.33203125" bestFit="1" customWidth="1"/>
    <col min="9" max="9" width="17.5546875" bestFit="1" customWidth="1"/>
    <col min="10" max="10" width="13.44140625" bestFit="1" customWidth="1"/>
    <col min="11" max="13" width="15.44140625" bestFit="1" customWidth="1"/>
    <col min="14" max="14" width="16.33203125" bestFit="1" customWidth="1"/>
    <col min="16" max="16" width="12.6640625" style="1" bestFit="1" customWidth="1"/>
    <col min="17" max="17" width="23.33203125" style="1" bestFit="1" customWidth="1"/>
    <col min="18" max="18" width="9.109375" style="1"/>
    <col min="19" max="20" width="12.6640625" style="1" customWidth="1"/>
    <col min="21" max="21" width="16.109375" style="1" customWidth="1"/>
    <col min="22" max="22" width="11.33203125" style="1" bestFit="1" customWidth="1"/>
    <col min="23" max="23" width="18" style="1" customWidth="1"/>
    <col min="24" max="24" width="16.109375" style="1" customWidth="1"/>
    <col min="25" max="25" width="9.109375" style="1"/>
    <col min="26" max="26" width="12.6640625" style="1" bestFit="1" customWidth="1"/>
    <col min="27" max="27" width="12.6640625" style="1" customWidth="1"/>
    <col min="28" max="29" width="12.6640625" style="1" bestFit="1" customWidth="1"/>
    <col min="30" max="30" width="9.109375" style="1"/>
    <col min="31" max="31" width="12.6640625" style="1" bestFit="1" customWidth="1"/>
  </cols>
  <sheetData>
    <row r="2" spans="2:31" x14ac:dyDescent="0.35">
      <c r="B2" s="1" t="s">
        <v>265</v>
      </c>
      <c r="P2" s="1" t="s">
        <v>66</v>
      </c>
    </row>
    <row r="3" spans="2:31" x14ac:dyDescent="0.35">
      <c r="B3" t="s">
        <v>103</v>
      </c>
      <c r="C3" t="s">
        <v>260</v>
      </c>
      <c r="D3" t="s">
        <v>104</v>
      </c>
      <c r="E3" t="s">
        <v>105</v>
      </c>
      <c r="F3" t="s">
        <v>262</v>
      </c>
      <c r="G3" t="s">
        <v>250</v>
      </c>
      <c r="H3" t="s">
        <v>261</v>
      </c>
      <c r="I3" t="s">
        <v>263</v>
      </c>
      <c r="J3" t="s">
        <v>264</v>
      </c>
      <c r="K3" t="s">
        <v>268</v>
      </c>
      <c r="L3" t="s">
        <v>269</v>
      </c>
      <c r="M3" t="s">
        <v>270</v>
      </c>
      <c r="N3" t="s">
        <v>278</v>
      </c>
      <c r="P3" s="1" t="s">
        <v>68</v>
      </c>
      <c r="Q3" s="1" t="s">
        <v>69</v>
      </c>
    </row>
    <row r="4" spans="2:31" x14ac:dyDescent="0.35">
      <c r="B4" s="108" t="s">
        <v>254</v>
      </c>
      <c r="C4" s="108" t="s">
        <v>101</v>
      </c>
      <c r="D4" s="107">
        <v>45292</v>
      </c>
      <c r="E4" s="107">
        <v>45657</v>
      </c>
      <c r="F4" s="119">
        <v>9860</v>
      </c>
      <c r="G4" s="108" t="s">
        <v>318</v>
      </c>
      <c r="H4" s="108" t="s">
        <v>251</v>
      </c>
      <c r="I4" s="108">
        <v>15</v>
      </c>
      <c r="J4" s="108">
        <v>5</v>
      </c>
      <c r="K4" s="120">
        <v>0.5</v>
      </c>
      <c r="L4" s="120">
        <v>0.5</v>
      </c>
      <c r="M4" s="120">
        <v>0.5</v>
      </c>
      <c r="N4" s="119">
        <v>150000</v>
      </c>
      <c r="P4" s="121">
        <v>45417</v>
      </c>
      <c r="Q4" s="124" t="s">
        <v>267</v>
      </c>
    </row>
    <row r="5" spans="2:31" x14ac:dyDescent="0.35">
      <c r="B5" s="108" t="s">
        <v>254</v>
      </c>
      <c r="C5" s="108" t="s">
        <v>101</v>
      </c>
      <c r="D5" s="107">
        <v>45658</v>
      </c>
      <c r="E5" s="107">
        <v>2958465</v>
      </c>
      <c r="F5" s="119">
        <v>10030</v>
      </c>
      <c r="G5" s="108" t="s">
        <v>318</v>
      </c>
      <c r="H5" s="108" t="s">
        <v>251</v>
      </c>
      <c r="I5" s="108">
        <v>15</v>
      </c>
      <c r="J5" s="108">
        <v>5</v>
      </c>
      <c r="K5" s="120">
        <v>0.5</v>
      </c>
      <c r="L5" s="120">
        <v>0.5</v>
      </c>
      <c r="M5" s="120">
        <v>0.5</v>
      </c>
      <c r="N5" s="119">
        <v>150000</v>
      </c>
      <c r="P5" s="121">
        <v>45658</v>
      </c>
      <c r="Q5" s="124" t="s">
        <v>75</v>
      </c>
      <c r="AE5" s="22"/>
    </row>
    <row r="6" spans="2:31" x14ac:dyDescent="0.35">
      <c r="B6" s="108" t="s">
        <v>254</v>
      </c>
      <c r="C6" s="108" t="s">
        <v>102</v>
      </c>
      <c r="D6" s="107">
        <v>45292</v>
      </c>
      <c r="E6" s="107">
        <v>45657</v>
      </c>
      <c r="F6" s="119">
        <v>10580</v>
      </c>
      <c r="G6" s="108" t="s">
        <v>318</v>
      </c>
      <c r="H6" s="108" t="s">
        <v>251</v>
      </c>
      <c r="I6" s="108">
        <v>15</v>
      </c>
      <c r="J6" s="108">
        <v>5</v>
      </c>
      <c r="K6" s="120">
        <v>0.5</v>
      </c>
      <c r="L6" s="120">
        <v>0.5</v>
      </c>
      <c r="M6" s="120">
        <v>0.5</v>
      </c>
      <c r="N6" s="119">
        <v>150000</v>
      </c>
      <c r="P6" s="121">
        <v>45685</v>
      </c>
      <c r="Q6" s="124" t="s">
        <v>76</v>
      </c>
    </row>
    <row r="7" spans="2:31" x14ac:dyDescent="0.35">
      <c r="B7" s="108" t="s">
        <v>254</v>
      </c>
      <c r="C7" s="108" t="s">
        <v>102</v>
      </c>
      <c r="D7" s="107">
        <v>45658</v>
      </c>
      <c r="E7" s="107">
        <v>2958465</v>
      </c>
      <c r="F7" s="119">
        <v>10680</v>
      </c>
      <c r="G7" s="108" t="s">
        <v>318</v>
      </c>
      <c r="H7" s="108" t="s">
        <v>251</v>
      </c>
      <c r="I7" s="108">
        <v>15</v>
      </c>
      <c r="J7" s="108">
        <v>5</v>
      </c>
      <c r="K7" s="120">
        <v>0.5</v>
      </c>
      <c r="L7" s="120">
        <v>0.5</v>
      </c>
      <c r="M7" s="120">
        <v>0.5</v>
      </c>
      <c r="N7" s="119">
        <v>150000</v>
      </c>
      <c r="P7" s="121">
        <v>45686</v>
      </c>
      <c r="Q7" s="124" t="s">
        <v>76</v>
      </c>
    </row>
    <row r="8" spans="2:31" x14ac:dyDescent="0.35">
      <c r="B8" s="108" t="s">
        <v>256</v>
      </c>
      <c r="C8" s="108" t="s">
        <v>101</v>
      </c>
      <c r="D8" s="107">
        <v>45292</v>
      </c>
      <c r="E8" s="107">
        <v>45657</v>
      </c>
      <c r="F8" s="119">
        <v>9860</v>
      </c>
      <c r="G8" s="108" t="s">
        <v>319</v>
      </c>
      <c r="H8" s="108" t="s">
        <v>259</v>
      </c>
      <c r="I8" s="108">
        <v>15</v>
      </c>
      <c r="J8" s="108">
        <v>2</v>
      </c>
      <c r="K8" s="120">
        <v>0.5</v>
      </c>
      <c r="L8" s="120">
        <v>0.5</v>
      </c>
      <c r="M8" s="120">
        <v>0.5</v>
      </c>
      <c r="N8" s="119">
        <v>150000</v>
      </c>
      <c r="P8" s="121">
        <v>45687</v>
      </c>
      <c r="Q8" s="124" t="s">
        <v>76</v>
      </c>
      <c r="V8" s="38"/>
    </row>
    <row r="9" spans="2:31" x14ac:dyDescent="0.35">
      <c r="B9" s="108" t="s">
        <v>256</v>
      </c>
      <c r="C9" s="108" t="s">
        <v>101</v>
      </c>
      <c r="D9" s="107">
        <v>45658</v>
      </c>
      <c r="E9" s="107">
        <v>2958465</v>
      </c>
      <c r="F9" s="119">
        <v>10030</v>
      </c>
      <c r="G9" s="108" t="s">
        <v>319</v>
      </c>
      <c r="H9" s="107" t="s">
        <v>259</v>
      </c>
      <c r="I9" s="108">
        <v>15</v>
      </c>
      <c r="J9" s="108">
        <v>2</v>
      </c>
      <c r="K9" s="120">
        <v>0.5</v>
      </c>
      <c r="L9" s="120">
        <v>0.5</v>
      </c>
      <c r="M9" s="120">
        <v>0.5</v>
      </c>
      <c r="N9" s="119">
        <v>150000</v>
      </c>
      <c r="P9" s="121">
        <v>45717</v>
      </c>
      <c r="Q9" s="124" t="s">
        <v>77</v>
      </c>
      <c r="V9" s="38"/>
    </row>
    <row r="10" spans="2:31" x14ac:dyDescent="0.35">
      <c r="B10" s="108" t="s">
        <v>256</v>
      </c>
      <c r="C10" s="108" t="s">
        <v>102</v>
      </c>
      <c r="D10" s="107">
        <v>45292</v>
      </c>
      <c r="E10" s="107">
        <v>45657</v>
      </c>
      <c r="F10" s="119">
        <v>10580</v>
      </c>
      <c r="G10" s="108" t="s">
        <v>319</v>
      </c>
      <c r="H10" s="108" t="s">
        <v>259</v>
      </c>
      <c r="I10" s="108">
        <v>15</v>
      </c>
      <c r="J10" s="108">
        <v>2</v>
      </c>
      <c r="K10" s="120">
        <v>0.5</v>
      </c>
      <c r="L10" s="120">
        <v>0.5</v>
      </c>
      <c r="M10" s="120">
        <v>0.5</v>
      </c>
      <c r="N10" s="119">
        <v>150000</v>
      </c>
      <c r="P10" s="121">
        <v>45719</v>
      </c>
      <c r="Q10" s="124" t="s">
        <v>78</v>
      </c>
      <c r="AE10" s="22"/>
    </row>
    <row r="11" spans="2:31" x14ac:dyDescent="0.35">
      <c r="B11" s="108" t="s">
        <v>256</v>
      </c>
      <c r="C11" s="108" t="s">
        <v>102</v>
      </c>
      <c r="D11" s="107">
        <v>45658</v>
      </c>
      <c r="E11" s="107">
        <v>2958465</v>
      </c>
      <c r="F11" s="119">
        <v>10680</v>
      </c>
      <c r="G11" s="108" t="s">
        <v>319</v>
      </c>
      <c r="H11" s="108" t="s">
        <v>259</v>
      </c>
      <c r="I11" s="108">
        <v>15</v>
      </c>
      <c r="J11" s="108">
        <v>2</v>
      </c>
      <c r="K11" s="120">
        <v>0.5</v>
      </c>
      <c r="L11" s="120">
        <v>0.5</v>
      </c>
      <c r="M11" s="120">
        <v>0.5</v>
      </c>
      <c r="N11" s="119">
        <v>150000</v>
      </c>
      <c r="P11" s="121">
        <v>45782</v>
      </c>
      <c r="Q11" s="124" t="s">
        <v>79</v>
      </c>
      <c r="Z11" s="22"/>
      <c r="AA11" s="22"/>
      <c r="AB11" s="22"/>
    </row>
    <row r="12" spans="2:31" x14ac:dyDescent="0.35">
      <c r="P12" s="121">
        <v>45783</v>
      </c>
      <c r="Q12" s="124" t="s">
        <v>78</v>
      </c>
    </row>
    <row r="13" spans="2:31" x14ac:dyDescent="0.35">
      <c r="P13" s="121">
        <v>45811</v>
      </c>
      <c r="Q13" s="124" t="s">
        <v>80</v>
      </c>
      <c r="U13" s="22"/>
      <c r="V13" s="23"/>
    </row>
    <row r="14" spans="2:31" x14ac:dyDescent="0.35">
      <c r="P14" s="121">
        <v>45814</v>
      </c>
      <c r="Q14" s="124" t="s">
        <v>81</v>
      </c>
      <c r="U14" s="22"/>
      <c r="V14" s="22"/>
    </row>
    <row r="15" spans="2:31" x14ac:dyDescent="0.35">
      <c r="P15" s="121">
        <v>45884</v>
      </c>
      <c r="Q15" s="124" t="s">
        <v>82</v>
      </c>
    </row>
    <row r="16" spans="2:31" x14ac:dyDescent="0.35">
      <c r="P16" s="121">
        <v>45933</v>
      </c>
      <c r="Q16" s="124" t="s">
        <v>83</v>
      </c>
    </row>
    <row r="17" spans="2:24" x14ac:dyDescent="0.35">
      <c r="P17" s="121">
        <v>45935</v>
      </c>
      <c r="Q17" s="124" t="s">
        <v>84</v>
      </c>
    </row>
    <row r="18" spans="2:24" x14ac:dyDescent="0.35">
      <c r="P18" s="121">
        <v>45936</v>
      </c>
      <c r="Q18" s="124" t="s">
        <v>84</v>
      </c>
    </row>
    <row r="19" spans="2:24" x14ac:dyDescent="0.35">
      <c r="P19" s="121">
        <v>45937</v>
      </c>
      <c r="Q19" s="124" t="s">
        <v>84</v>
      </c>
    </row>
    <row r="20" spans="2:24" x14ac:dyDescent="0.35">
      <c r="B20" s="1" t="s">
        <v>67</v>
      </c>
      <c r="C20" s="1"/>
      <c r="D20" s="1"/>
      <c r="E20" s="1"/>
      <c r="F20" s="1"/>
      <c r="G20" s="1"/>
      <c r="J20" s="1" t="s">
        <v>85</v>
      </c>
      <c r="K20" s="1"/>
      <c r="L20" s="1"/>
      <c r="M20" s="1"/>
      <c r="P20" s="121">
        <v>45938</v>
      </c>
      <c r="Q20" s="124" t="s">
        <v>78</v>
      </c>
    </row>
    <row r="21" spans="2:24" x14ac:dyDescent="0.35">
      <c r="B21" s="1" t="s">
        <v>70</v>
      </c>
      <c r="C21" s="1" t="s">
        <v>71</v>
      </c>
      <c r="D21" s="1" t="s">
        <v>97</v>
      </c>
      <c r="E21" s="1" t="s">
        <v>72</v>
      </c>
      <c r="F21" s="1" t="s">
        <v>73</v>
      </c>
      <c r="G21" s="1" t="s">
        <v>74</v>
      </c>
      <c r="J21" s="1" t="s">
        <v>70</v>
      </c>
      <c r="K21" s="1" t="s">
        <v>71</v>
      </c>
      <c r="L21" s="1" t="s">
        <v>87</v>
      </c>
      <c r="M21" s="1" t="s">
        <v>72</v>
      </c>
      <c r="P21" s="121">
        <v>45939</v>
      </c>
      <c r="Q21" s="124" t="s">
        <v>86</v>
      </c>
      <c r="X21" s="24"/>
    </row>
    <row r="22" spans="2:24" x14ac:dyDescent="0.35">
      <c r="B22" s="121">
        <v>45292</v>
      </c>
      <c r="C22" s="121">
        <v>45657</v>
      </c>
      <c r="D22" s="122">
        <v>150000</v>
      </c>
      <c r="E22" s="123">
        <v>0.06</v>
      </c>
      <c r="F22" s="123">
        <v>0.55000000000000004</v>
      </c>
      <c r="G22" s="122">
        <v>1000</v>
      </c>
      <c r="J22" s="121">
        <v>45658</v>
      </c>
      <c r="K22" s="121">
        <v>46022</v>
      </c>
      <c r="L22" s="124" t="s">
        <v>49</v>
      </c>
      <c r="M22" s="125">
        <v>4.4999999999999998E-2</v>
      </c>
      <c r="P22" s="121">
        <v>46016</v>
      </c>
      <c r="Q22" s="124" t="s">
        <v>88</v>
      </c>
      <c r="X22" s="24"/>
    </row>
    <row r="23" spans="2:24" x14ac:dyDescent="0.35">
      <c r="B23" s="121">
        <v>45658</v>
      </c>
      <c r="C23" s="121">
        <v>2958465</v>
      </c>
      <c r="D23" s="122">
        <v>150000</v>
      </c>
      <c r="E23" s="123">
        <v>0.06</v>
      </c>
      <c r="F23" s="123">
        <v>0.55000000000000004</v>
      </c>
      <c r="G23" s="122">
        <v>1000</v>
      </c>
      <c r="J23" s="121">
        <v>45683</v>
      </c>
      <c r="K23" s="121">
        <v>2958465</v>
      </c>
      <c r="L23" s="124" t="s">
        <v>49</v>
      </c>
      <c r="M23" s="125">
        <v>4.7500000000000001E-2</v>
      </c>
      <c r="P23" s="121">
        <v>46023</v>
      </c>
      <c r="Q23" s="124" t="s">
        <v>75</v>
      </c>
    </row>
    <row r="24" spans="2:24" x14ac:dyDescent="0.35">
      <c r="J24" s="121">
        <v>45658</v>
      </c>
      <c r="K24" s="121">
        <v>2958465</v>
      </c>
      <c r="L24" s="124" t="s">
        <v>47</v>
      </c>
      <c r="M24" s="125">
        <v>3.5450000000000002E-2</v>
      </c>
      <c r="P24" s="121">
        <v>46069</v>
      </c>
      <c r="Q24" s="124" t="s">
        <v>76</v>
      </c>
    </row>
    <row r="25" spans="2:24" x14ac:dyDescent="0.35">
      <c r="J25" s="121">
        <v>45658</v>
      </c>
      <c r="K25" s="121">
        <v>2958465</v>
      </c>
      <c r="L25" s="124" t="s">
        <v>277</v>
      </c>
      <c r="M25" s="125">
        <v>0.12959999999999999</v>
      </c>
      <c r="P25" s="121">
        <v>46070</v>
      </c>
      <c r="Q25" s="124" t="s">
        <v>76</v>
      </c>
    </row>
    <row r="26" spans="2:24" x14ac:dyDescent="0.35">
      <c r="J26" s="121">
        <v>45658</v>
      </c>
      <c r="K26" s="121">
        <v>2958465</v>
      </c>
      <c r="L26" s="124" t="s">
        <v>50</v>
      </c>
      <c r="M26" s="125">
        <v>8.9999999999999993E-3</v>
      </c>
      <c r="P26" s="121">
        <v>46071</v>
      </c>
      <c r="Q26" s="124" t="s">
        <v>76</v>
      </c>
      <c r="X26" s="24"/>
    </row>
    <row r="27" spans="2:24" x14ac:dyDescent="0.35">
      <c r="J27" s="121">
        <v>45658</v>
      </c>
      <c r="K27" s="121">
        <v>46022</v>
      </c>
      <c r="L27" s="124" t="s">
        <v>56</v>
      </c>
      <c r="M27" s="125">
        <v>4.4999999999999998E-2</v>
      </c>
      <c r="P27" s="121">
        <v>46082</v>
      </c>
      <c r="Q27" s="124" t="s">
        <v>77</v>
      </c>
      <c r="X27" s="24"/>
    </row>
    <row r="28" spans="2:24" x14ac:dyDescent="0.35">
      <c r="G28" s="1"/>
      <c r="H28" s="1"/>
      <c r="I28" s="1"/>
      <c r="J28" s="121">
        <v>45683</v>
      </c>
      <c r="K28" s="121">
        <v>2958465</v>
      </c>
      <c r="L28" s="124" t="s">
        <v>56</v>
      </c>
      <c r="M28" s="125">
        <v>4.7500000000000001E-2</v>
      </c>
      <c r="P28" s="121">
        <v>46083</v>
      </c>
      <c r="Q28" s="124" t="s">
        <v>78</v>
      </c>
    </row>
    <row r="29" spans="2:24" x14ac:dyDescent="0.35">
      <c r="G29" s="1"/>
      <c r="H29" s="1"/>
      <c r="J29" s="121">
        <v>45658</v>
      </c>
      <c r="K29" s="121">
        <v>2958465</v>
      </c>
      <c r="L29" s="124" t="s">
        <v>54</v>
      </c>
      <c r="M29" s="125">
        <v>3.5450000000000002E-2</v>
      </c>
      <c r="P29" s="121">
        <v>46147</v>
      </c>
      <c r="Q29" s="124" t="s">
        <v>89</v>
      </c>
    </row>
    <row r="30" spans="2:24" x14ac:dyDescent="0.35">
      <c r="H30" s="22"/>
      <c r="J30" s="121">
        <v>45658</v>
      </c>
      <c r="K30" s="121">
        <v>2958465</v>
      </c>
      <c r="L30" s="124" t="s">
        <v>91</v>
      </c>
      <c r="M30" s="125">
        <v>0.12959999999999999</v>
      </c>
      <c r="P30" s="121">
        <v>46166</v>
      </c>
      <c r="Q30" s="124" t="s">
        <v>90</v>
      </c>
    </row>
    <row r="31" spans="2:24" x14ac:dyDescent="0.35">
      <c r="H31" s="85"/>
      <c r="J31" s="121">
        <v>45658</v>
      </c>
      <c r="K31" s="121">
        <v>2958465</v>
      </c>
      <c r="L31" s="124" t="s">
        <v>57</v>
      </c>
      <c r="M31" s="125">
        <v>8.9999999999999993E-3</v>
      </c>
      <c r="P31" s="121">
        <v>46167</v>
      </c>
      <c r="Q31" s="124" t="s">
        <v>78</v>
      </c>
    </row>
    <row r="32" spans="2:24" x14ac:dyDescent="0.35">
      <c r="J32" s="121">
        <v>45658</v>
      </c>
      <c r="K32" s="121">
        <v>2958465</v>
      </c>
      <c r="L32" s="124" t="s">
        <v>58</v>
      </c>
      <c r="M32" s="125">
        <v>8.0000000000000002E-3</v>
      </c>
      <c r="P32" s="121">
        <v>46176</v>
      </c>
      <c r="Q32" s="124" t="s">
        <v>92</v>
      </c>
    </row>
    <row r="33" spans="16:17" x14ac:dyDescent="0.35">
      <c r="P33" s="121">
        <v>46179</v>
      </c>
      <c r="Q33" s="124" t="s">
        <v>81</v>
      </c>
    </row>
    <row r="34" spans="16:17" x14ac:dyDescent="0.35">
      <c r="P34" s="121">
        <v>46249</v>
      </c>
      <c r="Q34" s="124" t="s">
        <v>82</v>
      </c>
    </row>
    <row r="35" spans="16:17" x14ac:dyDescent="0.35">
      <c r="P35" s="121">
        <v>46289</v>
      </c>
      <c r="Q35" s="124" t="s">
        <v>84</v>
      </c>
    </row>
    <row r="36" spans="16:17" x14ac:dyDescent="0.35">
      <c r="P36" s="121">
        <v>46290</v>
      </c>
      <c r="Q36" s="124" t="s">
        <v>84</v>
      </c>
    </row>
    <row r="37" spans="16:17" x14ac:dyDescent="0.35">
      <c r="P37" s="121">
        <v>46291</v>
      </c>
      <c r="Q37" s="124" t="s">
        <v>84</v>
      </c>
    </row>
    <row r="38" spans="16:17" x14ac:dyDescent="0.35">
      <c r="P38" s="121">
        <v>46298</v>
      </c>
      <c r="Q38" s="124" t="s">
        <v>83</v>
      </c>
    </row>
    <row r="39" spans="16:17" x14ac:dyDescent="0.35">
      <c r="P39" s="121">
        <v>46304</v>
      </c>
      <c r="Q39" s="124" t="s">
        <v>86</v>
      </c>
    </row>
    <row r="40" spans="16:17" x14ac:dyDescent="0.35">
      <c r="P40" s="121">
        <v>46381</v>
      </c>
      <c r="Q40" s="124" t="s">
        <v>88</v>
      </c>
    </row>
    <row r="41" spans="16:17" x14ac:dyDescent="0.35">
      <c r="P41" s="121">
        <v>46388</v>
      </c>
      <c r="Q41" s="124" t="s">
        <v>75</v>
      </c>
    </row>
    <row r="42" spans="16:17" x14ac:dyDescent="0.35">
      <c r="P42" s="121">
        <v>46424</v>
      </c>
      <c r="Q42" s="124" t="s">
        <v>76</v>
      </c>
    </row>
    <row r="43" spans="16:17" x14ac:dyDescent="0.35">
      <c r="P43" s="121">
        <v>46425</v>
      </c>
      <c r="Q43" s="124" t="s">
        <v>76</v>
      </c>
    </row>
    <row r="44" spans="16:17" x14ac:dyDescent="0.35">
      <c r="P44" s="121">
        <v>46426</v>
      </c>
      <c r="Q44" s="124" t="s">
        <v>76</v>
      </c>
    </row>
    <row r="45" spans="16:17" x14ac:dyDescent="0.35">
      <c r="P45" s="121">
        <v>46447</v>
      </c>
      <c r="Q45" s="124" t="s">
        <v>77</v>
      </c>
    </row>
    <row r="46" spans="16:17" x14ac:dyDescent="0.35">
      <c r="P46" s="121">
        <v>46512</v>
      </c>
      <c r="Q46" s="124" t="s">
        <v>89</v>
      </c>
    </row>
    <row r="47" spans="16:17" x14ac:dyDescent="0.35">
      <c r="P47" s="121">
        <v>46520</v>
      </c>
      <c r="Q47" s="124" t="s">
        <v>90</v>
      </c>
    </row>
    <row r="48" spans="16:17" x14ac:dyDescent="0.35">
      <c r="P48" s="121">
        <v>46544</v>
      </c>
      <c r="Q48" s="124" t="s">
        <v>81</v>
      </c>
    </row>
    <row r="49" spans="16:17" x14ac:dyDescent="0.35">
      <c r="P49" s="121">
        <v>46614</v>
      </c>
      <c r="Q49" s="124" t="s">
        <v>82</v>
      </c>
    </row>
    <row r="50" spans="16:17" x14ac:dyDescent="0.35">
      <c r="P50" s="121">
        <v>46644</v>
      </c>
      <c r="Q50" s="124" t="s">
        <v>84</v>
      </c>
    </row>
    <row r="51" spans="16:17" x14ac:dyDescent="0.35">
      <c r="P51" s="121">
        <v>46645</v>
      </c>
      <c r="Q51" s="124" t="s">
        <v>84</v>
      </c>
    </row>
    <row r="52" spans="16:17" x14ac:dyDescent="0.35">
      <c r="P52" s="121">
        <v>46646</v>
      </c>
      <c r="Q52" s="124" t="s">
        <v>84</v>
      </c>
    </row>
    <row r="53" spans="16:17" x14ac:dyDescent="0.35">
      <c r="P53" s="121">
        <v>46663</v>
      </c>
      <c r="Q53" s="124" t="s">
        <v>83</v>
      </c>
    </row>
    <row r="54" spans="16:17" x14ac:dyDescent="0.35">
      <c r="P54" s="121">
        <v>46669</v>
      </c>
      <c r="Q54" s="124" t="s">
        <v>86</v>
      </c>
    </row>
    <row r="55" spans="16:17" x14ac:dyDescent="0.35">
      <c r="P55" s="121">
        <v>46746</v>
      </c>
      <c r="Q55" s="124" t="s">
        <v>88</v>
      </c>
    </row>
    <row r="56" spans="16:17" x14ac:dyDescent="0.35">
      <c r="P56" s="121">
        <v>46753</v>
      </c>
      <c r="Q56" s="124" t="s">
        <v>75</v>
      </c>
    </row>
    <row r="57" spans="16:17" x14ac:dyDescent="0.35">
      <c r="P57" s="121">
        <v>46778</v>
      </c>
      <c r="Q57" s="124" t="s">
        <v>76</v>
      </c>
    </row>
    <row r="58" spans="16:17" x14ac:dyDescent="0.35">
      <c r="P58" s="121">
        <v>46779</v>
      </c>
      <c r="Q58" s="124" t="s">
        <v>76</v>
      </c>
    </row>
    <row r="59" spans="16:17" x14ac:dyDescent="0.35">
      <c r="P59" s="121">
        <v>46780</v>
      </c>
      <c r="Q59" s="124" t="s">
        <v>76</v>
      </c>
    </row>
    <row r="60" spans="16:17" x14ac:dyDescent="0.35">
      <c r="P60" s="121">
        <v>46813</v>
      </c>
      <c r="Q60" s="124" t="s">
        <v>77</v>
      </c>
    </row>
    <row r="61" spans="16:17" x14ac:dyDescent="0.35">
      <c r="P61" s="121">
        <v>46855</v>
      </c>
      <c r="Q61" s="124" t="s">
        <v>93</v>
      </c>
    </row>
    <row r="62" spans="16:17" x14ac:dyDescent="0.35">
      <c r="P62" s="121">
        <v>46875</v>
      </c>
      <c r="Q62" s="124" t="s">
        <v>90</v>
      </c>
    </row>
    <row r="63" spans="16:17" x14ac:dyDescent="0.35">
      <c r="P63" s="121">
        <v>46878</v>
      </c>
      <c r="Q63" s="124" t="s">
        <v>89</v>
      </c>
    </row>
    <row r="64" spans="16:17" x14ac:dyDescent="0.35">
      <c r="P64" s="121">
        <v>46910</v>
      </c>
      <c r="Q64" s="124" t="s">
        <v>81</v>
      </c>
    </row>
    <row r="65" spans="16:17" x14ac:dyDescent="0.35">
      <c r="P65" s="121">
        <v>46980</v>
      </c>
      <c r="Q65" s="124" t="s">
        <v>82</v>
      </c>
    </row>
    <row r="66" spans="16:17" x14ac:dyDescent="0.35">
      <c r="P66" s="121">
        <v>47028</v>
      </c>
      <c r="Q66" s="124" t="s">
        <v>84</v>
      </c>
    </row>
    <row r="67" spans="16:17" x14ac:dyDescent="0.35">
      <c r="P67" s="121">
        <v>47029</v>
      </c>
      <c r="Q67" s="124" t="s">
        <v>84</v>
      </c>
    </row>
    <row r="68" spans="16:17" x14ac:dyDescent="0.35">
      <c r="P68" s="121">
        <v>47029</v>
      </c>
      <c r="Q68" s="124" t="s">
        <v>83</v>
      </c>
    </row>
    <row r="69" spans="16:17" x14ac:dyDescent="0.35">
      <c r="P69" s="121">
        <v>47030</v>
      </c>
      <c r="Q69" s="124" t="s">
        <v>84</v>
      </c>
    </row>
    <row r="70" spans="16:17" x14ac:dyDescent="0.35">
      <c r="P70" s="121">
        <v>47035</v>
      </c>
      <c r="Q70" s="124" t="s">
        <v>86</v>
      </c>
    </row>
    <row r="71" spans="16:17" x14ac:dyDescent="0.35">
      <c r="P71" s="121">
        <v>47112</v>
      </c>
      <c r="Q71" s="124" t="s">
        <v>88</v>
      </c>
    </row>
    <row r="72" spans="16:17" x14ac:dyDescent="0.35">
      <c r="P72" s="121">
        <v>47119</v>
      </c>
      <c r="Q72" s="124" t="s">
        <v>75</v>
      </c>
    </row>
    <row r="73" spans="16:17" x14ac:dyDescent="0.35">
      <c r="P73" s="121">
        <v>47161</v>
      </c>
      <c r="Q73" s="124" t="s">
        <v>76</v>
      </c>
    </row>
    <row r="74" spans="16:17" x14ac:dyDescent="0.35">
      <c r="P74" s="121">
        <v>47162</v>
      </c>
      <c r="Q74" s="124" t="s">
        <v>76</v>
      </c>
    </row>
    <row r="75" spans="16:17" x14ac:dyDescent="0.35">
      <c r="P75" s="121">
        <v>47163</v>
      </c>
      <c r="Q75" s="124" t="s">
        <v>76</v>
      </c>
    </row>
    <row r="76" spans="16:17" x14ac:dyDescent="0.35">
      <c r="P76" s="121">
        <v>47178</v>
      </c>
      <c r="Q76" s="124" t="s">
        <v>77</v>
      </c>
    </row>
    <row r="77" spans="16:17" x14ac:dyDescent="0.35">
      <c r="P77" s="121">
        <v>47243</v>
      </c>
      <c r="Q77" s="124" t="s">
        <v>89</v>
      </c>
    </row>
    <row r="78" spans="16:17" x14ac:dyDescent="0.35">
      <c r="P78" s="121">
        <v>47259</v>
      </c>
      <c r="Q78" s="124" t="s">
        <v>90</v>
      </c>
    </row>
    <row r="79" spans="16:17" x14ac:dyDescent="0.35">
      <c r="P79" s="121">
        <v>47275</v>
      </c>
      <c r="Q79" s="124" t="s">
        <v>81</v>
      </c>
    </row>
    <row r="80" spans="16:17" x14ac:dyDescent="0.35">
      <c r="P80" s="121">
        <v>47345</v>
      </c>
      <c r="Q80" s="124" t="s">
        <v>82</v>
      </c>
    </row>
    <row r="81" spans="16:17" x14ac:dyDescent="0.35">
      <c r="P81" s="121">
        <v>47382</v>
      </c>
      <c r="Q81" s="124" t="s">
        <v>84</v>
      </c>
    </row>
    <row r="82" spans="16:17" x14ac:dyDescent="0.35">
      <c r="P82" s="121">
        <v>47383</v>
      </c>
      <c r="Q82" s="124" t="s">
        <v>84</v>
      </c>
    </row>
    <row r="83" spans="16:17" x14ac:dyDescent="0.35">
      <c r="P83" s="121">
        <v>47384</v>
      </c>
      <c r="Q83" s="124" t="s">
        <v>84</v>
      </c>
    </row>
    <row r="84" spans="16:17" x14ac:dyDescent="0.35">
      <c r="P84" s="121">
        <v>47394</v>
      </c>
      <c r="Q84" s="124" t="s">
        <v>83</v>
      </c>
    </row>
    <row r="85" spans="16:17" x14ac:dyDescent="0.35">
      <c r="P85" s="121">
        <v>47400</v>
      </c>
      <c r="Q85" s="124" t="s">
        <v>86</v>
      </c>
    </row>
    <row r="86" spans="16:17" x14ac:dyDescent="0.35">
      <c r="P86" s="121">
        <v>47477</v>
      </c>
      <c r="Q86" s="124" t="s">
        <v>88</v>
      </c>
    </row>
  </sheetData>
  <phoneticPr fontId="1" type="noConversion"/>
  <dataValidations count="1">
    <dataValidation type="list" allowBlank="1" showInputMessage="1" showErrorMessage="1" sqref="G4:G11" xr:uid="{AD93F5DA-0F90-4FD1-8C13-DFC1F2EC5827}">
      <formula1>"일일지급,주간지급"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F01C-D021-44F5-B78B-F6CE184F039D}">
  <sheetPr codeName="Sheet4">
    <tabColor theme="7" tint="0.79998168889431442"/>
  </sheetPr>
  <dimension ref="B1:L11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"/>
    </sheetView>
  </sheetViews>
  <sheetFormatPr defaultRowHeight="15.6" x14ac:dyDescent="0.35"/>
  <cols>
    <col min="1" max="1" width="2.6640625" customWidth="1"/>
    <col min="2" max="2" width="6.109375" style="1" customWidth="1"/>
    <col min="3" max="3" width="8.33203125" style="1" customWidth="1"/>
    <col min="4" max="4" width="11.33203125" style="1" bestFit="1" customWidth="1"/>
    <col min="5" max="5" width="12.33203125" style="1" bestFit="1" customWidth="1"/>
    <col min="6" max="6" width="16.109375" style="1" bestFit="1" customWidth="1"/>
    <col min="7" max="7" width="15.109375" style="1" bestFit="1" customWidth="1"/>
    <col min="8" max="9" width="7.6640625" style="1" bestFit="1" customWidth="1"/>
    <col min="10" max="10" width="16.33203125" style="1" bestFit="1" customWidth="1"/>
    <col min="11" max="11" width="11.109375" style="1" bestFit="1" customWidth="1"/>
    <col min="12" max="12" width="16.44140625" style="1" bestFit="1" customWidth="1"/>
  </cols>
  <sheetData>
    <row r="1" spans="2:12" x14ac:dyDescent="0.35">
      <c r="D1" s="1" t="s">
        <v>337</v>
      </c>
      <c r="L1" s="1">
        <f ca="1">COUNTA(INDIRECT("B3:B9999"))+ROWS(D1:D2)</f>
        <v>11</v>
      </c>
    </row>
    <row r="2" spans="2:12" x14ac:dyDescent="0.35">
      <c r="B2" s="10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223</v>
      </c>
      <c r="K2" s="11" t="s">
        <v>18</v>
      </c>
      <c r="L2" s="12" t="s">
        <v>19</v>
      </c>
    </row>
    <row r="3" spans="2:12" x14ac:dyDescent="0.35">
      <c r="B3" s="82">
        <f>ROW(A3)-2</f>
        <v>1</v>
      </c>
      <c r="C3" s="13" t="str">
        <f>G3&amp;L3</f>
        <v>010-12X4-XX781123581321</v>
      </c>
      <c r="D3" s="126">
        <v>45292</v>
      </c>
      <c r="E3" s="127" t="s">
        <v>20</v>
      </c>
      <c r="F3" s="128">
        <v>1111111111111</v>
      </c>
      <c r="G3" s="127" t="s">
        <v>21</v>
      </c>
      <c r="H3" s="128" t="s">
        <v>22</v>
      </c>
      <c r="I3" s="127"/>
      <c r="J3" s="128"/>
      <c r="K3" s="127" t="s">
        <v>20</v>
      </c>
      <c r="L3" s="128">
        <v>1123581321</v>
      </c>
    </row>
    <row r="4" spans="2:12" x14ac:dyDescent="0.35">
      <c r="B4" s="82">
        <f t="shared" ref="B4:B11" si="0">ROW(A4)-2</f>
        <v>2</v>
      </c>
      <c r="C4" s="13" t="str">
        <f t="shared" ref="C4:C11" si="1">G4&amp;L4</f>
        <v>010-7X6X-X9X5110X98XX7530</v>
      </c>
      <c r="D4" s="126">
        <v>45696</v>
      </c>
      <c r="E4" s="127" t="s">
        <v>282</v>
      </c>
      <c r="F4" s="128" t="s">
        <v>310</v>
      </c>
      <c r="G4" s="127" t="s">
        <v>289</v>
      </c>
      <c r="H4" s="128" t="s">
        <v>305</v>
      </c>
      <c r="I4" s="127"/>
      <c r="J4" s="128"/>
      <c r="K4" s="127" t="s">
        <v>25</v>
      </c>
      <c r="L4" s="128" t="s">
        <v>290</v>
      </c>
    </row>
    <row r="5" spans="2:12" x14ac:dyDescent="0.35">
      <c r="B5" s="82">
        <f t="shared" si="0"/>
        <v>3</v>
      </c>
      <c r="C5" s="13" t="str">
        <f t="shared" si="1"/>
        <v>010-8X0X-X0X9982X03XX901018</v>
      </c>
      <c r="D5" s="126">
        <v>45698</v>
      </c>
      <c r="E5" s="127" t="s">
        <v>283</v>
      </c>
      <c r="F5" s="128" t="s">
        <v>311</v>
      </c>
      <c r="G5" s="127" t="s">
        <v>291</v>
      </c>
      <c r="H5" s="128" t="s">
        <v>305</v>
      </c>
      <c r="I5" s="127"/>
      <c r="J5" s="128"/>
      <c r="K5" s="127" t="s">
        <v>27</v>
      </c>
      <c r="L5" s="128" t="s">
        <v>292</v>
      </c>
    </row>
    <row r="6" spans="2:12" x14ac:dyDescent="0.35">
      <c r="B6" s="82">
        <f t="shared" si="0"/>
        <v>4</v>
      </c>
      <c r="C6" s="13" t="str">
        <f t="shared" si="1"/>
        <v>010-6X1X-X3X0333X04XX46879</v>
      </c>
      <c r="D6" s="126">
        <v>45721</v>
      </c>
      <c r="E6" s="127" t="s">
        <v>284</v>
      </c>
      <c r="F6" s="128" t="s">
        <v>312</v>
      </c>
      <c r="G6" s="127" t="s">
        <v>293</v>
      </c>
      <c r="H6" s="128" t="s">
        <v>305</v>
      </c>
      <c r="I6" s="127"/>
      <c r="J6" s="128"/>
      <c r="K6" s="127" t="s">
        <v>26</v>
      </c>
      <c r="L6" s="128" t="s">
        <v>294</v>
      </c>
    </row>
    <row r="7" spans="2:12" x14ac:dyDescent="0.35">
      <c r="B7" s="82">
        <f t="shared" si="0"/>
        <v>5</v>
      </c>
      <c r="C7" s="13" t="str">
        <f t="shared" si="1"/>
        <v>010-3X6X-X4X7757X02XX284249</v>
      </c>
      <c r="D7" s="126">
        <v>45751</v>
      </c>
      <c r="E7" s="127" t="s">
        <v>283</v>
      </c>
      <c r="F7" s="128" t="s">
        <v>313</v>
      </c>
      <c r="G7" s="127" t="s">
        <v>295</v>
      </c>
      <c r="H7" s="128" t="s">
        <v>305</v>
      </c>
      <c r="I7" s="127"/>
      <c r="J7" s="128"/>
      <c r="K7" s="127" t="s">
        <v>23</v>
      </c>
      <c r="L7" s="128" t="s">
        <v>296</v>
      </c>
    </row>
    <row r="8" spans="2:12" x14ac:dyDescent="0.35">
      <c r="B8" s="82">
        <f t="shared" si="0"/>
        <v>6</v>
      </c>
      <c r="C8" s="13" t="str">
        <f t="shared" si="1"/>
        <v>010-2X2X-X2X2945X02XX268466</v>
      </c>
      <c r="D8" s="126">
        <v>45752</v>
      </c>
      <c r="E8" s="127" t="s">
        <v>285</v>
      </c>
      <c r="F8" s="128" t="s">
        <v>314</v>
      </c>
      <c r="G8" s="127" t="s">
        <v>297</v>
      </c>
      <c r="H8" s="128" t="s">
        <v>305</v>
      </c>
      <c r="I8" s="127"/>
      <c r="J8" s="128"/>
      <c r="K8" s="127" t="s">
        <v>23</v>
      </c>
      <c r="L8" s="128" t="s">
        <v>298</v>
      </c>
    </row>
    <row r="9" spans="2:12" x14ac:dyDescent="0.35">
      <c r="B9" s="82">
        <f t="shared" si="0"/>
        <v>7</v>
      </c>
      <c r="C9" s="13" t="str">
        <f t="shared" si="1"/>
        <v>010-3X4X-X9X7219X02XX284640</v>
      </c>
      <c r="D9" s="126">
        <v>45773</v>
      </c>
      <c r="E9" s="127" t="s">
        <v>286</v>
      </c>
      <c r="F9" s="128" t="s">
        <v>315</v>
      </c>
      <c r="G9" s="127" t="s">
        <v>299</v>
      </c>
      <c r="H9" s="128" t="s">
        <v>305</v>
      </c>
      <c r="I9" s="127"/>
      <c r="J9" s="128"/>
      <c r="K9" s="127" t="s">
        <v>23</v>
      </c>
      <c r="L9" s="128" t="s">
        <v>300</v>
      </c>
    </row>
    <row r="10" spans="2:12" x14ac:dyDescent="0.35">
      <c r="B10" s="82">
        <f t="shared" si="0"/>
        <v>8</v>
      </c>
      <c r="C10" s="13" t="str">
        <f t="shared" si="1"/>
        <v>010-5X0X-X6X5010X57XX685907</v>
      </c>
      <c r="D10" s="126">
        <v>45783</v>
      </c>
      <c r="E10" s="127" t="s">
        <v>287</v>
      </c>
      <c r="F10" s="128" t="s">
        <v>316</v>
      </c>
      <c r="G10" s="127" t="s">
        <v>301</v>
      </c>
      <c r="H10" s="128" t="s">
        <v>305</v>
      </c>
      <c r="I10" s="127"/>
      <c r="J10" s="128"/>
      <c r="K10" s="127" t="s">
        <v>24</v>
      </c>
      <c r="L10" s="128" t="s">
        <v>302</v>
      </c>
    </row>
    <row r="11" spans="2:12" x14ac:dyDescent="0.35">
      <c r="B11" s="82">
        <f t="shared" si="0"/>
        <v>9</v>
      </c>
      <c r="C11" s="13" t="str">
        <f t="shared" si="1"/>
        <v>010-5X8X-X4X0920X02XX253123</v>
      </c>
      <c r="D11" s="126">
        <v>45846</v>
      </c>
      <c r="E11" s="127" t="s">
        <v>288</v>
      </c>
      <c r="F11" s="128" t="s">
        <v>317</v>
      </c>
      <c r="G11" s="127" t="s">
        <v>303</v>
      </c>
      <c r="H11" s="128" t="s">
        <v>305</v>
      </c>
      <c r="I11" s="127"/>
      <c r="J11" s="128"/>
      <c r="K11" s="127" t="s">
        <v>23</v>
      </c>
      <c r="L11" s="128" t="s">
        <v>304</v>
      </c>
    </row>
  </sheetData>
  <phoneticPr fontId="1" type="noConversion"/>
  <conditionalFormatting sqref="F1:F1048576">
    <cfRule type="duplicateValues" dxfId="1" priority="1"/>
  </conditionalFormatting>
  <conditionalFormatting sqref="F12:F1048576 F1:F2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9765-82E2-4890-B56D-7FA97067BFE5}">
  <sheetPr codeName="Sheet5">
    <tabColor theme="7" tint="0.79998168889431442"/>
  </sheetPr>
  <dimension ref="B3:BK295"/>
  <sheetViews>
    <sheetView showGridLines="0" workbookViewId="0">
      <pane xSplit="14" ySplit="5" topLeftCell="O266" activePane="bottomRight" state="frozen"/>
      <selection pane="topRight" activeCell="N1" sqref="N1"/>
      <selection pane="bottomLeft" activeCell="A6" sqref="A6"/>
      <selection pane="bottomRight" activeCell="D4" sqref="D4"/>
    </sheetView>
  </sheetViews>
  <sheetFormatPr defaultRowHeight="15.6" outlineLevelCol="1" x14ac:dyDescent="0.35"/>
  <cols>
    <col min="2" max="2" width="12.6640625" customWidth="1"/>
    <col min="3" max="3" width="6.109375" hidden="1" customWidth="1" outlineLevel="1"/>
    <col min="4" max="4" width="10" customWidth="1" collapsed="1"/>
    <col min="5" max="5" width="9.109375" bestFit="1" customWidth="1"/>
    <col min="6" max="7" width="7.44140625" bestFit="1" customWidth="1"/>
    <col min="8" max="8" width="14.5546875" bestFit="1" customWidth="1"/>
    <col min="9" max="9" width="7.44140625" bestFit="1" customWidth="1"/>
    <col min="10" max="10" width="16.44140625" bestFit="1" customWidth="1"/>
    <col min="11" max="13" width="7.44140625" bestFit="1" customWidth="1"/>
    <col min="14" max="14" width="6.5546875" customWidth="1"/>
    <col min="15" max="15" width="15" customWidth="1"/>
    <col min="16" max="16" width="7.44140625" bestFit="1" customWidth="1"/>
    <col min="17" max="17" width="10.88671875" bestFit="1" customWidth="1"/>
    <col min="18" max="18" width="5.6640625" bestFit="1" customWidth="1"/>
    <col min="19" max="19" width="7.6640625" bestFit="1" customWidth="1"/>
    <col min="21" max="22" width="7.44140625" bestFit="1" customWidth="1"/>
    <col min="23" max="23" width="8.33203125" customWidth="1"/>
    <col min="24" max="26" width="6.88671875" bestFit="1" customWidth="1"/>
    <col min="27" max="27" width="8.5546875" bestFit="1" customWidth="1"/>
    <col min="28" max="28" width="5.109375" bestFit="1" customWidth="1"/>
    <col min="29" max="29" width="8.33203125" bestFit="1" customWidth="1"/>
    <col min="30" max="30" width="10.6640625" customWidth="1"/>
    <col min="31" max="33" width="7.6640625" customWidth="1"/>
    <col min="34" max="37" width="8.6640625" customWidth="1"/>
    <col min="38" max="38" width="10.6640625" customWidth="1"/>
    <col min="39" max="42" width="10" customWidth="1"/>
    <col min="43" max="43" width="11.6640625" customWidth="1"/>
    <col min="44" max="44" width="10.6640625" customWidth="1"/>
    <col min="45" max="49" width="10" customWidth="1"/>
    <col min="50" max="51" width="10.6640625" customWidth="1"/>
    <col min="52" max="52" width="12.44140625" customWidth="1"/>
    <col min="53" max="53" width="10" customWidth="1"/>
    <col min="54" max="54" width="11.6640625" customWidth="1"/>
    <col min="55" max="55" width="10.6640625" customWidth="1"/>
    <col min="56" max="60" width="13.109375" customWidth="1"/>
    <col min="61" max="61" width="10.88671875" bestFit="1" customWidth="1"/>
    <col min="62" max="62" width="12.33203125" bestFit="1" customWidth="1"/>
    <col min="63" max="63" width="12.88671875" bestFit="1" customWidth="1"/>
  </cols>
  <sheetData>
    <row r="3" spans="2:63" x14ac:dyDescent="0.35">
      <c r="D3">
        <v>1</v>
      </c>
      <c r="E3">
        <v>2</v>
      </c>
      <c r="F3">
        <v>3</v>
      </c>
      <c r="G3">
        <v>4</v>
      </c>
      <c r="H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  <c r="AD3">
        <v>24</v>
      </c>
      <c r="AE3">
        <v>25</v>
      </c>
      <c r="AF3">
        <v>26</v>
      </c>
      <c r="AG3">
        <v>27</v>
      </c>
      <c r="AH3">
        <v>28</v>
      </c>
      <c r="AI3">
        <v>29</v>
      </c>
      <c r="AJ3">
        <v>30</v>
      </c>
      <c r="AK3">
        <v>31</v>
      </c>
      <c r="AL3">
        <v>32</v>
      </c>
      <c r="AM3">
        <v>33</v>
      </c>
      <c r="AN3">
        <v>34</v>
      </c>
      <c r="AO3">
        <v>35</v>
      </c>
      <c r="AP3">
        <v>36</v>
      </c>
      <c r="AQ3">
        <v>37</v>
      </c>
      <c r="AR3">
        <v>38</v>
      </c>
      <c r="AS3">
        <v>39</v>
      </c>
      <c r="AT3">
        <v>40</v>
      </c>
      <c r="AU3">
        <v>41</v>
      </c>
      <c r="AV3">
        <v>42</v>
      </c>
      <c r="AW3">
        <v>43</v>
      </c>
      <c r="AX3">
        <v>44</v>
      </c>
      <c r="AY3">
        <v>45</v>
      </c>
      <c r="AZ3">
        <v>46</v>
      </c>
      <c r="BA3">
        <v>47</v>
      </c>
      <c r="BB3">
        <v>48</v>
      </c>
      <c r="BC3">
        <v>49</v>
      </c>
      <c r="BD3">
        <v>50</v>
      </c>
      <c r="BE3">
        <v>51</v>
      </c>
      <c r="BF3">
        <v>52</v>
      </c>
      <c r="BG3">
        <v>53</v>
      </c>
      <c r="BH3">
        <v>54</v>
      </c>
      <c r="BI3">
        <v>55</v>
      </c>
      <c r="BJ3">
        <v>56</v>
      </c>
    </row>
    <row r="4" spans="2:63" x14ac:dyDescent="0.35">
      <c r="D4" s="1" t="s">
        <v>307</v>
      </c>
    </row>
    <row r="5" spans="2:63" ht="39.6" x14ac:dyDescent="0.35">
      <c r="B5" s="14" t="s">
        <v>28</v>
      </c>
      <c r="C5" s="15" t="s">
        <v>11</v>
      </c>
      <c r="D5" s="16" t="s">
        <v>29</v>
      </c>
      <c r="E5" s="16" t="s">
        <v>103</v>
      </c>
      <c r="F5" s="16" t="s">
        <v>30</v>
      </c>
      <c r="G5" s="16" t="s">
        <v>31</v>
      </c>
      <c r="H5" s="16" t="s">
        <v>15</v>
      </c>
      <c r="I5" s="16" t="s">
        <v>323</v>
      </c>
      <c r="J5" s="16" t="s">
        <v>19</v>
      </c>
      <c r="K5" s="16" t="s">
        <v>61</v>
      </c>
      <c r="L5" s="16" t="s">
        <v>62</v>
      </c>
      <c r="M5" s="16" t="s">
        <v>63</v>
      </c>
      <c r="N5" s="16" t="s">
        <v>32</v>
      </c>
      <c r="O5" s="15" t="s">
        <v>14</v>
      </c>
      <c r="P5" s="15" t="s">
        <v>320</v>
      </c>
      <c r="Q5" s="15" t="s">
        <v>321</v>
      </c>
      <c r="R5" s="15" t="s">
        <v>33</v>
      </c>
      <c r="S5" s="15" t="s">
        <v>34</v>
      </c>
      <c r="T5" s="15" t="s">
        <v>35</v>
      </c>
      <c r="U5" s="15" t="s">
        <v>64</v>
      </c>
      <c r="V5" s="15" t="s">
        <v>65</v>
      </c>
      <c r="W5" s="15" t="s">
        <v>36</v>
      </c>
      <c r="X5" s="15" t="s">
        <v>37</v>
      </c>
      <c r="Y5" s="15" t="s">
        <v>38</v>
      </c>
      <c r="Z5" s="15" t="s">
        <v>39</v>
      </c>
      <c r="AA5" s="15" t="s">
        <v>40</v>
      </c>
      <c r="AB5" s="15" t="s">
        <v>41</v>
      </c>
      <c r="AC5" s="15" t="s">
        <v>42</v>
      </c>
      <c r="AD5" s="17" t="s">
        <v>94</v>
      </c>
      <c r="AE5" s="15" t="s">
        <v>43</v>
      </c>
      <c r="AF5" s="15" t="s">
        <v>266</v>
      </c>
      <c r="AG5" s="15" t="s">
        <v>276</v>
      </c>
      <c r="AH5" s="15" t="s">
        <v>274</v>
      </c>
      <c r="AI5" s="15" t="s">
        <v>271</v>
      </c>
      <c r="AJ5" s="15" t="s">
        <v>272</v>
      </c>
      <c r="AK5" s="15" t="s">
        <v>273</v>
      </c>
      <c r="AL5" s="17" t="s">
        <v>275</v>
      </c>
      <c r="AM5" s="35" t="s">
        <v>44</v>
      </c>
      <c r="AN5" s="39" t="s">
        <v>45</v>
      </c>
      <c r="AO5" s="39" t="s">
        <v>98</v>
      </c>
      <c r="AP5" s="39" t="s">
        <v>99</v>
      </c>
      <c r="AQ5" s="39" t="s">
        <v>46</v>
      </c>
      <c r="AR5" s="17" t="s">
        <v>95</v>
      </c>
      <c r="AS5" s="39" t="s">
        <v>47</v>
      </c>
      <c r="AT5" s="39" t="s">
        <v>277</v>
      </c>
      <c r="AU5" s="39" t="s">
        <v>49</v>
      </c>
      <c r="AV5" s="39" t="s">
        <v>322</v>
      </c>
      <c r="AW5" s="39" t="s">
        <v>306</v>
      </c>
      <c r="AX5" s="17" t="s">
        <v>96</v>
      </c>
      <c r="AY5" s="39" t="s">
        <v>279</v>
      </c>
      <c r="AZ5" s="36" t="s">
        <v>51</v>
      </c>
      <c r="BA5" s="37" t="s">
        <v>52</v>
      </c>
      <c r="BB5" s="40" t="s">
        <v>53</v>
      </c>
      <c r="BC5" s="19" t="s">
        <v>280</v>
      </c>
      <c r="BD5" s="18" t="s">
        <v>54</v>
      </c>
      <c r="BE5" s="18" t="s">
        <v>55</v>
      </c>
      <c r="BF5" s="18" t="s">
        <v>56</v>
      </c>
      <c r="BG5" s="18" t="s">
        <v>57</v>
      </c>
      <c r="BH5" s="18" t="s">
        <v>58</v>
      </c>
      <c r="BI5" s="90" t="s">
        <v>249</v>
      </c>
      <c r="BJ5" s="37" t="s">
        <v>59</v>
      </c>
      <c r="BK5" s="19" t="s">
        <v>100</v>
      </c>
    </row>
    <row r="6" spans="2:63" x14ac:dyDescent="0.35">
      <c r="B6" s="20" t="str" cm="1">
        <f t="array" ref="B6">_xlfn.IFS(BB6&lt;&gt;BC6,"Claim확인",N6&lt;&gt;"OK","확인필요",TRUE,"")</f>
        <v/>
      </c>
      <c r="C6" s="21" t="str">
        <f t="shared" ref="C6:C69" si="0">H6&amp;J6</f>
        <v>010-12X4-XX781123581321</v>
      </c>
      <c r="D6" s="26">
        <v>45324</v>
      </c>
      <c r="E6" s="26" t="s">
        <v>254</v>
      </c>
      <c r="F6" s="25" t="s">
        <v>101</v>
      </c>
      <c r="G6" s="27" t="s">
        <v>60</v>
      </c>
      <c r="H6" s="25" t="s">
        <v>21</v>
      </c>
      <c r="I6" s="25"/>
      <c r="J6" s="25">
        <v>1123581321</v>
      </c>
      <c r="K6" s="28">
        <v>0.375</v>
      </c>
      <c r="L6" s="28">
        <v>0.75</v>
      </c>
      <c r="M6" s="28">
        <v>4.1666666666666664E-2</v>
      </c>
      <c r="N6" s="25" t="s">
        <v>281</v>
      </c>
      <c r="O6" s="29">
        <f>_xlfn.XLOOKUP(Table2[[#This Row],[Key]],Table1[Key],Table1[주민등록번호],"",0)</f>
        <v>1111111111111</v>
      </c>
      <c r="P6" s="29">
        <f>_xlfn.XLOOKUP(Table2[[#This Row],[Key]],Table1[Key],Table1[비자],"",0)</f>
        <v>0</v>
      </c>
      <c r="Q6" s="29">
        <f>IF(P6=0,0,_xlfn.XLOOKUP(Table2[[#This Row],[Key]],Table1[Key],Table1[고용보험 여부],0,0))</f>
        <v>0</v>
      </c>
      <c r="R6" s="29" t="str">
        <f t="shared" ref="R6:R69" si="1">TEXT(D6,"YYMM")</f>
        <v>2402</v>
      </c>
      <c r="S6" s="30" t="str">
        <f>YEAR(Table2[[#This Row],[근무일자]])&amp;TEXT(WEEKNUM(Table2[[#This Row],[근무일자]]),"00")</f>
        <v>202405</v>
      </c>
      <c r="T6" s="31">
        <f>_xlfn.XLOOKUP(Table2[[#This Row],[Key]],Table1[Key],Table1[등록일],"",0)</f>
        <v>45292</v>
      </c>
      <c r="U6" s="32">
        <f t="shared" ref="U6:U69" si="2">IF(AND(K6&lt;&gt;"",L6&lt;&gt;""),IF(AND(K6&lt;&gt;L6,L6&lt;=6/24),1+L6,L6)-K6-M6,0)</f>
        <v>0.33333333333333331</v>
      </c>
      <c r="V6" s="89">
        <f t="shared" ref="V6:V69" si="3">MIN(IF(U6&gt;0,_xlfn.IFS(K6&lt;6/24,6/24-K6,L6&gt;22/24,L6-22/24,AND(K6&lt;=22/24,L6&lt;=6/24),2/24+L6,TRUE,0),0),U6)</f>
        <v>0</v>
      </c>
      <c r="W6" s="100" t="str">
        <f>_xlfn.XLOOKUP(Table2[[#This Row],[근무일자]],Table3[Date],Table3[Holiday],"",0)</f>
        <v/>
      </c>
      <c r="X6" s="29">
        <f>IF(D6&lt;&gt;"",1,0)+IF(COUNTIFS(Table2[주민등록번호],O6,Table2[월],TEXT(EOMONTH(D6,-1),"YYMM"))&gt;0,1+IF(COUNTIFS(Table2[주민등록번호],O6,Table2[월],TEXT(EOMONTH(D6,-2),"YYMM"))&gt;0,1+IF(COUNTIFS(Table2[주민등록번호],O6,Table2[월],TEXT(EOMONTH(D6,-3),"YYMM"))&gt;0,1,0),0),0)</f>
        <v>1</v>
      </c>
      <c r="Y6" s="29">
        <f>COUNTIFS(Table2[주민등록번호],O6,Table2[월],R6,Table2[근무일자],"&lt;="&amp;D6)</f>
        <v>1</v>
      </c>
      <c r="Z6" s="29">
        <f>COUNTIFS(Table2[주민등록번호],O6,Table2[주간],S6,Table2[근무일자],"&lt;="&amp;D6)</f>
        <v>1</v>
      </c>
      <c r="AA6" s="29">
        <f>SUMIFS(Table2[근로
시간],Table2[주민등록번호],O6,Table2[주간],S6,Table2[근무일자],"&lt;="&amp;D6)*24</f>
        <v>8</v>
      </c>
      <c r="AB6" s="29" t="str">
        <f>IF(AND(Y6&gt;=8,COUNTIFS(Table2[주민등록번호],O6,Table2[근무일자],"&gt;="&amp;EOMONTH(D6,-2)+1,Table2[근무일자],"&lt;="&amp;EOMONTH(D6,-1)+1)&gt;0),"V","")</f>
        <v/>
      </c>
      <c r="AC6" s="33" cm="1">
        <f t="array" ref="AC6">IF(AD6&lt;&gt;"",AD6,_xlfn.XLOOKUP(1,(D6&lt;=Table7[End])*(E6=Table7[근무처])*(F6=Table7[업무]),Table7[시급],0,0))</f>
        <v>9860</v>
      </c>
      <c r="AD6" s="34"/>
      <c r="AE6" s="33">
        <f t="shared" ref="AE6:AE69" si="4">ROUND(U6*24*AC6,0)</f>
        <v>78880</v>
      </c>
      <c r="AF6" s="86" cm="1">
        <f t="array" ref="AF6">IF(AND(AA6&gt;=15,(AA6-U6*24)&lt;=40),IF(Z6&gt;=_xlfn.XLOOKUP(1,(D6&lt;=Table7[End])*(E6=Table7[근무처])*(F6=Table7[업무]),Table7[주휴적용일],0,0),1,0)+_xlfn.XLOOKUP(1,(Table2[주간]=Table2[[#This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6" s="86" cm="1">
        <f t="array" ref="AG6">MAX((_xlfn.IFS(AF6=0,0,AF6=1,AA6,AF6&gt;1,U6*24)-IF(AA6&gt;40,AA6-40,0))/5,0)</f>
        <v>0</v>
      </c>
      <c r="AH6" s="33">
        <f t="shared" ref="AH6:AH69" si="5">ROUND(AG6*AC6,0)</f>
        <v>0</v>
      </c>
      <c r="AI6" s="33" cm="1">
        <f t="array" ref="AI6">IF(W6="",0,ROUND(AC6*U6*24*_xlfn.XLOOKUP(1,(D6&lt;=Table7[End])*(E6=Table7[근무처])*(F6=Table7[업무]),Table7[휴일인센티브],0,0),0))</f>
        <v>0</v>
      </c>
      <c r="AJ6" s="33" cm="1">
        <f t="array" ref="AJ6">ROUND(AC6*IF(U6&gt;=8/24,U6-8/24,0)*24*_xlfn.XLOOKUP(1,(D6&lt;=Table7[End])*(E6=Table7[근무처])*(F6=Table7[업무]),Table7[야간인센티브],0,0),0)</f>
        <v>0</v>
      </c>
      <c r="AK6" s="33" cm="1">
        <f t="array" ref="AK6">IF(V6=0,0,ROUND(AC6*V6*24*_xlfn.XLOOKUP(1,(D6&lt;=Table7[End])*(E6=Table7[근무처])*(F6=Table7[업무]),Table7[야간인센티브],0,0),0))</f>
        <v>0</v>
      </c>
      <c r="AL6" s="34"/>
      <c r="AM6" s="33">
        <f t="shared" ref="AM6:AM69" si="6">SUM(AE6,AH6:AL6)</f>
        <v>78880</v>
      </c>
      <c r="AN6" s="33" cm="1">
        <f t="array" ref="AN6">IF(AM6&gt;=_xlfn.XLOOKUP(TRUE,D6&lt;=Table5[End],Table5[비과세소득기준],0,0),AM6-_xlfn.XLOOKUP(TRUE,D6&lt;=Table5[End],Table5[비과세소득기준],0,0),0)</f>
        <v>0</v>
      </c>
      <c r="AO6" s="33" cm="1">
        <f t="array" ref="AO6">ROUNDDOWN(_xlfn.LET(_xlpm.setvalue,_xlfn.XLOOKUP(TRUE,D6&lt;=Table5[End],Table5[[요율]:[근로소득세액공제]],0,0),_xlpm.tax,AN6*PRODUCT((_xlpm.setvalue-{0,1})*{1,-1}),_xlpm.threshold,_xlfn.XLOOKUP(TRUE,D6&lt;=Table5[End],Table5[소액부징수기준],0,0),IF(_xlpm.tax&gt;=_xlpm.threshold,_xlpm.tax,0)),-1)</f>
        <v>0</v>
      </c>
      <c r="AP6" s="33">
        <f>ROUNDDOWN(Table2[[#This Row],[소득세]]*10%,-1)</f>
        <v>0</v>
      </c>
      <c r="AQ6" s="33">
        <f>IF(AB6="v",AM6+IF(Y6=8,SUMIFS(Table2[지급총액],Table2[주민등록번호],O6,Table2[월],R6,Table2[월간
근무일],"&lt;="&amp;8)-AM6,0),0)+_xlfn.NUMBERVALUE(AR6)</f>
        <v>0</v>
      </c>
      <c r="AR6" s="34"/>
      <c r="AS6" s="33" cm="1">
        <f t="array" ref="AS6">ROUNDDOWN($AQ6*_xlfn.XLOOKUP(1,(AS$5=Table8[Type])*($D6&lt;=Table8[End]),Table8[요율],0,0),0)</f>
        <v>0</v>
      </c>
      <c r="AT6" s="33" cm="1">
        <f t="array" ref="AT6">ROUNDDOWN(AS6*_xlfn.XLOOKUP(1,(AT$5=Table8[Type])*($D6&lt;=Table8[End]),Table8[요율],0,0),-1)</f>
        <v>0</v>
      </c>
      <c r="AU6" s="33" cm="1">
        <f t="array" ref="AU6">ROUNDDOWN($AQ6*_xlfn.XLOOKUP(1,(AU$5=Table8[Type])*($D6&lt;=Table8[End]),Table8[요율],0,0),-1)</f>
        <v>0</v>
      </c>
      <c r="AV6" s="33" cm="1">
        <f t="array" ref="AV6">ROUNDDOWN(AM6*_xlfn.XLOOKUP(1,(AV$5=Table8[Type])*($D6&lt;=Table8[End]),Table8[요율],0,0),-1)</f>
        <v>0</v>
      </c>
      <c r="AW6" s="33" cm="1">
        <f t="array" ref="AW6">_xlfn.XLOOKUP(1,(O6=Table2[주민등록번호])*(D6&gt;Table2[근무일자]),Table2[청구 Claim 
이월],0,0,-1)</f>
        <v>0</v>
      </c>
      <c r="AX6" s="34"/>
      <c r="AY6" s="33" cm="1">
        <f t="array" ref="AY6">MAX(SUM(AO6:AP6,AS6:AX6)-_xlfn.XLOOKUP(1,(D6&lt;=Table7[End])*(E6=Table7[근무처])*(F6=Table7[업무]),Table7[1일 공제 상한],0,0),0)</f>
        <v>0</v>
      </c>
      <c r="AZ6" s="33">
        <f t="shared" ref="AZ6:AZ69" si="7">SUM(AO6:AP6,AS6:AX6)-AY6</f>
        <v>0</v>
      </c>
      <c r="BA6" s="33">
        <f t="shared" ref="BA6:BA69" si="8">MAX(AM6-AZ6,0)</f>
        <v>78880</v>
      </c>
      <c r="BB6" s="87">
        <f t="shared" ref="BB6:BB69" si="9">-(MIN(AM6-AZ6,0)-AY6)</f>
        <v>0</v>
      </c>
      <c r="BC6" s="88"/>
      <c r="BD6" s="33">
        <f t="shared" ref="BD6:BD69" si="10">AS6</f>
        <v>0</v>
      </c>
      <c r="BE6" s="33">
        <f t="shared" ref="BE6:BE69" si="11">AT6</f>
        <v>0</v>
      </c>
      <c r="BF6" s="33">
        <f t="shared" ref="BF6:BF69" si="12">AU6</f>
        <v>0</v>
      </c>
      <c r="BG6" s="33">
        <f t="shared" ref="BG6:BG69" si="13">AV6</f>
        <v>0</v>
      </c>
      <c r="BH6" s="33" cm="1">
        <f t="array" ref="BH6">ROUNDDOWN(AM6*_xlfn.XLOOKUP(1,(BH$5=Table8[Type])*($D6&lt;=Table8[End]),Table8[요율],0,0),-1)</f>
        <v>630</v>
      </c>
      <c r="BI6" s="29" t="str" cm="1">
        <f t="array" ref="BI6">_xlfn.XLOOKUP(1,(D6&lt;=Table7[End])*(E6=Table7[근무처])*(F6=Table7[업무]),Table7[지급옵션],0,0)</f>
        <v>D+2</v>
      </c>
      <c r="BJ6" s="83">
        <f>IF(BK6&lt;&gt;"",BK6,IFERROR(D6+_xlfn.NUMBERVALUE(RIGHT(BI6,1)),D6-WEEKDAY(D6)+CHOOSE(MATCH(RIGHT(BI6),{"일","월","화","수","목","금","토"},0),8,9,10,11,12,13,14)))</f>
        <v>45326</v>
      </c>
      <c r="BK6" s="84"/>
    </row>
    <row r="7" spans="2:63" x14ac:dyDescent="0.35">
      <c r="B7" s="20" t="str" cm="1">
        <f t="array" ref="B7">_xlfn.IFS(BB7&lt;&gt;BC7,"Claim확인",N7&lt;&gt;"OK","확인필요",TRUE,"")</f>
        <v/>
      </c>
      <c r="C7" s="21" t="str">
        <f t="shared" si="0"/>
        <v>010-12X4-XX781123581321</v>
      </c>
      <c r="D7" s="26">
        <v>45325</v>
      </c>
      <c r="E7" s="26" t="s">
        <v>254</v>
      </c>
      <c r="F7" s="25" t="s">
        <v>101</v>
      </c>
      <c r="G7" s="27" t="s">
        <v>60</v>
      </c>
      <c r="H7" s="25" t="s">
        <v>21</v>
      </c>
      <c r="I7" s="25"/>
      <c r="J7" s="25">
        <v>1123581321</v>
      </c>
      <c r="K7" s="28">
        <v>0.58333333333333337</v>
      </c>
      <c r="L7" s="28">
        <v>0.95833333333333337</v>
      </c>
      <c r="M7" s="28">
        <v>4.1666666666666664E-2</v>
      </c>
      <c r="N7" s="25" t="s">
        <v>281</v>
      </c>
      <c r="O7" s="29">
        <f>_xlfn.XLOOKUP(Table2[[#This Row],[Key]],Table1[Key],Table1[주민등록번호],"",0)</f>
        <v>1111111111111</v>
      </c>
      <c r="P7" s="29">
        <f>_xlfn.XLOOKUP(Table2[[#This Row],[Key]],Table1[Key],Table1[비자],"",0)</f>
        <v>0</v>
      </c>
      <c r="Q7" s="29">
        <f>IF(P7=0,0,_xlfn.XLOOKUP(Table2[[#This Row],[Key]],Table1[Key],Table1[고용보험 여부],0,0))</f>
        <v>0</v>
      </c>
      <c r="R7" s="29" t="str">
        <f t="shared" si="1"/>
        <v>2402</v>
      </c>
      <c r="S7" s="30" t="str">
        <f>YEAR(Table2[[#This Row],[근무일자]])&amp;TEXT(WEEKNUM(Table2[[#This Row],[근무일자]]),"00")</f>
        <v>202405</v>
      </c>
      <c r="T7" s="31">
        <f>_xlfn.XLOOKUP(Table2[[#This Row],[Key]],Table1[Key],Table1[등록일],"",0)</f>
        <v>45292</v>
      </c>
      <c r="U7" s="32">
        <f t="shared" si="2"/>
        <v>0.33333333333333331</v>
      </c>
      <c r="V7" s="89">
        <f t="shared" si="3"/>
        <v>4.1666666666666741E-2</v>
      </c>
      <c r="W7" s="100" t="str">
        <f>_xlfn.XLOOKUP(Table2[[#This Row],[근무일자]],Table3[Date],Table3[Holiday],"",0)</f>
        <v/>
      </c>
      <c r="X7" s="29">
        <f>IF(D7&lt;&gt;"",1,0)+IF(COUNTIFS(Table2[주민등록번호],O7,Table2[월],TEXT(EOMONTH(D7,-1),"YYMM"))&gt;0,1+IF(COUNTIFS(Table2[주민등록번호],O7,Table2[월],TEXT(EOMONTH(D7,-2),"YYMM"))&gt;0,1+IF(COUNTIFS(Table2[주민등록번호],O7,Table2[월],TEXT(EOMONTH(D7,-3),"YYMM"))&gt;0,1,0),0),0)</f>
        <v>1</v>
      </c>
      <c r="Y7" s="29">
        <f>COUNTIFS(Table2[주민등록번호],O7,Table2[월],R7,Table2[근무일자],"&lt;="&amp;D7)</f>
        <v>2</v>
      </c>
      <c r="Z7" s="29">
        <f>COUNTIFS(Table2[주민등록번호],O7,Table2[주간],S7,Table2[근무일자],"&lt;="&amp;D7)</f>
        <v>2</v>
      </c>
      <c r="AA7" s="29">
        <f>SUMIFS(Table2[근로
시간],Table2[주민등록번호],O7,Table2[주간],S7,Table2[근무일자],"&lt;="&amp;D7)*24</f>
        <v>16</v>
      </c>
      <c r="AB7" s="29" t="str">
        <f>IF(AND(Y7&gt;=8,COUNTIFS(Table2[주민등록번호],O7,Table2[근무일자],"&gt;="&amp;EOMONTH(D7,-2)+1,Table2[근무일자],"&lt;="&amp;EOMONTH(D7,-1)+1)&gt;0),"V","")</f>
        <v/>
      </c>
      <c r="AC7" s="33" cm="1">
        <f t="array" ref="AC7">IF(AD7&lt;&gt;"",AD7,_xlfn.XLOOKUP(1,(D7&lt;=Table7[End])*(E7=Table7[근무처])*(F7=Table7[업무]),Table7[시급],0,0))</f>
        <v>9860</v>
      </c>
      <c r="AD7" s="34"/>
      <c r="AE7" s="33">
        <f t="shared" si="4"/>
        <v>78880</v>
      </c>
      <c r="AF7" s="86" cm="1">
        <f t="array" ref="AF7">IF(AND(AA7&gt;=15,(AA7-U7*24)&lt;=40),IF(Z7&gt;=_xlfn.XLOOKUP(1,(D7&lt;=Table7[End])*(E7=Table7[근무처])*(F7=Table7[업무]),Table7[주휴적용일],0,0),1,0)+_xlfn.XLOOKUP(1,(Table2[주간]=Table2[[#This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7" s="86" cm="1">
        <f t="array" ref="AG7">MAX((_xlfn.IFS(AF7=0,0,AF7=1,AA7,AF7&gt;1,U7*24)-IF(AA7&gt;40,AA7-40,0))/5,0)</f>
        <v>0</v>
      </c>
      <c r="AH7" s="33">
        <f t="shared" si="5"/>
        <v>0</v>
      </c>
      <c r="AI7" s="33" cm="1">
        <f t="array" ref="AI7">IF(W7="",0,ROUND(AC7*U7*24*_xlfn.XLOOKUP(1,(D7&lt;=Table7[End])*(E7=Table7[근무처])*(F7=Table7[업무]),Table7[휴일인센티브],0,0),0))</f>
        <v>0</v>
      </c>
      <c r="AJ7" s="33" cm="1">
        <f t="array" ref="AJ7">ROUND(AC7*IF(U7&gt;=8/24,U7-8/24,0)*24*_xlfn.XLOOKUP(1,(D7&lt;=Table7[End])*(E7=Table7[근무처])*(F7=Table7[업무]),Table7[야간인센티브],0,0),0)</f>
        <v>0</v>
      </c>
      <c r="AK7" s="33" cm="1">
        <f t="array" ref="AK7">IF(V7=0,0,ROUND(AC7*V7*24*_xlfn.XLOOKUP(1,(D7&lt;=Table7[End])*(E7=Table7[근무처])*(F7=Table7[업무]),Table7[야간인센티브],0,0),0))</f>
        <v>4930</v>
      </c>
      <c r="AL7" s="34"/>
      <c r="AM7" s="33">
        <f t="shared" si="6"/>
        <v>83810</v>
      </c>
      <c r="AN7" s="33" cm="1">
        <f t="array" ref="AN7">IF(AM7&gt;=_xlfn.XLOOKUP(TRUE,D7&lt;=Table5[End],Table5[비과세소득기준],0,0),AM7-_xlfn.XLOOKUP(TRUE,D7&lt;=Table5[End],Table5[비과세소득기준],0,0),0)</f>
        <v>0</v>
      </c>
      <c r="AO7" s="33" cm="1">
        <f t="array" ref="AO7">ROUNDDOWN(_xlfn.LET(_xlpm.setvalue,_xlfn.XLOOKUP(TRUE,D7&lt;=Table5[End],Table5[[요율]:[근로소득세액공제]],0,0),_xlpm.tax,AN7*PRODUCT((_xlpm.setvalue-{0,1})*{1,-1}),_xlpm.threshold,_xlfn.XLOOKUP(TRUE,D7&lt;=Table5[End],Table5[소액부징수기준],0,0),IF(_xlpm.tax&gt;=_xlpm.threshold,_xlpm.tax,0)),-1)</f>
        <v>0</v>
      </c>
      <c r="AP7" s="33">
        <f>ROUNDDOWN(Table2[[#This Row],[소득세]]*10%,-1)</f>
        <v>0</v>
      </c>
      <c r="AQ7" s="33">
        <f>IF(AB7="v",AM7+IF(Y7=8,SUMIFS(Table2[지급총액],Table2[주민등록번호],O7,Table2[월],R7,Table2[월간
근무일],"&lt;="&amp;8)-AM7,0),0)+_xlfn.NUMBERVALUE(AR7)</f>
        <v>0</v>
      </c>
      <c r="AR7" s="34"/>
      <c r="AS7" s="33" cm="1">
        <f t="array" ref="AS7">ROUNDDOWN($AQ7*_xlfn.XLOOKUP(1,(AS$5=Table8[Type])*($D7&lt;=Table8[End]),Table8[요율],0,0),0)</f>
        <v>0</v>
      </c>
      <c r="AT7" s="33" cm="1">
        <f t="array" ref="AT7">ROUNDDOWN(AS7*_xlfn.XLOOKUP(1,(AT$5=Table8[Type])*($D7&lt;=Table8[End]),Table8[요율],0,0),-1)</f>
        <v>0</v>
      </c>
      <c r="AU7" s="33" cm="1">
        <f t="array" ref="AU7">ROUNDDOWN($AQ7*_xlfn.XLOOKUP(1,(AU$5=Table8[Type])*($D7&lt;=Table8[End]),Table8[요율],0,0),-1)</f>
        <v>0</v>
      </c>
      <c r="AV7" s="33" cm="1">
        <f t="array" ref="AV7">ROUNDDOWN(AM7*_xlfn.XLOOKUP(1,(AV$5=Table8[Type])*($D7&lt;=Table8[End]),Table8[요율],0,0),-1)</f>
        <v>0</v>
      </c>
      <c r="AW7" s="33" cm="1">
        <f t="array" ref="AW7">_xlfn.XLOOKUP(1,(O7=Table2[주민등록번호])*(D7&gt;Table2[근무일자]),Table2[청구 Claim 
이월],0,0,-1)</f>
        <v>0</v>
      </c>
      <c r="AX7" s="34"/>
      <c r="AY7" s="33" cm="1">
        <f t="array" ref="AY7">MAX(SUM(AO7:AP7,AS7:AX7)-_xlfn.XLOOKUP(1,(D7&lt;=Table7[End])*(E7=Table7[근무처])*(F7=Table7[업무]),Table7[1일 공제 상한],0,0),0)</f>
        <v>0</v>
      </c>
      <c r="AZ7" s="33">
        <f t="shared" si="7"/>
        <v>0</v>
      </c>
      <c r="BA7" s="33">
        <f t="shared" si="8"/>
        <v>83810</v>
      </c>
      <c r="BB7" s="87">
        <f t="shared" si="9"/>
        <v>0</v>
      </c>
      <c r="BC7" s="88"/>
      <c r="BD7" s="33">
        <f t="shared" si="10"/>
        <v>0</v>
      </c>
      <c r="BE7" s="33">
        <f t="shared" si="11"/>
        <v>0</v>
      </c>
      <c r="BF7" s="33">
        <f t="shared" si="12"/>
        <v>0</v>
      </c>
      <c r="BG7" s="33">
        <f t="shared" si="13"/>
        <v>0</v>
      </c>
      <c r="BH7" s="33" cm="1">
        <f t="array" ref="BH7">ROUNDDOWN(AM7*_xlfn.XLOOKUP(1,(BH$5=Table8[Type])*($D7&lt;=Table8[End]),Table8[요율],0,0),-1)</f>
        <v>670</v>
      </c>
      <c r="BI7" s="29" t="str" cm="1">
        <f t="array" ref="BI7">_xlfn.XLOOKUP(1,(D7&lt;=Table7[End])*(E7=Table7[근무처])*(F7=Table7[업무]),Table7[지급옵션],0,0)</f>
        <v>D+2</v>
      </c>
      <c r="BJ7" s="83">
        <f>IF(BK7&lt;&gt;"",BK7,IFERROR(D7+_xlfn.NUMBERVALUE(RIGHT(BI7,1)),D7-WEEKDAY(D7)+CHOOSE(MATCH(RIGHT(BI7),{"일","월","화","수","목","금","토"},0),8,9,10,11,12,13,14)))</f>
        <v>45327</v>
      </c>
      <c r="BK7" s="84"/>
    </row>
    <row r="8" spans="2:63" x14ac:dyDescent="0.35">
      <c r="B8" s="20" t="str" cm="1">
        <f t="array" ref="B8">_xlfn.IFS(BB8&lt;&gt;BC8,"Claim확인",N8&lt;&gt;"OK","확인필요",TRUE,"")</f>
        <v/>
      </c>
      <c r="C8" s="21" t="str">
        <f t="shared" si="0"/>
        <v>010-12X4-XX781123581321</v>
      </c>
      <c r="D8" s="26">
        <v>45330</v>
      </c>
      <c r="E8" s="26" t="s">
        <v>254</v>
      </c>
      <c r="F8" s="25" t="s">
        <v>101</v>
      </c>
      <c r="G8" s="27" t="s">
        <v>60</v>
      </c>
      <c r="H8" s="25" t="s">
        <v>21</v>
      </c>
      <c r="I8" s="25"/>
      <c r="J8" s="25">
        <v>1123581321</v>
      </c>
      <c r="K8" s="28">
        <v>0.66666666666666663</v>
      </c>
      <c r="L8" s="28">
        <v>4.1666666666666664E-2</v>
      </c>
      <c r="M8" s="28">
        <v>4.1666666666666664E-2</v>
      </c>
      <c r="N8" s="25" t="s">
        <v>281</v>
      </c>
      <c r="O8" s="29">
        <f>_xlfn.XLOOKUP(Table2[[#This Row],[Key]],Table1[Key],Table1[주민등록번호],"",0)</f>
        <v>1111111111111</v>
      </c>
      <c r="P8" s="29">
        <f>_xlfn.XLOOKUP(Table2[[#This Row],[Key]],Table1[Key],Table1[비자],"",0)</f>
        <v>0</v>
      </c>
      <c r="Q8" s="29">
        <f>IF(P8=0,0,_xlfn.XLOOKUP(Table2[[#This Row],[Key]],Table1[Key],Table1[고용보험 여부],0,0))</f>
        <v>0</v>
      </c>
      <c r="R8" s="29" t="str">
        <f t="shared" si="1"/>
        <v>2402</v>
      </c>
      <c r="S8" s="30" t="str">
        <f>YEAR(Table2[[#This Row],[근무일자]])&amp;TEXT(WEEKNUM(Table2[[#This Row],[근무일자]]),"00")</f>
        <v>202406</v>
      </c>
      <c r="T8" s="31">
        <f>_xlfn.XLOOKUP(Table2[[#This Row],[Key]],Table1[Key],Table1[등록일],"",0)</f>
        <v>45292</v>
      </c>
      <c r="U8" s="32">
        <f t="shared" si="2"/>
        <v>0.33333333333333343</v>
      </c>
      <c r="V8" s="89">
        <f t="shared" si="3"/>
        <v>0.125</v>
      </c>
      <c r="W8" s="100" t="str">
        <f>_xlfn.XLOOKUP(Table2[[#This Row],[근무일자]],Table3[Date],Table3[Holiday],"",0)</f>
        <v/>
      </c>
      <c r="X8" s="29">
        <f>IF(D8&lt;&gt;"",1,0)+IF(COUNTIFS(Table2[주민등록번호],O8,Table2[월],TEXT(EOMONTH(D8,-1),"YYMM"))&gt;0,1+IF(COUNTIFS(Table2[주민등록번호],O8,Table2[월],TEXT(EOMONTH(D8,-2),"YYMM"))&gt;0,1+IF(COUNTIFS(Table2[주민등록번호],O8,Table2[월],TEXT(EOMONTH(D8,-3),"YYMM"))&gt;0,1,0),0),0)</f>
        <v>1</v>
      </c>
      <c r="Y8" s="29">
        <f>COUNTIFS(Table2[주민등록번호],O8,Table2[월],R8,Table2[근무일자],"&lt;="&amp;D8)</f>
        <v>3</v>
      </c>
      <c r="Z8" s="29">
        <f>COUNTIFS(Table2[주민등록번호],O8,Table2[주간],S8,Table2[근무일자],"&lt;="&amp;D8)</f>
        <v>1</v>
      </c>
      <c r="AA8" s="29">
        <f>SUMIFS(Table2[근로
시간],Table2[주민등록번호],O8,Table2[주간],S8,Table2[근무일자],"&lt;="&amp;D8)*24</f>
        <v>8.0000000000000018</v>
      </c>
      <c r="AB8" s="29" t="str">
        <f>IF(AND(Y8&gt;=8,COUNTIFS(Table2[주민등록번호],O8,Table2[근무일자],"&gt;="&amp;EOMONTH(D8,-2)+1,Table2[근무일자],"&lt;="&amp;EOMONTH(D8,-1)+1)&gt;0),"V","")</f>
        <v/>
      </c>
      <c r="AC8" s="33" cm="1">
        <f t="array" ref="AC8">IF(AD8&lt;&gt;"",AD8,_xlfn.XLOOKUP(1,(D8&lt;=Table7[End])*(E8=Table7[근무처])*(F8=Table7[업무]),Table7[시급],0,0))</f>
        <v>9860</v>
      </c>
      <c r="AD8" s="34"/>
      <c r="AE8" s="33">
        <f t="shared" si="4"/>
        <v>78880</v>
      </c>
      <c r="AF8" s="86" cm="1">
        <f t="array" ref="AF8">IF(AND(AA8&gt;=15,(AA8-U8*24)&lt;=40),IF(Z8&gt;=_xlfn.XLOOKUP(1,(D8&lt;=Table7[End])*(E8=Table7[근무처])*(F8=Table7[업무]),Table7[주휴적용일],0,0),1,0)+_xlfn.XLOOKUP(1,(Table2[주간]=Table2[[#This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8" s="86" cm="1">
        <f t="array" ref="AG8">MAX((_xlfn.IFS(AF8=0,0,AF8=1,AA8,AF8&gt;1,U8*24)-IF(AA8&gt;40,AA8-40,0))/5,0)</f>
        <v>0</v>
      </c>
      <c r="AH8" s="33">
        <f t="shared" si="5"/>
        <v>0</v>
      </c>
      <c r="AI8" s="33" cm="1">
        <f t="array" ref="AI8">IF(W8="",0,ROUND(AC8*U8*24*_xlfn.XLOOKUP(1,(D8&lt;=Table7[End])*(E8=Table7[근무처])*(F8=Table7[업무]),Table7[휴일인센티브],0,0),0))</f>
        <v>0</v>
      </c>
      <c r="AJ8" s="33" cm="1">
        <f t="array" ref="AJ8">ROUND(AC8*IF(U8&gt;=8/24,U8-8/24,0)*24*_xlfn.XLOOKUP(1,(D8&lt;=Table7[End])*(E8=Table7[근무처])*(F8=Table7[업무]),Table7[야간인센티브],0,0),0)</f>
        <v>0</v>
      </c>
      <c r="AK8" s="33" cm="1">
        <f t="array" ref="AK8">IF(V8=0,0,ROUND(AC8*V8*24*_xlfn.XLOOKUP(1,(D8&lt;=Table7[End])*(E8=Table7[근무처])*(F8=Table7[업무]),Table7[야간인센티브],0,0),0))</f>
        <v>14790</v>
      </c>
      <c r="AL8" s="34"/>
      <c r="AM8" s="33">
        <f t="shared" si="6"/>
        <v>93670</v>
      </c>
      <c r="AN8" s="33" cm="1">
        <f t="array" ref="AN8">IF(AM8&gt;=_xlfn.XLOOKUP(TRUE,D8&lt;=Table5[End],Table5[비과세소득기준],0,0),AM8-_xlfn.XLOOKUP(TRUE,D8&lt;=Table5[End],Table5[비과세소득기준],0,0),0)</f>
        <v>0</v>
      </c>
      <c r="AO8" s="33" cm="1">
        <f t="array" ref="AO8">ROUNDDOWN(_xlfn.LET(_xlpm.setvalue,_xlfn.XLOOKUP(TRUE,D8&lt;=Table5[End],Table5[[요율]:[근로소득세액공제]],0,0),_xlpm.tax,AN8*PRODUCT((_xlpm.setvalue-{0,1})*{1,-1}),_xlpm.threshold,_xlfn.XLOOKUP(TRUE,D8&lt;=Table5[End],Table5[소액부징수기준],0,0),IF(_xlpm.tax&gt;=_xlpm.threshold,_xlpm.tax,0)),-1)</f>
        <v>0</v>
      </c>
      <c r="AP8" s="33">
        <f>ROUNDDOWN(Table2[[#This Row],[소득세]]*10%,-1)</f>
        <v>0</v>
      </c>
      <c r="AQ8" s="33">
        <f>IF(AB8="v",AM8+IF(Y8=8,SUMIFS(Table2[지급총액],Table2[주민등록번호],O8,Table2[월],R8,Table2[월간
근무일],"&lt;="&amp;8)-AM8,0),0)+_xlfn.NUMBERVALUE(AR8)</f>
        <v>0</v>
      </c>
      <c r="AR8" s="34"/>
      <c r="AS8" s="33" cm="1">
        <f t="array" ref="AS8">ROUNDDOWN($AQ8*_xlfn.XLOOKUP(1,(AS$5=Table8[Type])*($D8&lt;=Table8[End]),Table8[요율],0,0),0)</f>
        <v>0</v>
      </c>
      <c r="AT8" s="33" cm="1">
        <f t="array" ref="AT8">ROUNDDOWN(AS8*_xlfn.XLOOKUP(1,(AT$5=Table8[Type])*($D8&lt;=Table8[End]),Table8[요율],0,0),-1)</f>
        <v>0</v>
      </c>
      <c r="AU8" s="33" cm="1">
        <f t="array" ref="AU8">ROUNDDOWN($AQ8*_xlfn.XLOOKUP(1,(AU$5=Table8[Type])*($D8&lt;=Table8[End]),Table8[요율],0,0),-1)</f>
        <v>0</v>
      </c>
      <c r="AV8" s="33" cm="1">
        <f t="array" ref="AV8">ROUNDDOWN(AM8*_xlfn.XLOOKUP(1,(AV$5=Table8[Type])*($D8&lt;=Table8[End]),Table8[요율],0,0),-1)</f>
        <v>0</v>
      </c>
      <c r="AW8" s="33" cm="1">
        <f t="array" ref="AW8">_xlfn.XLOOKUP(1,(O8=Table2[주민등록번호])*(D8&gt;Table2[근무일자]),Table2[청구 Claim 
이월],0,0,-1)</f>
        <v>0</v>
      </c>
      <c r="AX8" s="34"/>
      <c r="AY8" s="33" cm="1">
        <f t="array" ref="AY8">MAX(SUM(AO8:AP8,AS8:AX8)-_xlfn.XLOOKUP(1,(D8&lt;=Table7[End])*(E8=Table7[근무처])*(F8=Table7[업무]),Table7[1일 공제 상한],0,0),0)</f>
        <v>0</v>
      </c>
      <c r="AZ8" s="33">
        <f t="shared" si="7"/>
        <v>0</v>
      </c>
      <c r="BA8" s="33">
        <f t="shared" si="8"/>
        <v>93670</v>
      </c>
      <c r="BB8" s="87">
        <f t="shared" si="9"/>
        <v>0</v>
      </c>
      <c r="BC8" s="88"/>
      <c r="BD8" s="33">
        <f t="shared" si="10"/>
        <v>0</v>
      </c>
      <c r="BE8" s="33">
        <f t="shared" si="11"/>
        <v>0</v>
      </c>
      <c r="BF8" s="33">
        <f t="shared" si="12"/>
        <v>0</v>
      </c>
      <c r="BG8" s="33">
        <f t="shared" si="13"/>
        <v>0</v>
      </c>
      <c r="BH8" s="33" cm="1">
        <f t="array" ref="BH8">ROUNDDOWN(AM8*_xlfn.XLOOKUP(1,(BH$5=Table8[Type])*($D8&lt;=Table8[End]),Table8[요율],0,0),-1)</f>
        <v>740</v>
      </c>
      <c r="BI8" s="29" t="str" cm="1">
        <f t="array" ref="BI8">_xlfn.XLOOKUP(1,(D8&lt;=Table7[End])*(E8=Table7[근무처])*(F8=Table7[업무]),Table7[지급옵션],0,0)</f>
        <v>D+2</v>
      </c>
      <c r="BJ8" s="83">
        <f>IF(BK8&lt;&gt;"",BK8,IFERROR(D8+_xlfn.NUMBERVALUE(RIGHT(BI8,1)),D8-WEEKDAY(D8)+CHOOSE(MATCH(RIGHT(BI8),{"일","월","화","수","목","금","토"},0),8,9,10,11,12,13,14)))</f>
        <v>45332</v>
      </c>
      <c r="BK8" s="84"/>
    </row>
    <row r="9" spans="2:63" x14ac:dyDescent="0.35">
      <c r="B9" s="20" t="str" cm="1">
        <f t="array" ref="B9">_xlfn.IFS(BB9&lt;&gt;BC9,"Claim확인",N9&lt;&gt;"OK","확인필요",TRUE,"")</f>
        <v/>
      </c>
      <c r="C9" s="21" t="str">
        <f t="shared" si="0"/>
        <v>010-12X4-XX781123581321</v>
      </c>
      <c r="D9" s="26">
        <v>45340</v>
      </c>
      <c r="E9" s="26" t="s">
        <v>254</v>
      </c>
      <c r="F9" s="25" t="s">
        <v>101</v>
      </c>
      <c r="G9" s="27" t="s">
        <v>60</v>
      </c>
      <c r="H9" s="25" t="s">
        <v>21</v>
      </c>
      <c r="I9" s="25"/>
      <c r="J9" s="25">
        <v>1123581321</v>
      </c>
      <c r="K9" s="28">
        <v>0.20833333333333334</v>
      </c>
      <c r="L9" s="28">
        <v>0.58333333333333337</v>
      </c>
      <c r="M9" s="28">
        <v>4.1666666666666664E-2</v>
      </c>
      <c r="N9" s="25" t="s">
        <v>281</v>
      </c>
      <c r="O9" s="29">
        <f>_xlfn.XLOOKUP(Table2[[#This Row],[Key]],Table1[Key],Table1[주민등록번호],"",0)</f>
        <v>1111111111111</v>
      </c>
      <c r="P9" s="29">
        <f>_xlfn.XLOOKUP(Table2[[#This Row],[Key]],Table1[Key],Table1[비자],"",0)</f>
        <v>0</v>
      </c>
      <c r="Q9" s="29">
        <f>IF(P9=0,0,_xlfn.XLOOKUP(Table2[[#This Row],[Key]],Table1[Key],Table1[고용보험 여부],0,0))</f>
        <v>0</v>
      </c>
      <c r="R9" s="29" t="str">
        <f t="shared" si="1"/>
        <v>2402</v>
      </c>
      <c r="S9" s="30" t="str">
        <f>YEAR(Table2[[#This Row],[근무일자]])&amp;TEXT(WEEKNUM(Table2[[#This Row],[근무일자]]),"00")</f>
        <v>202408</v>
      </c>
      <c r="T9" s="31">
        <f>_xlfn.XLOOKUP(Table2[[#This Row],[Key]],Table1[Key],Table1[등록일],"",0)</f>
        <v>45292</v>
      </c>
      <c r="U9" s="32">
        <f t="shared" si="2"/>
        <v>0.33333333333333331</v>
      </c>
      <c r="V9" s="89">
        <f t="shared" si="3"/>
        <v>4.1666666666666657E-2</v>
      </c>
      <c r="W9" s="100" t="str">
        <f>_xlfn.XLOOKUP(Table2[[#This Row],[근무일자]],Table3[Date],Table3[Holiday],"",0)</f>
        <v/>
      </c>
      <c r="X9" s="29">
        <f>IF(D9&lt;&gt;"",1,0)+IF(COUNTIFS(Table2[주민등록번호],O9,Table2[월],TEXT(EOMONTH(D9,-1),"YYMM"))&gt;0,1+IF(COUNTIFS(Table2[주민등록번호],O9,Table2[월],TEXT(EOMONTH(D9,-2),"YYMM"))&gt;0,1+IF(COUNTIFS(Table2[주민등록번호],O9,Table2[월],TEXT(EOMONTH(D9,-3),"YYMM"))&gt;0,1,0),0),0)</f>
        <v>1</v>
      </c>
      <c r="Y9" s="29">
        <f>COUNTIFS(Table2[주민등록번호],O9,Table2[월],R9,Table2[근무일자],"&lt;="&amp;D9)</f>
        <v>4</v>
      </c>
      <c r="Z9" s="29">
        <f>COUNTIFS(Table2[주민등록번호],O9,Table2[주간],S9,Table2[근무일자],"&lt;="&amp;D9)</f>
        <v>1</v>
      </c>
      <c r="AA9" s="29">
        <f>SUMIFS(Table2[근로
시간],Table2[주민등록번호],O9,Table2[주간],S9,Table2[근무일자],"&lt;="&amp;D9)*24</f>
        <v>8</v>
      </c>
      <c r="AB9" s="29" t="str">
        <f>IF(AND(Y9&gt;=8,COUNTIFS(Table2[주민등록번호],O9,Table2[근무일자],"&gt;="&amp;EOMONTH(D9,-2)+1,Table2[근무일자],"&lt;="&amp;EOMONTH(D9,-1)+1)&gt;0),"V","")</f>
        <v/>
      </c>
      <c r="AC9" s="33" cm="1">
        <f t="array" ref="AC9">IF(AD9&lt;&gt;"",AD9,_xlfn.XLOOKUP(1,(D9&lt;=Table7[End])*(E9=Table7[근무처])*(F9=Table7[업무]),Table7[시급],0,0))</f>
        <v>9860</v>
      </c>
      <c r="AD9" s="34"/>
      <c r="AE9" s="33">
        <f t="shared" si="4"/>
        <v>78880</v>
      </c>
      <c r="AF9" s="86" cm="1">
        <f t="array" ref="AF9">IF(AND(AA9&gt;=15,(AA9-U9*24)&lt;=40),IF(Z9&gt;=_xlfn.XLOOKUP(1,(D9&lt;=Table7[End])*(E9=Table7[근무처])*(F9=Table7[업무]),Table7[주휴적용일],0,0),1,0)+_xlfn.XLOOKUP(1,(Table2[주간]=Table2[[#This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9" s="86" cm="1">
        <f t="array" ref="AG9">MAX((_xlfn.IFS(AF9=0,0,AF9=1,AA9,AF9&gt;1,U9*24)-IF(AA9&gt;40,AA9-40,0))/5,0)</f>
        <v>0</v>
      </c>
      <c r="AH9" s="33">
        <f t="shared" si="5"/>
        <v>0</v>
      </c>
      <c r="AI9" s="33" cm="1">
        <f t="array" ref="AI9">IF(W9="",0,ROUND(AC9*U9*24*_xlfn.XLOOKUP(1,(D9&lt;=Table7[End])*(E9=Table7[근무처])*(F9=Table7[업무]),Table7[휴일인센티브],0,0),0))</f>
        <v>0</v>
      </c>
      <c r="AJ9" s="33" cm="1">
        <f t="array" ref="AJ9">ROUND(AC9*IF(U9&gt;=8/24,U9-8/24,0)*24*_xlfn.XLOOKUP(1,(D9&lt;=Table7[End])*(E9=Table7[근무처])*(F9=Table7[업무]),Table7[야간인센티브],0,0),0)</f>
        <v>0</v>
      </c>
      <c r="AK9" s="33" cm="1">
        <f t="array" ref="AK9">IF(V9=0,0,ROUND(AC9*V9*24*_xlfn.XLOOKUP(1,(D9&lt;=Table7[End])*(E9=Table7[근무처])*(F9=Table7[업무]),Table7[야간인센티브],0,0),0))</f>
        <v>4930</v>
      </c>
      <c r="AL9" s="34"/>
      <c r="AM9" s="33">
        <f t="shared" si="6"/>
        <v>83810</v>
      </c>
      <c r="AN9" s="33" cm="1">
        <f t="array" ref="AN9">IF(AM9&gt;=_xlfn.XLOOKUP(TRUE,D9&lt;=Table5[End],Table5[비과세소득기준],0,0),AM9-_xlfn.XLOOKUP(TRUE,D9&lt;=Table5[End],Table5[비과세소득기준],0,0),0)</f>
        <v>0</v>
      </c>
      <c r="AO9" s="33" cm="1">
        <f t="array" ref="AO9">ROUNDDOWN(_xlfn.LET(_xlpm.setvalue,_xlfn.XLOOKUP(TRUE,D9&lt;=Table5[End],Table5[[요율]:[근로소득세액공제]],0,0),_xlpm.tax,AN9*PRODUCT((_xlpm.setvalue-{0,1})*{1,-1}),_xlpm.threshold,_xlfn.XLOOKUP(TRUE,D9&lt;=Table5[End],Table5[소액부징수기준],0,0),IF(_xlpm.tax&gt;=_xlpm.threshold,_xlpm.tax,0)),-1)</f>
        <v>0</v>
      </c>
      <c r="AP9" s="33">
        <f>ROUNDDOWN(Table2[[#This Row],[소득세]]*10%,-1)</f>
        <v>0</v>
      </c>
      <c r="AQ9" s="33">
        <f>IF(AB9="v",AM9+IF(Y9=8,SUMIFS(Table2[지급총액],Table2[주민등록번호],O9,Table2[월],R9,Table2[월간
근무일],"&lt;="&amp;8)-AM9,0),0)+_xlfn.NUMBERVALUE(AR9)</f>
        <v>0</v>
      </c>
      <c r="AR9" s="34"/>
      <c r="AS9" s="33" cm="1">
        <f t="array" ref="AS9">ROUNDDOWN($AQ9*_xlfn.XLOOKUP(1,(AS$5=Table8[Type])*($D9&lt;=Table8[End]),Table8[요율],0,0),0)</f>
        <v>0</v>
      </c>
      <c r="AT9" s="33" cm="1">
        <f t="array" ref="AT9">ROUNDDOWN(AS9*_xlfn.XLOOKUP(1,(AT$5=Table8[Type])*($D9&lt;=Table8[End]),Table8[요율],0,0),-1)</f>
        <v>0</v>
      </c>
      <c r="AU9" s="33" cm="1">
        <f t="array" ref="AU9">ROUNDDOWN($AQ9*_xlfn.XLOOKUP(1,(AU$5=Table8[Type])*($D9&lt;=Table8[End]),Table8[요율],0,0),-1)</f>
        <v>0</v>
      </c>
      <c r="AV9" s="33" cm="1">
        <f t="array" ref="AV9">ROUNDDOWN(AM9*_xlfn.XLOOKUP(1,(AV$5=Table8[Type])*($D9&lt;=Table8[End]),Table8[요율],0,0),-1)</f>
        <v>0</v>
      </c>
      <c r="AW9" s="33" cm="1">
        <f t="array" ref="AW9">_xlfn.XLOOKUP(1,(O9=Table2[주민등록번호])*(D9&gt;Table2[근무일자]),Table2[청구 Claim 
이월],0,0,-1)</f>
        <v>0</v>
      </c>
      <c r="AX9" s="34"/>
      <c r="AY9" s="33" cm="1">
        <f t="array" ref="AY9">MAX(SUM(AO9:AP9,AS9:AX9)-_xlfn.XLOOKUP(1,(D9&lt;=Table7[End])*(E9=Table7[근무처])*(F9=Table7[업무]),Table7[1일 공제 상한],0,0),0)</f>
        <v>0</v>
      </c>
      <c r="AZ9" s="33">
        <f t="shared" si="7"/>
        <v>0</v>
      </c>
      <c r="BA9" s="33">
        <f t="shared" si="8"/>
        <v>83810</v>
      </c>
      <c r="BB9" s="87">
        <f t="shared" si="9"/>
        <v>0</v>
      </c>
      <c r="BC9" s="88"/>
      <c r="BD9" s="33">
        <f t="shared" si="10"/>
        <v>0</v>
      </c>
      <c r="BE9" s="33">
        <f t="shared" si="11"/>
        <v>0</v>
      </c>
      <c r="BF9" s="33">
        <f t="shared" si="12"/>
        <v>0</v>
      </c>
      <c r="BG9" s="33">
        <f t="shared" si="13"/>
        <v>0</v>
      </c>
      <c r="BH9" s="33" cm="1">
        <f t="array" ref="BH9">ROUNDDOWN(AM9*_xlfn.XLOOKUP(1,(BH$5=Table8[Type])*($D9&lt;=Table8[End]),Table8[요율],0,0),-1)</f>
        <v>670</v>
      </c>
      <c r="BI9" s="29" t="str" cm="1">
        <f t="array" ref="BI9">_xlfn.XLOOKUP(1,(D9&lt;=Table7[End])*(E9=Table7[근무처])*(F9=Table7[업무]),Table7[지급옵션],0,0)</f>
        <v>D+2</v>
      </c>
      <c r="BJ9" s="83">
        <f>IF(BK9&lt;&gt;"",BK9,IFERROR(D9+_xlfn.NUMBERVALUE(RIGHT(BI9,1)),D9-WEEKDAY(D9)+CHOOSE(MATCH(RIGHT(BI9),{"일","월","화","수","목","금","토"},0),8,9,10,11,12,13,14)))</f>
        <v>45342</v>
      </c>
      <c r="BK9" s="84"/>
    </row>
    <row r="10" spans="2:63" x14ac:dyDescent="0.35">
      <c r="B10" s="20" t="str" cm="1">
        <f t="array" ref="B10">_xlfn.IFS(BB10&lt;&gt;BC10,"Claim확인",N10&lt;&gt;"OK","확인필요",TRUE,"")</f>
        <v/>
      </c>
      <c r="C10" s="21" t="str">
        <f t="shared" si="0"/>
        <v>010-12X4-XX781123581321</v>
      </c>
      <c r="D10" s="26">
        <v>45353</v>
      </c>
      <c r="E10" s="26" t="s">
        <v>254</v>
      </c>
      <c r="F10" s="25" t="s">
        <v>101</v>
      </c>
      <c r="G10" s="27" t="s">
        <v>60</v>
      </c>
      <c r="H10" s="25" t="s">
        <v>21</v>
      </c>
      <c r="I10" s="25"/>
      <c r="J10" s="25">
        <v>1123581321</v>
      </c>
      <c r="K10" s="28">
        <v>0.375</v>
      </c>
      <c r="L10" s="28">
        <v>0.75</v>
      </c>
      <c r="M10" s="28">
        <v>4.1666666666666664E-2</v>
      </c>
      <c r="N10" s="25" t="s">
        <v>281</v>
      </c>
      <c r="O10" s="29">
        <f>_xlfn.XLOOKUP(Table2[[#This Row],[Key]],Table1[Key],Table1[주민등록번호],"",0)</f>
        <v>1111111111111</v>
      </c>
      <c r="P10" s="29">
        <f>_xlfn.XLOOKUP(Table2[[#This Row],[Key]],Table1[Key],Table1[비자],"",0)</f>
        <v>0</v>
      </c>
      <c r="Q10" s="29">
        <f>IF(P10=0,0,_xlfn.XLOOKUP(Table2[[#This Row],[Key]],Table1[Key],Table1[고용보험 여부],0,0))</f>
        <v>0</v>
      </c>
      <c r="R10" s="29" t="str">
        <f t="shared" si="1"/>
        <v>2403</v>
      </c>
      <c r="S10" s="30" t="str">
        <f>YEAR(Table2[[#This Row],[근무일자]])&amp;TEXT(WEEKNUM(Table2[[#This Row],[근무일자]]),"00")</f>
        <v>202409</v>
      </c>
      <c r="T10" s="31">
        <f>_xlfn.XLOOKUP(Table2[[#This Row],[Key]],Table1[Key],Table1[등록일],"",0)</f>
        <v>45292</v>
      </c>
      <c r="U10" s="32">
        <f t="shared" si="2"/>
        <v>0.33333333333333331</v>
      </c>
      <c r="V10" s="89">
        <f t="shared" si="3"/>
        <v>0</v>
      </c>
      <c r="W10" s="100" t="str">
        <f>_xlfn.XLOOKUP(Table2[[#This Row],[근무일자]],Table3[Date],Table3[Holiday],"",0)</f>
        <v/>
      </c>
      <c r="X10" s="29">
        <f>IF(D10&lt;&gt;"",1,0)+IF(COUNTIFS(Table2[주민등록번호],O10,Table2[월],TEXT(EOMONTH(D10,-1),"YYMM"))&gt;0,1+IF(COUNTIFS(Table2[주민등록번호],O10,Table2[월],TEXT(EOMONTH(D10,-2),"YYMM"))&gt;0,1+IF(COUNTIFS(Table2[주민등록번호],O10,Table2[월],TEXT(EOMONTH(D10,-3),"YYMM"))&gt;0,1,0),0),0)</f>
        <v>2</v>
      </c>
      <c r="Y10" s="29">
        <f>COUNTIFS(Table2[주민등록번호],O10,Table2[월],R10,Table2[근무일자],"&lt;="&amp;D10)</f>
        <v>1</v>
      </c>
      <c r="Z10" s="29">
        <f>COUNTIFS(Table2[주민등록번호],O10,Table2[주간],S10,Table2[근무일자],"&lt;="&amp;D10)</f>
        <v>1</v>
      </c>
      <c r="AA10" s="29">
        <f>SUMIFS(Table2[근로
시간],Table2[주민등록번호],O10,Table2[주간],S10,Table2[근무일자],"&lt;="&amp;D10)*24</f>
        <v>8</v>
      </c>
      <c r="AB10" s="29" t="str">
        <f>IF(AND(Y10&gt;=8,COUNTIFS(Table2[주민등록번호],O10,Table2[근무일자],"&gt;="&amp;EOMONTH(D10,-2)+1,Table2[근무일자],"&lt;="&amp;EOMONTH(D10,-1)+1)&gt;0),"V","")</f>
        <v/>
      </c>
      <c r="AC10" s="33" cm="1">
        <f t="array" ref="AC10">IF(AD10&lt;&gt;"",AD10,_xlfn.XLOOKUP(1,(D10&lt;=Table7[End])*(E10=Table7[근무처])*(F10=Table7[업무]),Table7[시급],0,0))</f>
        <v>9860</v>
      </c>
      <c r="AD10" s="34"/>
      <c r="AE10" s="33">
        <f t="shared" si="4"/>
        <v>78880</v>
      </c>
      <c r="AF10" s="86" cm="1">
        <f t="array" ref="AF10">IF(AND(AA10&gt;=15,(AA10-U10*24)&lt;=40),IF(Z10&gt;=_xlfn.XLOOKUP(1,(D10&lt;=Table7[End])*(E10=Table7[근무처])*(F10=Table7[업무]),Table7[주휴적용일],0,0),1,0)+_xlfn.XLOOKUP(1,(Table2[주간]=Table2[[#This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0" s="86" cm="1">
        <f t="array" ref="AG10">MAX((_xlfn.IFS(AF10=0,0,AF10=1,AA10,AF10&gt;1,U10*24)-IF(AA10&gt;40,AA10-40,0))/5,0)</f>
        <v>0</v>
      </c>
      <c r="AH10" s="33">
        <f t="shared" si="5"/>
        <v>0</v>
      </c>
      <c r="AI10" s="33" cm="1">
        <f t="array" ref="AI10">IF(W10="",0,ROUND(AC10*U10*24*_xlfn.XLOOKUP(1,(D10&lt;=Table7[End])*(E10=Table7[근무처])*(F10=Table7[업무]),Table7[휴일인센티브],0,0),0))</f>
        <v>0</v>
      </c>
      <c r="AJ10" s="33" cm="1">
        <f t="array" ref="AJ10">ROUND(AC10*IF(U10&gt;=8/24,U10-8/24,0)*24*_xlfn.XLOOKUP(1,(D10&lt;=Table7[End])*(E10=Table7[근무처])*(F10=Table7[업무]),Table7[야간인센티브],0,0),0)</f>
        <v>0</v>
      </c>
      <c r="AK10" s="33" cm="1">
        <f t="array" ref="AK10">IF(V10=0,0,ROUND(AC10*V10*24*_xlfn.XLOOKUP(1,(D10&lt;=Table7[End])*(E10=Table7[근무처])*(F10=Table7[업무]),Table7[야간인센티브],0,0),0))</f>
        <v>0</v>
      </c>
      <c r="AL10" s="34"/>
      <c r="AM10" s="33">
        <f t="shared" si="6"/>
        <v>78880</v>
      </c>
      <c r="AN10" s="33" cm="1">
        <f t="array" ref="AN10">IF(AM10&gt;=_xlfn.XLOOKUP(TRUE,D10&lt;=Table5[End],Table5[비과세소득기준],0,0),AM10-_xlfn.XLOOKUP(TRUE,D10&lt;=Table5[End],Table5[비과세소득기준],0,0),0)</f>
        <v>0</v>
      </c>
      <c r="AO10" s="33" cm="1">
        <f t="array" ref="AO10">ROUNDDOWN(_xlfn.LET(_xlpm.setvalue,_xlfn.XLOOKUP(TRUE,D10&lt;=Table5[End],Table5[[요율]:[근로소득세액공제]],0,0),_xlpm.tax,AN10*PRODUCT((_xlpm.setvalue-{0,1})*{1,-1}),_xlpm.threshold,_xlfn.XLOOKUP(TRUE,D10&lt;=Table5[End],Table5[소액부징수기준],0,0),IF(_xlpm.tax&gt;=_xlpm.threshold,_xlpm.tax,0)),-1)</f>
        <v>0</v>
      </c>
      <c r="AP10" s="33">
        <f>ROUNDDOWN(Table2[[#This Row],[소득세]]*10%,-1)</f>
        <v>0</v>
      </c>
      <c r="AQ10" s="33">
        <f>IF(AB10="v",AM10+IF(Y10=8,SUMIFS(Table2[지급총액],Table2[주민등록번호],O10,Table2[월],R10,Table2[월간
근무일],"&lt;="&amp;8)-AM10,0),0)+_xlfn.NUMBERVALUE(AR10)</f>
        <v>0</v>
      </c>
      <c r="AR10" s="34"/>
      <c r="AS10" s="33" cm="1">
        <f t="array" ref="AS10">ROUNDDOWN($AQ10*_xlfn.XLOOKUP(1,(AS$5=Table8[Type])*($D10&lt;=Table8[End]),Table8[요율],0,0),0)</f>
        <v>0</v>
      </c>
      <c r="AT10" s="33" cm="1">
        <f t="array" ref="AT10">ROUNDDOWN(AS10*_xlfn.XLOOKUP(1,(AT$5=Table8[Type])*($D10&lt;=Table8[End]),Table8[요율],0,0),-1)</f>
        <v>0</v>
      </c>
      <c r="AU10" s="33" cm="1">
        <f t="array" ref="AU10">ROUNDDOWN($AQ10*_xlfn.XLOOKUP(1,(AU$5=Table8[Type])*($D10&lt;=Table8[End]),Table8[요율],0,0),-1)</f>
        <v>0</v>
      </c>
      <c r="AV10" s="33" cm="1">
        <f t="array" ref="AV10">ROUNDDOWN(AM10*_xlfn.XLOOKUP(1,(AV$5=Table8[Type])*($D10&lt;=Table8[End]),Table8[요율],0,0),-1)</f>
        <v>0</v>
      </c>
      <c r="AW10" s="33" cm="1">
        <f t="array" ref="AW10">_xlfn.XLOOKUP(1,(O10=Table2[주민등록번호])*(D10&gt;Table2[근무일자]),Table2[청구 Claim 
이월],0,0,-1)</f>
        <v>0</v>
      </c>
      <c r="AX10" s="34"/>
      <c r="AY10" s="33" cm="1">
        <f t="array" ref="AY10">MAX(SUM(AO10:AP10,AS10:AX10)-_xlfn.XLOOKUP(1,(D10&lt;=Table7[End])*(E10=Table7[근무처])*(F10=Table7[업무]),Table7[1일 공제 상한],0,0),0)</f>
        <v>0</v>
      </c>
      <c r="AZ10" s="33">
        <f t="shared" si="7"/>
        <v>0</v>
      </c>
      <c r="BA10" s="33">
        <f t="shared" si="8"/>
        <v>78880</v>
      </c>
      <c r="BB10" s="87">
        <f t="shared" si="9"/>
        <v>0</v>
      </c>
      <c r="BC10" s="88"/>
      <c r="BD10" s="33">
        <f t="shared" si="10"/>
        <v>0</v>
      </c>
      <c r="BE10" s="33">
        <f t="shared" si="11"/>
        <v>0</v>
      </c>
      <c r="BF10" s="33">
        <f t="shared" si="12"/>
        <v>0</v>
      </c>
      <c r="BG10" s="33">
        <f t="shared" si="13"/>
        <v>0</v>
      </c>
      <c r="BH10" s="33" cm="1">
        <f t="array" ref="BH10">ROUNDDOWN(AM10*_xlfn.XLOOKUP(1,(BH$5=Table8[Type])*($D10&lt;=Table8[End]),Table8[요율],0,0),-1)</f>
        <v>630</v>
      </c>
      <c r="BI10" s="29" t="str" cm="1">
        <f t="array" ref="BI10">_xlfn.XLOOKUP(1,(D10&lt;=Table7[End])*(E10=Table7[근무처])*(F10=Table7[업무]),Table7[지급옵션],0,0)</f>
        <v>D+2</v>
      </c>
      <c r="BJ10" s="83">
        <f>IF(BK10&lt;&gt;"",BK10,IFERROR(D10+_xlfn.NUMBERVALUE(RIGHT(BI10,1)),D10-WEEKDAY(D10)+CHOOSE(MATCH(RIGHT(BI10),{"일","월","화","수","목","금","토"},0),8,9,10,11,12,13,14)))</f>
        <v>45355</v>
      </c>
      <c r="BK10" s="84"/>
    </row>
    <row r="11" spans="2:63" x14ac:dyDescent="0.35">
      <c r="B11" s="20" t="str" cm="1">
        <f t="array" ref="B11">_xlfn.IFS(BB11&lt;&gt;BC11,"Claim확인",N11&lt;&gt;"OK","확인필요",TRUE,"")</f>
        <v/>
      </c>
      <c r="C11" s="21" t="str">
        <f t="shared" si="0"/>
        <v>010-12X4-XX781123581321</v>
      </c>
      <c r="D11" s="26">
        <v>45354</v>
      </c>
      <c r="E11" s="26" t="s">
        <v>254</v>
      </c>
      <c r="F11" s="25" t="s">
        <v>101</v>
      </c>
      <c r="G11" s="27" t="s">
        <v>60</v>
      </c>
      <c r="H11" s="25" t="s">
        <v>21</v>
      </c>
      <c r="I11" s="25"/>
      <c r="J11" s="25">
        <v>1123581321</v>
      </c>
      <c r="K11" s="28">
        <v>0.83333333333333337</v>
      </c>
      <c r="L11" s="28">
        <v>0.20833333333333334</v>
      </c>
      <c r="M11" s="28">
        <v>4.1666666666666664E-2</v>
      </c>
      <c r="N11" s="25" t="s">
        <v>281</v>
      </c>
      <c r="O11" s="29">
        <f>_xlfn.XLOOKUP(Table2[[#This Row],[Key]],Table1[Key],Table1[주민등록번호],"",0)</f>
        <v>1111111111111</v>
      </c>
      <c r="P11" s="29">
        <f>_xlfn.XLOOKUP(Table2[[#This Row],[Key]],Table1[Key],Table1[비자],"",0)</f>
        <v>0</v>
      </c>
      <c r="Q11" s="29">
        <f>IF(P11=0,0,_xlfn.XLOOKUP(Table2[[#This Row],[Key]],Table1[Key],Table1[고용보험 여부],0,0))</f>
        <v>0</v>
      </c>
      <c r="R11" s="29" t="str">
        <f t="shared" si="1"/>
        <v>2403</v>
      </c>
      <c r="S11" s="30" t="str">
        <f>YEAR(Table2[[#This Row],[근무일자]])&amp;TEXT(WEEKNUM(Table2[[#This Row],[근무일자]]),"00")</f>
        <v>202410</v>
      </c>
      <c r="T11" s="31">
        <f>_xlfn.XLOOKUP(Table2[[#This Row],[Key]],Table1[Key],Table1[등록일],"",0)</f>
        <v>45292</v>
      </c>
      <c r="U11" s="32">
        <f t="shared" si="2"/>
        <v>0.3333333333333332</v>
      </c>
      <c r="V11" s="89">
        <f t="shared" si="3"/>
        <v>0.29166666666666669</v>
      </c>
      <c r="W11" s="100" t="str">
        <f>_xlfn.XLOOKUP(Table2[[#This Row],[근무일자]],Table3[Date],Table3[Holiday],"",0)</f>
        <v/>
      </c>
      <c r="X11" s="29">
        <f>IF(D11&lt;&gt;"",1,0)+IF(COUNTIFS(Table2[주민등록번호],O11,Table2[월],TEXT(EOMONTH(D11,-1),"YYMM"))&gt;0,1+IF(COUNTIFS(Table2[주민등록번호],O11,Table2[월],TEXT(EOMONTH(D11,-2),"YYMM"))&gt;0,1+IF(COUNTIFS(Table2[주민등록번호],O11,Table2[월],TEXT(EOMONTH(D11,-3),"YYMM"))&gt;0,1,0),0),0)</f>
        <v>2</v>
      </c>
      <c r="Y11" s="29">
        <f>COUNTIFS(Table2[주민등록번호],O11,Table2[월],R11,Table2[근무일자],"&lt;="&amp;D11)</f>
        <v>2</v>
      </c>
      <c r="Z11" s="29">
        <f>COUNTIFS(Table2[주민등록번호],O11,Table2[주간],S11,Table2[근무일자],"&lt;="&amp;D11)</f>
        <v>1</v>
      </c>
      <c r="AA11" s="29">
        <f>SUMIFS(Table2[근로
시간],Table2[주민등록번호],O11,Table2[주간],S11,Table2[근무일자],"&lt;="&amp;D11)*24</f>
        <v>7.9999999999999964</v>
      </c>
      <c r="AB11" s="29" t="str">
        <f>IF(AND(Y11&gt;=8,COUNTIFS(Table2[주민등록번호],O11,Table2[근무일자],"&gt;="&amp;EOMONTH(D11,-2)+1,Table2[근무일자],"&lt;="&amp;EOMONTH(D11,-1)+1)&gt;0),"V","")</f>
        <v/>
      </c>
      <c r="AC11" s="33" cm="1">
        <f t="array" ref="AC11">IF(AD11&lt;&gt;"",AD11,_xlfn.XLOOKUP(1,(D11&lt;=Table7[End])*(E11=Table7[근무처])*(F11=Table7[업무]),Table7[시급],0,0))</f>
        <v>9860</v>
      </c>
      <c r="AD11" s="34"/>
      <c r="AE11" s="33">
        <f t="shared" si="4"/>
        <v>78880</v>
      </c>
      <c r="AF11" s="86" cm="1">
        <f t="array" ref="AF11">IF(AND(AA11&gt;=15,(AA11-U11*24)&lt;=40),IF(Z11&gt;=_xlfn.XLOOKUP(1,(D11&lt;=Table7[End])*(E11=Table7[근무처])*(F11=Table7[업무]),Table7[주휴적용일],0,0),1,0)+_xlfn.XLOOKUP(1,(Table2[주간]=Table2[[#This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1" s="86" cm="1">
        <f t="array" ref="AG11">MAX((_xlfn.IFS(AF11=0,0,AF11=1,AA11,AF11&gt;1,U11*24)-IF(AA11&gt;40,AA11-40,0))/5,0)</f>
        <v>0</v>
      </c>
      <c r="AH11" s="33">
        <f t="shared" si="5"/>
        <v>0</v>
      </c>
      <c r="AI11" s="33" cm="1">
        <f t="array" ref="AI11">IF(W11="",0,ROUND(AC11*U11*24*_xlfn.XLOOKUP(1,(D11&lt;=Table7[End])*(E11=Table7[근무처])*(F11=Table7[업무]),Table7[휴일인센티브],0,0),0))</f>
        <v>0</v>
      </c>
      <c r="AJ11" s="33" cm="1">
        <f t="array" ref="AJ11">ROUND(AC11*IF(U11&gt;=8/24,U11-8/24,0)*24*_xlfn.XLOOKUP(1,(D11&lt;=Table7[End])*(E11=Table7[근무처])*(F11=Table7[업무]),Table7[야간인센티브],0,0),0)</f>
        <v>0</v>
      </c>
      <c r="AK11" s="33" cm="1">
        <f t="array" ref="AK11">IF(V11=0,0,ROUND(AC11*V11*24*_xlfn.XLOOKUP(1,(D11&lt;=Table7[End])*(E11=Table7[근무처])*(F11=Table7[업무]),Table7[야간인센티브],0,0),0))</f>
        <v>34510</v>
      </c>
      <c r="AL11" s="34"/>
      <c r="AM11" s="33">
        <f t="shared" si="6"/>
        <v>113390</v>
      </c>
      <c r="AN11" s="33" cm="1">
        <f t="array" ref="AN11">IF(AM11&gt;=_xlfn.XLOOKUP(TRUE,D11&lt;=Table5[End],Table5[비과세소득기준],0,0),AM11-_xlfn.XLOOKUP(TRUE,D11&lt;=Table5[End],Table5[비과세소득기준],0,0),0)</f>
        <v>0</v>
      </c>
      <c r="AO11" s="33" cm="1">
        <f t="array" ref="AO11">ROUNDDOWN(_xlfn.LET(_xlpm.setvalue,_xlfn.XLOOKUP(TRUE,D11&lt;=Table5[End],Table5[[요율]:[근로소득세액공제]],0,0),_xlpm.tax,AN11*PRODUCT((_xlpm.setvalue-{0,1})*{1,-1}),_xlpm.threshold,_xlfn.XLOOKUP(TRUE,D11&lt;=Table5[End],Table5[소액부징수기준],0,0),IF(_xlpm.tax&gt;=_xlpm.threshold,_xlpm.tax,0)),-1)</f>
        <v>0</v>
      </c>
      <c r="AP11" s="33">
        <f>ROUNDDOWN(Table2[[#This Row],[소득세]]*10%,-1)</f>
        <v>0</v>
      </c>
      <c r="AQ11" s="33">
        <f>IF(AB11="v",AM11+IF(Y11=8,SUMIFS(Table2[지급총액],Table2[주민등록번호],O11,Table2[월],R11,Table2[월간
근무일],"&lt;="&amp;8)-AM11,0),0)+_xlfn.NUMBERVALUE(AR11)</f>
        <v>0</v>
      </c>
      <c r="AR11" s="34"/>
      <c r="AS11" s="33" cm="1">
        <f t="array" ref="AS11">ROUNDDOWN($AQ11*_xlfn.XLOOKUP(1,(AS$5=Table8[Type])*($D11&lt;=Table8[End]),Table8[요율],0,0),0)</f>
        <v>0</v>
      </c>
      <c r="AT11" s="33" cm="1">
        <f t="array" ref="AT11">ROUNDDOWN(AS11*_xlfn.XLOOKUP(1,(AT$5=Table8[Type])*($D11&lt;=Table8[End]),Table8[요율],0,0),-1)</f>
        <v>0</v>
      </c>
      <c r="AU11" s="33" cm="1">
        <f t="array" ref="AU11">ROUNDDOWN($AQ11*_xlfn.XLOOKUP(1,(AU$5=Table8[Type])*($D11&lt;=Table8[End]),Table8[요율],0,0),-1)</f>
        <v>0</v>
      </c>
      <c r="AV11" s="33" cm="1">
        <f t="array" ref="AV11">ROUNDDOWN(AM11*_xlfn.XLOOKUP(1,(AV$5=Table8[Type])*($D11&lt;=Table8[End]),Table8[요율],0,0),-1)</f>
        <v>0</v>
      </c>
      <c r="AW11" s="33" cm="1">
        <f t="array" ref="AW11">_xlfn.XLOOKUP(1,(O11=Table2[주민등록번호])*(D11&gt;Table2[근무일자]),Table2[청구 Claim 
이월],0,0,-1)</f>
        <v>0</v>
      </c>
      <c r="AX11" s="34"/>
      <c r="AY11" s="33" cm="1">
        <f t="array" ref="AY11">MAX(SUM(AO11:AP11,AS11:AX11)-_xlfn.XLOOKUP(1,(D11&lt;=Table7[End])*(E11=Table7[근무처])*(F11=Table7[업무]),Table7[1일 공제 상한],0,0),0)</f>
        <v>0</v>
      </c>
      <c r="AZ11" s="33">
        <f t="shared" si="7"/>
        <v>0</v>
      </c>
      <c r="BA11" s="33">
        <f t="shared" si="8"/>
        <v>113390</v>
      </c>
      <c r="BB11" s="87">
        <f t="shared" si="9"/>
        <v>0</v>
      </c>
      <c r="BC11" s="88"/>
      <c r="BD11" s="33">
        <f t="shared" si="10"/>
        <v>0</v>
      </c>
      <c r="BE11" s="33">
        <f t="shared" si="11"/>
        <v>0</v>
      </c>
      <c r="BF11" s="33">
        <f t="shared" si="12"/>
        <v>0</v>
      </c>
      <c r="BG11" s="33">
        <f t="shared" si="13"/>
        <v>0</v>
      </c>
      <c r="BH11" s="33" cm="1">
        <f t="array" ref="BH11">ROUNDDOWN(AM11*_xlfn.XLOOKUP(1,(BH$5=Table8[Type])*($D11&lt;=Table8[End]),Table8[요율],0,0),-1)</f>
        <v>900</v>
      </c>
      <c r="BI11" s="29" t="str" cm="1">
        <f t="array" ref="BI11">_xlfn.XLOOKUP(1,(D11&lt;=Table7[End])*(E11=Table7[근무처])*(F11=Table7[업무]),Table7[지급옵션],0,0)</f>
        <v>D+2</v>
      </c>
      <c r="BJ11" s="83">
        <f>IF(BK11&lt;&gt;"",BK11,IFERROR(D11+_xlfn.NUMBERVALUE(RIGHT(BI11,1)),D11-WEEKDAY(D11)+CHOOSE(MATCH(RIGHT(BI11),{"일","월","화","수","목","금","토"},0),8,9,10,11,12,13,14)))</f>
        <v>45356</v>
      </c>
      <c r="BK11" s="84"/>
    </row>
    <row r="12" spans="2:63" x14ac:dyDescent="0.35">
      <c r="B12" s="20" t="str" cm="1">
        <f t="array" ref="B12">_xlfn.IFS(BB12&lt;&gt;BC12,"Claim확인",N12&lt;&gt;"OK","확인필요",TRUE,"")</f>
        <v/>
      </c>
      <c r="C12" s="21" t="str">
        <f t="shared" si="0"/>
        <v>010-12X4-XX781123581321</v>
      </c>
      <c r="D12" s="26">
        <v>45355</v>
      </c>
      <c r="E12" s="26" t="s">
        <v>254</v>
      </c>
      <c r="F12" s="25" t="s">
        <v>101</v>
      </c>
      <c r="G12" s="27" t="s">
        <v>60</v>
      </c>
      <c r="H12" s="25" t="s">
        <v>21</v>
      </c>
      <c r="I12" s="25"/>
      <c r="J12" s="25">
        <v>1123581321</v>
      </c>
      <c r="K12" s="28">
        <v>0.375</v>
      </c>
      <c r="L12" s="28">
        <v>0.75</v>
      </c>
      <c r="M12" s="28">
        <v>4.1666666666666664E-2</v>
      </c>
      <c r="N12" s="25" t="s">
        <v>281</v>
      </c>
      <c r="O12" s="29">
        <f>_xlfn.XLOOKUP(Table2[[#This Row],[Key]],Table1[Key],Table1[주민등록번호],"",0)</f>
        <v>1111111111111</v>
      </c>
      <c r="P12" s="29">
        <f>_xlfn.XLOOKUP(Table2[[#This Row],[Key]],Table1[Key],Table1[비자],"",0)</f>
        <v>0</v>
      </c>
      <c r="Q12" s="29">
        <f>IF(P12=0,0,_xlfn.XLOOKUP(Table2[[#This Row],[Key]],Table1[Key],Table1[고용보험 여부],0,0))</f>
        <v>0</v>
      </c>
      <c r="R12" s="29" t="str">
        <f t="shared" si="1"/>
        <v>2403</v>
      </c>
      <c r="S12" s="30" t="str">
        <f>YEAR(Table2[[#This Row],[근무일자]])&amp;TEXT(WEEKNUM(Table2[[#This Row],[근무일자]]),"00")</f>
        <v>202410</v>
      </c>
      <c r="T12" s="31">
        <f>_xlfn.XLOOKUP(Table2[[#This Row],[Key]],Table1[Key],Table1[등록일],"",0)</f>
        <v>45292</v>
      </c>
      <c r="U12" s="32">
        <f t="shared" si="2"/>
        <v>0.33333333333333331</v>
      </c>
      <c r="V12" s="89">
        <f t="shared" si="3"/>
        <v>0</v>
      </c>
      <c r="W12" s="100" t="str">
        <f>_xlfn.XLOOKUP(Table2[[#This Row],[근무일자]],Table3[Date],Table3[Holiday],"",0)</f>
        <v/>
      </c>
      <c r="X12" s="29">
        <f>IF(D12&lt;&gt;"",1,0)+IF(COUNTIFS(Table2[주민등록번호],O12,Table2[월],TEXT(EOMONTH(D12,-1),"YYMM"))&gt;0,1+IF(COUNTIFS(Table2[주민등록번호],O12,Table2[월],TEXT(EOMONTH(D12,-2),"YYMM"))&gt;0,1+IF(COUNTIFS(Table2[주민등록번호],O12,Table2[월],TEXT(EOMONTH(D12,-3),"YYMM"))&gt;0,1,0),0),0)</f>
        <v>2</v>
      </c>
      <c r="Y12" s="29">
        <f>COUNTIFS(Table2[주민등록번호],O12,Table2[월],R12,Table2[근무일자],"&lt;="&amp;D12)</f>
        <v>3</v>
      </c>
      <c r="Z12" s="29">
        <f>COUNTIFS(Table2[주민등록번호],O12,Table2[주간],S12,Table2[근무일자],"&lt;="&amp;D12)</f>
        <v>2</v>
      </c>
      <c r="AA12" s="29">
        <f>SUMIFS(Table2[근로
시간],Table2[주민등록번호],O12,Table2[주간],S12,Table2[근무일자],"&lt;="&amp;D12)*24</f>
        <v>15.999999999999996</v>
      </c>
      <c r="AB12" s="29" t="str">
        <f>IF(AND(Y12&gt;=8,COUNTIFS(Table2[주민등록번호],O12,Table2[근무일자],"&gt;="&amp;EOMONTH(D12,-2)+1,Table2[근무일자],"&lt;="&amp;EOMONTH(D12,-1)+1)&gt;0),"V","")</f>
        <v/>
      </c>
      <c r="AC12" s="33" cm="1">
        <f t="array" ref="AC12">IF(AD12&lt;&gt;"",AD12,_xlfn.XLOOKUP(1,(D12&lt;=Table7[End])*(E12=Table7[근무처])*(F12=Table7[업무]),Table7[시급],0,0))</f>
        <v>9860</v>
      </c>
      <c r="AD12" s="34"/>
      <c r="AE12" s="33">
        <f t="shared" si="4"/>
        <v>78880</v>
      </c>
      <c r="AF12" s="86" cm="1">
        <f t="array" ref="AF12">IF(AND(AA12&gt;=15,(AA12-U12*24)&lt;=40),IF(Z12&gt;=_xlfn.XLOOKUP(1,(D12&lt;=Table7[End])*(E12=Table7[근무처])*(F12=Table7[업무]),Table7[주휴적용일],0,0),1,0)+_xlfn.XLOOKUP(1,(Table2[주간]=Table2[[#This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2" s="86" cm="1">
        <f t="array" ref="AG12">MAX((_xlfn.IFS(AF12=0,0,AF12=1,AA12,AF12&gt;1,U12*24)-IF(AA12&gt;40,AA12-40,0))/5,0)</f>
        <v>0</v>
      </c>
      <c r="AH12" s="33">
        <f t="shared" si="5"/>
        <v>0</v>
      </c>
      <c r="AI12" s="33" cm="1">
        <f t="array" ref="AI12">IF(W12="",0,ROUND(AC12*U12*24*_xlfn.XLOOKUP(1,(D12&lt;=Table7[End])*(E12=Table7[근무처])*(F12=Table7[업무]),Table7[휴일인센티브],0,0),0))</f>
        <v>0</v>
      </c>
      <c r="AJ12" s="33" cm="1">
        <f t="array" ref="AJ12">ROUND(AC12*IF(U12&gt;=8/24,U12-8/24,0)*24*_xlfn.XLOOKUP(1,(D12&lt;=Table7[End])*(E12=Table7[근무처])*(F12=Table7[업무]),Table7[야간인센티브],0,0),0)</f>
        <v>0</v>
      </c>
      <c r="AK12" s="33" cm="1">
        <f t="array" ref="AK12">IF(V12=0,0,ROUND(AC12*V12*24*_xlfn.XLOOKUP(1,(D12&lt;=Table7[End])*(E12=Table7[근무처])*(F12=Table7[업무]),Table7[야간인센티브],0,0),0))</f>
        <v>0</v>
      </c>
      <c r="AL12" s="34"/>
      <c r="AM12" s="33">
        <f t="shared" si="6"/>
        <v>78880</v>
      </c>
      <c r="AN12" s="33" cm="1">
        <f t="array" ref="AN12">IF(AM12&gt;=_xlfn.XLOOKUP(TRUE,D12&lt;=Table5[End],Table5[비과세소득기준],0,0),AM12-_xlfn.XLOOKUP(TRUE,D12&lt;=Table5[End],Table5[비과세소득기준],0,0),0)</f>
        <v>0</v>
      </c>
      <c r="AO12" s="33" cm="1">
        <f t="array" ref="AO12">ROUNDDOWN(_xlfn.LET(_xlpm.setvalue,_xlfn.XLOOKUP(TRUE,D12&lt;=Table5[End],Table5[[요율]:[근로소득세액공제]],0,0),_xlpm.tax,AN12*PRODUCT((_xlpm.setvalue-{0,1})*{1,-1}),_xlpm.threshold,_xlfn.XLOOKUP(TRUE,D12&lt;=Table5[End],Table5[소액부징수기준],0,0),IF(_xlpm.tax&gt;=_xlpm.threshold,_xlpm.tax,0)),-1)</f>
        <v>0</v>
      </c>
      <c r="AP12" s="33">
        <f>ROUNDDOWN(Table2[[#This Row],[소득세]]*10%,-1)</f>
        <v>0</v>
      </c>
      <c r="AQ12" s="33">
        <f>IF(AB12="v",AM12+IF(Y12=8,SUMIFS(Table2[지급총액],Table2[주민등록번호],O12,Table2[월],R12,Table2[월간
근무일],"&lt;="&amp;8)-AM12,0),0)+_xlfn.NUMBERVALUE(AR12)</f>
        <v>0</v>
      </c>
      <c r="AR12" s="34"/>
      <c r="AS12" s="33" cm="1">
        <f t="array" ref="AS12">ROUNDDOWN($AQ12*_xlfn.XLOOKUP(1,(AS$5=Table8[Type])*($D12&lt;=Table8[End]),Table8[요율],0,0),0)</f>
        <v>0</v>
      </c>
      <c r="AT12" s="33" cm="1">
        <f t="array" ref="AT12">ROUNDDOWN(AS12*_xlfn.XLOOKUP(1,(AT$5=Table8[Type])*($D12&lt;=Table8[End]),Table8[요율],0,0),-1)</f>
        <v>0</v>
      </c>
      <c r="AU12" s="33" cm="1">
        <f t="array" ref="AU12">ROUNDDOWN($AQ12*_xlfn.XLOOKUP(1,(AU$5=Table8[Type])*($D12&lt;=Table8[End]),Table8[요율],0,0),-1)</f>
        <v>0</v>
      </c>
      <c r="AV12" s="33" cm="1">
        <f t="array" ref="AV12">ROUNDDOWN(AM12*_xlfn.XLOOKUP(1,(AV$5=Table8[Type])*($D12&lt;=Table8[End]),Table8[요율],0,0),-1)</f>
        <v>0</v>
      </c>
      <c r="AW12" s="33" cm="1">
        <f t="array" ref="AW12">_xlfn.XLOOKUP(1,(O12=Table2[주민등록번호])*(D12&gt;Table2[근무일자]),Table2[청구 Claim 
이월],0,0,-1)</f>
        <v>0</v>
      </c>
      <c r="AX12" s="34"/>
      <c r="AY12" s="33" cm="1">
        <f t="array" ref="AY12">MAX(SUM(AO12:AP12,AS12:AX12)-_xlfn.XLOOKUP(1,(D12&lt;=Table7[End])*(E12=Table7[근무처])*(F12=Table7[업무]),Table7[1일 공제 상한],0,0),0)</f>
        <v>0</v>
      </c>
      <c r="AZ12" s="33">
        <f t="shared" si="7"/>
        <v>0</v>
      </c>
      <c r="BA12" s="33">
        <f t="shared" si="8"/>
        <v>78880</v>
      </c>
      <c r="BB12" s="87">
        <f t="shared" si="9"/>
        <v>0</v>
      </c>
      <c r="BC12" s="88"/>
      <c r="BD12" s="33">
        <f t="shared" si="10"/>
        <v>0</v>
      </c>
      <c r="BE12" s="33">
        <f t="shared" si="11"/>
        <v>0</v>
      </c>
      <c r="BF12" s="33">
        <f t="shared" si="12"/>
        <v>0</v>
      </c>
      <c r="BG12" s="33">
        <f t="shared" si="13"/>
        <v>0</v>
      </c>
      <c r="BH12" s="33" cm="1">
        <f t="array" ref="BH12">ROUNDDOWN(AM12*_xlfn.XLOOKUP(1,(BH$5=Table8[Type])*($D12&lt;=Table8[End]),Table8[요율],0,0),-1)</f>
        <v>630</v>
      </c>
      <c r="BI12" s="29" t="str" cm="1">
        <f t="array" ref="BI12">_xlfn.XLOOKUP(1,(D12&lt;=Table7[End])*(E12=Table7[근무처])*(F12=Table7[업무]),Table7[지급옵션],0,0)</f>
        <v>D+2</v>
      </c>
      <c r="BJ12" s="83">
        <f>IF(BK12&lt;&gt;"",BK12,IFERROR(D12+_xlfn.NUMBERVALUE(RIGHT(BI12,1)),D12-WEEKDAY(D12)+CHOOSE(MATCH(RIGHT(BI12),{"일","월","화","수","목","금","토"},0),8,9,10,11,12,13,14)))</f>
        <v>45357</v>
      </c>
      <c r="BK12" s="84"/>
    </row>
    <row r="13" spans="2:63" x14ac:dyDescent="0.35">
      <c r="B13" s="20" t="str" cm="1">
        <f t="array" ref="B13">_xlfn.IFS(BB13&lt;&gt;BC13,"Claim확인",N13&lt;&gt;"OK","확인필요",TRUE,"")</f>
        <v/>
      </c>
      <c r="C13" s="21" t="str">
        <f t="shared" si="0"/>
        <v>010-12X4-XX781123581321</v>
      </c>
      <c r="D13" s="26">
        <v>45356</v>
      </c>
      <c r="E13" s="26" t="s">
        <v>254</v>
      </c>
      <c r="F13" s="25" t="s">
        <v>101</v>
      </c>
      <c r="G13" s="27" t="s">
        <v>60</v>
      </c>
      <c r="H13" s="25" t="s">
        <v>21</v>
      </c>
      <c r="I13" s="25"/>
      <c r="J13" s="25">
        <v>1123581321</v>
      </c>
      <c r="K13" s="28">
        <v>0.375</v>
      </c>
      <c r="L13" s="28">
        <v>0.75</v>
      </c>
      <c r="M13" s="28">
        <v>4.1666666666666664E-2</v>
      </c>
      <c r="N13" s="25" t="s">
        <v>281</v>
      </c>
      <c r="O13" s="29">
        <f>_xlfn.XLOOKUP(Table2[[#This Row],[Key]],Table1[Key],Table1[주민등록번호],"",0)</f>
        <v>1111111111111</v>
      </c>
      <c r="P13" s="29">
        <f>_xlfn.XLOOKUP(Table2[[#This Row],[Key]],Table1[Key],Table1[비자],"",0)</f>
        <v>0</v>
      </c>
      <c r="Q13" s="29">
        <f>IF(P13=0,0,_xlfn.XLOOKUP(Table2[[#This Row],[Key]],Table1[Key],Table1[고용보험 여부],0,0))</f>
        <v>0</v>
      </c>
      <c r="R13" s="29" t="str">
        <f t="shared" si="1"/>
        <v>2403</v>
      </c>
      <c r="S13" s="30" t="str">
        <f>YEAR(Table2[[#This Row],[근무일자]])&amp;TEXT(WEEKNUM(Table2[[#This Row],[근무일자]]),"00")</f>
        <v>202410</v>
      </c>
      <c r="T13" s="31">
        <f>_xlfn.XLOOKUP(Table2[[#This Row],[Key]],Table1[Key],Table1[등록일],"",0)</f>
        <v>45292</v>
      </c>
      <c r="U13" s="32">
        <f t="shared" si="2"/>
        <v>0.33333333333333331</v>
      </c>
      <c r="V13" s="89">
        <f t="shared" si="3"/>
        <v>0</v>
      </c>
      <c r="W13" s="100" t="str">
        <f>_xlfn.XLOOKUP(Table2[[#This Row],[근무일자]],Table3[Date],Table3[Holiday],"",0)</f>
        <v/>
      </c>
      <c r="X13" s="29">
        <f>IF(D13&lt;&gt;"",1,0)+IF(COUNTIFS(Table2[주민등록번호],O13,Table2[월],TEXT(EOMONTH(D13,-1),"YYMM"))&gt;0,1+IF(COUNTIFS(Table2[주민등록번호],O13,Table2[월],TEXT(EOMONTH(D13,-2),"YYMM"))&gt;0,1+IF(COUNTIFS(Table2[주민등록번호],O13,Table2[월],TEXT(EOMONTH(D13,-3),"YYMM"))&gt;0,1,0),0),0)</f>
        <v>2</v>
      </c>
      <c r="Y13" s="29">
        <f>COUNTIFS(Table2[주민등록번호],O13,Table2[월],R13,Table2[근무일자],"&lt;="&amp;D13)</f>
        <v>4</v>
      </c>
      <c r="Z13" s="29">
        <f>COUNTIFS(Table2[주민등록번호],O13,Table2[주간],S13,Table2[근무일자],"&lt;="&amp;D13)</f>
        <v>3</v>
      </c>
      <c r="AA13" s="29">
        <f>SUMIFS(Table2[근로
시간],Table2[주민등록번호],O13,Table2[주간],S13,Table2[근무일자],"&lt;="&amp;D13)*24</f>
        <v>23.999999999999993</v>
      </c>
      <c r="AB13" s="29" t="str">
        <f>IF(AND(Y13&gt;=8,COUNTIFS(Table2[주민등록번호],O13,Table2[근무일자],"&gt;="&amp;EOMONTH(D13,-2)+1,Table2[근무일자],"&lt;="&amp;EOMONTH(D13,-1)+1)&gt;0),"V","")</f>
        <v/>
      </c>
      <c r="AC13" s="33" cm="1">
        <f t="array" ref="AC13">IF(AD13&lt;&gt;"",AD13,_xlfn.XLOOKUP(1,(D13&lt;=Table7[End])*(E13=Table7[근무처])*(F13=Table7[업무]),Table7[시급],0,0))</f>
        <v>9860</v>
      </c>
      <c r="AD13" s="34"/>
      <c r="AE13" s="33">
        <f t="shared" si="4"/>
        <v>78880</v>
      </c>
      <c r="AF13" s="86" cm="1">
        <f t="array" ref="AF13">IF(AND(AA13&gt;=15,(AA13-U13*24)&lt;=40),IF(Z13&gt;=_xlfn.XLOOKUP(1,(D13&lt;=Table7[End])*(E13=Table7[근무처])*(F13=Table7[업무]),Table7[주휴적용일],0,0),1,0)+_xlfn.XLOOKUP(1,(Table2[주간]=Table2[[#This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3" s="86" cm="1">
        <f t="array" ref="AG13">MAX((_xlfn.IFS(AF13=0,0,AF13=1,AA13,AF13&gt;1,U13*24)-IF(AA13&gt;40,AA13-40,0))/5,0)</f>
        <v>0</v>
      </c>
      <c r="AH13" s="33">
        <f t="shared" si="5"/>
        <v>0</v>
      </c>
      <c r="AI13" s="33" cm="1">
        <f t="array" ref="AI13">IF(W13="",0,ROUND(AC13*U13*24*_xlfn.XLOOKUP(1,(D13&lt;=Table7[End])*(E13=Table7[근무처])*(F13=Table7[업무]),Table7[휴일인센티브],0,0),0))</f>
        <v>0</v>
      </c>
      <c r="AJ13" s="33" cm="1">
        <f t="array" ref="AJ13">ROUND(AC13*IF(U13&gt;=8/24,U13-8/24,0)*24*_xlfn.XLOOKUP(1,(D13&lt;=Table7[End])*(E13=Table7[근무처])*(F13=Table7[업무]),Table7[야간인센티브],0,0),0)</f>
        <v>0</v>
      </c>
      <c r="AK13" s="33" cm="1">
        <f t="array" ref="AK13">IF(V13=0,0,ROUND(AC13*V13*24*_xlfn.XLOOKUP(1,(D13&lt;=Table7[End])*(E13=Table7[근무처])*(F13=Table7[업무]),Table7[야간인센티브],0,0),0))</f>
        <v>0</v>
      </c>
      <c r="AL13" s="34"/>
      <c r="AM13" s="33">
        <f t="shared" si="6"/>
        <v>78880</v>
      </c>
      <c r="AN13" s="33" cm="1">
        <f t="array" ref="AN13">IF(AM13&gt;=_xlfn.XLOOKUP(TRUE,D13&lt;=Table5[End],Table5[비과세소득기준],0,0),AM13-_xlfn.XLOOKUP(TRUE,D13&lt;=Table5[End],Table5[비과세소득기준],0,0),0)</f>
        <v>0</v>
      </c>
      <c r="AO13" s="33" cm="1">
        <f t="array" ref="AO13">ROUNDDOWN(_xlfn.LET(_xlpm.setvalue,_xlfn.XLOOKUP(TRUE,D13&lt;=Table5[End],Table5[[요율]:[근로소득세액공제]],0,0),_xlpm.tax,AN13*PRODUCT((_xlpm.setvalue-{0,1})*{1,-1}),_xlpm.threshold,_xlfn.XLOOKUP(TRUE,D13&lt;=Table5[End],Table5[소액부징수기준],0,0),IF(_xlpm.tax&gt;=_xlpm.threshold,_xlpm.tax,0)),-1)</f>
        <v>0</v>
      </c>
      <c r="AP13" s="33">
        <f>ROUNDDOWN(Table2[[#This Row],[소득세]]*10%,-1)</f>
        <v>0</v>
      </c>
      <c r="AQ13" s="33">
        <f>IF(AB13="v",AM13+IF(Y13=8,SUMIFS(Table2[지급총액],Table2[주민등록번호],O13,Table2[월],R13,Table2[월간
근무일],"&lt;="&amp;8)-AM13,0),0)+_xlfn.NUMBERVALUE(AR13)</f>
        <v>0</v>
      </c>
      <c r="AR13" s="34"/>
      <c r="AS13" s="33" cm="1">
        <f t="array" ref="AS13">ROUNDDOWN($AQ13*_xlfn.XLOOKUP(1,(AS$5=Table8[Type])*($D13&lt;=Table8[End]),Table8[요율],0,0),0)</f>
        <v>0</v>
      </c>
      <c r="AT13" s="33" cm="1">
        <f t="array" ref="AT13">ROUNDDOWN(AS13*_xlfn.XLOOKUP(1,(AT$5=Table8[Type])*($D13&lt;=Table8[End]),Table8[요율],0,0),-1)</f>
        <v>0</v>
      </c>
      <c r="AU13" s="33" cm="1">
        <f t="array" ref="AU13">ROUNDDOWN($AQ13*_xlfn.XLOOKUP(1,(AU$5=Table8[Type])*($D13&lt;=Table8[End]),Table8[요율],0,0),-1)</f>
        <v>0</v>
      </c>
      <c r="AV13" s="33" cm="1">
        <f t="array" ref="AV13">ROUNDDOWN(AM13*_xlfn.XLOOKUP(1,(AV$5=Table8[Type])*($D13&lt;=Table8[End]),Table8[요율],0,0),-1)</f>
        <v>0</v>
      </c>
      <c r="AW13" s="33" cm="1">
        <f t="array" ref="AW13">_xlfn.XLOOKUP(1,(O13=Table2[주민등록번호])*(D13&gt;Table2[근무일자]),Table2[청구 Claim 
이월],0,0,-1)</f>
        <v>0</v>
      </c>
      <c r="AX13" s="34"/>
      <c r="AY13" s="33" cm="1">
        <f t="array" ref="AY13">MAX(SUM(AO13:AP13,AS13:AX13)-_xlfn.XLOOKUP(1,(D13&lt;=Table7[End])*(E13=Table7[근무처])*(F13=Table7[업무]),Table7[1일 공제 상한],0,0),0)</f>
        <v>0</v>
      </c>
      <c r="AZ13" s="33">
        <f t="shared" si="7"/>
        <v>0</v>
      </c>
      <c r="BA13" s="33">
        <f t="shared" si="8"/>
        <v>78880</v>
      </c>
      <c r="BB13" s="87">
        <f t="shared" si="9"/>
        <v>0</v>
      </c>
      <c r="BC13" s="88"/>
      <c r="BD13" s="33">
        <f t="shared" si="10"/>
        <v>0</v>
      </c>
      <c r="BE13" s="33">
        <f t="shared" si="11"/>
        <v>0</v>
      </c>
      <c r="BF13" s="33">
        <f t="shared" si="12"/>
        <v>0</v>
      </c>
      <c r="BG13" s="33">
        <f t="shared" si="13"/>
        <v>0</v>
      </c>
      <c r="BH13" s="33" cm="1">
        <f t="array" ref="BH13">ROUNDDOWN(AM13*_xlfn.XLOOKUP(1,(BH$5=Table8[Type])*($D13&lt;=Table8[End]),Table8[요율],0,0),-1)</f>
        <v>630</v>
      </c>
      <c r="BI13" s="29" t="str" cm="1">
        <f t="array" ref="BI13">_xlfn.XLOOKUP(1,(D13&lt;=Table7[End])*(E13=Table7[근무처])*(F13=Table7[업무]),Table7[지급옵션],0,0)</f>
        <v>D+2</v>
      </c>
      <c r="BJ13" s="83">
        <f>IF(BK13&lt;&gt;"",BK13,IFERROR(D13+_xlfn.NUMBERVALUE(RIGHT(BI13,1)),D13-WEEKDAY(D13)+CHOOSE(MATCH(RIGHT(BI13),{"일","월","화","수","목","금","토"},0),8,9,10,11,12,13,14)))</f>
        <v>45358</v>
      </c>
      <c r="BK13" s="84"/>
    </row>
    <row r="14" spans="2:63" x14ac:dyDescent="0.35">
      <c r="B14" s="20" t="str" cm="1">
        <f t="array" ref="B14">_xlfn.IFS(BB14&lt;&gt;BC14,"Claim확인",N14&lt;&gt;"OK","확인필요",TRUE,"")</f>
        <v/>
      </c>
      <c r="C14" s="21" t="str">
        <f t="shared" si="0"/>
        <v>010-12X4-XX781123581321</v>
      </c>
      <c r="D14" s="26">
        <v>45357</v>
      </c>
      <c r="E14" s="26" t="s">
        <v>254</v>
      </c>
      <c r="F14" s="25" t="s">
        <v>101</v>
      </c>
      <c r="G14" s="27" t="s">
        <v>60</v>
      </c>
      <c r="H14" s="25" t="s">
        <v>21</v>
      </c>
      <c r="I14" s="25"/>
      <c r="J14" s="25">
        <v>1123581321</v>
      </c>
      <c r="K14" s="28">
        <v>0.375</v>
      </c>
      <c r="L14" s="28">
        <v>0.75</v>
      </c>
      <c r="M14" s="28">
        <v>4.1666666666666664E-2</v>
      </c>
      <c r="N14" s="25" t="s">
        <v>281</v>
      </c>
      <c r="O14" s="29">
        <f>_xlfn.XLOOKUP(Table2[[#This Row],[Key]],Table1[Key],Table1[주민등록번호],"",0)</f>
        <v>1111111111111</v>
      </c>
      <c r="P14" s="29">
        <f>_xlfn.XLOOKUP(Table2[[#This Row],[Key]],Table1[Key],Table1[비자],"",0)</f>
        <v>0</v>
      </c>
      <c r="Q14" s="29">
        <f>IF(P14=0,0,_xlfn.XLOOKUP(Table2[[#This Row],[Key]],Table1[Key],Table1[고용보험 여부],0,0))</f>
        <v>0</v>
      </c>
      <c r="R14" s="29" t="str">
        <f t="shared" si="1"/>
        <v>2403</v>
      </c>
      <c r="S14" s="30" t="str">
        <f>YEAR(Table2[[#This Row],[근무일자]])&amp;TEXT(WEEKNUM(Table2[[#This Row],[근무일자]]),"00")</f>
        <v>202410</v>
      </c>
      <c r="T14" s="31">
        <f>_xlfn.XLOOKUP(Table2[[#This Row],[Key]],Table1[Key],Table1[등록일],"",0)</f>
        <v>45292</v>
      </c>
      <c r="U14" s="32">
        <f t="shared" si="2"/>
        <v>0.33333333333333331</v>
      </c>
      <c r="V14" s="89">
        <f t="shared" si="3"/>
        <v>0</v>
      </c>
      <c r="W14" s="100" t="str">
        <f>_xlfn.XLOOKUP(Table2[[#This Row],[근무일자]],Table3[Date],Table3[Holiday],"",0)</f>
        <v/>
      </c>
      <c r="X14" s="29">
        <f>IF(D14&lt;&gt;"",1,0)+IF(COUNTIFS(Table2[주민등록번호],O14,Table2[월],TEXT(EOMONTH(D14,-1),"YYMM"))&gt;0,1+IF(COUNTIFS(Table2[주민등록번호],O14,Table2[월],TEXT(EOMONTH(D14,-2),"YYMM"))&gt;0,1+IF(COUNTIFS(Table2[주민등록번호],O14,Table2[월],TEXT(EOMONTH(D14,-3),"YYMM"))&gt;0,1,0),0),0)</f>
        <v>2</v>
      </c>
      <c r="Y14" s="29">
        <f>COUNTIFS(Table2[주민등록번호],O14,Table2[월],R14,Table2[근무일자],"&lt;="&amp;D14)</f>
        <v>5</v>
      </c>
      <c r="Z14" s="29">
        <f>COUNTIFS(Table2[주민등록번호],O14,Table2[주간],S14,Table2[근무일자],"&lt;="&amp;D14)</f>
        <v>4</v>
      </c>
      <c r="AA14" s="29">
        <f>SUMIFS(Table2[근로
시간],Table2[주민등록번호],O14,Table2[주간],S14,Table2[근무일자],"&lt;="&amp;D14)*24</f>
        <v>31.999999999999993</v>
      </c>
      <c r="AB14" s="29" t="str">
        <f>IF(AND(Y14&gt;=8,COUNTIFS(Table2[주민등록번호],O14,Table2[근무일자],"&gt;="&amp;EOMONTH(D14,-2)+1,Table2[근무일자],"&lt;="&amp;EOMONTH(D14,-1)+1)&gt;0),"V","")</f>
        <v/>
      </c>
      <c r="AC14" s="33" cm="1">
        <f t="array" ref="AC14">IF(AD14&lt;&gt;"",AD14,_xlfn.XLOOKUP(1,(D14&lt;=Table7[End])*(E14=Table7[근무처])*(F14=Table7[업무]),Table7[시급],0,0))</f>
        <v>9860</v>
      </c>
      <c r="AD14" s="34"/>
      <c r="AE14" s="33">
        <f t="shared" si="4"/>
        <v>78880</v>
      </c>
      <c r="AF14" s="86" cm="1">
        <f t="array" ref="AF14">IF(AND(AA14&gt;=15,(AA14-U14*24)&lt;=40),IF(Z14&gt;=_xlfn.XLOOKUP(1,(D14&lt;=Table7[End])*(E14=Table7[근무처])*(F14=Table7[업무]),Table7[주휴적용일],0,0),1,0)+_xlfn.XLOOKUP(1,(Table2[주간]=Table2[[#This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4" s="86" cm="1">
        <f t="array" ref="AG14">MAX((_xlfn.IFS(AF14=0,0,AF14=1,AA14,AF14&gt;1,U14*24)-IF(AA14&gt;40,AA14-40,0))/5,0)</f>
        <v>0</v>
      </c>
      <c r="AH14" s="33">
        <f t="shared" si="5"/>
        <v>0</v>
      </c>
      <c r="AI14" s="33" cm="1">
        <f t="array" ref="AI14">IF(W14="",0,ROUND(AC14*U14*24*_xlfn.XLOOKUP(1,(D14&lt;=Table7[End])*(E14=Table7[근무처])*(F14=Table7[업무]),Table7[휴일인센티브],0,0),0))</f>
        <v>0</v>
      </c>
      <c r="AJ14" s="33" cm="1">
        <f t="array" ref="AJ14">ROUND(AC14*IF(U14&gt;=8/24,U14-8/24,0)*24*_xlfn.XLOOKUP(1,(D14&lt;=Table7[End])*(E14=Table7[근무처])*(F14=Table7[업무]),Table7[야간인센티브],0,0),0)</f>
        <v>0</v>
      </c>
      <c r="AK14" s="33" cm="1">
        <f t="array" ref="AK14">IF(V14=0,0,ROUND(AC14*V14*24*_xlfn.XLOOKUP(1,(D14&lt;=Table7[End])*(E14=Table7[근무처])*(F14=Table7[업무]),Table7[야간인센티브],0,0),0))</f>
        <v>0</v>
      </c>
      <c r="AL14" s="34"/>
      <c r="AM14" s="33">
        <f t="shared" si="6"/>
        <v>78880</v>
      </c>
      <c r="AN14" s="33" cm="1">
        <f t="array" ref="AN14">IF(AM14&gt;=_xlfn.XLOOKUP(TRUE,D14&lt;=Table5[End],Table5[비과세소득기준],0,0),AM14-_xlfn.XLOOKUP(TRUE,D14&lt;=Table5[End],Table5[비과세소득기준],0,0),0)</f>
        <v>0</v>
      </c>
      <c r="AO14" s="33" cm="1">
        <f t="array" ref="AO14">ROUNDDOWN(_xlfn.LET(_xlpm.setvalue,_xlfn.XLOOKUP(TRUE,D14&lt;=Table5[End],Table5[[요율]:[근로소득세액공제]],0,0),_xlpm.tax,AN14*PRODUCT((_xlpm.setvalue-{0,1})*{1,-1}),_xlpm.threshold,_xlfn.XLOOKUP(TRUE,D14&lt;=Table5[End],Table5[소액부징수기준],0,0),IF(_xlpm.tax&gt;=_xlpm.threshold,_xlpm.tax,0)),-1)</f>
        <v>0</v>
      </c>
      <c r="AP14" s="33">
        <f>ROUNDDOWN(Table2[[#This Row],[소득세]]*10%,-1)</f>
        <v>0</v>
      </c>
      <c r="AQ14" s="33">
        <f>IF(AB14="v",AM14+IF(Y14=8,SUMIFS(Table2[지급총액],Table2[주민등록번호],O14,Table2[월],R14,Table2[월간
근무일],"&lt;="&amp;8)-AM14,0),0)+_xlfn.NUMBERVALUE(AR14)</f>
        <v>0</v>
      </c>
      <c r="AR14" s="34"/>
      <c r="AS14" s="33" cm="1">
        <f t="array" ref="AS14">ROUNDDOWN($AQ14*_xlfn.XLOOKUP(1,(AS$5=Table8[Type])*($D14&lt;=Table8[End]),Table8[요율],0,0),0)</f>
        <v>0</v>
      </c>
      <c r="AT14" s="33" cm="1">
        <f t="array" ref="AT14">ROUNDDOWN(AS14*_xlfn.XLOOKUP(1,(AT$5=Table8[Type])*($D14&lt;=Table8[End]),Table8[요율],0,0),-1)</f>
        <v>0</v>
      </c>
      <c r="AU14" s="33" cm="1">
        <f t="array" ref="AU14">ROUNDDOWN($AQ14*_xlfn.XLOOKUP(1,(AU$5=Table8[Type])*($D14&lt;=Table8[End]),Table8[요율],0,0),-1)</f>
        <v>0</v>
      </c>
      <c r="AV14" s="33" cm="1">
        <f t="array" ref="AV14">ROUNDDOWN(AM14*_xlfn.XLOOKUP(1,(AV$5=Table8[Type])*($D14&lt;=Table8[End]),Table8[요율],0,0),-1)</f>
        <v>0</v>
      </c>
      <c r="AW14" s="33" cm="1">
        <f t="array" ref="AW14">_xlfn.XLOOKUP(1,(O14=Table2[주민등록번호])*(D14&gt;Table2[근무일자]),Table2[청구 Claim 
이월],0,0,-1)</f>
        <v>0</v>
      </c>
      <c r="AX14" s="34"/>
      <c r="AY14" s="33" cm="1">
        <f t="array" ref="AY14">MAX(SUM(AO14:AP14,AS14:AX14)-_xlfn.XLOOKUP(1,(D14&lt;=Table7[End])*(E14=Table7[근무처])*(F14=Table7[업무]),Table7[1일 공제 상한],0,0),0)</f>
        <v>0</v>
      </c>
      <c r="AZ14" s="33">
        <f t="shared" si="7"/>
        <v>0</v>
      </c>
      <c r="BA14" s="33">
        <f t="shared" si="8"/>
        <v>78880</v>
      </c>
      <c r="BB14" s="87">
        <f t="shared" si="9"/>
        <v>0</v>
      </c>
      <c r="BC14" s="88"/>
      <c r="BD14" s="33">
        <f t="shared" si="10"/>
        <v>0</v>
      </c>
      <c r="BE14" s="33">
        <f t="shared" si="11"/>
        <v>0</v>
      </c>
      <c r="BF14" s="33">
        <f t="shared" si="12"/>
        <v>0</v>
      </c>
      <c r="BG14" s="33">
        <f t="shared" si="13"/>
        <v>0</v>
      </c>
      <c r="BH14" s="33" cm="1">
        <f t="array" ref="BH14">ROUNDDOWN(AM14*_xlfn.XLOOKUP(1,(BH$5=Table8[Type])*($D14&lt;=Table8[End]),Table8[요율],0,0),-1)</f>
        <v>630</v>
      </c>
      <c r="BI14" s="29" t="str" cm="1">
        <f t="array" ref="BI14">_xlfn.XLOOKUP(1,(D14&lt;=Table7[End])*(E14=Table7[근무처])*(F14=Table7[업무]),Table7[지급옵션],0,0)</f>
        <v>D+2</v>
      </c>
      <c r="BJ14" s="83">
        <f>IF(BK14&lt;&gt;"",BK14,IFERROR(D14+_xlfn.NUMBERVALUE(RIGHT(BI14,1)),D14-WEEKDAY(D14)+CHOOSE(MATCH(RIGHT(BI14),{"일","월","화","수","목","금","토"},0),8,9,10,11,12,13,14)))</f>
        <v>45359</v>
      </c>
      <c r="BK14" s="84"/>
    </row>
    <row r="15" spans="2:63" x14ac:dyDescent="0.35">
      <c r="B15" s="20" t="str" cm="1">
        <f t="array" ref="B15">_xlfn.IFS(BB15&lt;&gt;BC15,"Claim확인",N15&lt;&gt;"OK","확인필요",TRUE,"")</f>
        <v/>
      </c>
      <c r="C15" s="21" t="str">
        <f t="shared" si="0"/>
        <v>010-12X4-XX781123581321</v>
      </c>
      <c r="D15" s="26">
        <v>45358</v>
      </c>
      <c r="E15" s="26" t="s">
        <v>254</v>
      </c>
      <c r="F15" s="25" t="s">
        <v>101</v>
      </c>
      <c r="G15" s="27" t="s">
        <v>60</v>
      </c>
      <c r="H15" s="25" t="s">
        <v>21</v>
      </c>
      <c r="I15" s="25"/>
      <c r="J15" s="25">
        <v>1123581321</v>
      </c>
      <c r="K15" s="28">
        <v>0.375</v>
      </c>
      <c r="L15" s="28">
        <v>0.58333333333333337</v>
      </c>
      <c r="M15" s="28">
        <v>4.1666666666666664E-2</v>
      </c>
      <c r="N15" s="25" t="s">
        <v>281</v>
      </c>
      <c r="O15" s="29">
        <f>_xlfn.XLOOKUP(Table2[[#This Row],[Key]],Table1[Key],Table1[주민등록번호],"",0)</f>
        <v>1111111111111</v>
      </c>
      <c r="P15" s="29">
        <f>_xlfn.XLOOKUP(Table2[[#This Row],[Key]],Table1[Key],Table1[비자],"",0)</f>
        <v>0</v>
      </c>
      <c r="Q15" s="29">
        <f>IF(P15=0,0,_xlfn.XLOOKUP(Table2[[#This Row],[Key]],Table1[Key],Table1[고용보험 여부],0,0))</f>
        <v>0</v>
      </c>
      <c r="R15" s="29" t="str">
        <f t="shared" si="1"/>
        <v>2403</v>
      </c>
      <c r="S15" s="30" t="str">
        <f>YEAR(Table2[[#This Row],[근무일자]])&amp;TEXT(WEEKNUM(Table2[[#This Row],[근무일자]]),"00")</f>
        <v>202410</v>
      </c>
      <c r="T15" s="31">
        <f>_xlfn.XLOOKUP(Table2[[#This Row],[Key]],Table1[Key],Table1[등록일],"",0)</f>
        <v>45292</v>
      </c>
      <c r="U15" s="32">
        <f t="shared" si="2"/>
        <v>0.16666666666666671</v>
      </c>
      <c r="V15" s="89">
        <f t="shared" si="3"/>
        <v>0</v>
      </c>
      <c r="W15" s="100" t="str">
        <f>_xlfn.XLOOKUP(Table2[[#This Row],[근무일자]],Table3[Date],Table3[Holiday],"",0)</f>
        <v/>
      </c>
      <c r="X15" s="29">
        <f>IF(D15&lt;&gt;"",1,0)+IF(COUNTIFS(Table2[주민등록번호],O15,Table2[월],TEXT(EOMONTH(D15,-1),"YYMM"))&gt;0,1+IF(COUNTIFS(Table2[주민등록번호],O15,Table2[월],TEXT(EOMONTH(D15,-2),"YYMM"))&gt;0,1+IF(COUNTIFS(Table2[주민등록번호],O15,Table2[월],TEXT(EOMONTH(D15,-3),"YYMM"))&gt;0,1,0),0),0)</f>
        <v>2</v>
      </c>
      <c r="Y15" s="29">
        <f>COUNTIFS(Table2[주민등록번호],O15,Table2[월],R15,Table2[근무일자],"&lt;="&amp;D15)</f>
        <v>6</v>
      </c>
      <c r="Z15" s="29">
        <f>COUNTIFS(Table2[주민등록번호],O15,Table2[주간],S15,Table2[근무일자],"&lt;="&amp;D15)</f>
        <v>5</v>
      </c>
      <c r="AA15" s="29">
        <f>SUMIFS(Table2[근로
시간],Table2[주민등록번호],O15,Table2[주간],S15,Table2[근무일자],"&lt;="&amp;D15)*24</f>
        <v>35.999999999999993</v>
      </c>
      <c r="AB15" s="29" t="str">
        <f>IF(AND(Y15&gt;=8,COUNTIFS(Table2[주민등록번호],O15,Table2[근무일자],"&gt;="&amp;EOMONTH(D15,-2)+1,Table2[근무일자],"&lt;="&amp;EOMONTH(D15,-1)+1)&gt;0),"V","")</f>
        <v/>
      </c>
      <c r="AC15" s="33" cm="1">
        <f t="array" ref="AC15">IF(AD15&lt;&gt;"",AD15,_xlfn.XLOOKUP(1,(D15&lt;=Table7[End])*(E15=Table7[근무처])*(F15=Table7[업무]),Table7[시급],0,0))</f>
        <v>9860</v>
      </c>
      <c r="AD15" s="34"/>
      <c r="AE15" s="33">
        <f t="shared" si="4"/>
        <v>39440</v>
      </c>
      <c r="AF15" s="86" cm="1">
        <f t="array" ref="AF15">IF(AND(AA15&gt;=15,(AA15-U15*24)&lt;=40),IF(Z15&gt;=_xlfn.XLOOKUP(1,(D15&lt;=Table7[End])*(E15=Table7[근무처])*(F15=Table7[업무]),Table7[주휴적용일],0,0),1,0)+_xlfn.XLOOKUP(1,(Table2[주간]=Table2[[#This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5" s="86" cm="1">
        <f t="array" ref="AG15">MAX((_xlfn.IFS(AF15=0,0,AF15=1,AA15,AF15&gt;1,U15*24)-IF(AA15&gt;40,AA15-40,0))/5,0)</f>
        <v>7.1999999999999984</v>
      </c>
      <c r="AH15" s="33">
        <f t="shared" si="5"/>
        <v>70992</v>
      </c>
      <c r="AI15" s="33" cm="1">
        <f t="array" ref="AI15">IF(W15="",0,ROUND(AC15*U15*24*_xlfn.XLOOKUP(1,(D15&lt;=Table7[End])*(E15=Table7[근무처])*(F15=Table7[업무]),Table7[휴일인센티브],0,0),0))</f>
        <v>0</v>
      </c>
      <c r="AJ15" s="33" cm="1">
        <f t="array" ref="AJ15">ROUND(AC15*IF(U15&gt;=8/24,U15-8/24,0)*24*_xlfn.XLOOKUP(1,(D15&lt;=Table7[End])*(E15=Table7[근무처])*(F15=Table7[업무]),Table7[야간인센티브],0,0),0)</f>
        <v>0</v>
      </c>
      <c r="AK15" s="33" cm="1">
        <f t="array" ref="AK15">IF(V15=0,0,ROUND(AC15*V15*24*_xlfn.XLOOKUP(1,(D15&lt;=Table7[End])*(E15=Table7[근무처])*(F15=Table7[업무]),Table7[야간인센티브],0,0),0))</f>
        <v>0</v>
      </c>
      <c r="AL15" s="34"/>
      <c r="AM15" s="33">
        <f t="shared" si="6"/>
        <v>110432</v>
      </c>
      <c r="AN15" s="33" cm="1">
        <f t="array" ref="AN15">IF(AM15&gt;=_xlfn.XLOOKUP(TRUE,D15&lt;=Table5[End],Table5[비과세소득기준],0,0),AM15-_xlfn.XLOOKUP(TRUE,D15&lt;=Table5[End],Table5[비과세소득기준],0,0),0)</f>
        <v>0</v>
      </c>
      <c r="AO15" s="33" cm="1">
        <f t="array" ref="AO15">ROUNDDOWN(_xlfn.LET(_xlpm.setvalue,_xlfn.XLOOKUP(TRUE,D15&lt;=Table5[End],Table5[[요율]:[근로소득세액공제]],0,0),_xlpm.tax,AN15*PRODUCT((_xlpm.setvalue-{0,1})*{1,-1}),_xlpm.threshold,_xlfn.XLOOKUP(TRUE,D15&lt;=Table5[End],Table5[소액부징수기준],0,0),IF(_xlpm.tax&gt;=_xlpm.threshold,_xlpm.tax,0)),-1)</f>
        <v>0</v>
      </c>
      <c r="AP15" s="33">
        <f>ROUNDDOWN(Table2[[#This Row],[소득세]]*10%,-1)</f>
        <v>0</v>
      </c>
      <c r="AQ15" s="33">
        <f>IF(AB15="v",AM15+IF(Y15=8,SUMIFS(Table2[지급총액],Table2[주민등록번호],O15,Table2[월],R15,Table2[월간
근무일],"&lt;="&amp;8)-AM15,0),0)+_xlfn.NUMBERVALUE(AR15)</f>
        <v>0</v>
      </c>
      <c r="AR15" s="34"/>
      <c r="AS15" s="33" cm="1">
        <f t="array" ref="AS15">ROUNDDOWN($AQ15*_xlfn.XLOOKUP(1,(AS$5=Table8[Type])*($D15&lt;=Table8[End]),Table8[요율],0,0),0)</f>
        <v>0</v>
      </c>
      <c r="AT15" s="33" cm="1">
        <f t="array" ref="AT15">ROUNDDOWN(AS15*_xlfn.XLOOKUP(1,(AT$5=Table8[Type])*($D15&lt;=Table8[End]),Table8[요율],0,0),-1)</f>
        <v>0</v>
      </c>
      <c r="AU15" s="33" cm="1">
        <f t="array" ref="AU15">ROUNDDOWN($AQ15*_xlfn.XLOOKUP(1,(AU$5=Table8[Type])*($D15&lt;=Table8[End]),Table8[요율],0,0),-1)</f>
        <v>0</v>
      </c>
      <c r="AV15" s="33" cm="1">
        <f t="array" ref="AV15">ROUNDDOWN(AM15*_xlfn.XLOOKUP(1,(AV$5=Table8[Type])*($D15&lt;=Table8[End]),Table8[요율],0,0),-1)</f>
        <v>0</v>
      </c>
      <c r="AW15" s="33" cm="1">
        <f t="array" ref="AW15">_xlfn.XLOOKUP(1,(O15=Table2[주민등록번호])*(D15&gt;Table2[근무일자]),Table2[청구 Claim 
이월],0,0,-1)</f>
        <v>0</v>
      </c>
      <c r="AX15" s="34"/>
      <c r="AY15" s="33" cm="1">
        <f t="array" ref="AY15">MAX(SUM(AO15:AP15,AS15:AX15)-_xlfn.XLOOKUP(1,(D15&lt;=Table7[End])*(E15=Table7[근무처])*(F15=Table7[업무]),Table7[1일 공제 상한],0,0),0)</f>
        <v>0</v>
      </c>
      <c r="AZ15" s="33">
        <f t="shared" si="7"/>
        <v>0</v>
      </c>
      <c r="BA15" s="33">
        <f t="shared" si="8"/>
        <v>110432</v>
      </c>
      <c r="BB15" s="87">
        <f t="shared" si="9"/>
        <v>0</v>
      </c>
      <c r="BC15" s="88"/>
      <c r="BD15" s="33">
        <f t="shared" si="10"/>
        <v>0</v>
      </c>
      <c r="BE15" s="33">
        <f t="shared" si="11"/>
        <v>0</v>
      </c>
      <c r="BF15" s="33">
        <f t="shared" si="12"/>
        <v>0</v>
      </c>
      <c r="BG15" s="33">
        <f t="shared" si="13"/>
        <v>0</v>
      </c>
      <c r="BH15" s="33" cm="1">
        <f t="array" ref="BH15">ROUNDDOWN(AM15*_xlfn.XLOOKUP(1,(BH$5=Table8[Type])*($D15&lt;=Table8[End]),Table8[요율],0,0),-1)</f>
        <v>880</v>
      </c>
      <c r="BI15" s="29" t="str" cm="1">
        <f t="array" ref="BI15">_xlfn.XLOOKUP(1,(D15&lt;=Table7[End])*(E15=Table7[근무처])*(F15=Table7[업무]),Table7[지급옵션],0,0)</f>
        <v>D+2</v>
      </c>
      <c r="BJ15" s="83">
        <f>IF(BK15&lt;&gt;"",BK15,IFERROR(D15+_xlfn.NUMBERVALUE(RIGHT(BI15,1)),D15-WEEKDAY(D15)+CHOOSE(MATCH(RIGHT(BI15),{"일","월","화","수","목","금","토"},0),8,9,10,11,12,13,14)))</f>
        <v>45360</v>
      </c>
      <c r="BK15" s="84"/>
    </row>
    <row r="16" spans="2:63" x14ac:dyDescent="0.35">
      <c r="B16" s="20" t="str" cm="1">
        <f t="array" ref="B16">_xlfn.IFS(BB16&lt;&gt;BC16,"Claim확인",N16&lt;&gt;"OK","확인필요",TRUE,"")</f>
        <v/>
      </c>
      <c r="C16" s="21" t="str">
        <f t="shared" si="0"/>
        <v>010-12X4-XX781123581321</v>
      </c>
      <c r="D16" s="26">
        <v>45360</v>
      </c>
      <c r="E16" s="26" t="s">
        <v>254</v>
      </c>
      <c r="F16" s="25" t="s">
        <v>101</v>
      </c>
      <c r="G16" s="27" t="s">
        <v>60</v>
      </c>
      <c r="H16" s="25" t="s">
        <v>21</v>
      </c>
      <c r="I16" s="25"/>
      <c r="J16" s="25">
        <v>1123581321</v>
      </c>
      <c r="K16" s="28">
        <v>0.375</v>
      </c>
      <c r="L16" s="28">
        <v>0.75</v>
      </c>
      <c r="M16" s="28">
        <v>4.1666666666666664E-2</v>
      </c>
      <c r="N16" s="25" t="s">
        <v>281</v>
      </c>
      <c r="O16" s="29">
        <f>_xlfn.XLOOKUP(Table2[[#This Row],[Key]],Table1[Key],Table1[주민등록번호],"",0)</f>
        <v>1111111111111</v>
      </c>
      <c r="P16" s="29">
        <f>_xlfn.XLOOKUP(Table2[[#This Row],[Key]],Table1[Key],Table1[비자],"",0)</f>
        <v>0</v>
      </c>
      <c r="Q16" s="29">
        <f>IF(P16=0,0,_xlfn.XLOOKUP(Table2[[#This Row],[Key]],Table1[Key],Table1[고용보험 여부],0,0))</f>
        <v>0</v>
      </c>
      <c r="R16" s="29" t="str">
        <f t="shared" si="1"/>
        <v>2403</v>
      </c>
      <c r="S16" s="30" t="str">
        <f>YEAR(Table2[[#This Row],[근무일자]])&amp;TEXT(WEEKNUM(Table2[[#This Row],[근무일자]]),"00")</f>
        <v>202410</v>
      </c>
      <c r="T16" s="31">
        <f>_xlfn.XLOOKUP(Table2[[#This Row],[Key]],Table1[Key],Table1[등록일],"",0)</f>
        <v>45292</v>
      </c>
      <c r="U16" s="32">
        <f t="shared" si="2"/>
        <v>0.33333333333333331</v>
      </c>
      <c r="V16" s="89">
        <f t="shared" si="3"/>
        <v>0</v>
      </c>
      <c r="W16" s="100" t="str">
        <f>_xlfn.XLOOKUP(Table2[[#This Row],[근무일자]],Table3[Date],Table3[Holiday],"",0)</f>
        <v/>
      </c>
      <c r="X16" s="29">
        <f>IF(D16&lt;&gt;"",1,0)+IF(COUNTIFS(Table2[주민등록번호],O16,Table2[월],TEXT(EOMONTH(D16,-1),"YYMM"))&gt;0,1+IF(COUNTIFS(Table2[주민등록번호],O16,Table2[월],TEXT(EOMONTH(D16,-2),"YYMM"))&gt;0,1+IF(COUNTIFS(Table2[주민등록번호],O16,Table2[월],TEXT(EOMONTH(D16,-3),"YYMM"))&gt;0,1,0),0),0)</f>
        <v>2</v>
      </c>
      <c r="Y16" s="29">
        <f>COUNTIFS(Table2[주민등록번호],O16,Table2[월],R16,Table2[근무일자],"&lt;="&amp;D16)</f>
        <v>7</v>
      </c>
      <c r="Z16" s="29">
        <f>COUNTIFS(Table2[주민등록번호],O16,Table2[주간],S16,Table2[근무일자],"&lt;="&amp;D16)</f>
        <v>6</v>
      </c>
      <c r="AA16" s="29">
        <f>SUMIFS(Table2[근로
시간],Table2[주민등록번호],O16,Table2[주간],S16,Table2[근무일자],"&lt;="&amp;D16)*24</f>
        <v>43.999999999999993</v>
      </c>
      <c r="AB16" s="29" t="str">
        <f>IF(AND(Y16&gt;=8,COUNTIFS(Table2[주민등록번호],O16,Table2[근무일자],"&gt;="&amp;EOMONTH(D16,-2)+1,Table2[근무일자],"&lt;="&amp;EOMONTH(D16,-1)+1)&gt;0),"V","")</f>
        <v/>
      </c>
      <c r="AC16" s="33" cm="1">
        <f t="array" ref="AC16">IF(AD16&lt;&gt;"",AD16,_xlfn.XLOOKUP(1,(D16&lt;=Table7[End])*(E16=Table7[근무처])*(F16=Table7[업무]),Table7[시급],0,0))</f>
        <v>9860</v>
      </c>
      <c r="AD16" s="34"/>
      <c r="AE16" s="33">
        <f t="shared" si="4"/>
        <v>78880</v>
      </c>
      <c r="AF16" s="86" cm="1">
        <f t="array" ref="AF16">IF(AND(AA16&gt;=15,(AA16-U16*24)&lt;=40),IF(Z16&gt;=_xlfn.XLOOKUP(1,(D16&lt;=Table7[End])*(E16=Table7[근무처])*(F16=Table7[업무]),Table7[주휴적용일],0,0),1,0)+_xlfn.XLOOKUP(1,(Table2[주간]=Table2[[#This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6" s="86" cm="1">
        <f t="array" ref="AG16">MAX((_xlfn.IFS(AF16=0,0,AF16=1,AA16,AF16&gt;1,U16*24)-IF(AA16&gt;40,AA16-40,0))/5,0)</f>
        <v>0.80000000000000138</v>
      </c>
      <c r="AH16" s="33">
        <f t="shared" si="5"/>
        <v>7888</v>
      </c>
      <c r="AI16" s="33" cm="1">
        <f t="array" ref="AI16">IF(W16="",0,ROUND(AC16*U16*24*_xlfn.XLOOKUP(1,(D16&lt;=Table7[End])*(E16=Table7[근무처])*(F16=Table7[업무]),Table7[휴일인센티브],0,0),0))</f>
        <v>0</v>
      </c>
      <c r="AJ16" s="33" cm="1">
        <f t="array" ref="AJ16">ROUND(AC16*IF(U16&gt;=8/24,U16-8/24,0)*24*_xlfn.XLOOKUP(1,(D16&lt;=Table7[End])*(E16=Table7[근무처])*(F16=Table7[업무]),Table7[야간인센티브],0,0),0)</f>
        <v>0</v>
      </c>
      <c r="AK16" s="33" cm="1">
        <f t="array" ref="AK16">IF(V16=0,0,ROUND(AC16*V16*24*_xlfn.XLOOKUP(1,(D16&lt;=Table7[End])*(E16=Table7[근무처])*(F16=Table7[업무]),Table7[야간인센티브],0,0),0))</f>
        <v>0</v>
      </c>
      <c r="AL16" s="34"/>
      <c r="AM16" s="33">
        <f t="shared" si="6"/>
        <v>86768</v>
      </c>
      <c r="AN16" s="33" cm="1">
        <f t="array" ref="AN16">IF(AM16&gt;=_xlfn.XLOOKUP(TRUE,D16&lt;=Table5[End],Table5[비과세소득기준],0,0),AM16-_xlfn.XLOOKUP(TRUE,D16&lt;=Table5[End],Table5[비과세소득기준],0,0),0)</f>
        <v>0</v>
      </c>
      <c r="AO16" s="33" cm="1">
        <f t="array" ref="AO16">ROUNDDOWN(_xlfn.LET(_xlpm.setvalue,_xlfn.XLOOKUP(TRUE,D16&lt;=Table5[End],Table5[[요율]:[근로소득세액공제]],0,0),_xlpm.tax,AN16*PRODUCT((_xlpm.setvalue-{0,1})*{1,-1}),_xlpm.threshold,_xlfn.XLOOKUP(TRUE,D16&lt;=Table5[End],Table5[소액부징수기준],0,0),IF(_xlpm.tax&gt;=_xlpm.threshold,_xlpm.tax,0)),-1)</f>
        <v>0</v>
      </c>
      <c r="AP16" s="33">
        <f>ROUNDDOWN(Table2[[#This Row],[소득세]]*10%,-1)</f>
        <v>0</v>
      </c>
      <c r="AQ16" s="33">
        <f>IF(AB16="v",AM16+IF(Y16=8,SUMIFS(Table2[지급총액],Table2[주민등록번호],O16,Table2[월],R16,Table2[월간
근무일],"&lt;="&amp;8)-AM16,0),0)+_xlfn.NUMBERVALUE(AR16)</f>
        <v>0</v>
      </c>
      <c r="AR16" s="34"/>
      <c r="AS16" s="33" cm="1">
        <f t="array" ref="AS16">ROUNDDOWN($AQ16*_xlfn.XLOOKUP(1,(AS$5=Table8[Type])*($D16&lt;=Table8[End]),Table8[요율],0,0),0)</f>
        <v>0</v>
      </c>
      <c r="AT16" s="33" cm="1">
        <f t="array" ref="AT16">ROUNDDOWN(AS16*_xlfn.XLOOKUP(1,(AT$5=Table8[Type])*($D16&lt;=Table8[End]),Table8[요율],0,0),-1)</f>
        <v>0</v>
      </c>
      <c r="AU16" s="33" cm="1">
        <f t="array" ref="AU16">ROUNDDOWN($AQ16*_xlfn.XLOOKUP(1,(AU$5=Table8[Type])*($D16&lt;=Table8[End]),Table8[요율],0,0),-1)</f>
        <v>0</v>
      </c>
      <c r="AV16" s="33" cm="1">
        <f t="array" ref="AV16">ROUNDDOWN(AM16*_xlfn.XLOOKUP(1,(AV$5=Table8[Type])*($D16&lt;=Table8[End]),Table8[요율],0,0),-1)</f>
        <v>0</v>
      </c>
      <c r="AW16" s="33" cm="1">
        <f t="array" ref="AW16">_xlfn.XLOOKUP(1,(O16=Table2[주민등록번호])*(D16&gt;Table2[근무일자]),Table2[청구 Claim 
이월],0,0,-1)</f>
        <v>0</v>
      </c>
      <c r="AX16" s="34"/>
      <c r="AY16" s="33" cm="1">
        <f t="array" ref="AY16">MAX(SUM(AO16:AP16,AS16:AX16)-_xlfn.XLOOKUP(1,(D16&lt;=Table7[End])*(E16=Table7[근무처])*(F16=Table7[업무]),Table7[1일 공제 상한],0,0),0)</f>
        <v>0</v>
      </c>
      <c r="AZ16" s="33">
        <f t="shared" si="7"/>
        <v>0</v>
      </c>
      <c r="BA16" s="33">
        <f t="shared" si="8"/>
        <v>86768</v>
      </c>
      <c r="BB16" s="87">
        <f t="shared" si="9"/>
        <v>0</v>
      </c>
      <c r="BC16" s="88"/>
      <c r="BD16" s="33">
        <f t="shared" si="10"/>
        <v>0</v>
      </c>
      <c r="BE16" s="33">
        <f t="shared" si="11"/>
        <v>0</v>
      </c>
      <c r="BF16" s="33">
        <f t="shared" si="12"/>
        <v>0</v>
      </c>
      <c r="BG16" s="33">
        <f t="shared" si="13"/>
        <v>0</v>
      </c>
      <c r="BH16" s="33" cm="1">
        <f t="array" ref="BH16">ROUNDDOWN(AM16*_xlfn.XLOOKUP(1,(BH$5=Table8[Type])*($D16&lt;=Table8[End]),Table8[요율],0,0),-1)</f>
        <v>690</v>
      </c>
      <c r="BI16" s="29" t="str" cm="1">
        <f t="array" ref="BI16">_xlfn.XLOOKUP(1,(D16&lt;=Table7[End])*(E16=Table7[근무처])*(F16=Table7[업무]),Table7[지급옵션],0,0)</f>
        <v>D+2</v>
      </c>
      <c r="BJ16" s="83">
        <f>IF(BK16&lt;&gt;"",BK16,IFERROR(D16+_xlfn.NUMBERVALUE(RIGHT(BI16,1)),D16-WEEKDAY(D16)+CHOOSE(MATCH(RIGHT(BI16),{"일","월","화","수","목","금","토"},0),8,9,10,11,12,13,14)))</f>
        <v>45362</v>
      </c>
      <c r="BK16" s="84"/>
    </row>
    <row r="17" spans="2:63" x14ac:dyDescent="0.35">
      <c r="B17" s="20" t="str" cm="1">
        <f t="array" ref="B17">_xlfn.IFS(BB17&lt;&gt;BC17,"Claim확인",N17&lt;&gt;"OK","확인필요",TRUE,"")</f>
        <v/>
      </c>
      <c r="C17" s="21" t="str">
        <f t="shared" si="0"/>
        <v>010-12X4-XX781123581321</v>
      </c>
      <c r="D17" s="26">
        <v>45363</v>
      </c>
      <c r="E17" s="26" t="s">
        <v>254</v>
      </c>
      <c r="F17" s="25" t="s">
        <v>101</v>
      </c>
      <c r="G17" s="27" t="s">
        <v>60</v>
      </c>
      <c r="H17" s="25" t="s">
        <v>21</v>
      </c>
      <c r="I17" s="25"/>
      <c r="J17" s="25">
        <v>1123581321</v>
      </c>
      <c r="K17" s="28">
        <v>0.375</v>
      </c>
      <c r="L17" s="28">
        <v>0.75</v>
      </c>
      <c r="M17" s="28">
        <v>4.1666666666666664E-2</v>
      </c>
      <c r="N17" s="25" t="s">
        <v>281</v>
      </c>
      <c r="O17" s="29">
        <f>_xlfn.XLOOKUP(Table2[[#This Row],[Key]],Table1[Key],Table1[주민등록번호],"",0)</f>
        <v>1111111111111</v>
      </c>
      <c r="P17" s="29">
        <f>_xlfn.XLOOKUP(Table2[[#This Row],[Key]],Table1[Key],Table1[비자],"",0)</f>
        <v>0</v>
      </c>
      <c r="Q17" s="29">
        <f>IF(P17=0,0,_xlfn.XLOOKUP(Table2[[#This Row],[Key]],Table1[Key],Table1[고용보험 여부],0,0))</f>
        <v>0</v>
      </c>
      <c r="R17" s="29" t="str">
        <f t="shared" si="1"/>
        <v>2403</v>
      </c>
      <c r="S17" s="30" t="str">
        <f>YEAR(Table2[[#This Row],[근무일자]])&amp;TEXT(WEEKNUM(Table2[[#This Row],[근무일자]]),"00")</f>
        <v>202411</v>
      </c>
      <c r="T17" s="31">
        <f>_xlfn.XLOOKUP(Table2[[#This Row],[Key]],Table1[Key],Table1[등록일],"",0)</f>
        <v>45292</v>
      </c>
      <c r="U17" s="32">
        <f t="shared" si="2"/>
        <v>0.33333333333333331</v>
      </c>
      <c r="V17" s="89">
        <f t="shared" si="3"/>
        <v>0</v>
      </c>
      <c r="W17" s="100" t="str">
        <f>_xlfn.XLOOKUP(Table2[[#This Row],[근무일자]],Table3[Date],Table3[Holiday],"",0)</f>
        <v/>
      </c>
      <c r="X17" s="29">
        <f>IF(D17&lt;&gt;"",1,0)+IF(COUNTIFS(Table2[주민등록번호],O17,Table2[월],TEXT(EOMONTH(D17,-1),"YYMM"))&gt;0,1+IF(COUNTIFS(Table2[주민등록번호],O17,Table2[월],TEXT(EOMONTH(D17,-2),"YYMM"))&gt;0,1+IF(COUNTIFS(Table2[주민등록번호],O17,Table2[월],TEXT(EOMONTH(D17,-3),"YYMM"))&gt;0,1,0),0),0)</f>
        <v>2</v>
      </c>
      <c r="Y17" s="29">
        <f>COUNTIFS(Table2[주민등록번호],O17,Table2[월],R17,Table2[근무일자],"&lt;="&amp;D17)</f>
        <v>8</v>
      </c>
      <c r="Z17" s="29">
        <f>COUNTIFS(Table2[주민등록번호],O17,Table2[주간],S17,Table2[근무일자],"&lt;="&amp;D17)</f>
        <v>1</v>
      </c>
      <c r="AA17" s="29">
        <f>SUMIFS(Table2[근로
시간],Table2[주민등록번호],O17,Table2[주간],S17,Table2[근무일자],"&lt;="&amp;D17)*24</f>
        <v>8</v>
      </c>
      <c r="AB17" s="29" t="str">
        <f>IF(AND(Y17&gt;=8,COUNTIFS(Table2[주민등록번호],O17,Table2[근무일자],"&gt;="&amp;EOMONTH(D17,-2)+1,Table2[근무일자],"&lt;="&amp;EOMONTH(D17,-1)+1)&gt;0),"V","")</f>
        <v>V</v>
      </c>
      <c r="AC17" s="33" cm="1">
        <f t="array" ref="AC17">IF(AD17&lt;&gt;"",AD17,_xlfn.XLOOKUP(1,(D17&lt;=Table7[End])*(E17=Table7[근무처])*(F17=Table7[업무]),Table7[시급],0,0))</f>
        <v>20000</v>
      </c>
      <c r="AD17" s="34">
        <v>20000</v>
      </c>
      <c r="AE17" s="33">
        <f t="shared" si="4"/>
        <v>160000</v>
      </c>
      <c r="AF17" s="86" cm="1">
        <f t="array" ref="AF17">IF(AND(AA17&gt;=15,(AA17-U17*24)&lt;=40),IF(Z17&gt;=_xlfn.XLOOKUP(1,(D17&lt;=Table7[End])*(E17=Table7[근무처])*(F17=Table7[업무]),Table7[주휴적용일],0,0),1,0)+_xlfn.XLOOKUP(1,(Table2[주간]=Table2[[#This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7" s="86" cm="1">
        <f t="array" ref="AG17">MAX((_xlfn.IFS(AF17=0,0,AF17=1,AA17,AF17&gt;1,U17*24)-IF(AA17&gt;40,AA17-40,0))/5,0)</f>
        <v>0</v>
      </c>
      <c r="AH17" s="33">
        <f t="shared" si="5"/>
        <v>0</v>
      </c>
      <c r="AI17" s="33" cm="1">
        <f t="array" ref="AI17">IF(W17="",0,ROUND(AC17*U17*24*_xlfn.XLOOKUP(1,(D17&lt;=Table7[End])*(E17=Table7[근무처])*(F17=Table7[업무]),Table7[휴일인센티브],0,0),0))</f>
        <v>0</v>
      </c>
      <c r="AJ17" s="33" cm="1">
        <f t="array" ref="AJ17">ROUND(AC17*IF(U17&gt;=8/24,U17-8/24,0)*24*_xlfn.XLOOKUP(1,(D17&lt;=Table7[End])*(E17=Table7[근무처])*(F17=Table7[업무]),Table7[야간인센티브],0,0),0)</f>
        <v>0</v>
      </c>
      <c r="AK17" s="33" cm="1">
        <f t="array" ref="AK17">IF(V17=0,0,ROUND(AC17*V17*24*_xlfn.XLOOKUP(1,(D17&lt;=Table7[End])*(E17=Table7[근무처])*(F17=Table7[업무]),Table7[야간인센티브],0,0),0))</f>
        <v>0</v>
      </c>
      <c r="AL17" s="34">
        <v>50000</v>
      </c>
      <c r="AM17" s="33">
        <f t="shared" si="6"/>
        <v>210000</v>
      </c>
      <c r="AN17" s="33" cm="1">
        <f t="array" ref="AN17">IF(AM17&gt;=_xlfn.XLOOKUP(TRUE,D17&lt;=Table5[End],Table5[비과세소득기준],0,0),AM17-_xlfn.XLOOKUP(TRUE,D17&lt;=Table5[End],Table5[비과세소득기준],0,0),0)</f>
        <v>60000</v>
      </c>
      <c r="AO17" s="33" cm="1">
        <f t="array" ref="AO17">ROUNDDOWN(_xlfn.LET(_xlpm.setvalue,_xlfn.XLOOKUP(TRUE,D17&lt;=Table5[End],Table5[[요율]:[근로소득세액공제]],0,0),_xlpm.tax,AN17*PRODUCT((_xlpm.setvalue-{0,1})*{1,-1}),_xlpm.threshold,_xlfn.XLOOKUP(TRUE,D17&lt;=Table5[End],Table5[소액부징수기준],0,0),IF(_xlpm.tax&gt;=_xlpm.threshold,_xlpm.tax,0)),-1)</f>
        <v>1620</v>
      </c>
      <c r="AP17" s="33">
        <f>ROUNDDOWN(Table2[[#This Row],[소득세]]*10%,-1)</f>
        <v>160</v>
      </c>
      <c r="AQ17" s="33">
        <f>IF(AB17="v",AM17+IF(Y17=8,SUMIFS(Table2[지급총액],Table2[주민등록번호],O17,Table2[월],R17,Table2[월간
근무일],"&lt;="&amp;8)-AM17,0),0)+_xlfn.NUMBERVALUE(AR17)</f>
        <v>836110</v>
      </c>
      <c r="AR17" s="34"/>
      <c r="AS17" s="33" cm="1">
        <f t="array" ref="AS17">ROUNDDOWN($AQ17*_xlfn.XLOOKUP(1,(AS$5=Table8[Type])*($D17&lt;=Table8[End]),Table8[요율],0,0),0)</f>
        <v>29640</v>
      </c>
      <c r="AT17" s="33" cm="1">
        <f t="array" ref="AT17">ROUNDDOWN(AS17*_xlfn.XLOOKUP(1,(AT$5=Table8[Type])*($D17&lt;=Table8[End]),Table8[요율],0,0),-1)</f>
        <v>3840</v>
      </c>
      <c r="AU17" s="33" cm="1">
        <f t="array" ref="AU17">ROUNDDOWN($AQ17*_xlfn.XLOOKUP(1,(AU$5=Table8[Type])*($D17&lt;=Table8[End]),Table8[요율],0,0),-1)</f>
        <v>37620</v>
      </c>
      <c r="AV17" s="33" cm="1">
        <f t="array" ref="AV17">ROUNDDOWN(AM17*_xlfn.XLOOKUP(1,(AV$5=Table8[Type])*($D17&lt;=Table8[End]),Table8[요율],0,0),-1)</f>
        <v>0</v>
      </c>
      <c r="AW17" s="33" cm="1">
        <f t="array" ref="AW17">_xlfn.XLOOKUP(1,(O17=Table2[주민등록번호])*(D17&gt;Table2[근무일자]),Table2[청구 Claim 
이월],0,0,-1)</f>
        <v>0</v>
      </c>
      <c r="AX17" s="34"/>
      <c r="AY17" s="33" cm="1">
        <f t="array" ref="AY17">MAX(SUM(AO17:AP17,AS17:AX17)-_xlfn.XLOOKUP(1,(D17&lt;=Table7[End])*(E17=Table7[근무처])*(F17=Table7[업무]),Table7[1일 공제 상한],0,0),0)</f>
        <v>0</v>
      </c>
      <c r="AZ17" s="33">
        <f t="shared" si="7"/>
        <v>72880</v>
      </c>
      <c r="BA17" s="33">
        <f t="shared" si="8"/>
        <v>137120</v>
      </c>
      <c r="BB17" s="87">
        <f t="shared" si="9"/>
        <v>0</v>
      </c>
      <c r="BC17" s="88"/>
      <c r="BD17" s="33">
        <f t="shared" si="10"/>
        <v>29640</v>
      </c>
      <c r="BE17" s="33">
        <f t="shared" si="11"/>
        <v>3840</v>
      </c>
      <c r="BF17" s="33">
        <f t="shared" si="12"/>
        <v>37620</v>
      </c>
      <c r="BG17" s="33">
        <f t="shared" si="13"/>
        <v>0</v>
      </c>
      <c r="BH17" s="33" cm="1">
        <f t="array" ref="BH17">ROUNDDOWN(AM17*_xlfn.XLOOKUP(1,(BH$5=Table8[Type])*($D17&lt;=Table8[End]),Table8[요율],0,0),-1)</f>
        <v>1680</v>
      </c>
      <c r="BI17" s="29" t="str" cm="1">
        <f t="array" ref="BI17">_xlfn.XLOOKUP(1,(D17&lt;=Table7[End])*(E17=Table7[근무처])*(F17=Table7[업무]),Table7[지급옵션],0,0)</f>
        <v>D+2</v>
      </c>
      <c r="BJ17" s="83">
        <f>IF(BK17&lt;&gt;"",BK17,IFERROR(D17+_xlfn.NUMBERVALUE(RIGHT(BI17,1)),D17-WEEKDAY(D17)+CHOOSE(MATCH(RIGHT(BI17),{"일","월","화","수","목","금","토"},0),8,9,10,11,12,13,14)))</f>
        <v>45365</v>
      </c>
      <c r="BK17" s="84"/>
    </row>
    <row r="18" spans="2:63" x14ac:dyDescent="0.35">
      <c r="B18" s="20" t="str" cm="1">
        <f t="array" ref="B18">_xlfn.IFS(BB18&lt;&gt;BC18,"Claim확인",N18&lt;&gt;"OK","확인필요",TRUE,"")</f>
        <v/>
      </c>
      <c r="C18" s="21" t="str">
        <f t="shared" si="0"/>
        <v>010-12X4-XX781123581321</v>
      </c>
      <c r="D18" s="26">
        <v>45383</v>
      </c>
      <c r="E18" s="26" t="s">
        <v>254</v>
      </c>
      <c r="F18" s="25" t="s">
        <v>101</v>
      </c>
      <c r="G18" s="27" t="s">
        <v>60</v>
      </c>
      <c r="H18" s="25" t="s">
        <v>21</v>
      </c>
      <c r="I18" s="25"/>
      <c r="J18" s="25">
        <v>1123581321</v>
      </c>
      <c r="K18" s="28">
        <v>0.375</v>
      </c>
      <c r="L18" s="28">
        <v>0.75</v>
      </c>
      <c r="M18" s="28">
        <v>4.1666666666666664E-2</v>
      </c>
      <c r="N18" s="25" t="s">
        <v>281</v>
      </c>
      <c r="O18" s="29">
        <f>_xlfn.XLOOKUP(Table2[[#This Row],[Key]],Table1[Key],Table1[주민등록번호],"",0)</f>
        <v>1111111111111</v>
      </c>
      <c r="P18" s="29">
        <f>_xlfn.XLOOKUP(Table2[[#This Row],[Key]],Table1[Key],Table1[비자],"",0)</f>
        <v>0</v>
      </c>
      <c r="Q18" s="29">
        <f>IF(P18=0,0,_xlfn.XLOOKUP(Table2[[#This Row],[Key]],Table1[Key],Table1[고용보험 여부],0,0))</f>
        <v>0</v>
      </c>
      <c r="R18" s="29" t="str">
        <f t="shared" si="1"/>
        <v>2404</v>
      </c>
      <c r="S18" s="30" t="str">
        <f>YEAR(Table2[[#This Row],[근무일자]])&amp;TEXT(WEEKNUM(Table2[[#This Row],[근무일자]]),"00")</f>
        <v>202414</v>
      </c>
      <c r="T18" s="31">
        <f>_xlfn.XLOOKUP(Table2[[#This Row],[Key]],Table1[Key],Table1[등록일],"",0)</f>
        <v>45292</v>
      </c>
      <c r="U18" s="32">
        <f t="shared" si="2"/>
        <v>0.33333333333333331</v>
      </c>
      <c r="V18" s="89">
        <f t="shared" si="3"/>
        <v>0</v>
      </c>
      <c r="W18" s="100" t="str">
        <f>_xlfn.XLOOKUP(Table2[[#This Row],[근무일자]],Table3[Date],Table3[Holiday],"",0)</f>
        <v/>
      </c>
      <c r="X18" s="29">
        <f>IF(D18&lt;&gt;"",1,0)+IF(COUNTIFS(Table2[주민등록번호],O18,Table2[월],TEXT(EOMONTH(D18,-1),"YYMM"))&gt;0,1+IF(COUNTIFS(Table2[주민등록번호],O18,Table2[월],TEXT(EOMONTH(D18,-2),"YYMM"))&gt;0,1+IF(COUNTIFS(Table2[주민등록번호],O18,Table2[월],TEXT(EOMONTH(D18,-3),"YYMM"))&gt;0,1,0),0),0)</f>
        <v>3</v>
      </c>
      <c r="Y18" s="29">
        <f>COUNTIFS(Table2[주민등록번호],O18,Table2[월],R18,Table2[근무일자],"&lt;="&amp;D18)</f>
        <v>1</v>
      </c>
      <c r="Z18" s="29">
        <f>COUNTIFS(Table2[주민등록번호],O18,Table2[주간],S18,Table2[근무일자],"&lt;="&amp;D18)</f>
        <v>1</v>
      </c>
      <c r="AA18" s="29">
        <f>SUMIFS(Table2[근로
시간],Table2[주민등록번호],O18,Table2[주간],S18,Table2[근무일자],"&lt;="&amp;D18)*24</f>
        <v>8</v>
      </c>
      <c r="AB18" s="29" t="str">
        <f>IF(AND(Y18&gt;=8,COUNTIFS(Table2[주민등록번호],O18,Table2[근무일자],"&gt;="&amp;EOMONTH(D18,-2)+1,Table2[근무일자],"&lt;="&amp;EOMONTH(D18,-1)+1)&gt;0),"V","")</f>
        <v/>
      </c>
      <c r="AC18" s="33" cm="1">
        <f t="array" ref="AC18">IF(AD18&lt;&gt;"",AD18,_xlfn.XLOOKUP(1,(D18&lt;=Table7[End])*(E18=Table7[근무처])*(F18=Table7[업무]),Table7[시급],0,0))</f>
        <v>9860</v>
      </c>
      <c r="AD18" s="34"/>
      <c r="AE18" s="33">
        <f t="shared" si="4"/>
        <v>78880</v>
      </c>
      <c r="AF18" s="86" cm="1">
        <f t="array" ref="AF18">IF(AND(AA18&gt;=15,(AA18-U18*24)&lt;=40),IF(Z18&gt;=_xlfn.XLOOKUP(1,(D18&lt;=Table7[End])*(E18=Table7[근무처])*(F18=Table7[업무]),Table7[주휴적용일],0,0),1,0)+_xlfn.XLOOKUP(1,(Table2[주간]=Table2[[#This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8" s="86" cm="1">
        <f t="array" ref="AG18">MAX((_xlfn.IFS(AF18=0,0,AF18=1,AA18,AF18&gt;1,U18*24)-IF(AA18&gt;40,AA18-40,0))/5,0)</f>
        <v>0</v>
      </c>
      <c r="AH18" s="33">
        <f t="shared" si="5"/>
        <v>0</v>
      </c>
      <c r="AI18" s="33" cm="1">
        <f t="array" ref="AI18">IF(W18="",0,ROUND(AC18*U18*24*_xlfn.XLOOKUP(1,(D18&lt;=Table7[End])*(E18=Table7[근무처])*(F18=Table7[업무]),Table7[휴일인센티브],0,0),0))</f>
        <v>0</v>
      </c>
      <c r="AJ18" s="33" cm="1">
        <f t="array" ref="AJ18">ROUND(AC18*IF(U18&gt;=8/24,U18-8/24,0)*24*_xlfn.XLOOKUP(1,(D18&lt;=Table7[End])*(E18=Table7[근무처])*(F18=Table7[업무]),Table7[야간인센티브],0,0),0)</f>
        <v>0</v>
      </c>
      <c r="AK18" s="33" cm="1">
        <f t="array" ref="AK18">IF(V18=0,0,ROUND(AC18*V18*24*_xlfn.XLOOKUP(1,(D18&lt;=Table7[End])*(E18=Table7[근무처])*(F18=Table7[업무]),Table7[야간인센티브],0,0),0))</f>
        <v>0</v>
      </c>
      <c r="AL18" s="34"/>
      <c r="AM18" s="33">
        <f t="shared" si="6"/>
        <v>78880</v>
      </c>
      <c r="AN18" s="33" cm="1">
        <f t="array" ref="AN18">IF(AM18&gt;=_xlfn.XLOOKUP(TRUE,D18&lt;=Table5[End],Table5[비과세소득기준],0,0),AM18-_xlfn.XLOOKUP(TRUE,D18&lt;=Table5[End],Table5[비과세소득기준],0,0),0)</f>
        <v>0</v>
      </c>
      <c r="AO18" s="33" cm="1">
        <f t="array" ref="AO18">ROUNDDOWN(_xlfn.LET(_xlpm.setvalue,_xlfn.XLOOKUP(TRUE,D18&lt;=Table5[End],Table5[[요율]:[근로소득세액공제]],0,0),_xlpm.tax,AN18*PRODUCT((_xlpm.setvalue-{0,1})*{1,-1}),_xlpm.threshold,_xlfn.XLOOKUP(TRUE,D18&lt;=Table5[End],Table5[소액부징수기준],0,0),IF(_xlpm.tax&gt;=_xlpm.threshold,_xlpm.tax,0)),-1)</f>
        <v>0</v>
      </c>
      <c r="AP18" s="33">
        <f>ROUNDDOWN(Table2[[#This Row],[소득세]]*10%,-1)</f>
        <v>0</v>
      </c>
      <c r="AQ18" s="33">
        <f>IF(AB18="v",AM18+IF(Y18=8,SUMIFS(Table2[지급총액],Table2[주민등록번호],O18,Table2[월],R18,Table2[월간
근무일],"&lt;="&amp;8)-AM18,0),0)+_xlfn.NUMBERVALUE(AR18)</f>
        <v>0</v>
      </c>
      <c r="AR18" s="34"/>
      <c r="AS18" s="33" cm="1">
        <f t="array" ref="AS18">ROUNDDOWN($AQ18*_xlfn.XLOOKUP(1,(AS$5=Table8[Type])*($D18&lt;=Table8[End]),Table8[요율],0,0),0)</f>
        <v>0</v>
      </c>
      <c r="AT18" s="33" cm="1">
        <f t="array" ref="AT18">ROUNDDOWN(AS18*_xlfn.XLOOKUP(1,(AT$5=Table8[Type])*($D18&lt;=Table8[End]),Table8[요율],0,0),-1)</f>
        <v>0</v>
      </c>
      <c r="AU18" s="33" cm="1">
        <f t="array" ref="AU18">ROUNDDOWN($AQ18*_xlfn.XLOOKUP(1,(AU$5=Table8[Type])*($D18&lt;=Table8[End]),Table8[요율],0,0),-1)</f>
        <v>0</v>
      </c>
      <c r="AV18" s="33" cm="1">
        <f t="array" ref="AV18">ROUNDDOWN(AM18*_xlfn.XLOOKUP(1,(AV$5=Table8[Type])*($D18&lt;=Table8[End]),Table8[요율],0,0),-1)</f>
        <v>0</v>
      </c>
      <c r="AW18" s="33" cm="1">
        <f t="array" ref="AW18">_xlfn.XLOOKUP(1,(O18=Table2[주민등록번호])*(D18&gt;Table2[근무일자]),Table2[청구 Claim 
이월],0,0,-1)</f>
        <v>0</v>
      </c>
      <c r="AX18" s="34"/>
      <c r="AY18" s="33" cm="1">
        <f t="array" ref="AY18">MAX(SUM(AO18:AP18,AS18:AX18)-_xlfn.XLOOKUP(1,(D18&lt;=Table7[End])*(E18=Table7[근무처])*(F18=Table7[업무]),Table7[1일 공제 상한],0,0),0)</f>
        <v>0</v>
      </c>
      <c r="AZ18" s="33">
        <f t="shared" si="7"/>
        <v>0</v>
      </c>
      <c r="BA18" s="33">
        <f t="shared" si="8"/>
        <v>78880</v>
      </c>
      <c r="BB18" s="87">
        <f t="shared" si="9"/>
        <v>0</v>
      </c>
      <c r="BC18" s="88"/>
      <c r="BD18" s="33">
        <f t="shared" si="10"/>
        <v>0</v>
      </c>
      <c r="BE18" s="33">
        <f t="shared" si="11"/>
        <v>0</v>
      </c>
      <c r="BF18" s="33">
        <f t="shared" si="12"/>
        <v>0</v>
      </c>
      <c r="BG18" s="33">
        <f t="shared" si="13"/>
        <v>0</v>
      </c>
      <c r="BH18" s="33" cm="1">
        <f t="array" ref="BH18">ROUNDDOWN(AM18*_xlfn.XLOOKUP(1,(BH$5=Table8[Type])*($D18&lt;=Table8[End]),Table8[요율],0,0),-1)</f>
        <v>630</v>
      </c>
      <c r="BI18" s="29" t="str" cm="1">
        <f t="array" ref="BI18">_xlfn.XLOOKUP(1,(D18&lt;=Table7[End])*(E18=Table7[근무처])*(F18=Table7[업무]),Table7[지급옵션],0,0)</f>
        <v>D+2</v>
      </c>
      <c r="BJ18" s="83">
        <f>IF(BK18&lt;&gt;"",BK18,IFERROR(D18+_xlfn.NUMBERVALUE(RIGHT(BI18,1)),D18-WEEKDAY(D18)+CHOOSE(MATCH(RIGHT(BI18),{"일","월","화","수","목","금","토"},0),8,9,10,11,12,13,14)))</f>
        <v>45385</v>
      </c>
      <c r="BK18" s="84"/>
    </row>
    <row r="19" spans="2:63" x14ac:dyDescent="0.35">
      <c r="B19" s="20" t="str" cm="1">
        <f t="array" ref="B19">_xlfn.IFS(BB19&lt;&gt;BC19,"Claim확인",N19&lt;&gt;"OK","확인필요",TRUE,"")</f>
        <v/>
      </c>
      <c r="C19" s="21" t="str">
        <f t="shared" si="0"/>
        <v>010-12X4-XX781123581321</v>
      </c>
      <c r="D19" s="26">
        <v>45385</v>
      </c>
      <c r="E19" s="26" t="s">
        <v>254</v>
      </c>
      <c r="F19" s="25" t="s">
        <v>101</v>
      </c>
      <c r="G19" s="27" t="s">
        <v>60</v>
      </c>
      <c r="H19" s="25" t="s">
        <v>21</v>
      </c>
      <c r="I19" s="25"/>
      <c r="J19" s="25">
        <v>1123581321</v>
      </c>
      <c r="K19" s="28">
        <v>0.375</v>
      </c>
      <c r="L19" s="28">
        <v>0.75</v>
      </c>
      <c r="M19" s="28">
        <v>4.1666666666666664E-2</v>
      </c>
      <c r="N19" s="25" t="s">
        <v>281</v>
      </c>
      <c r="O19" s="29">
        <f>_xlfn.XLOOKUP(Table2[[#This Row],[Key]],Table1[Key],Table1[주민등록번호],"",0)</f>
        <v>1111111111111</v>
      </c>
      <c r="P19" s="29">
        <f>_xlfn.XLOOKUP(Table2[[#This Row],[Key]],Table1[Key],Table1[비자],"",0)</f>
        <v>0</v>
      </c>
      <c r="Q19" s="29">
        <f>IF(P19=0,0,_xlfn.XLOOKUP(Table2[[#This Row],[Key]],Table1[Key],Table1[고용보험 여부],0,0))</f>
        <v>0</v>
      </c>
      <c r="R19" s="29" t="str">
        <f t="shared" si="1"/>
        <v>2404</v>
      </c>
      <c r="S19" s="30" t="str">
        <f>YEAR(Table2[[#This Row],[근무일자]])&amp;TEXT(WEEKNUM(Table2[[#This Row],[근무일자]]),"00")</f>
        <v>202414</v>
      </c>
      <c r="T19" s="31">
        <f>_xlfn.XLOOKUP(Table2[[#This Row],[Key]],Table1[Key],Table1[등록일],"",0)</f>
        <v>45292</v>
      </c>
      <c r="U19" s="32">
        <f t="shared" si="2"/>
        <v>0.33333333333333331</v>
      </c>
      <c r="V19" s="89">
        <f t="shared" si="3"/>
        <v>0</v>
      </c>
      <c r="W19" s="100" t="str">
        <f>_xlfn.XLOOKUP(Table2[[#This Row],[근무일자]],Table3[Date],Table3[Holiday],"",0)</f>
        <v/>
      </c>
      <c r="X19" s="29">
        <f>IF(D19&lt;&gt;"",1,0)+IF(COUNTIFS(Table2[주민등록번호],O19,Table2[월],TEXT(EOMONTH(D19,-1),"YYMM"))&gt;0,1+IF(COUNTIFS(Table2[주민등록번호],O19,Table2[월],TEXT(EOMONTH(D19,-2),"YYMM"))&gt;0,1+IF(COUNTIFS(Table2[주민등록번호],O19,Table2[월],TEXT(EOMONTH(D19,-3),"YYMM"))&gt;0,1,0),0),0)</f>
        <v>3</v>
      </c>
      <c r="Y19" s="29">
        <f>COUNTIFS(Table2[주민등록번호],O19,Table2[월],R19,Table2[근무일자],"&lt;="&amp;D19)</f>
        <v>2</v>
      </c>
      <c r="Z19" s="29">
        <f>COUNTIFS(Table2[주민등록번호],O19,Table2[주간],S19,Table2[근무일자],"&lt;="&amp;D19)</f>
        <v>2</v>
      </c>
      <c r="AA19" s="29">
        <f>SUMIFS(Table2[근로
시간],Table2[주민등록번호],O19,Table2[주간],S19,Table2[근무일자],"&lt;="&amp;D19)*24</f>
        <v>16</v>
      </c>
      <c r="AB19" s="29" t="str">
        <f>IF(AND(Y19&gt;=8,COUNTIFS(Table2[주민등록번호],O19,Table2[근무일자],"&gt;="&amp;EOMONTH(D19,-2)+1,Table2[근무일자],"&lt;="&amp;EOMONTH(D19,-1)+1)&gt;0),"V","")</f>
        <v/>
      </c>
      <c r="AC19" s="33" cm="1">
        <f t="array" ref="AC19">IF(AD19&lt;&gt;"",AD19,_xlfn.XLOOKUP(1,(D19&lt;=Table7[End])*(E19=Table7[근무처])*(F19=Table7[업무]),Table7[시급],0,0))</f>
        <v>9860</v>
      </c>
      <c r="AD19" s="34"/>
      <c r="AE19" s="33">
        <f t="shared" si="4"/>
        <v>78880</v>
      </c>
      <c r="AF19" s="86" cm="1">
        <f t="array" ref="AF19">IF(AND(AA19&gt;=15,(AA19-U19*24)&lt;=40),IF(Z19&gt;=_xlfn.XLOOKUP(1,(D19&lt;=Table7[End])*(E19=Table7[근무처])*(F19=Table7[업무]),Table7[주휴적용일],0,0),1,0)+_xlfn.XLOOKUP(1,(Table2[주간]=Table2[[#This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9" s="86" cm="1">
        <f t="array" ref="AG19">MAX((_xlfn.IFS(AF19=0,0,AF19=1,AA19,AF19&gt;1,U19*24)-IF(AA19&gt;40,AA19-40,0))/5,0)</f>
        <v>0</v>
      </c>
      <c r="AH19" s="33">
        <f t="shared" si="5"/>
        <v>0</v>
      </c>
      <c r="AI19" s="33" cm="1">
        <f t="array" ref="AI19">IF(W19="",0,ROUND(AC19*U19*24*_xlfn.XLOOKUP(1,(D19&lt;=Table7[End])*(E19=Table7[근무처])*(F19=Table7[업무]),Table7[휴일인센티브],0,0),0))</f>
        <v>0</v>
      </c>
      <c r="AJ19" s="33" cm="1">
        <f t="array" ref="AJ19">ROUND(AC19*IF(U19&gt;=8/24,U19-8/24,0)*24*_xlfn.XLOOKUP(1,(D19&lt;=Table7[End])*(E19=Table7[근무처])*(F19=Table7[업무]),Table7[야간인센티브],0,0),0)</f>
        <v>0</v>
      </c>
      <c r="AK19" s="33" cm="1">
        <f t="array" ref="AK19">IF(V19=0,0,ROUND(AC19*V19*24*_xlfn.XLOOKUP(1,(D19&lt;=Table7[End])*(E19=Table7[근무처])*(F19=Table7[업무]),Table7[야간인센티브],0,0),0))</f>
        <v>0</v>
      </c>
      <c r="AL19" s="34"/>
      <c r="AM19" s="33">
        <f t="shared" si="6"/>
        <v>78880</v>
      </c>
      <c r="AN19" s="33" cm="1">
        <f t="array" ref="AN19">IF(AM19&gt;=_xlfn.XLOOKUP(TRUE,D19&lt;=Table5[End],Table5[비과세소득기준],0,0),AM19-_xlfn.XLOOKUP(TRUE,D19&lt;=Table5[End],Table5[비과세소득기준],0,0),0)</f>
        <v>0</v>
      </c>
      <c r="AO19" s="33" cm="1">
        <f t="array" ref="AO19">ROUNDDOWN(_xlfn.LET(_xlpm.setvalue,_xlfn.XLOOKUP(TRUE,D19&lt;=Table5[End],Table5[[요율]:[근로소득세액공제]],0,0),_xlpm.tax,AN19*PRODUCT((_xlpm.setvalue-{0,1})*{1,-1}),_xlpm.threshold,_xlfn.XLOOKUP(TRUE,D19&lt;=Table5[End],Table5[소액부징수기준],0,0),IF(_xlpm.tax&gt;=_xlpm.threshold,_xlpm.tax,0)),-1)</f>
        <v>0</v>
      </c>
      <c r="AP19" s="33">
        <f>ROUNDDOWN(Table2[[#This Row],[소득세]]*10%,-1)</f>
        <v>0</v>
      </c>
      <c r="AQ19" s="33">
        <f>IF(AB19="v",AM19+IF(Y19=8,SUMIFS(Table2[지급총액],Table2[주민등록번호],O19,Table2[월],R19,Table2[월간
근무일],"&lt;="&amp;8)-AM19,0),0)+_xlfn.NUMBERVALUE(AR19)</f>
        <v>0</v>
      </c>
      <c r="AR19" s="34"/>
      <c r="AS19" s="33" cm="1">
        <f t="array" ref="AS19">ROUNDDOWN($AQ19*_xlfn.XLOOKUP(1,(AS$5=Table8[Type])*($D19&lt;=Table8[End]),Table8[요율],0,0),0)</f>
        <v>0</v>
      </c>
      <c r="AT19" s="33" cm="1">
        <f t="array" ref="AT19">ROUNDDOWN(AS19*_xlfn.XLOOKUP(1,(AT$5=Table8[Type])*($D19&lt;=Table8[End]),Table8[요율],0,0),-1)</f>
        <v>0</v>
      </c>
      <c r="AU19" s="33" cm="1">
        <f t="array" ref="AU19">ROUNDDOWN($AQ19*_xlfn.XLOOKUP(1,(AU$5=Table8[Type])*($D19&lt;=Table8[End]),Table8[요율],0,0),-1)</f>
        <v>0</v>
      </c>
      <c r="AV19" s="33" cm="1">
        <f t="array" ref="AV19">ROUNDDOWN(AM19*_xlfn.XLOOKUP(1,(AV$5=Table8[Type])*($D19&lt;=Table8[End]),Table8[요율],0,0),-1)</f>
        <v>0</v>
      </c>
      <c r="AW19" s="33" cm="1">
        <f t="array" ref="AW19">_xlfn.XLOOKUP(1,(O19=Table2[주민등록번호])*(D19&gt;Table2[근무일자]),Table2[청구 Claim 
이월],0,0,-1)</f>
        <v>0</v>
      </c>
      <c r="AX19" s="34"/>
      <c r="AY19" s="33" cm="1">
        <f t="array" ref="AY19">MAX(SUM(AO19:AP19,AS19:AX19)-_xlfn.XLOOKUP(1,(D19&lt;=Table7[End])*(E19=Table7[근무처])*(F19=Table7[업무]),Table7[1일 공제 상한],0,0),0)</f>
        <v>0</v>
      </c>
      <c r="AZ19" s="33">
        <f t="shared" si="7"/>
        <v>0</v>
      </c>
      <c r="BA19" s="33">
        <f t="shared" si="8"/>
        <v>78880</v>
      </c>
      <c r="BB19" s="87">
        <f t="shared" si="9"/>
        <v>0</v>
      </c>
      <c r="BC19" s="88"/>
      <c r="BD19" s="33">
        <f t="shared" si="10"/>
        <v>0</v>
      </c>
      <c r="BE19" s="33">
        <f t="shared" si="11"/>
        <v>0</v>
      </c>
      <c r="BF19" s="33">
        <f t="shared" si="12"/>
        <v>0</v>
      </c>
      <c r="BG19" s="33">
        <f t="shared" si="13"/>
        <v>0</v>
      </c>
      <c r="BH19" s="33" cm="1">
        <f t="array" ref="BH19">ROUNDDOWN(AM19*_xlfn.XLOOKUP(1,(BH$5=Table8[Type])*($D19&lt;=Table8[End]),Table8[요율],0,0),-1)</f>
        <v>630</v>
      </c>
      <c r="BI19" s="29" t="str" cm="1">
        <f t="array" ref="BI19">_xlfn.XLOOKUP(1,(D19&lt;=Table7[End])*(E19=Table7[근무처])*(F19=Table7[업무]),Table7[지급옵션],0,0)</f>
        <v>D+2</v>
      </c>
      <c r="BJ19" s="83">
        <f>IF(BK19&lt;&gt;"",BK19,IFERROR(D19+_xlfn.NUMBERVALUE(RIGHT(BI19,1)),D19-WEEKDAY(D19)+CHOOSE(MATCH(RIGHT(BI19),{"일","월","화","수","목","금","토"},0),8,9,10,11,12,13,14)))</f>
        <v>45387</v>
      </c>
      <c r="BK19" s="84"/>
    </row>
    <row r="20" spans="2:63" x14ac:dyDescent="0.35">
      <c r="B20" s="20" t="str" cm="1">
        <f t="array" ref="B20">_xlfn.IFS(BB20&lt;&gt;BC20,"Claim확인",N20&lt;&gt;"OK","확인필요",TRUE,"")</f>
        <v/>
      </c>
      <c r="C20" s="21" t="str">
        <f t="shared" si="0"/>
        <v>010-12X4-XX781123581321</v>
      </c>
      <c r="D20" s="26">
        <v>45386</v>
      </c>
      <c r="E20" s="26" t="s">
        <v>254</v>
      </c>
      <c r="F20" s="25" t="s">
        <v>101</v>
      </c>
      <c r="G20" s="27" t="s">
        <v>60</v>
      </c>
      <c r="H20" s="25" t="s">
        <v>21</v>
      </c>
      <c r="I20" s="25"/>
      <c r="J20" s="25">
        <v>1123581321</v>
      </c>
      <c r="K20" s="28">
        <v>0.375</v>
      </c>
      <c r="L20" s="28">
        <v>0.75</v>
      </c>
      <c r="M20" s="28">
        <v>4.1666666666666664E-2</v>
      </c>
      <c r="N20" s="25" t="s">
        <v>281</v>
      </c>
      <c r="O20" s="29">
        <f>_xlfn.XLOOKUP(Table2[[#This Row],[Key]],Table1[Key],Table1[주민등록번호],"",0)</f>
        <v>1111111111111</v>
      </c>
      <c r="P20" s="29">
        <f>_xlfn.XLOOKUP(Table2[[#This Row],[Key]],Table1[Key],Table1[비자],"",0)</f>
        <v>0</v>
      </c>
      <c r="Q20" s="29">
        <f>IF(P20=0,0,_xlfn.XLOOKUP(Table2[[#This Row],[Key]],Table1[Key],Table1[고용보험 여부],0,0))</f>
        <v>0</v>
      </c>
      <c r="R20" s="29" t="str">
        <f t="shared" si="1"/>
        <v>2404</v>
      </c>
      <c r="S20" s="30" t="str">
        <f>YEAR(Table2[[#This Row],[근무일자]])&amp;TEXT(WEEKNUM(Table2[[#This Row],[근무일자]]),"00")</f>
        <v>202414</v>
      </c>
      <c r="T20" s="31">
        <f>_xlfn.XLOOKUP(Table2[[#This Row],[Key]],Table1[Key],Table1[등록일],"",0)</f>
        <v>45292</v>
      </c>
      <c r="U20" s="32">
        <f t="shared" si="2"/>
        <v>0.33333333333333331</v>
      </c>
      <c r="V20" s="89">
        <f t="shared" si="3"/>
        <v>0</v>
      </c>
      <c r="W20" s="100" t="str">
        <f>_xlfn.XLOOKUP(Table2[[#This Row],[근무일자]],Table3[Date],Table3[Holiday],"",0)</f>
        <v/>
      </c>
      <c r="X20" s="29">
        <f>IF(D20&lt;&gt;"",1,0)+IF(COUNTIFS(Table2[주민등록번호],O20,Table2[월],TEXT(EOMONTH(D20,-1),"YYMM"))&gt;0,1+IF(COUNTIFS(Table2[주민등록번호],O20,Table2[월],TEXT(EOMONTH(D20,-2),"YYMM"))&gt;0,1+IF(COUNTIFS(Table2[주민등록번호],O20,Table2[월],TEXT(EOMONTH(D20,-3),"YYMM"))&gt;0,1,0),0),0)</f>
        <v>3</v>
      </c>
      <c r="Y20" s="29">
        <f>COUNTIFS(Table2[주민등록번호],O20,Table2[월],R20,Table2[근무일자],"&lt;="&amp;D20)</f>
        <v>3</v>
      </c>
      <c r="Z20" s="29">
        <f>COUNTIFS(Table2[주민등록번호],O20,Table2[주간],S20,Table2[근무일자],"&lt;="&amp;D20)</f>
        <v>3</v>
      </c>
      <c r="AA20" s="29">
        <f>SUMIFS(Table2[근로
시간],Table2[주민등록번호],O20,Table2[주간],S20,Table2[근무일자],"&lt;="&amp;D20)*24</f>
        <v>24</v>
      </c>
      <c r="AB20" s="29" t="str">
        <f>IF(AND(Y20&gt;=8,COUNTIFS(Table2[주민등록번호],O20,Table2[근무일자],"&gt;="&amp;EOMONTH(D20,-2)+1,Table2[근무일자],"&lt;="&amp;EOMONTH(D20,-1)+1)&gt;0),"V","")</f>
        <v/>
      </c>
      <c r="AC20" s="33" cm="1">
        <f t="array" ref="AC20">IF(AD20&lt;&gt;"",AD20,_xlfn.XLOOKUP(1,(D20&lt;=Table7[End])*(E20=Table7[근무처])*(F20=Table7[업무]),Table7[시급],0,0))</f>
        <v>9860</v>
      </c>
      <c r="AD20" s="34"/>
      <c r="AE20" s="33">
        <f t="shared" si="4"/>
        <v>78880</v>
      </c>
      <c r="AF20" s="86" cm="1">
        <f t="array" ref="AF20">IF(AND(AA20&gt;=15,(AA20-U20*24)&lt;=40),IF(Z20&gt;=_xlfn.XLOOKUP(1,(D20&lt;=Table7[End])*(E20=Table7[근무처])*(F20=Table7[업무]),Table7[주휴적용일],0,0),1,0)+_xlfn.XLOOKUP(1,(Table2[주간]=Table2[[#This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0" s="86" cm="1">
        <f t="array" ref="AG20">MAX((_xlfn.IFS(AF20=0,0,AF20=1,AA20,AF20&gt;1,U20*24)-IF(AA20&gt;40,AA20-40,0))/5,0)</f>
        <v>0</v>
      </c>
      <c r="AH20" s="33">
        <f t="shared" si="5"/>
        <v>0</v>
      </c>
      <c r="AI20" s="33" cm="1">
        <f t="array" ref="AI20">IF(W20="",0,ROUND(AC20*U20*24*_xlfn.XLOOKUP(1,(D20&lt;=Table7[End])*(E20=Table7[근무처])*(F20=Table7[업무]),Table7[휴일인센티브],0,0),0))</f>
        <v>0</v>
      </c>
      <c r="AJ20" s="33" cm="1">
        <f t="array" ref="AJ20">ROUND(AC20*IF(U20&gt;=8/24,U20-8/24,0)*24*_xlfn.XLOOKUP(1,(D20&lt;=Table7[End])*(E20=Table7[근무처])*(F20=Table7[업무]),Table7[야간인센티브],0,0),0)</f>
        <v>0</v>
      </c>
      <c r="AK20" s="33" cm="1">
        <f t="array" ref="AK20">IF(V20=0,0,ROUND(AC20*V20*24*_xlfn.XLOOKUP(1,(D20&lt;=Table7[End])*(E20=Table7[근무처])*(F20=Table7[업무]),Table7[야간인센티브],0,0),0))</f>
        <v>0</v>
      </c>
      <c r="AL20" s="34"/>
      <c r="AM20" s="33">
        <f t="shared" si="6"/>
        <v>78880</v>
      </c>
      <c r="AN20" s="33" cm="1">
        <f t="array" ref="AN20">IF(AM20&gt;=_xlfn.XLOOKUP(TRUE,D20&lt;=Table5[End],Table5[비과세소득기준],0,0),AM20-_xlfn.XLOOKUP(TRUE,D20&lt;=Table5[End],Table5[비과세소득기준],0,0),0)</f>
        <v>0</v>
      </c>
      <c r="AO20" s="33" cm="1">
        <f t="array" ref="AO20">ROUNDDOWN(_xlfn.LET(_xlpm.setvalue,_xlfn.XLOOKUP(TRUE,D20&lt;=Table5[End],Table5[[요율]:[근로소득세액공제]],0,0),_xlpm.tax,AN20*PRODUCT((_xlpm.setvalue-{0,1})*{1,-1}),_xlpm.threshold,_xlfn.XLOOKUP(TRUE,D20&lt;=Table5[End],Table5[소액부징수기준],0,0),IF(_xlpm.tax&gt;=_xlpm.threshold,_xlpm.tax,0)),-1)</f>
        <v>0</v>
      </c>
      <c r="AP20" s="33">
        <f>ROUNDDOWN(Table2[[#This Row],[소득세]]*10%,-1)</f>
        <v>0</v>
      </c>
      <c r="AQ20" s="33">
        <f>IF(AB20="v",AM20+IF(Y20=8,SUMIFS(Table2[지급총액],Table2[주민등록번호],O20,Table2[월],R20,Table2[월간
근무일],"&lt;="&amp;8)-AM20,0),0)+_xlfn.NUMBERVALUE(AR20)</f>
        <v>0</v>
      </c>
      <c r="AR20" s="34"/>
      <c r="AS20" s="33" cm="1">
        <f t="array" ref="AS20">ROUNDDOWN($AQ20*_xlfn.XLOOKUP(1,(AS$5=Table8[Type])*($D20&lt;=Table8[End]),Table8[요율],0,0),0)</f>
        <v>0</v>
      </c>
      <c r="AT20" s="33" cm="1">
        <f t="array" ref="AT20">ROUNDDOWN(AS20*_xlfn.XLOOKUP(1,(AT$5=Table8[Type])*($D20&lt;=Table8[End]),Table8[요율],0,0),-1)</f>
        <v>0</v>
      </c>
      <c r="AU20" s="33" cm="1">
        <f t="array" ref="AU20">ROUNDDOWN($AQ20*_xlfn.XLOOKUP(1,(AU$5=Table8[Type])*($D20&lt;=Table8[End]),Table8[요율],0,0),-1)</f>
        <v>0</v>
      </c>
      <c r="AV20" s="33" cm="1">
        <f t="array" ref="AV20">ROUNDDOWN(AM20*_xlfn.XLOOKUP(1,(AV$5=Table8[Type])*($D20&lt;=Table8[End]),Table8[요율],0,0),-1)</f>
        <v>0</v>
      </c>
      <c r="AW20" s="33" cm="1">
        <f t="array" ref="AW20">_xlfn.XLOOKUP(1,(O20=Table2[주민등록번호])*(D20&gt;Table2[근무일자]),Table2[청구 Claim 
이월],0,0,-1)</f>
        <v>0</v>
      </c>
      <c r="AX20" s="34"/>
      <c r="AY20" s="33" cm="1">
        <f t="array" ref="AY20">MAX(SUM(AO20:AP20,AS20:AX20)-_xlfn.XLOOKUP(1,(D20&lt;=Table7[End])*(E20=Table7[근무처])*(F20=Table7[업무]),Table7[1일 공제 상한],0,0),0)</f>
        <v>0</v>
      </c>
      <c r="AZ20" s="33">
        <f t="shared" si="7"/>
        <v>0</v>
      </c>
      <c r="BA20" s="33">
        <f t="shared" si="8"/>
        <v>78880</v>
      </c>
      <c r="BB20" s="87">
        <f t="shared" si="9"/>
        <v>0</v>
      </c>
      <c r="BC20" s="88"/>
      <c r="BD20" s="33">
        <f t="shared" si="10"/>
        <v>0</v>
      </c>
      <c r="BE20" s="33">
        <f t="shared" si="11"/>
        <v>0</v>
      </c>
      <c r="BF20" s="33">
        <f t="shared" si="12"/>
        <v>0</v>
      </c>
      <c r="BG20" s="33">
        <f t="shared" si="13"/>
        <v>0</v>
      </c>
      <c r="BH20" s="33" cm="1">
        <f t="array" ref="BH20">ROUNDDOWN(AM20*_xlfn.XLOOKUP(1,(BH$5=Table8[Type])*($D20&lt;=Table8[End]),Table8[요율],0,0),-1)</f>
        <v>630</v>
      </c>
      <c r="BI20" s="29" t="str" cm="1">
        <f t="array" ref="BI20">_xlfn.XLOOKUP(1,(D20&lt;=Table7[End])*(E20=Table7[근무처])*(F20=Table7[업무]),Table7[지급옵션],0,0)</f>
        <v>D+2</v>
      </c>
      <c r="BJ20" s="83">
        <f>IF(BK20&lt;&gt;"",BK20,IFERROR(D20+_xlfn.NUMBERVALUE(RIGHT(BI20,1)),D20-WEEKDAY(D20)+CHOOSE(MATCH(RIGHT(BI20),{"일","월","화","수","목","금","토"},0),8,9,10,11,12,13,14)))</f>
        <v>45388</v>
      </c>
      <c r="BK20" s="84"/>
    </row>
    <row r="21" spans="2:63" x14ac:dyDescent="0.35">
      <c r="B21" s="20" t="str" cm="1">
        <f t="array" ref="B21">_xlfn.IFS(BB21&lt;&gt;BC21,"Claim확인",N21&lt;&gt;"OK","확인필요",TRUE,"")</f>
        <v/>
      </c>
      <c r="C21" s="21" t="str">
        <f t="shared" si="0"/>
        <v>010-12X4-XX781123581321</v>
      </c>
      <c r="D21" s="26">
        <v>45388</v>
      </c>
      <c r="E21" s="26" t="s">
        <v>254</v>
      </c>
      <c r="F21" s="25" t="s">
        <v>101</v>
      </c>
      <c r="G21" s="27" t="s">
        <v>60</v>
      </c>
      <c r="H21" s="25" t="s">
        <v>21</v>
      </c>
      <c r="I21" s="25"/>
      <c r="J21" s="25">
        <v>1123581321</v>
      </c>
      <c r="K21" s="28">
        <v>0.375</v>
      </c>
      <c r="L21" s="28">
        <v>0.75</v>
      </c>
      <c r="M21" s="28">
        <v>4.1666666666666664E-2</v>
      </c>
      <c r="N21" s="25" t="s">
        <v>281</v>
      </c>
      <c r="O21" s="29">
        <f>_xlfn.XLOOKUP(Table2[[#This Row],[Key]],Table1[Key],Table1[주민등록번호],"",0)</f>
        <v>1111111111111</v>
      </c>
      <c r="P21" s="29">
        <f>_xlfn.XLOOKUP(Table2[[#This Row],[Key]],Table1[Key],Table1[비자],"",0)</f>
        <v>0</v>
      </c>
      <c r="Q21" s="29">
        <f>IF(P21=0,0,_xlfn.XLOOKUP(Table2[[#This Row],[Key]],Table1[Key],Table1[고용보험 여부],0,0))</f>
        <v>0</v>
      </c>
      <c r="R21" s="29" t="str">
        <f t="shared" si="1"/>
        <v>2404</v>
      </c>
      <c r="S21" s="30" t="str">
        <f>YEAR(Table2[[#This Row],[근무일자]])&amp;TEXT(WEEKNUM(Table2[[#This Row],[근무일자]]),"00")</f>
        <v>202414</v>
      </c>
      <c r="T21" s="31">
        <f>_xlfn.XLOOKUP(Table2[[#This Row],[Key]],Table1[Key],Table1[등록일],"",0)</f>
        <v>45292</v>
      </c>
      <c r="U21" s="32">
        <f t="shared" si="2"/>
        <v>0.33333333333333331</v>
      </c>
      <c r="V21" s="89">
        <f t="shared" si="3"/>
        <v>0</v>
      </c>
      <c r="W21" s="100" t="str">
        <f>_xlfn.XLOOKUP(Table2[[#This Row],[근무일자]],Table3[Date],Table3[Holiday],"",0)</f>
        <v/>
      </c>
      <c r="X21" s="29">
        <f>IF(D21&lt;&gt;"",1,0)+IF(COUNTIFS(Table2[주민등록번호],O21,Table2[월],TEXT(EOMONTH(D21,-1),"YYMM"))&gt;0,1+IF(COUNTIFS(Table2[주민등록번호],O21,Table2[월],TEXT(EOMONTH(D21,-2),"YYMM"))&gt;0,1+IF(COUNTIFS(Table2[주민등록번호],O21,Table2[월],TEXT(EOMONTH(D21,-3),"YYMM"))&gt;0,1,0),0),0)</f>
        <v>3</v>
      </c>
      <c r="Y21" s="29">
        <f>COUNTIFS(Table2[주민등록번호],O21,Table2[월],R21,Table2[근무일자],"&lt;="&amp;D21)</f>
        <v>4</v>
      </c>
      <c r="Z21" s="29">
        <f>COUNTIFS(Table2[주민등록번호],O21,Table2[주간],S21,Table2[근무일자],"&lt;="&amp;D21)</f>
        <v>4</v>
      </c>
      <c r="AA21" s="29">
        <f>SUMIFS(Table2[근로
시간],Table2[주민등록번호],O21,Table2[주간],S21,Table2[근무일자],"&lt;="&amp;D21)*24</f>
        <v>32</v>
      </c>
      <c r="AB21" s="29" t="str">
        <f>IF(AND(Y21&gt;=8,COUNTIFS(Table2[주민등록번호],O21,Table2[근무일자],"&gt;="&amp;EOMONTH(D21,-2)+1,Table2[근무일자],"&lt;="&amp;EOMONTH(D21,-1)+1)&gt;0),"V","")</f>
        <v/>
      </c>
      <c r="AC21" s="33" cm="1">
        <f t="array" ref="AC21">IF(AD21&lt;&gt;"",AD21,_xlfn.XLOOKUP(1,(D21&lt;=Table7[End])*(E21=Table7[근무처])*(F21=Table7[업무]),Table7[시급],0,0))</f>
        <v>9860</v>
      </c>
      <c r="AD21" s="34"/>
      <c r="AE21" s="33">
        <f t="shared" si="4"/>
        <v>78880</v>
      </c>
      <c r="AF21" s="86" cm="1">
        <f t="array" ref="AF21">IF(AND(AA21&gt;=15,(AA21-U21*24)&lt;=40),IF(Z21&gt;=_xlfn.XLOOKUP(1,(D21&lt;=Table7[End])*(E21=Table7[근무처])*(F21=Table7[업무]),Table7[주휴적용일],0,0),1,0)+_xlfn.XLOOKUP(1,(Table2[주간]=Table2[[#This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1" s="86" cm="1">
        <f t="array" ref="AG21">MAX((_xlfn.IFS(AF21=0,0,AF21=1,AA21,AF21&gt;1,U21*24)-IF(AA21&gt;40,AA21-40,0))/5,0)</f>
        <v>0</v>
      </c>
      <c r="AH21" s="33">
        <f t="shared" si="5"/>
        <v>0</v>
      </c>
      <c r="AI21" s="33" cm="1">
        <f t="array" ref="AI21">IF(W21="",0,ROUND(AC21*U21*24*_xlfn.XLOOKUP(1,(D21&lt;=Table7[End])*(E21=Table7[근무처])*(F21=Table7[업무]),Table7[휴일인센티브],0,0),0))</f>
        <v>0</v>
      </c>
      <c r="AJ21" s="33" cm="1">
        <f t="array" ref="AJ21">ROUND(AC21*IF(U21&gt;=8/24,U21-8/24,0)*24*_xlfn.XLOOKUP(1,(D21&lt;=Table7[End])*(E21=Table7[근무처])*(F21=Table7[업무]),Table7[야간인센티브],0,0),0)</f>
        <v>0</v>
      </c>
      <c r="AK21" s="33" cm="1">
        <f t="array" ref="AK21">IF(V21=0,0,ROUND(AC21*V21*24*_xlfn.XLOOKUP(1,(D21&lt;=Table7[End])*(E21=Table7[근무처])*(F21=Table7[업무]),Table7[야간인센티브],0,0),0))</f>
        <v>0</v>
      </c>
      <c r="AL21" s="34"/>
      <c r="AM21" s="33">
        <f t="shared" si="6"/>
        <v>78880</v>
      </c>
      <c r="AN21" s="33" cm="1">
        <f t="array" ref="AN21">IF(AM21&gt;=_xlfn.XLOOKUP(TRUE,D21&lt;=Table5[End],Table5[비과세소득기준],0,0),AM21-_xlfn.XLOOKUP(TRUE,D21&lt;=Table5[End],Table5[비과세소득기준],0,0),0)</f>
        <v>0</v>
      </c>
      <c r="AO21" s="33" cm="1">
        <f t="array" ref="AO21">ROUNDDOWN(_xlfn.LET(_xlpm.setvalue,_xlfn.XLOOKUP(TRUE,D21&lt;=Table5[End],Table5[[요율]:[근로소득세액공제]],0,0),_xlpm.tax,AN21*PRODUCT((_xlpm.setvalue-{0,1})*{1,-1}),_xlpm.threshold,_xlfn.XLOOKUP(TRUE,D21&lt;=Table5[End],Table5[소액부징수기준],0,0),IF(_xlpm.tax&gt;=_xlpm.threshold,_xlpm.tax,0)),-1)</f>
        <v>0</v>
      </c>
      <c r="AP21" s="33">
        <f>ROUNDDOWN(Table2[[#This Row],[소득세]]*10%,-1)</f>
        <v>0</v>
      </c>
      <c r="AQ21" s="33">
        <f>IF(AB21="v",AM21+IF(Y21=8,SUMIFS(Table2[지급총액],Table2[주민등록번호],O21,Table2[월],R21,Table2[월간
근무일],"&lt;="&amp;8)-AM21,0),0)+_xlfn.NUMBERVALUE(AR21)</f>
        <v>0</v>
      </c>
      <c r="AR21" s="34"/>
      <c r="AS21" s="33" cm="1">
        <f t="array" ref="AS21">ROUNDDOWN($AQ21*_xlfn.XLOOKUP(1,(AS$5=Table8[Type])*($D21&lt;=Table8[End]),Table8[요율],0,0),0)</f>
        <v>0</v>
      </c>
      <c r="AT21" s="33" cm="1">
        <f t="array" ref="AT21">ROUNDDOWN(AS21*_xlfn.XLOOKUP(1,(AT$5=Table8[Type])*($D21&lt;=Table8[End]),Table8[요율],0,0),-1)</f>
        <v>0</v>
      </c>
      <c r="AU21" s="33" cm="1">
        <f t="array" ref="AU21">ROUNDDOWN($AQ21*_xlfn.XLOOKUP(1,(AU$5=Table8[Type])*($D21&lt;=Table8[End]),Table8[요율],0,0),-1)</f>
        <v>0</v>
      </c>
      <c r="AV21" s="33" cm="1">
        <f t="array" ref="AV21">ROUNDDOWN(AM21*_xlfn.XLOOKUP(1,(AV$5=Table8[Type])*($D21&lt;=Table8[End]),Table8[요율],0,0),-1)</f>
        <v>0</v>
      </c>
      <c r="AW21" s="33" cm="1">
        <f t="array" ref="AW21">_xlfn.XLOOKUP(1,(O21=Table2[주민등록번호])*(D21&gt;Table2[근무일자]),Table2[청구 Claim 
이월],0,0,-1)</f>
        <v>0</v>
      </c>
      <c r="AX21" s="34"/>
      <c r="AY21" s="33" cm="1">
        <f t="array" ref="AY21">MAX(SUM(AO21:AP21,AS21:AX21)-_xlfn.XLOOKUP(1,(D21&lt;=Table7[End])*(E21=Table7[근무처])*(F21=Table7[업무]),Table7[1일 공제 상한],0,0),0)</f>
        <v>0</v>
      </c>
      <c r="AZ21" s="33">
        <f t="shared" si="7"/>
        <v>0</v>
      </c>
      <c r="BA21" s="33">
        <f t="shared" si="8"/>
        <v>78880</v>
      </c>
      <c r="BB21" s="87">
        <f t="shared" si="9"/>
        <v>0</v>
      </c>
      <c r="BC21" s="88"/>
      <c r="BD21" s="33">
        <f t="shared" si="10"/>
        <v>0</v>
      </c>
      <c r="BE21" s="33">
        <f t="shared" si="11"/>
        <v>0</v>
      </c>
      <c r="BF21" s="33">
        <f t="shared" si="12"/>
        <v>0</v>
      </c>
      <c r="BG21" s="33">
        <f t="shared" si="13"/>
        <v>0</v>
      </c>
      <c r="BH21" s="33" cm="1">
        <f t="array" ref="BH21">ROUNDDOWN(AM21*_xlfn.XLOOKUP(1,(BH$5=Table8[Type])*($D21&lt;=Table8[End]),Table8[요율],0,0),-1)</f>
        <v>630</v>
      </c>
      <c r="BI21" s="29" t="str" cm="1">
        <f t="array" ref="BI21">_xlfn.XLOOKUP(1,(D21&lt;=Table7[End])*(E21=Table7[근무처])*(F21=Table7[업무]),Table7[지급옵션],0,0)</f>
        <v>D+2</v>
      </c>
      <c r="BJ21" s="83">
        <f>IF(BK21&lt;&gt;"",BK21,IFERROR(D21+_xlfn.NUMBERVALUE(RIGHT(BI21,1)),D21-WEEKDAY(D21)+CHOOSE(MATCH(RIGHT(BI21),{"일","월","화","수","목","금","토"},0),8,9,10,11,12,13,14)))</f>
        <v>45390</v>
      </c>
      <c r="BK21" s="84"/>
    </row>
    <row r="22" spans="2:63" x14ac:dyDescent="0.35">
      <c r="B22" s="20" t="str" cm="1">
        <f t="array" ref="B22">_xlfn.IFS(BB22&lt;&gt;BC22,"Claim확인",N22&lt;&gt;"OK","확인필요",TRUE,"")</f>
        <v/>
      </c>
      <c r="C22" s="21" t="str">
        <f t="shared" si="0"/>
        <v>010-12X4-XX781123581321</v>
      </c>
      <c r="D22" s="26">
        <v>45389</v>
      </c>
      <c r="E22" s="26" t="s">
        <v>254</v>
      </c>
      <c r="F22" s="25" t="s">
        <v>101</v>
      </c>
      <c r="G22" s="27" t="s">
        <v>60</v>
      </c>
      <c r="H22" s="25" t="s">
        <v>21</v>
      </c>
      <c r="I22" s="25"/>
      <c r="J22" s="25">
        <v>1123581321</v>
      </c>
      <c r="K22" s="28">
        <v>0.375</v>
      </c>
      <c r="L22" s="28">
        <v>0.75</v>
      </c>
      <c r="M22" s="28">
        <v>4.1666666666666664E-2</v>
      </c>
      <c r="N22" s="25" t="s">
        <v>281</v>
      </c>
      <c r="O22" s="29">
        <f>_xlfn.XLOOKUP(Table2[[#This Row],[Key]],Table1[Key],Table1[주민등록번호],"",0)</f>
        <v>1111111111111</v>
      </c>
      <c r="P22" s="29">
        <f>_xlfn.XLOOKUP(Table2[[#This Row],[Key]],Table1[Key],Table1[비자],"",0)</f>
        <v>0</v>
      </c>
      <c r="Q22" s="29">
        <f>IF(P22=0,0,_xlfn.XLOOKUP(Table2[[#This Row],[Key]],Table1[Key],Table1[고용보험 여부],0,0))</f>
        <v>0</v>
      </c>
      <c r="R22" s="29" t="str">
        <f t="shared" si="1"/>
        <v>2404</v>
      </c>
      <c r="S22" s="30" t="str">
        <f>YEAR(Table2[[#This Row],[근무일자]])&amp;TEXT(WEEKNUM(Table2[[#This Row],[근무일자]]),"00")</f>
        <v>202415</v>
      </c>
      <c r="T22" s="31">
        <f>_xlfn.XLOOKUP(Table2[[#This Row],[Key]],Table1[Key],Table1[등록일],"",0)</f>
        <v>45292</v>
      </c>
      <c r="U22" s="32">
        <f t="shared" si="2"/>
        <v>0.33333333333333331</v>
      </c>
      <c r="V22" s="89">
        <f t="shared" si="3"/>
        <v>0</v>
      </c>
      <c r="W22" s="100" t="str">
        <f>_xlfn.XLOOKUP(Table2[[#This Row],[근무일자]],Table3[Date],Table3[Holiday],"",0)</f>
        <v/>
      </c>
      <c r="X22" s="29">
        <f>IF(D22&lt;&gt;"",1,0)+IF(COUNTIFS(Table2[주민등록번호],O22,Table2[월],TEXT(EOMONTH(D22,-1),"YYMM"))&gt;0,1+IF(COUNTIFS(Table2[주민등록번호],O22,Table2[월],TEXT(EOMONTH(D22,-2),"YYMM"))&gt;0,1+IF(COUNTIFS(Table2[주민등록번호],O22,Table2[월],TEXT(EOMONTH(D22,-3),"YYMM"))&gt;0,1,0),0),0)</f>
        <v>3</v>
      </c>
      <c r="Y22" s="29">
        <f>COUNTIFS(Table2[주민등록번호],O22,Table2[월],R22,Table2[근무일자],"&lt;="&amp;D22)</f>
        <v>5</v>
      </c>
      <c r="Z22" s="29">
        <f>COUNTIFS(Table2[주민등록번호],O22,Table2[주간],S22,Table2[근무일자],"&lt;="&amp;D22)</f>
        <v>1</v>
      </c>
      <c r="AA22" s="29">
        <f>SUMIFS(Table2[근로
시간],Table2[주민등록번호],O22,Table2[주간],S22,Table2[근무일자],"&lt;="&amp;D22)*24</f>
        <v>8</v>
      </c>
      <c r="AB22" s="29" t="str">
        <f>IF(AND(Y22&gt;=8,COUNTIFS(Table2[주민등록번호],O22,Table2[근무일자],"&gt;="&amp;EOMONTH(D22,-2)+1,Table2[근무일자],"&lt;="&amp;EOMONTH(D22,-1)+1)&gt;0),"V","")</f>
        <v/>
      </c>
      <c r="AC22" s="33" cm="1">
        <f t="array" ref="AC22">IF(AD22&lt;&gt;"",AD22,_xlfn.XLOOKUP(1,(D22&lt;=Table7[End])*(E22=Table7[근무처])*(F22=Table7[업무]),Table7[시급],0,0))</f>
        <v>9860</v>
      </c>
      <c r="AD22" s="34"/>
      <c r="AE22" s="33">
        <f t="shared" si="4"/>
        <v>78880</v>
      </c>
      <c r="AF22" s="86" cm="1">
        <f t="array" ref="AF22">IF(AND(AA22&gt;=15,(AA22-U22*24)&lt;=40),IF(Z22&gt;=_xlfn.XLOOKUP(1,(D22&lt;=Table7[End])*(E22=Table7[근무처])*(F22=Table7[업무]),Table7[주휴적용일],0,0),1,0)+_xlfn.XLOOKUP(1,(Table2[주간]=Table2[[#This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2" s="86" cm="1">
        <f t="array" ref="AG22">MAX((_xlfn.IFS(AF22=0,0,AF22=1,AA22,AF22&gt;1,U22*24)-IF(AA22&gt;40,AA22-40,0))/5,0)</f>
        <v>0</v>
      </c>
      <c r="AH22" s="33">
        <f t="shared" si="5"/>
        <v>0</v>
      </c>
      <c r="AI22" s="33" cm="1">
        <f t="array" ref="AI22">IF(W22="",0,ROUND(AC22*U22*24*_xlfn.XLOOKUP(1,(D22&lt;=Table7[End])*(E22=Table7[근무처])*(F22=Table7[업무]),Table7[휴일인센티브],0,0),0))</f>
        <v>0</v>
      </c>
      <c r="AJ22" s="33" cm="1">
        <f t="array" ref="AJ22">ROUND(AC22*IF(U22&gt;=8/24,U22-8/24,0)*24*_xlfn.XLOOKUP(1,(D22&lt;=Table7[End])*(E22=Table7[근무처])*(F22=Table7[업무]),Table7[야간인센티브],0,0),0)</f>
        <v>0</v>
      </c>
      <c r="AK22" s="33" cm="1">
        <f t="array" ref="AK22">IF(V22=0,0,ROUND(AC22*V22*24*_xlfn.XLOOKUP(1,(D22&lt;=Table7[End])*(E22=Table7[근무처])*(F22=Table7[업무]),Table7[야간인센티브],0,0),0))</f>
        <v>0</v>
      </c>
      <c r="AL22" s="34"/>
      <c r="AM22" s="33">
        <f t="shared" si="6"/>
        <v>78880</v>
      </c>
      <c r="AN22" s="33" cm="1">
        <f t="array" ref="AN22">IF(AM22&gt;=_xlfn.XLOOKUP(TRUE,D22&lt;=Table5[End],Table5[비과세소득기준],0,0),AM22-_xlfn.XLOOKUP(TRUE,D22&lt;=Table5[End],Table5[비과세소득기준],0,0),0)</f>
        <v>0</v>
      </c>
      <c r="AO22" s="33" cm="1">
        <f t="array" ref="AO22">ROUNDDOWN(_xlfn.LET(_xlpm.setvalue,_xlfn.XLOOKUP(TRUE,D22&lt;=Table5[End],Table5[[요율]:[근로소득세액공제]],0,0),_xlpm.tax,AN22*PRODUCT((_xlpm.setvalue-{0,1})*{1,-1}),_xlpm.threshold,_xlfn.XLOOKUP(TRUE,D22&lt;=Table5[End],Table5[소액부징수기준],0,0),IF(_xlpm.tax&gt;=_xlpm.threshold,_xlpm.tax,0)),-1)</f>
        <v>0</v>
      </c>
      <c r="AP22" s="33">
        <f>ROUNDDOWN(Table2[[#This Row],[소득세]]*10%,-1)</f>
        <v>0</v>
      </c>
      <c r="AQ22" s="33">
        <f>IF(AB22="v",AM22+IF(Y22=8,SUMIFS(Table2[지급총액],Table2[주민등록번호],O22,Table2[월],R22,Table2[월간
근무일],"&lt;="&amp;8)-AM22,0),0)+_xlfn.NUMBERVALUE(AR22)</f>
        <v>0</v>
      </c>
      <c r="AR22" s="34"/>
      <c r="AS22" s="33" cm="1">
        <f t="array" ref="AS22">ROUNDDOWN($AQ22*_xlfn.XLOOKUP(1,(AS$5=Table8[Type])*($D22&lt;=Table8[End]),Table8[요율],0,0),0)</f>
        <v>0</v>
      </c>
      <c r="AT22" s="33" cm="1">
        <f t="array" ref="AT22">ROUNDDOWN(AS22*_xlfn.XLOOKUP(1,(AT$5=Table8[Type])*($D22&lt;=Table8[End]),Table8[요율],0,0),-1)</f>
        <v>0</v>
      </c>
      <c r="AU22" s="33" cm="1">
        <f t="array" ref="AU22">ROUNDDOWN($AQ22*_xlfn.XLOOKUP(1,(AU$5=Table8[Type])*($D22&lt;=Table8[End]),Table8[요율],0,0),-1)</f>
        <v>0</v>
      </c>
      <c r="AV22" s="33" cm="1">
        <f t="array" ref="AV22">ROUNDDOWN(AM22*_xlfn.XLOOKUP(1,(AV$5=Table8[Type])*($D22&lt;=Table8[End]),Table8[요율],0,0),-1)</f>
        <v>0</v>
      </c>
      <c r="AW22" s="33" cm="1">
        <f t="array" ref="AW22">_xlfn.XLOOKUP(1,(O22=Table2[주민등록번호])*(D22&gt;Table2[근무일자]),Table2[청구 Claim 
이월],0,0,-1)</f>
        <v>0</v>
      </c>
      <c r="AX22" s="34"/>
      <c r="AY22" s="33" cm="1">
        <f t="array" ref="AY22">MAX(SUM(AO22:AP22,AS22:AX22)-_xlfn.XLOOKUP(1,(D22&lt;=Table7[End])*(E22=Table7[근무처])*(F22=Table7[업무]),Table7[1일 공제 상한],0,0),0)</f>
        <v>0</v>
      </c>
      <c r="AZ22" s="33">
        <f t="shared" si="7"/>
        <v>0</v>
      </c>
      <c r="BA22" s="33">
        <f t="shared" si="8"/>
        <v>78880</v>
      </c>
      <c r="BB22" s="87">
        <f t="shared" si="9"/>
        <v>0</v>
      </c>
      <c r="BC22" s="88"/>
      <c r="BD22" s="33">
        <f t="shared" si="10"/>
        <v>0</v>
      </c>
      <c r="BE22" s="33">
        <f t="shared" si="11"/>
        <v>0</v>
      </c>
      <c r="BF22" s="33">
        <f t="shared" si="12"/>
        <v>0</v>
      </c>
      <c r="BG22" s="33">
        <f t="shared" si="13"/>
        <v>0</v>
      </c>
      <c r="BH22" s="33" cm="1">
        <f t="array" ref="BH22">ROUNDDOWN(AM22*_xlfn.XLOOKUP(1,(BH$5=Table8[Type])*($D22&lt;=Table8[End]),Table8[요율],0,0),-1)</f>
        <v>630</v>
      </c>
      <c r="BI22" s="29" t="str" cm="1">
        <f t="array" ref="BI22">_xlfn.XLOOKUP(1,(D22&lt;=Table7[End])*(E22=Table7[근무처])*(F22=Table7[업무]),Table7[지급옵션],0,0)</f>
        <v>D+2</v>
      </c>
      <c r="BJ22" s="83">
        <f>IF(BK22&lt;&gt;"",BK22,IFERROR(D22+_xlfn.NUMBERVALUE(RIGHT(BI22,1)),D22-WEEKDAY(D22)+CHOOSE(MATCH(RIGHT(BI22),{"일","월","화","수","목","금","토"},0),8,9,10,11,12,13,14)))</f>
        <v>45391</v>
      </c>
      <c r="BK22" s="84"/>
    </row>
    <row r="23" spans="2:63" x14ac:dyDescent="0.35">
      <c r="B23" s="20" t="str" cm="1">
        <f t="array" ref="B23">_xlfn.IFS(BB23&lt;&gt;BC23,"Claim확인",N23&lt;&gt;"OK","확인필요",TRUE,"")</f>
        <v/>
      </c>
      <c r="C23" s="21" t="str">
        <f t="shared" si="0"/>
        <v>010-12X4-XX781123581321</v>
      </c>
      <c r="D23" s="26">
        <v>45391</v>
      </c>
      <c r="E23" s="26" t="s">
        <v>256</v>
      </c>
      <c r="F23" s="25" t="s">
        <v>102</v>
      </c>
      <c r="G23" s="27" t="s">
        <v>60</v>
      </c>
      <c r="H23" s="25" t="s">
        <v>21</v>
      </c>
      <c r="I23" s="25"/>
      <c r="J23" s="25">
        <v>1123581321</v>
      </c>
      <c r="K23" s="28">
        <v>0.375</v>
      </c>
      <c r="L23" s="28">
        <v>0.91666666666666663</v>
      </c>
      <c r="M23" s="28">
        <v>4.1666666666666664E-2</v>
      </c>
      <c r="N23" s="25" t="s">
        <v>281</v>
      </c>
      <c r="O23" s="29">
        <f>_xlfn.XLOOKUP(Table2[[#This Row],[Key]],Table1[Key],Table1[주민등록번호],"",0)</f>
        <v>1111111111111</v>
      </c>
      <c r="P23" s="29">
        <f>_xlfn.XLOOKUP(Table2[[#This Row],[Key]],Table1[Key],Table1[비자],"",0)</f>
        <v>0</v>
      </c>
      <c r="Q23" s="29">
        <f>IF(P23=0,0,_xlfn.XLOOKUP(Table2[[#This Row],[Key]],Table1[Key],Table1[고용보험 여부],0,0))</f>
        <v>0</v>
      </c>
      <c r="R23" s="29" t="str">
        <f t="shared" si="1"/>
        <v>2404</v>
      </c>
      <c r="S23" s="30" t="str">
        <f>YEAR(Table2[[#This Row],[근무일자]])&amp;TEXT(WEEKNUM(Table2[[#This Row],[근무일자]]),"00")</f>
        <v>202415</v>
      </c>
      <c r="T23" s="31">
        <f>_xlfn.XLOOKUP(Table2[[#This Row],[Key]],Table1[Key],Table1[등록일],"",0)</f>
        <v>45292</v>
      </c>
      <c r="U23" s="32">
        <f t="shared" si="2"/>
        <v>0.49999999999999994</v>
      </c>
      <c r="V23" s="89">
        <f t="shared" si="3"/>
        <v>0</v>
      </c>
      <c r="W23" s="100" t="str">
        <f>_xlfn.XLOOKUP(Table2[[#This Row],[근무일자]],Table3[Date],Table3[Holiday],"",0)</f>
        <v/>
      </c>
      <c r="X23" s="29">
        <f>IF(D23&lt;&gt;"",1,0)+IF(COUNTIFS(Table2[주민등록번호],O23,Table2[월],TEXT(EOMONTH(D23,-1),"YYMM"))&gt;0,1+IF(COUNTIFS(Table2[주민등록번호],O23,Table2[월],TEXT(EOMONTH(D23,-2),"YYMM"))&gt;0,1+IF(COUNTIFS(Table2[주민등록번호],O23,Table2[월],TEXT(EOMONTH(D23,-3),"YYMM"))&gt;0,1,0),0),0)</f>
        <v>3</v>
      </c>
      <c r="Y23" s="29">
        <f>COUNTIFS(Table2[주민등록번호],O23,Table2[월],R23,Table2[근무일자],"&lt;="&amp;D23)</f>
        <v>6</v>
      </c>
      <c r="Z23" s="29">
        <f>COUNTIFS(Table2[주민등록번호],O23,Table2[주간],S23,Table2[근무일자],"&lt;="&amp;D23)</f>
        <v>2</v>
      </c>
      <c r="AA23" s="29">
        <f>SUMIFS(Table2[근로
시간],Table2[주민등록번호],O23,Table2[주간],S23,Table2[근무일자],"&lt;="&amp;D23)*24</f>
        <v>20</v>
      </c>
      <c r="AB23" s="29" t="str">
        <f>IF(AND(Y23&gt;=8,COUNTIFS(Table2[주민등록번호],O23,Table2[근무일자],"&gt;="&amp;EOMONTH(D23,-2)+1,Table2[근무일자],"&lt;="&amp;EOMONTH(D23,-1)+1)&gt;0),"V","")</f>
        <v/>
      </c>
      <c r="AC23" s="33" cm="1">
        <f t="array" ref="AC23">IF(AD23&lt;&gt;"",AD23,_xlfn.XLOOKUP(1,(D23&lt;=Table7[End])*(E23=Table7[근무처])*(F23=Table7[업무]),Table7[시급],0,0))</f>
        <v>10580</v>
      </c>
      <c r="AD23" s="34"/>
      <c r="AE23" s="33">
        <f t="shared" si="4"/>
        <v>126960</v>
      </c>
      <c r="AF23" s="86" cm="1">
        <f t="array" ref="AF23">IF(AND(AA23&gt;=15,(AA23-U23*24)&lt;=40),IF(Z23&gt;=_xlfn.XLOOKUP(1,(D23&lt;=Table7[End])*(E23=Table7[근무처])*(F23=Table7[업무]),Table7[주휴적용일],0,0),1,0)+_xlfn.XLOOKUP(1,(Table2[주간]=Table2[[#This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3" s="86" cm="1">
        <f t="array" ref="AG23">MAX((_xlfn.IFS(AF23=0,0,AF23=1,AA23,AF23&gt;1,U23*24)-IF(AA23&gt;40,AA23-40,0))/5,0)</f>
        <v>4</v>
      </c>
      <c r="AH23" s="33">
        <f t="shared" si="5"/>
        <v>42320</v>
      </c>
      <c r="AI23" s="33" cm="1">
        <f t="array" ref="AI23">IF(W23="",0,ROUND(AC23*U23*24*_xlfn.XLOOKUP(1,(D23&lt;=Table7[End])*(E23=Table7[근무처])*(F23=Table7[업무]),Table7[휴일인센티브],0,0),0))</f>
        <v>0</v>
      </c>
      <c r="AJ23" s="33" cm="1">
        <f t="array" ref="AJ23">ROUND(AC23*IF(U23&gt;=8/24,U23-8/24,0)*24*_xlfn.XLOOKUP(1,(D23&lt;=Table7[End])*(E23=Table7[근무처])*(F23=Table7[업무]),Table7[야간인센티브],0,0),0)</f>
        <v>21160</v>
      </c>
      <c r="AK23" s="33" cm="1">
        <f t="array" ref="AK23">IF(V23=0,0,ROUND(AC23*V23*24*_xlfn.XLOOKUP(1,(D23&lt;=Table7[End])*(E23=Table7[근무처])*(F23=Table7[업무]),Table7[야간인센티브],0,0),0))</f>
        <v>0</v>
      </c>
      <c r="AL23" s="34"/>
      <c r="AM23" s="33">
        <f t="shared" si="6"/>
        <v>190440</v>
      </c>
      <c r="AN23" s="33" cm="1">
        <f t="array" ref="AN23">IF(AM23&gt;=_xlfn.XLOOKUP(TRUE,D23&lt;=Table5[End],Table5[비과세소득기준],0,0),AM23-_xlfn.XLOOKUP(TRUE,D23&lt;=Table5[End],Table5[비과세소득기준],0,0),0)</f>
        <v>40440</v>
      </c>
      <c r="AO23" s="33" cm="1">
        <f t="array" ref="AO23">ROUNDDOWN(_xlfn.LET(_xlpm.setvalue,_xlfn.XLOOKUP(TRUE,D23&lt;=Table5[End],Table5[[요율]:[근로소득세액공제]],0,0),_xlpm.tax,AN23*PRODUCT((_xlpm.setvalue-{0,1})*{1,-1}),_xlpm.threshold,_xlfn.XLOOKUP(TRUE,D23&lt;=Table5[End],Table5[소액부징수기준],0,0),IF(_xlpm.tax&gt;=_xlpm.threshold,_xlpm.tax,0)),-1)</f>
        <v>1090</v>
      </c>
      <c r="AP23" s="33">
        <f>ROUNDDOWN(Table2[[#This Row],[소득세]]*10%,-1)</f>
        <v>100</v>
      </c>
      <c r="AQ23" s="33">
        <f>IF(AB23="v",AM23+IF(Y23=8,SUMIFS(Table2[지급총액],Table2[주민등록번호],O23,Table2[월],R23,Table2[월간
근무일],"&lt;="&amp;8)-AM23,0),0)+_xlfn.NUMBERVALUE(AR23)</f>
        <v>0</v>
      </c>
      <c r="AR23" s="34"/>
      <c r="AS23" s="33" cm="1">
        <f t="array" ref="AS23">ROUNDDOWN($AQ23*_xlfn.XLOOKUP(1,(AS$5=Table8[Type])*($D23&lt;=Table8[End]),Table8[요율],0,0),0)</f>
        <v>0</v>
      </c>
      <c r="AT23" s="33" cm="1">
        <f t="array" ref="AT23">ROUNDDOWN(AS23*_xlfn.XLOOKUP(1,(AT$5=Table8[Type])*($D23&lt;=Table8[End]),Table8[요율],0,0),-1)</f>
        <v>0</v>
      </c>
      <c r="AU23" s="33" cm="1">
        <f t="array" ref="AU23">ROUNDDOWN($AQ23*_xlfn.XLOOKUP(1,(AU$5=Table8[Type])*($D23&lt;=Table8[End]),Table8[요율],0,0),-1)</f>
        <v>0</v>
      </c>
      <c r="AV23" s="33" cm="1">
        <f t="array" ref="AV23">ROUNDDOWN(AM23*_xlfn.XLOOKUP(1,(AV$5=Table8[Type])*($D23&lt;=Table8[End]),Table8[요율],0,0),-1)</f>
        <v>0</v>
      </c>
      <c r="AW23" s="33" cm="1">
        <f t="array" ref="AW23">_xlfn.XLOOKUP(1,(O23=Table2[주민등록번호])*(D23&gt;Table2[근무일자]),Table2[청구 Claim 
이월],0,0,-1)</f>
        <v>0</v>
      </c>
      <c r="AX23" s="34"/>
      <c r="AY23" s="33" cm="1">
        <f t="array" ref="AY23">MAX(SUM(AO23:AP23,AS23:AX23)-_xlfn.XLOOKUP(1,(D23&lt;=Table7[End])*(E23=Table7[근무처])*(F23=Table7[업무]),Table7[1일 공제 상한],0,0),0)</f>
        <v>0</v>
      </c>
      <c r="AZ23" s="33">
        <f t="shared" si="7"/>
        <v>1190</v>
      </c>
      <c r="BA23" s="33">
        <f t="shared" si="8"/>
        <v>189250</v>
      </c>
      <c r="BB23" s="87">
        <f t="shared" si="9"/>
        <v>0</v>
      </c>
      <c r="BC23" s="88"/>
      <c r="BD23" s="33">
        <f t="shared" si="10"/>
        <v>0</v>
      </c>
      <c r="BE23" s="33">
        <f t="shared" si="11"/>
        <v>0</v>
      </c>
      <c r="BF23" s="33">
        <f t="shared" si="12"/>
        <v>0</v>
      </c>
      <c r="BG23" s="33">
        <f t="shared" si="13"/>
        <v>0</v>
      </c>
      <c r="BH23" s="33" cm="1">
        <f t="array" ref="BH23">ROUNDDOWN(AM23*_xlfn.XLOOKUP(1,(BH$5=Table8[Type])*($D23&lt;=Table8[End]),Table8[요율],0,0),-1)</f>
        <v>1520</v>
      </c>
      <c r="BI23" s="29" t="str" cm="1">
        <f t="array" ref="BI23">_xlfn.XLOOKUP(1,(D23&lt;=Table7[End])*(E23=Table7[근무처])*(F23=Table7[업무]),Table7[지급옵션],0,0)</f>
        <v>차주 화</v>
      </c>
      <c r="BJ23" s="83">
        <f>IF(BK23&lt;&gt;"",BK23,IFERROR(D23+_xlfn.NUMBERVALUE(RIGHT(BI23,1)),D23-WEEKDAY(D23)+CHOOSE(MATCH(RIGHT(BI23),{"일","월","화","수","목","금","토"},0),8,9,10,11,12,13,14)))</f>
        <v>45757</v>
      </c>
      <c r="BK23" s="84">
        <v>45757</v>
      </c>
    </row>
    <row r="24" spans="2:63" x14ac:dyDescent="0.35">
      <c r="B24" s="20" t="str" cm="1">
        <f t="array" ref="B24">_xlfn.IFS(BB24&lt;&gt;BC24,"Claim확인",N24&lt;&gt;"OK","확인필요",TRUE,"")</f>
        <v/>
      </c>
      <c r="C24" s="21" t="str">
        <f t="shared" si="0"/>
        <v>010-12X4-XX781123581321</v>
      </c>
      <c r="D24" s="26">
        <v>45397</v>
      </c>
      <c r="E24" s="26" t="s">
        <v>256</v>
      </c>
      <c r="F24" s="25" t="s">
        <v>102</v>
      </c>
      <c r="G24" s="27" t="s">
        <v>60</v>
      </c>
      <c r="H24" s="25" t="s">
        <v>21</v>
      </c>
      <c r="I24" s="25"/>
      <c r="J24" s="25">
        <v>1123581321</v>
      </c>
      <c r="K24" s="28">
        <v>0.375</v>
      </c>
      <c r="L24" s="28">
        <v>0.75</v>
      </c>
      <c r="M24" s="28">
        <v>4.1666666666666664E-2</v>
      </c>
      <c r="N24" s="25" t="s">
        <v>281</v>
      </c>
      <c r="O24" s="29">
        <f>_xlfn.XLOOKUP(Table2[[#This Row],[Key]],Table1[Key],Table1[주민등록번호],"",0)</f>
        <v>1111111111111</v>
      </c>
      <c r="P24" s="29">
        <f>_xlfn.XLOOKUP(Table2[[#This Row],[Key]],Table1[Key],Table1[비자],"",0)</f>
        <v>0</v>
      </c>
      <c r="Q24" s="29">
        <f>IF(P24=0,0,_xlfn.XLOOKUP(Table2[[#This Row],[Key]],Table1[Key],Table1[고용보험 여부],0,0))</f>
        <v>0</v>
      </c>
      <c r="R24" s="29" t="str">
        <f t="shared" si="1"/>
        <v>2404</v>
      </c>
      <c r="S24" s="30" t="str">
        <f>YEAR(Table2[[#This Row],[근무일자]])&amp;TEXT(WEEKNUM(Table2[[#This Row],[근무일자]]),"00")</f>
        <v>202416</v>
      </c>
      <c r="T24" s="31">
        <f>_xlfn.XLOOKUP(Table2[[#This Row],[Key]],Table1[Key],Table1[등록일],"",0)</f>
        <v>45292</v>
      </c>
      <c r="U24" s="32">
        <f t="shared" si="2"/>
        <v>0.33333333333333331</v>
      </c>
      <c r="V24" s="89">
        <f t="shared" si="3"/>
        <v>0</v>
      </c>
      <c r="W24" s="100" t="str">
        <f>_xlfn.XLOOKUP(Table2[[#This Row],[근무일자]],Table3[Date],Table3[Holiday],"",0)</f>
        <v/>
      </c>
      <c r="X24" s="29">
        <f>IF(D24&lt;&gt;"",1,0)+IF(COUNTIFS(Table2[주민등록번호],O24,Table2[월],TEXT(EOMONTH(D24,-1),"YYMM"))&gt;0,1+IF(COUNTIFS(Table2[주민등록번호],O24,Table2[월],TEXT(EOMONTH(D24,-2),"YYMM"))&gt;0,1+IF(COUNTIFS(Table2[주민등록번호],O24,Table2[월],TEXT(EOMONTH(D24,-3),"YYMM"))&gt;0,1,0),0),0)</f>
        <v>3</v>
      </c>
      <c r="Y24" s="29">
        <f>COUNTIFS(Table2[주민등록번호],O24,Table2[월],R24,Table2[근무일자],"&lt;="&amp;D24)</f>
        <v>7</v>
      </c>
      <c r="Z24" s="29">
        <f>COUNTIFS(Table2[주민등록번호],O24,Table2[주간],S24,Table2[근무일자],"&lt;="&amp;D24)</f>
        <v>1</v>
      </c>
      <c r="AA24" s="29">
        <f>SUMIFS(Table2[근로
시간],Table2[주민등록번호],O24,Table2[주간],S24,Table2[근무일자],"&lt;="&amp;D24)*24</f>
        <v>8</v>
      </c>
      <c r="AB24" s="29" t="str">
        <f>IF(AND(Y24&gt;=8,COUNTIFS(Table2[주민등록번호],O24,Table2[근무일자],"&gt;="&amp;EOMONTH(D24,-2)+1,Table2[근무일자],"&lt;="&amp;EOMONTH(D24,-1)+1)&gt;0),"V","")</f>
        <v/>
      </c>
      <c r="AC24" s="33" cm="1">
        <f t="array" ref="AC24">IF(AD24&lt;&gt;"",AD24,_xlfn.XLOOKUP(1,(D24&lt;=Table7[End])*(E24=Table7[근무처])*(F24=Table7[업무]),Table7[시급],0,0))</f>
        <v>10580</v>
      </c>
      <c r="AD24" s="34"/>
      <c r="AE24" s="33">
        <f t="shared" si="4"/>
        <v>84640</v>
      </c>
      <c r="AF24" s="86" cm="1">
        <f t="array" ref="AF24">IF(AND(AA24&gt;=15,(AA24-U24*24)&lt;=40),IF(Z24&gt;=_xlfn.XLOOKUP(1,(D24&lt;=Table7[End])*(E24=Table7[근무처])*(F24=Table7[업무]),Table7[주휴적용일],0,0),1,0)+_xlfn.XLOOKUP(1,(Table2[주간]=Table2[[#This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4" s="86" cm="1">
        <f t="array" ref="AG24">MAX((_xlfn.IFS(AF24=0,0,AF24=1,AA24,AF24&gt;1,U24*24)-IF(AA24&gt;40,AA24-40,0))/5,0)</f>
        <v>0</v>
      </c>
      <c r="AH24" s="33">
        <f t="shared" si="5"/>
        <v>0</v>
      </c>
      <c r="AI24" s="33" cm="1">
        <f t="array" ref="AI24">IF(W24="",0,ROUND(AC24*U24*24*_xlfn.XLOOKUP(1,(D24&lt;=Table7[End])*(E24=Table7[근무처])*(F24=Table7[업무]),Table7[휴일인센티브],0,0),0))</f>
        <v>0</v>
      </c>
      <c r="AJ24" s="33" cm="1">
        <f t="array" ref="AJ24">ROUND(AC24*IF(U24&gt;=8/24,U24-8/24,0)*24*_xlfn.XLOOKUP(1,(D24&lt;=Table7[End])*(E24=Table7[근무처])*(F24=Table7[업무]),Table7[야간인센티브],0,0),0)</f>
        <v>0</v>
      </c>
      <c r="AK24" s="33" cm="1">
        <f t="array" ref="AK24">IF(V24=0,0,ROUND(AC24*V24*24*_xlfn.XLOOKUP(1,(D24&lt;=Table7[End])*(E24=Table7[근무처])*(F24=Table7[업무]),Table7[야간인센티브],0,0),0))</f>
        <v>0</v>
      </c>
      <c r="AL24" s="34"/>
      <c r="AM24" s="33">
        <f t="shared" si="6"/>
        <v>84640</v>
      </c>
      <c r="AN24" s="33" cm="1">
        <f t="array" ref="AN24">IF(AM24&gt;=_xlfn.XLOOKUP(TRUE,D24&lt;=Table5[End],Table5[비과세소득기준],0,0),AM24-_xlfn.XLOOKUP(TRUE,D24&lt;=Table5[End],Table5[비과세소득기준],0,0),0)</f>
        <v>0</v>
      </c>
      <c r="AO24" s="33" cm="1">
        <f t="array" ref="AO24">ROUNDDOWN(_xlfn.LET(_xlpm.setvalue,_xlfn.XLOOKUP(TRUE,D24&lt;=Table5[End],Table5[[요율]:[근로소득세액공제]],0,0),_xlpm.tax,AN24*PRODUCT((_xlpm.setvalue-{0,1})*{1,-1}),_xlpm.threshold,_xlfn.XLOOKUP(TRUE,D24&lt;=Table5[End],Table5[소액부징수기준],0,0),IF(_xlpm.tax&gt;=_xlpm.threshold,_xlpm.tax,0)),-1)</f>
        <v>0</v>
      </c>
      <c r="AP24" s="33">
        <f>ROUNDDOWN(Table2[[#This Row],[소득세]]*10%,-1)</f>
        <v>0</v>
      </c>
      <c r="AQ24" s="33">
        <f>IF(AB24="v",AM24+IF(Y24=8,SUMIFS(Table2[지급총액],Table2[주민등록번호],O24,Table2[월],R24,Table2[월간
근무일],"&lt;="&amp;8)-AM24,0),0)+_xlfn.NUMBERVALUE(AR24)</f>
        <v>0</v>
      </c>
      <c r="AR24" s="34"/>
      <c r="AS24" s="33" cm="1">
        <f t="array" ref="AS24">ROUNDDOWN($AQ24*_xlfn.XLOOKUP(1,(AS$5=Table8[Type])*($D24&lt;=Table8[End]),Table8[요율],0,0),0)</f>
        <v>0</v>
      </c>
      <c r="AT24" s="33" cm="1">
        <f t="array" ref="AT24">ROUNDDOWN(AS24*_xlfn.XLOOKUP(1,(AT$5=Table8[Type])*($D24&lt;=Table8[End]),Table8[요율],0,0),-1)</f>
        <v>0</v>
      </c>
      <c r="AU24" s="33" cm="1">
        <f t="array" ref="AU24">ROUNDDOWN($AQ24*_xlfn.XLOOKUP(1,(AU$5=Table8[Type])*($D24&lt;=Table8[End]),Table8[요율],0,0),-1)</f>
        <v>0</v>
      </c>
      <c r="AV24" s="33" cm="1">
        <f t="array" ref="AV24">ROUNDDOWN(AM24*_xlfn.XLOOKUP(1,(AV$5=Table8[Type])*($D24&lt;=Table8[End]),Table8[요율],0,0),-1)</f>
        <v>0</v>
      </c>
      <c r="AW24" s="33" cm="1">
        <f t="array" ref="AW24">_xlfn.XLOOKUP(1,(O24=Table2[주민등록번호])*(D24&gt;Table2[근무일자]),Table2[청구 Claim 
이월],0,0,-1)</f>
        <v>0</v>
      </c>
      <c r="AX24" s="34"/>
      <c r="AY24" s="33" cm="1">
        <f t="array" ref="AY24">MAX(SUM(AO24:AP24,AS24:AX24)-_xlfn.XLOOKUP(1,(D24&lt;=Table7[End])*(E24=Table7[근무처])*(F24=Table7[업무]),Table7[1일 공제 상한],0,0),0)</f>
        <v>0</v>
      </c>
      <c r="AZ24" s="33">
        <f t="shared" si="7"/>
        <v>0</v>
      </c>
      <c r="BA24" s="33">
        <f t="shared" si="8"/>
        <v>84640</v>
      </c>
      <c r="BB24" s="87">
        <f t="shared" si="9"/>
        <v>0</v>
      </c>
      <c r="BC24" s="88"/>
      <c r="BD24" s="33">
        <f t="shared" si="10"/>
        <v>0</v>
      </c>
      <c r="BE24" s="33">
        <f t="shared" si="11"/>
        <v>0</v>
      </c>
      <c r="BF24" s="33">
        <f t="shared" si="12"/>
        <v>0</v>
      </c>
      <c r="BG24" s="33">
        <f t="shared" si="13"/>
        <v>0</v>
      </c>
      <c r="BH24" s="33" cm="1">
        <f t="array" ref="BH24">ROUNDDOWN(AM24*_xlfn.XLOOKUP(1,(BH$5=Table8[Type])*($D24&lt;=Table8[End]),Table8[요율],0,0),-1)</f>
        <v>670</v>
      </c>
      <c r="BI24" s="29" t="str" cm="1">
        <f t="array" ref="BI24">_xlfn.XLOOKUP(1,(D24&lt;=Table7[End])*(E24=Table7[근무처])*(F24=Table7[업무]),Table7[지급옵션],0,0)</f>
        <v>차주 화</v>
      </c>
      <c r="BJ24" s="83">
        <f>IF(BK24&lt;&gt;"",BK24,IFERROR(D24+_xlfn.NUMBERVALUE(RIGHT(BI24,1)),D24-WEEKDAY(D24)+CHOOSE(MATCH(RIGHT(BI24),{"일","월","화","수","목","금","토"},0),8,9,10,11,12,13,14)))</f>
        <v>45405</v>
      </c>
      <c r="BK24" s="84"/>
    </row>
    <row r="25" spans="2:63" x14ac:dyDescent="0.35">
      <c r="B25" s="20" t="str" cm="1">
        <f t="array" ref="B25">_xlfn.IFS(BB25&lt;&gt;BC25,"Claim확인",N25&lt;&gt;"OK","확인필요",TRUE,"")</f>
        <v/>
      </c>
      <c r="C25" s="21" t="str">
        <f t="shared" si="0"/>
        <v>010-12X4-XX781123581321</v>
      </c>
      <c r="D25" s="26">
        <v>45401</v>
      </c>
      <c r="E25" s="26" t="s">
        <v>256</v>
      </c>
      <c r="F25" s="25" t="s">
        <v>102</v>
      </c>
      <c r="G25" s="27" t="s">
        <v>60</v>
      </c>
      <c r="H25" s="25" t="s">
        <v>21</v>
      </c>
      <c r="I25" s="25"/>
      <c r="J25" s="25">
        <v>1123581321</v>
      </c>
      <c r="K25" s="28">
        <v>0.375</v>
      </c>
      <c r="L25" s="28">
        <v>0.58333333333333337</v>
      </c>
      <c r="M25" s="28">
        <v>0</v>
      </c>
      <c r="N25" s="25" t="s">
        <v>281</v>
      </c>
      <c r="O25" s="29">
        <f>_xlfn.XLOOKUP(Table2[[#This Row],[Key]],Table1[Key],Table1[주민등록번호],"",0)</f>
        <v>1111111111111</v>
      </c>
      <c r="P25" s="29">
        <f>_xlfn.XLOOKUP(Table2[[#This Row],[Key]],Table1[Key],Table1[비자],"",0)</f>
        <v>0</v>
      </c>
      <c r="Q25" s="29">
        <f>IF(P25=0,0,_xlfn.XLOOKUP(Table2[[#This Row],[Key]],Table1[Key],Table1[고용보험 여부],0,0))</f>
        <v>0</v>
      </c>
      <c r="R25" s="29" t="str">
        <f t="shared" si="1"/>
        <v>2404</v>
      </c>
      <c r="S25" s="30" t="str">
        <f>YEAR(Table2[[#This Row],[근무일자]])&amp;TEXT(WEEKNUM(Table2[[#This Row],[근무일자]]),"00")</f>
        <v>202416</v>
      </c>
      <c r="T25" s="31">
        <f>_xlfn.XLOOKUP(Table2[[#This Row],[Key]],Table1[Key],Table1[등록일],"",0)</f>
        <v>45292</v>
      </c>
      <c r="U25" s="32">
        <f t="shared" si="2"/>
        <v>0.20833333333333337</v>
      </c>
      <c r="V25" s="89">
        <f t="shared" si="3"/>
        <v>0</v>
      </c>
      <c r="W25" s="100" t="str">
        <f>_xlfn.XLOOKUP(Table2[[#This Row],[근무일자]],Table3[Date],Table3[Holiday],"",0)</f>
        <v/>
      </c>
      <c r="X25" s="29">
        <f>IF(D25&lt;&gt;"",1,0)+IF(COUNTIFS(Table2[주민등록번호],O25,Table2[월],TEXT(EOMONTH(D25,-1),"YYMM"))&gt;0,1+IF(COUNTIFS(Table2[주민등록번호],O25,Table2[월],TEXT(EOMONTH(D25,-2),"YYMM"))&gt;0,1+IF(COUNTIFS(Table2[주민등록번호],O25,Table2[월],TEXT(EOMONTH(D25,-3),"YYMM"))&gt;0,1,0),0),0)</f>
        <v>3</v>
      </c>
      <c r="Y25" s="29">
        <f>COUNTIFS(Table2[주민등록번호],O25,Table2[월],R25,Table2[근무일자],"&lt;="&amp;D25)</f>
        <v>8</v>
      </c>
      <c r="Z25" s="29">
        <f>COUNTIFS(Table2[주민등록번호],O25,Table2[주간],S25,Table2[근무일자],"&lt;="&amp;D25)</f>
        <v>2</v>
      </c>
      <c r="AA25" s="29">
        <f>SUMIFS(Table2[근로
시간],Table2[주민등록번호],O25,Table2[주간],S25,Table2[근무일자],"&lt;="&amp;D25)*24</f>
        <v>13.000000000000002</v>
      </c>
      <c r="AB25" s="29" t="str">
        <f>IF(AND(Y25&gt;=8,COUNTIFS(Table2[주민등록번호],O25,Table2[근무일자],"&gt;="&amp;EOMONTH(D25,-2)+1,Table2[근무일자],"&lt;="&amp;EOMONTH(D25,-1)+1)&gt;0),"V","")</f>
        <v>V</v>
      </c>
      <c r="AC25" s="33" cm="1">
        <f t="array" ref="AC25">IF(AD25&lt;&gt;"",AD25,_xlfn.XLOOKUP(1,(D25&lt;=Table7[End])*(E25=Table7[근무처])*(F25=Table7[업무]),Table7[시급],0,0))</f>
        <v>10580</v>
      </c>
      <c r="AD25" s="34"/>
      <c r="AE25" s="33">
        <f t="shared" si="4"/>
        <v>52900</v>
      </c>
      <c r="AF25" s="86" cm="1">
        <f t="array" ref="AF25">IF(AND(AA25&gt;=15,(AA25-U25*24)&lt;=40),IF(Z25&gt;=_xlfn.XLOOKUP(1,(D25&lt;=Table7[End])*(E25=Table7[근무처])*(F25=Table7[업무]),Table7[주휴적용일],0,0),1,0)+_xlfn.XLOOKUP(1,(Table2[주간]=Table2[[#This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5" s="86" cm="1">
        <f t="array" ref="AG25">MAX((_xlfn.IFS(AF25=0,0,AF25=1,AA25,AF25&gt;1,U25*24)-IF(AA25&gt;40,AA25-40,0))/5,0)</f>
        <v>0</v>
      </c>
      <c r="AH25" s="33">
        <f t="shared" si="5"/>
        <v>0</v>
      </c>
      <c r="AI25" s="33" cm="1">
        <f t="array" ref="AI25">IF(W25="",0,ROUND(AC25*U25*24*_xlfn.XLOOKUP(1,(D25&lt;=Table7[End])*(E25=Table7[근무처])*(F25=Table7[업무]),Table7[휴일인센티브],0,0),0))</f>
        <v>0</v>
      </c>
      <c r="AJ25" s="33" cm="1">
        <f t="array" ref="AJ25">ROUND(AC25*IF(U25&gt;=8/24,U25-8/24,0)*24*_xlfn.XLOOKUP(1,(D25&lt;=Table7[End])*(E25=Table7[근무처])*(F25=Table7[업무]),Table7[야간인센티브],0,0),0)</f>
        <v>0</v>
      </c>
      <c r="AK25" s="33" cm="1">
        <f t="array" ref="AK25">IF(V25=0,0,ROUND(AC25*V25*24*_xlfn.XLOOKUP(1,(D25&lt;=Table7[End])*(E25=Table7[근무처])*(F25=Table7[업무]),Table7[야간인센티브],0,0),0))</f>
        <v>0</v>
      </c>
      <c r="AL25" s="34">
        <v>200000</v>
      </c>
      <c r="AM25" s="33">
        <f t="shared" si="6"/>
        <v>252900</v>
      </c>
      <c r="AN25" s="33" cm="1">
        <f t="array" ref="AN25">IF(AM25&gt;=_xlfn.XLOOKUP(TRUE,D25&lt;=Table5[End],Table5[비과세소득기준],0,0),AM25-_xlfn.XLOOKUP(TRUE,D25&lt;=Table5[End],Table5[비과세소득기준],0,0),0)</f>
        <v>102900</v>
      </c>
      <c r="AO25" s="33" cm="1">
        <f t="array" ref="AO25">ROUNDDOWN(_xlfn.LET(_xlpm.setvalue,_xlfn.XLOOKUP(TRUE,D25&lt;=Table5[End],Table5[[요율]:[근로소득세액공제]],0,0),_xlpm.tax,AN25*PRODUCT((_xlpm.setvalue-{0,1})*{1,-1}),_xlpm.threshold,_xlfn.XLOOKUP(TRUE,D25&lt;=Table5[End],Table5[소액부징수기준],0,0),IF(_xlpm.tax&gt;=_xlpm.threshold,_xlpm.tax,0)),-1)</f>
        <v>2770</v>
      </c>
      <c r="AP25" s="33">
        <f>ROUNDDOWN(Table2[[#This Row],[소득세]]*10%,-1)</f>
        <v>270</v>
      </c>
      <c r="AQ25" s="33">
        <f>IF(AB25="v",AM25+IF(Y25=8,SUMIFS(Table2[지급총액],Table2[주민등록번호],O25,Table2[월],R25,Table2[월간
근무일],"&lt;="&amp;8)-AM25,0),0)+_xlfn.NUMBERVALUE(AR25)</f>
        <v>922380</v>
      </c>
      <c r="AR25" s="34"/>
      <c r="AS25" s="33" cm="1">
        <f t="array" ref="AS25">ROUNDDOWN($AQ25*_xlfn.XLOOKUP(1,(AS$5=Table8[Type])*($D25&lt;=Table8[End]),Table8[요율],0,0),0)</f>
        <v>32698</v>
      </c>
      <c r="AT25" s="33" cm="1">
        <f t="array" ref="AT25">ROUNDDOWN(AS25*_xlfn.XLOOKUP(1,(AT$5=Table8[Type])*($D25&lt;=Table8[End]),Table8[요율],0,0),-1)</f>
        <v>4230</v>
      </c>
      <c r="AU25" s="33" cm="1">
        <f t="array" ref="AU25">ROUNDDOWN($AQ25*_xlfn.XLOOKUP(1,(AU$5=Table8[Type])*($D25&lt;=Table8[End]),Table8[요율],0,0),-1)</f>
        <v>41500</v>
      </c>
      <c r="AV25" s="33" cm="1">
        <f t="array" ref="AV25">ROUNDDOWN(AM25*_xlfn.XLOOKUP(1,(AV$5=Table8[Type])*($D25&lt;=Table8[End]),Table8[요율],0,0),-1)</f>
        <v>0</v>
      </c>
      <c r="AW25" s="33" cm="1">
        <f t="array" ref="AW25">_xlfn.XLOOKUP(1,(O25=Table2[주민등록번호])*(D25&gt;Table2[근무일자]),Table2[청구 Claim 
이월],0,0,-1)</f>
        <v>0</v>
      </c>
      <c r="AX25" s="34"/>
      <c r="AY25" s="33" cm="1">
        <f t="array" ref="AY25">MAX(SUM(AO25:AP25,AS25:AX25)-_xlfn.XLOOKUP(1,(D25&lt;=Table7[End])*(E25=Table7[근무처])*(F25=Table7[업무]),Table7[1일 공제 상한],0,0),0)</f>
        <v>0</v>
      </c>
      <c r="AZ25" s="33">
        <f t="shared" si="7"/>
        <v>81468</v>
      </c>
      <c r="BA25" s="33">
        <f t="shared" si="8"/>
        <v>171432</v>
      </c>
      <c r="BB25" s="87">
        <f t="shared" si="9"/>
        <v>0</v>
      </c>
      <c r="BC25" s="88"/>
      <c r="BD25" s="33">
        <f t="shared" si="10"/>
        <v>32698</v>
      </c>
      <c r="BE25" s="33">
        <f t="shared" si="11"/>
        <v>4230</v>
      </c>
      <c r="BF25" s="33">
        <f t="shared" si="12"/>
        <v>41500</v>
      </c>
      <c r="BG25" s="33">
        <f t="shared" si="13"/>
        <v>0</v>
      </c>
      <c r="BH25" s="33" cm="1">
        <f t="array" ref="BH25">ROUNDDOWN(AM25*_xlfn.XLOOKUP(1,(BH$5=Table8[Type])*($D25&lt;=Table8[End]),Table8[요율],0,0),-1)</f>
        <v>2020</v>
      </c>
      <c r="BI25" s="29" t="str" cm="1">
        <f t="array" ref="BI25">_xlfn.XLOOKUP(1,(D25&lt;=Table7[End])*(E25=Table7[근무처])*(F25=Table7[업무]),Table7[지급옵션],0,0)</f>
        <v>차주 화</v>
      </c>
      <c r="BJ25" s="83">
        <f>IF(BK25&lt;&gt;"",BK25,IFERROR(D25+_xlfn.NUMBERVALUE(RIGHT(BI25,1)),D25-WEEKDAY(D25)+CHOOSE(MATCH(RIGHT(BI25),{"일","월","화","수","목","금","토"},0),8,9,10,11,12,13,14)))</f>
        <v>45405</v>
      </c>
      <c r="BK25" s="84"/>
    </row>
    <row r="26" spans="2:63" x14ac:dyDescent="0.35">
      <c r="B26" s="20" t="str" cm="1">
        <f t="array" ref="B26">_xlfn.IFS(BB26&lt;&gt;BC26,"Claim확인",N26&lt;&gt;"OK","확인필요",TRUE,"")</f>
        <v/>
      </c>
      <c r="C26" s="21" t="str">
        <f t="shared" si="0"/>
        <v>010-12X4-XX781123581321</v>
      </c>
      <c r="D26" s="26">
        <v>45403</v>
      </c>
      <c r="E26" s="26" t="s">
        <v>256</v>
      </c>
      <c r="F26" s="25" t="s">
        <v>102</v>
      </c>
      <c r="G26" s="27" t="s">
        <v>60</v>
      </c>
      <c r="H26" s="25" t="s">
        <v>21</v>
      </c>
      <c r="I26" s="25"/>
      <c r="J26" s="25">
        <v>1123581321</v>
      </c>
      <c r="K26" s="28">
        <v>0.375</v>
      </c>
      <c r="L26" s="28">
        <v>0.75</v>
      </c>
      <c r="M26" s="28">
        <v>4.1666666666666664E-2</v>
      </c>
      <c r="N26" s="25" t="s">
        <v>281</v>
      </c>
      <c r="O26" s="29">
        <f>_xlfn.XLOOKUP(Table2[[#This Row],[Key]],Table1[Key],Table1[주민등록번호],"",0)</f>
        <v>1111111111111</v>
      </c>
      <c r="P26" s="29">
        <f>_xlfn.XLOOKUP(Table2[[#This Row],[Key]],Table1[Key],Table1[비자],"",0)</f>
        <v>0</v>
      </c>
      <c r="Q26" s="29">
        <f>IF(P26=0,0,_xlfn.XLOOKUP(Table2[[#This Row],[Key]],Table1[Key],Table1[고용보험 여부],0,0))</f>
        <v>0</v>
      </c>
      <c r="R26" s="29" t="str">
        <f t="shared" si="1"/>
        <v>2404</v>
      </c>
      <c r="S26" s="30" t="str">
        <f>YEAR(Table2[[#This Row],[근무일자]])&amp;TEXT(WEEKNUM(Table2[[#This Row],[근무일자]]),"00")</f>
        <v>202417</v>
      </c>
      <c r="T26" s="31">
        <f>_xlfn.XLOOKUP(Table2[[#This Row],[Key]],Table1[Key],Table1[등록일],"",0)</f>
        <v>45292</v>
      </c>
      <c r="U26" s="32">
        <f t="shared" si="2"/>
        <v>0.33333333333333331</v>
      </c>
      <c r="V26" s="89">
        <f t="shared" si="3"/>
        <v>0</v>
      </c>
      <c r="W26" s="100" t="str">
        <f>_xlfn.XLOOKUP(Table2[[#This Row],[근무일자]],Table3[Date],Table3[Holiday],"",0)</f>
        <v/>
      </c>
      <c r="X26" s="29">
        <f>IF(D26&lt;&gt;"",1,0)+IF(COUNTIFS(Table2[주민등록번호],O26,Table2[월],TEXT(EOMONTH(D26,-1),"YYMM"))&gt;0,1+IF(COUNTIFS(Table2[주민등록번호],O26,Table2[월],TEXT(EOMONTH(D26,-2),"YYMM"))&gt;0,1+IF(COUNTIFS(Table2[주민등록번호],O26,Table2[월],TEXT(EOMONTH(D26,-3),"YYMM"))&gt;0,1,0),0),0)</f>
        <v>3</v>
      </c>
      <c r="Y26" s="29">
        <f>COUNTIFS(Table2[주민등록번호],O26,Table2[월],R26,Table2[근무일자],"&lt;="&amp;D26)</f>
        <v>9</v>
      </c>
      <c r="Z26" s="29">
        <f>COUNTIFS(Table2[주민등록번호],O26,Table2[주간],S26,Table2[근무일자],"&lt;="&amp;D26)</f>
        <v>1</v>
      </c>
      <c r="AA26" s="29">
        <f>SUMIFS(Table2[근로
시간],Table2[주민등록번호],O26,Table2[주간],S26,Table2[근무일자],"&lt;="&amp;D26)*24</f>
        <v>8</v>
      </c>
      <c r="AB26" s="29" t="str">
        <f>IF(AND(Y26&gt;=8,COUNTIFS(Table2[주민등록번호],O26,Table2[근무일자],"&gt;="&amp;EOMONTH(D26,-2)+1,Table2[근무일자],"&lt;="&amp;EOMONTH(D26,-1)+1)&gt;0),"V","")</f>
        <v>V</v>
      </c>
      <c r="AC26" s="33" cm="1">
        <f t="array" ref="AC26">IF(AD26&lt;&gt;"",AD26,_xlfn.XLOOKUP(1,(D26&lt;=Table7[End])*(E26=Table7[근무처])*(F26=Table7[업무]),Table7[시급],0,0))</f>
        <v>10580</v>
      </c>
      <c r="AD26" s="34"/>
      <c r="AE26" s="33">
        <f t="shared" si="4"/>
        <v>84640</v>
      </c>
      <c r="AF26" s="86" cm="1">
        <f t="array" ref="AF26">IF(AND(AA26&gt;=15,(AA26-U26*24)&lt;=40),IF(Z26&gt;=_xlfn.XLOOKUP(1,(D26&lt;=Table7[End])*(E26=Table7[근무처])*(F26=Table7[업무]),Table7[주휴적용일],0,0),1,0)+_xlfn.XLOOKUP(1,(Table2[주간]=Table2[[#This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6" s="86" cm="1">
        <f t="array" ref="AG26">MAX((_xlfn.IFS(AF26=0,0,AF26=1,AA26,AF26&gt;1,U26*24)-IF(AA26&gt;40,AA26-40,0))/5,0)</f>
        <v>0</v>
      </c>
      <c r="AH26" s="33">
        <f t="shared" si="5"/>
        <v>0</v>
      </c>
      <c r="AI26" s="33" cm="1">
        <f t="array" ref="AI26">IF(W26="",0,ROUND(AC26*U26*24*_xlfn.XLOOKUP(1,(D26&lt;=Table7[End])*(E26=Table7[근무처])*(F26=Table7[업무]),Table7[휴일인센티브],0,0),0))</f>
        <v>0</v>
      </c>
      <c r="AJ26" s="33" cm="1">
        <f t="array" ref="AJ26">ROUND(AC26*IF(U26&gt;=8/24,U26-8/24,0)*24*_xlfn.XLOOKUP(1,(D26&lt;=Table7[End])*(E26=Table7[근무처])*(F26=Table7[업무]),Table7[야간인센티브],0,0),0)</f>
        <v>0</v>
      </c>
      <c r="AK26" s="33" cm="1">
        <f t="array" ref="AK26">IF(V26=0,0,ROUND(AC26*V26*24*_xlfn.XLOOKUP(1,(D26&lt;=Table7[End])*(E26=Table7[근무처])*(F26=Table7[업무]),Table7[야간인센티브],0,0),0))</f>
        <v>0</v>
      </c>
      <c r="AL26" s="34"/>
      <c r="AM26" s="33">
        <f t="shared" si="6"/>
        <v>84640</v>
      </c>
      <c r="AN26" s="33" cm="1">
        <f t="array" ref="AN26">IF(AM26&gt;=_xlfn.XLOOKUP(TRUE,D26&lt;=Table5[End],Table5[비과세소득기준],0,0),AM26-_xlfn.XLOOKUP(TRUE,D26&lt;=Table5[End],Table5[비과세소득기준],0,0),0)</f>
        <v>0</v>
      </c>
      <c r="AO26" s="33" cm="1">
        <f t="array" ref="AO26">ROUNDDOWN(_xlfn.LET(_xlpm.setvalue,_xlfn.XLOOKUP(TRUE,D26&lt;=Table5[End],Table5[[요율]:[근로소득세액공제]],0,0),_xlpm.tax,AN26*PRODUCT((_xlpm.setvalue-{0,1})*{1,-1}),_xlpm.threshold,_xlfn.XLOOKUP(TRUE,D26&lt;=Table5[End],Table5[소액부징수기준],0,0),IF(_xlpm.tax&gt;=_xlpm.threshold,_xlpm.tax,0)),-1)</f>
        <v>0</v>
      </c>
      <c r="AP26" s="33">
        <f>ROUNDDOWN(Table2[[#This Row],[소득세]]*10%,-1)</f>
        <v>0</v>
      </c>
      <c r="AQ26" s="33">
        <f>IF(AB26="v",AM26+IF(Y26=8,SUMIFS(Table2[지급총액],Table2[주민등록번호],O26,Table2[월],R26,Table2[월간
근무일],"&lt;="&amp;8)-AM26,0),0)+_xlfn.NUMBERVALUE(AR26)</f>
        <v>84640</v>
      </c>
      <c r="AR26" s="34"/>
      <c r="AS26" s="33" cm="1">
        <f t="array" ref="AS26">ROUNDDOWN($AQ26*_xlfn.XLOOKUP(1,(AS$5=Table8[Type])*($D26&lt;=Table8[End]),Table8[요율],0,0),0)</f>
        <v>3000</v>
      </c>
      <c r="AT26" s="33" cm="1">
        <f t="array" ref="AT26">ROUNDDOWN(AS26*_xlfn.XLOOKUP(1,(AT$5=Table8[Type])*($D26&lt;=Table8[End]),Table8[요율],0,0),-1)</f>
        <v>380</v>
      </c>
      <c r="AU26" s="33" cm="1">
        <f t="array" ref="AU26">ROUNDDOWN($AQ26*_xlfn.XLOOKUP(1,(AU$5=Table8[Type])*($D26&lt;=Table8[End]),Table8[요율],0,0),-1)</f>
        <v>3800</v>
      </c>
      <c r="AV26" s="33" cm="1">
        <f t="array" ref="AV26">ROUNDDOWN(AM26*_xlfn.XLOOKUP(1,(AV$5=Table8[Type])*($D26&lt;=Table8[End]),Table8[요율],0,0),-1)</f>
        <v>0</v>
      </c>
      <c r="AW26" s="33" cm="1">
        <f t="array" ref="AW26">_xlfn.XLOOKUP(1,(O26=Table2[주민등록번호])*(D26&gt;Table2[근무일자]),Table2[청구 Claim 
이월],0,0,-1)</f>
        <v>0</v>
      </c>
      <c r="AX26" s="34"/>
      <c r="AY26" s="33" cm="1">
        <f t="array" ref="AY26">MAX(SUM(AO26:AP26,AS26:AX26)-_xlfn.XLOOKUP(1,(D26&lt;=Table7[End])*(E26=Table7[근무처])*(F26=Table7[업무]),Table7[1일 공제 상한],0,0),0)</f>
        <v>0</v>
      </c>
      <c r="AZ26" s="33">
        <f t="shared" si="7"/>
        <v>7180</v>
      </c>
      <c r="BA26" s="33">
        <f t="shared" si="8"/>
        <v>77460</v>
      </c>
      <c r="BB26" s="87">
        <f t="shared" si="9"/>
        <v>0</v>
      </c>
      <c r="BC26" s="88"/>
      <c r="BD26" s="33">
        <f t="shared" si="10"/>
        <v>3000</v>
      </c>
      <c r="BE26" s="33">
        <f t="shared" si="11"/>
        <v>380</v>
      </c>
      <c r="BF26" s="33">
        <f t="shared" si="12"/>
        <v>3800</v>
      </c>
      <c r="BG26" s="33">
        <f t="shared" si="13"/>
        <v>0</v>
      </c>
      <c r="BH26" s="33" cm="1">
        <f t="array" ref="BH26">ROUNDDOWN(AM26*_xlfn.XLOOKUP(1,(BH$5=Table8[Type])*($D26&lt;=Table8[End]),Table8[요율],0,0),-1)</f>
        <v>670</v>
      </c>
      <c r="BI26" s="29" t="str" cm="1">
        <f t="array" ref="BI26">_xlfn.XLOOKUP(1,(D26&lt;=Table7[End])*(E26=Table7[근무처])*(F26=Table7[업무]),Table7[지급옵션],0,0)</f>
        <v>차주 화</v>
      </c>
      <c r="BJ26" s="83">
        <f>IF(BK26&lt;&gt;"",BK26,IFERROR(D26+_xlfn.NUMBERVALUE(RIGHT(BI26,1)),D26-WEEKDAY(D26)+CHOOSE(MATCH(RIGHT(BI26),{"일","월","화","수","목","금","토"},0),8,9,10,11,12,13,14)))</f>
        <v>45412</v>
      </c>
      <c r="BK26" s="84"/>
    </row>
    <row r="27" spans="2:63" x14ac:dyDescent="0.35">
      <c r="B27" s="20" t="str" cm="1">
        <f t="array" ref="B27">_xlfn.IFS(BB27&lt;&gt;BC27,"Claim확인",N27&lt;&gt;"OK","확인필요",TRUE,"")</f>
        <v/>
      </c>
      <c r="C27" s="21" t="str">
        <f t="shared" si="0"/>
        <v>010-12X4-XX781123581321</v>
      </c>
      <c r="D27" s="26">
        <v>45407</v>
      </c>
      <c r="E27" s="26" t="s">
        <v>256</v>
      </c>
      <c r="F27" s="25" t="s">
        <v>102</v>
      </c>
      <c r="G27" s="27" t="s">
        <v>60</v>
      </c>
      <c r="H27" s="25" t="s">
        <v>21</v>
      </c>
      <c r="I27" s="25"/>
      <c r="J27" s="25">
        <v>1123581321</v>
      </c>
      <c r="K27" s="28">
        <v>0.375</v>
      </c>
      <c r="L27" s="28">
        <v>0.75</v>
      </c>
      <c r="M27" s="28">
        <v>4.1666666666666664E-2</v>
      </c>
      <c r="N27" s="25" t="s">
        <v>281</v>
      </c>
      <c r="O27" s="29">
        <f>_xlfn.XLOOKUP(Table2[[#This Row],[Key]],Table1[Key],Table1[주민등록번호],"",0)</f>
        <v>1111111111111</v>
      </c>
      <c r="P27" s="29">
        <f>_xlfn.XLOOKUP(Table2[[#This Row],[Key]],Table1[Key],Table1[비자],"",0)</f>
        <v>0</v>
      </c>
      <c r="Q27" s="29">
        <f>IF(P27=0,0,_xlfn.XLOOKUP(Table2[[#This Row],[Key]],Table1[Key],Table1[고용보험 여부],0,0))</f>
        <v>0</v>
      </c>
      <c r="R27" s="29" t="str">
        <f t="shared" si="1"/>
        <v>2404</v>
      </c>
      <c r="S27" s="30" t="str">
        <f>YEAR(Table2[[#This Row],[근무일자]])&amp;TEXT(WEEKNUM(Table2[[#This Row],[근무일자]]),"00")</f>
        <v>202417</v>
      </c>
      <c r="T27" s="31">
        <f>_xlfn.XLOOKUP(Table2[[#This Row],[Key]],Table1[Key],Table1[등록일],"",0)</f>
        <v>45292</v>
      </c>
      <c r="U27" s="32">
        <f t="shared" si="2"/>
        <v>0.33333333333333331</v>
      </c>
      <c r="V27" s="89">
        <f t="shared" si="3"/>
        <v>0</v>
      </c>
      <c r="W27" s="100" t="str">
        <f>_xlfn.XLOOKUP(Table2[[#This Row],[근무일자]],Table3[Date],Table3[Holiday],"",0)</f>
        <v/>
      </c>
      <c r="X27" s="29">
        <f>IF(D27&lt;&gt;"",1,0)+IF(COUNTIFS(Table2[주민등록번호],O27,Table2[월],TEXT(EOMONTH(D27,-1),"YYMM"))&gt;0,1+IF(COUNTIFS(Table2[주민등록번호],O27,Table2[월],TEXT(EOMONTH(D27,-2),"YYMM"))&gt;0,1+IF(COUNTIFS(Table2[주민등록번호],O27,Table2[월],TEXT(EOMONTH(D27,-3),"YYMM"))&gt;0,1,0),0),0)</f>
        <v>3</v>
      </c>
      <c r="Y27" s="29">
        <f>COUNTIFS(Table2[주민등록번호],O27,Table2[월],R27,Table2[근무일자],"&lt;="&amp;D27)</f>
        <v>10</v>
      </c>
      <c r="Z27" s="29">
        <f>COUNTIFS(Table2[주민등록번호],O27,Table2[주간],S27,Table2[근무일자],"&lt;="&amp;D27)</f>
        <v>2</v>
      </c>
      <c r="AA27" s="29">
        <f>SUMIFS(Table2[근로
시간],Table2[주민등록번호],O27,Table2[주간],S27,Table2[근무일자],"&lt;="&amp;D27)*24</f>
        <v>16</v>
      </c>
      <c r="AB27" s="29" t="str">
        <f>IF(AND(Y27&gt;=8,COUNTIFS(Table2[주민등록번호],O27,Table2[근무일자],"&gt;="&amp;EOMONTH(D27,-2)+1,Table2[근무일자],"&lt;="&amp;EOMONTH(D27,-1)+1)&gt;0),"V","")</f>
        <v>V</v>
      </c>
      <c r="AC27" s="33" cm="1">
        <f t="array" ref="AC27">IF(AD27&lt;&gt;"",AD27,_xlfn.XLOOKUP(1,(D27&lt;=Table7[End])*(E27=Table7[근무처])*(F27=Table7[업무]),Table7[시급],0,0))</f>
        <v>10580</v>
      </c>
      <c r="AD27" s="34"/>
      <c r="AE27" s="33">
        <f t="shared" si="4"/>
        <v>84640</v>
      </c>
      <c r="AF27" s="86" cm="1">
        <f t="array" ref="AF27">IF(AND(AA27&gt;=15,(AA27-U27*24)&lt;=40),IF(Z27&gt;=_xlfn.XLOOKUP(1,(D27&lt;=Table7[End])*(E27=Table7[근무처])*(F27=Table7[업무]),Table7[주휴적용일],0,0),1,0)+_xlfn.XLOOKUP(1,(Table2[주간]=Table2[[#This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7" s="86" cm="1">
        <f t="array" ref="AG27">MAX((_xlfn.IFS(AF27=0,0,AF27=1,AA27,AF27&gt;1,U27*24)-IF(AA27&gt;40,AA27-40,0))/5,0)</f>
        <v>3.2</v>
      </c>
      <c r="AH27" s="33">
        <f t="shared" si="5"/>
        <v>33856</v>
      </c>
      <c r="AI27" s="33" cm="1">
        <f t="array" ref="AI27">IF(W27="",0,ROUND(AC27*U27*24*_xlfn.XLOOKUP(1,(D27&lt;=Table7[End])*(E27=Table7[근무처])*(F27=Table7[업무]),Table7[휴일인센티브],0,0),0))</f>
        <v>0</v>
      </c>
      <c r="AJ27" s="33" cm="1">
        <f t="array" ref="AJ27">ROUND(AC27*IF(U27&gt;=8/24,U27-8/24,0)*24*_xlfn.XLOOKUP(1,(D27&lt;=Table7[End])*(E27=Table7[근무처])*(F27=Table7[업무]),Table7[야간인센티브],0,0),0)</f>
        <v>0</v>
      </c>
      <c r="AK27" s="33" cm="1">
        <f t="array" ref="AK27">IF(V27=0,0,ROUND(AC27*V27*24*_xlfn.XLOOKUP(1,(D27&lt;=Table7[End])*(E27=Table7[근무처])*(F27=Table7[업무]),Table7[야간인센티브],0,0),0))</f>
        <v>0</v>
      </c>
      <c r="AL27" s="34"/>
      <c r="AM27" s="33">
        <f t="shared" si="6"/>
        <v>118496</v>
      </c>
      <c r="AN27" s="33" cm="1">
        <f t="array" ref="AN27">IF(AM27&gt;=_xlfn.XLOOKUP(TRUE,D27&lt;=Table5[End],Table5[비과세소득기준],0,0),AM27-_xlfn.XLOOKUP(TRUE,D27&lt;=Table5[End],Table5[비과세소득기준],0,0),0)</f>
        <v>0</v>
      </c>
      <c r="AO27" s="33" cm="1">
        <f t="array" ref="AO27">ROUNDDOWN(_xlfn.LET(_xlpm.setvalue,_xlfn.XLOOKUP(TRUE,D27&lt;=Table5[End],Table5[[요율]:[근로소득세액공제]],0,0),_xlpm.tax,AN27*PRODUCT((_xlpm.setvalue-{0,1})*{1,-1}),_xlpm.threshold,_xlfn.XLOOKUP(TRUE,D27&lt;=Table5[End],Table5[소액부징수기준],0,0),IF(_xlpm.tax&gt;=_xlpm.threshold,_xlpm.tax,0)),-1)</f>
        <v>0</v>
      </c>
      <c r="AP27" s="33">
        <f>ROUNDDOWN(Table2[[#This Row],[소득세]]*10%,-1)</f>
        <v>0</v>
      </c>
      <c r="AQ27" s="33">
        <f>IF(AB27="v",AM27+IF(Y27=8,SUMIFS(Table2[지급총액],Table2[주민등록번호],O27,Table2[월],R27,Table2[월간
근무일],"&lt;="&amp;8)-AM27,0),0)+_xlfn.NUMBERVALUE(AR27)</f>
        <v>118496</v>
      </c>
      <c r="AR27" s="34"/>
      <c r="AS27" s="33" cm="1">
        <f t="array" ref="AS27">ROUNDDOWN($AQ27*_xlfn.XLOOKUP(1,(AS$5=Table8[Type])*($D27&lt;=Table8[End]),Table8[요율],0,0),0)</f>
        <v>4200</v>
      </c>
      <c r="AT27" s="33" cm="1">
        <f t="array" ref="AT27">ROUNDDOWN(AS27*_xlfn.XLOOKUP(1,(AT$5=Table8[Type])*($D27&lt;=Table8[End]),Table8[요율],0,0),-1)</f>
        <v>540</v>
      </c>
      <c r="AU27" s="33" cm="1">
        <f t="array" ref="AU27">ROUNDDOWN($AQ27*_xlfn.XLOOKUP(1,(AU$5=Table8[Type])*($D27&lt;=Table8[End]),Table8[요율],0,0),-1)</f>
        <v>5330</v>
      </c>
      <c r="AV27" s="33" cm="1">
        <f t="array" ref="AV27">ROUNDDOWN(AM27*_xlfn.XLOOKUP(1,(AV$5=Table8[Type])*($D27&lt;=Table8[End]),Table8[요율],0,0),-1)</f>
        <v>0</v>
      </c>
      <c r="AW27" s="33" cm="1">
        <f t="array" ref="AW27">_xlfn.XLOOKUP(1,(O27=Table2[주민등록번호])*(D27&gt;Table2[근무일자]),Table2[청구 Claim 
이월],0,0,-1)</f>
        <v>0</v>
      </c>
      <c r="AX27" s="34"/>
      <c r="AY27" s="33" cm="1">
        <f t="array" ref="AY27">MAX(SUM(AO27:AP27,AS27:AX27)-_xlfn.XLOOKUP(1,(D27&lt;=Table7[End])*(E27=Table7[근무처])*(F27=Table7[업무]),Table7[1일 공제 상한],0,0),0)</f>
        <v>0</v>
      </c>
      <c r="AZ27" s="33">
        <f t="shared" si="7"/>
        <v>10070</v>
      </c>
      <c r="BA27" s="33">
        <f t="shared" si="8"/>
        <v>108426</v>
      </c>
      <c r="BB27" s="87">
        <f t="shared" si="9"/>
        <v>0</v>
      </c>
      <c r="BC27" s="88"/>
      <c r="BD27" s="33">
        <f t="shared" si="10"/>
        <v>4200</v>
      </c>
      <c r="BE27" s="33">
        <f t="shared" si="11"/>
        <v>540</v>
      </c>
      <c r="BF27" s="33">
        <f t="shared" si="12"/>
        <v>5330</v>
      </c>
      <c r="BG27" s="33">
        <f t="shared" si="13"/>
        <v>0</v>
      </c>
      <c r="BH27" s="33" cm="1">
        <f t="array" ref="BH27">ROUNDDOWN(AM27*_xlfn.XLOOKUP(1,(BH$5=Table8[Type])*($D27&lt;=Table8[End]),Table8[요율],0,0),-1)</f>
        <v>940</v>
      </c>
      <c r="BI27" s="29" t="str" cm="1">
        <f t="array" ref="BI27">_xlfn.XLOOKUP(1,(D27&lt;=Table7[End])*(E27=Table7[근무처])*(F27=Table7[업무]),Table7[지급옵션],0,0)</f>
        <v>차주 화</v>
      </c>
      <c r="BJ27" s="83">
        <f>IF(BK27&lt;&gt;"",BK27,IFERROR(D27+_xlfn.NUMBERVALUE(RIGHT(BI27,1)),D27-WEEKDAY(D27)+CHOOSE(MATCH(RIGHT(BI27),{"일","월","화","수","목","금","토"},0),8,9,10,11,12,13,14)))</f>
        <v>45412</v>
      </c>
      <c r="BK27" s="84"/>
    </row>
    <row r="28" spans="2:63" x14ac:dyDescent="0.35">
      <c r="B28" s="20" t="str" cm="1">
        <f t="array" ref="B28">_xlfn.IFS(BB28&lt;&gt;BC28,"Claim확인",N28&lt;&gt;"OK","확인필요",TRUE,"")</f>
        <v/>
      </c>
      <c r="C28" s="21" t="str">
        <f t="shared" si="0"/>
        <v>010-12X4-XX781123581321</v>
      </c>
      <c r="D28" s="26">
        <v>45417</v>
      </c>
      <c r="E28" s="26" t="s">
        <v>256</v>
      </c>
      <c r="F28" s="25" t="s">
        <v>102</v>
      </c>
      <c r="G28" s="27" t="s">
        <v>60</v>
      </c>
      <c r="H28" s="25" t="s">
        <v>21</v>
      </c>
      <c r="I28" s="25"/>
      <c r="J28" s="25">
        <v>1123581321</v>
      </c>
      <c r="K28" s="28">
        <v>0.375</v>
      </c>
      <c r="L28" s="28">
        <v>0.75</v>
      </c>
      <c r="M28" s="28">
        <v>4.1666666666666664E-2</v>
      </c>
      <c r="N28" s="25" t="s">
        <v>281</v>
      </c>
      <c r="O28" s="29">
        <f>_xlfn.XLOOKUP(Table2[[#This Row],[Key]],Table1[Key],Table1[주민등록번호],"",0)</f>
        <v>1111111111111</v>
      </c>
      <c r="P28" s="29">
        <f>_xlfn.XLOOKUP(Table2[[#This Row],[Key]],Table1[Key],Table1[비자],"",0)</f>
        <v>0</v>
      </c>
      <c r="Q28" s="29">
        <f>IF(P28=0,0,_xlfn.XLOOKUP(Table2[[#This Row],[Key]],Table1[Key],Table1[고용보험 여부],0,0))</f>
        <v>0</v>
      </c>
      <c r="R28" s="29" t="str">
        <f t="shared" si="1"/>
        <v>2405</v>
      </c>
      <c r="S28" s="30" t="str">
        <f>YEAR(Table2[[#This Row],[근무일자]])&amp;TEXT(WEEKNUM(Table2[[#This Row],[근무일자]]),"00")</f>
        <v>202419</v>
      </c>
      <c r="T28" s="31">
        <f>_xlfn.XLOOKUP(Table2[[#This Row],[Key]],Table1[Key],Table1[등록일],"",0)</f>
        <v>45292</v>
      </c>
      <c r="U28" s="32">
        <f t="shared" si="2"/>
        <v>0.33333333333333331</v>
      </c>
      <c r="V28" s="89">
        <f t="shared" si="3"/>
        <v>0</v>
      </c>
      <c r="W28" s="100" t="str">
        <f>_xlfn.XLOOKUP(Table2[[#This Row],[근무일자]],Table3[Date],Table3[Holiday],"",0)</f>
        <v>어린이날</v>
      </c>
      <c r="X28" s="29">
        <f>IF(D28&lt;&gt;"",1,0)+IF(COUNTIFS(Table2[주민등록번호],O28,Table2[월],TEXT(EOMONTH(D28,-1),"YYMM"))&gt;0,1+IF(COUNTIFS(Table2[주민등록번호],O28,Table2[월],TEXT(EOMONTH(D28,-2),"YYMM"))&gt;0,1+IF(COUNTIFS(Table2[주민등록번호],O28,Table2[월],TEXT(EOMONTH(D28,-3),"YYMM"))&gt;0,1,0),0),0)</f>
        <v>4</v>
      </c>
      <c r="Y28" s="29">
        <f>COUNTIFS(Table2[주민등록번호],O28,Table2[월],R28,Table2[근무일자],"&lt;="&amp;D28)</f>
        <v>1</v>
      </c>
      <c r="Z28" s="29">
        <f>COUNTIFS(Table2[주민등록번호],O28,Table2[주간],S28,Table2[근무일자],"&lt;="&amp;D28)</f>
        <v>1</v>
      </c>
      <c r="AA28" s="29">
        <f>SUMIFS(Table2[근로
시간],Table2[주민등록번호],O28,Table2[주간],S28,Table2[근무일자],"&lt;="&amp;D28)*24</f>
        <v>8</v>
      </c>
      <c r="AB28" s="29" t="str">
        <f>IF(AND(Y28&gt;=8,COUNTIFS(Table2[주민등록번호],O28,Table2[근무일자],"&gt;="&amp;EOMONTH(D28,-2)+1,Table2[근무일자],"&lt;="&amp;EOMONTH(D28,-1)+1)&gt;0),"V","")</f>
        <v/>
      </c>
      <c r="AC28" s="33" cm="1">
        <f t="array" ref="AC28">IF(AD28&lt;&gt;"",AD28,_xlfn.XLOOKUP(1,(D28&lt;=Table7[End])*(E28=Table7[근무처])*(F28=Table7[업무]),Table7[시급],0,0))</f>
        <v>10580</v>
      </c>
      <c r="AD28" s="34"/>
      <c r="AE28" s="33">
        <f t="shared" si="4"/>
        <v>84640</v>
      </c>
      <c r="AF28" s="86" cm="1">
        <f t="array" ref="AF28">IF(AND(AA28&gt;=15,(AA28-U28*24)&lt;=40),IF(Z28&gt;=_xlfn.XLOOKUP(1,(D28&lt;=Table7[End])*(E28=Table7[근무처])*(F28=Table7[업무]),Table7[주휴적용일],0,0),1,0)+_xlfn.XLOOKUP(1,(Table2[주간]=Table2[[#This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8" s="86" cm="1">
        <f t="array" ref="AG28">MAX((_xlfn.IFS(AF28=0,0,AF28=1,AA28,AF28&gt;1,U28*24)-IF(AA28&gt;40,AA28-40,0))/5,0)</f>
        <v>0</v>
      </c>
      <c r="AH28" s="33">
        <f t="shared" si="5"/>
        <v>0</v>
      </c>
      <c r="AI28" s="33" cm="1">
        <f t="array" ref="AI28">IF(W28="",0,ROUND(AC28*U28*24*_xlfn.XLOOKUP(1,(D28&lt;=Table7[End])*(E28=Table7[근무처])*(F28=Table7[업무]),Table7[휴일인센티브],0,0),0))</f>
        <v>42320</v>
      </c>
      <c r="AJ28" s="33" cm="1">
        <f t="array" ref="AJ28">ROUND(AC28*IF(U28&gt;=8/24,U28-8/24,0)*24*_xlfn.XLOOKUP(1,(D28&lt;=Table7[End])*(E28=Table7[근무처])*(F28=Table7[업무]),Table7[야간인센티브],0,0),0)</f>
        <v>0</v>
      </c>
      <c r="AK28" s="33" cm="1">
        <f t="array" ref="AK28">IF(V28=0,0,ROUND(AC28*V28*24*_xlfn.XLOOKUP(1,(D28&lt;=Table7[End])*(E28=Table7[근무처])*(F28=Table7[업무]),Table7[야간인센티브],0,0),0))</f>
        <v>0</v>
      </c>
      <c r="AL28" s="34"/>
      <c r="AM28" s="33">
        <f t="shared" si="6"/>
        <v>126960</v>
      </c>
      <c r="AN28" s="33" cm="1">
        <f t="array" ref="AN28">IF(AM28&gt;=_xlfn.XLOOKUP(TRUE,D28&lt;=Table5[End],Table5[비과세소득기준],0,0),AM28-_xlfn.XLOOKUP(TRUE,D28&lt;=Table5[End],Table5[비과세소득기준],0,0),0)</f>
        <v>0</v>
      </c>
      <c r="AO28" s="33" cm="1">
        <f t="array" ref="AO28">ROUNDDOWN(_xlfn.LET(_xlpm.setvalue,_xlfn.XLOOKUP(TRUE,D28&lt;=Table5[End],Table5[[요율]:[근로소득세액공제]],0,0),_xlpm.tax,AN28*PRODUCT((_xlpm.setvalue-{0,1})*{1,-1}),_xlpm.threshold,_xlfn.XLOOKUP(TRUE,D28&lt;=Table5[End],Table5[소액부징수기준],0,0),IF(_xlpm.tax&gt;=_xlpm.threshold,_xlpm.tax,0)),-1)</f>
        <v>0</v>
      </c>
      <c r="AP28" s="33">
        <f>ROUNDDOWN(Table2[[#This Row],[소득세]]*10%,-1)</f>
        <v>0</v>
      </c>
      <c r="AQ28" s="33">
        <f>IF(AB28="v",AM28+IF(Y28=8,SUMIFS(Table2[지급총액],Table2[주민등록번호],O28,Table2[월],R28,Table2[월간
근무일],"&lt;="&amp;8)-AM28,0),0)+_xlfn.NUMBERVALUE(AR28)</f>
        <v>0</v>
      </c>
      <c r="AR28" s="34"/>
      <c r="AS28" s="33" cm="1">
        <f t="array" ref="AS28">ROUNDDOWN($AQ28*_xlfn.XLOOKUP(1,(AS$5=Table8[Type])*($D28&lt;=Table8[End]),Table8[요율],0,0),0)</f>
        <v>0</v>
      </c>
      <c r="AT28" s="33" cm="1">
        <f t="array" ref="AT28">ROUNDDOWN(AS28*_xlfn.XLOOKUP(1,(AT$5=Table8[Type])*($D28&lt;=Table8[End]),Table8[요율],0,0),-1)</f>
        <v>0</v>
      </c>
      <c r="AU28" s="33" cm="1">
        <f t="array" ref="AU28">ROUNDDOWN($AQ28*_xlfn.XLOOKUP(1,(AU$5=Table8[Type])*($D28&lt;=Table8[End]),Table8[요율],0,0),-1)</f>
        <v>0</v>
      </c>
      <c r="AV28" s="33" cm="1">
        <f t="array" ref="AV28">ROUNDDOWN(AM28*_xlfn.XLOOKUP(1,(AV$5=Table8[Type])*($D28&lt;=Table8[End]),Table8[요율],0,0),-1)</f>
        <v>0</v>
      </c>
      <c r="AW28" s="33" cm="1">
        <f t="array" ref="AW28">_xlfn.XLOOKUP(1,(O28=Table2[주민등록번호])*(D28&gt;Table2[근무일자]),Table2[청구 Claim 
이월],0,0,-1)</f>
        <v>0</v>
      </c>
      <c r="AX28" s="34"/>
      <c r="AY28" s="33" cm="1">
        <f t="array" ref="AY28">MAX(SUM(AO28:AP28,AS28:AX28)-_xlfn.XLOOKUP(1,(D28&lt;=Table7[End])*(E28=Table7[근무처])*(F28=Table7[업무]),Table7[1일 공제 상한],0,0),0)</f>
        <v>0</v>
      </c>
      <c r="AZ28" s="33">
        <f t="shared" si="7"/>
        <v>0</v>
      </c>
      <c r="BA28" s="33">
        <f t="shared" si="8"/>
        <v>126960</v>
      </c>
      <c r="BB28" s="87">
        <f t="shared" si="9"/>
        <v>0</v>
      </c>
      <c r="BC28" s="88"/>
      <c r="BD28" s="33">
        <f t="shared" si="10"/>
        <v>0</v>
      </c>
      <c r="BE28" s="33">
        <f t="shared" si="11"/>
        <v>0</v>
      </c>
      <c r="BF28" s="33">
        <f t="shared" si="12"/>
        <v>0</v>
      </c>
      <c r="BG28" s="33">
        <f t="shared" si="13"/>
        <v>0</v>
      </c>
      <c r="BH28" s="33" cm="1">
        <f t="array" ref="BH28">ROUNDDOWN(AM28*_xlfn.XLOOKUP(1,(BH$5=Table8[Type])*($D28&lt;=Table8[End]),Table8[요율],0,0),-1)</f>
        <v>1010</v>
      </c>
      <c r="BI28" s="29" t="str" cm="1">
        <f t="array" ref="BI28">_xlfn.XLOOKUP(1,(D28&lt;=Table7[End])*(E28=Table7[근무처])*(F28=Table7[업무]),Table7[지급옵션],0,0)</f>
        <v>차주 화</v>
      </c>
      <c r="BJ28" s="83">
        <f>IF(BK28&lt;&gt;"",BK28,IFERROR(D28+_xlfn.NUMBERVALUE(RIGHT(BI28,1)),D28-WEEKDAY(D28)+CHOOSE(MATCH(RIGHT(BI28),{"일","월","화","수","목","금","토"},0),8,9,10,11,12,13,14)))</f>
        <v>45426</v>
      </c>
      <c r="BK28" s="84"/>
    </row>
    <row r="29" spans="2:63" x14ac:dyDescent="0.35">
      <c r="B29" s="20" t="str" cm="1">
        <f t="array" ref="B29">_xlfn.IFS(BB29&lt;&gt;BC29,"Claim확인",N29&lt;&gt;"OK","확인필요",TRUE,"")</f>
        <v/>
      </c>
      <c r="C29" s="21" t="str">
        <f t="shared" si="0"/>
        <v>010-12X4-XX781123581321</v>
      </c>
      <c r="D29" s="26">
        <v>45474</v>
      </c>
      <c r="E29" s="26" t="s">
        <v>256</v>
      </c>
      <c r="F29" s="25" t="s">
        <v>102</v>
      </c>
      <c r="G29" s="27" t="s">
        <v>60</v>
      </c>
      <c r="H29" s="25" t="s">
        <v>21</v>
      </c>
      <c r="I29" s="25"/>
      <c r="J29" s="25">
        <v>1123581321</v>
      </c>
      <c r="K29" s="28">
        <v>0.375</v>
      </c>
      <c r="L29" s="28">
        <v>0.75</v>
      </c>
      <c r="M29" s="28">
        <v>4.1666666666666664E-2</v>
      </c>
      <c r="N29" s="25" t="s">
        <v>281</v>
      </c>
      <c r="O29" s="29">
        <f>_xlfn.XLOOKUP(Table2[[#This Row],[Key]],Table1[Key],Table1[주민등록번호],"",0)</f>
        <v>1111111111111</v>
      </c>
      <c r="P29" s="29">
        <f>_xlfn.XLOOKUP(Table2[[#This Row],[Key]],Table1[Key],Table1[비자],"",0)</f>
        <v>0</v>
      </c>
      <c r="Q29" s="29">
        <f>IF(P29=0,0,_xlfn.XLOOKUP(Table2[[#This Row],[Key]],Table1[Key],Table1[고용보험 여부],0,0))</f>
        <v>0</v>
      </c>
      <c r="R29" s="29" t="str">
        <f t="shared" si="1"/>
        <v>2407</v>
      </c>
      <c r="S29" s="30" t="str">
        <f>YEAR(Table2[[#This Row],[근무일자]])&amp;TEXT(WEEKNUM(Table2[[#This Row],[근무일자]]),"00")</f>
        <v>202427</v>
      </c>
      <c r="T29" s="31">
        <f>_xlfn.XLOOKUP(Table2[[#This Row],[Key]],Table1[Key],Table1[등록일],"",0)</f>
        <v>45292</v>
      </c>
      <c r="U29" s="32">
        <f t="shared" si="2"/>
        <v>0.33333333333333331</v>
      </c>
      <c r="V29" s="89">
        <f t="shared" si="3"/>
        <v>0</v>
      </c>
      <c r="W29" s="100" t="str">
        <f>_xlfn.XLOOKUP(Table2[[#This Row],[근무일자]],Table3[Date],Table3[Holiday],"",0)</f>
        <v/>
      </c>
      <c r="X29" s="29">
        <f>IF(D29&lt;&gt;"",1,0)+IF(COUNTIFS(Table2[주민등록번호],O29,Table2[월],TEXT(EOMONTH(D29,-1),"YYMM"))&gt;0,1+IF(COUNTIFS(Table2[주민등록번호],O29,Table2[월],TEXT(EOMONTH(D29,-2),"YYMM"))&gt;0,1+IF(COUNTIFS(Table2[주민등록번호],O29,Table2[월],TEXT(EOMONTH(D29,-3),"YYMM"))&gt;0,1,0),0),0)</f>
        <v>1</v>
      </c>
      <c r="Y29" s="29">
        <f>COUNTIFS(Table2[주민등록번호],O29,Table2[월],R29,Table2[근무일자],"&lt;="&amp;D29)</f>
        <v>1</v>
      </c>
      <c r="Z29" s="29">
        <f>COUNTIFS(Table2[주민등록번호],O29,Table2[주간],S29,Table2[근무일자],"&lt;="&amp;D29)</f>
        <v>1</v>
      </c>
      <c r="AA29" s="29">
        <f>SUMIFS(Table2[근로
시간],Table2[주민등록번호],O29,Table2[주간],S29,Table2[근무일자],"&lt;="&amp;D29)*24</f>
        <v>8</v>
      </c>
      <c r="AB29" s="29" t="str">
        <f>IF(AND(Y29&gt;=8,COUNTIFS(Table2[주민등록번호],O29,Table2[근무일자],"&gt;="&amp;EOMONTH(D29,-2)+1,Table2[근무일자],"&lt;="&amp;EOMONTH(D29,-1)+1)&gt;0),"V","")</f>
        <v/>
      </c>
      <c r="AC29" s="33" cm="1">
        <f t="array" ref="AC29">IF(AD29&lt;&gt;"",AD29,_xlfn.XLOOKUP(1,(D29&lt;=Table7[End])*(E29=Table7[근무처])*(F29=Table7[업무]),Table7[시급],0,0))</f>
        <v>10580</v>
      </c>
      <c r="AD29" s="34"/>
      <c r="AE29" s="33">
        <f t="shared" si="4"/>
        <v>84640</v>
      </c>
      <c r="AF29" s="86" cm="1">
        <f t="array" ref="AF29">IF(AND(AA29&gt;=15,(AA29-U29*24)&lt;=40),IF(Z29&gt;=_xlfn.XLOOKUP(1,(D29&lt;=Table7[End])*(E29=Table7[근무처])*(F29=Table7[업무]),Table7[주휴적용일],0,0),1,0)+_xlfn.XLOOKUP(1,(Table2[주간]=Table2[[#This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9" s="86" cm="1">
        <f t="array" ref="AG29">MAX((_xlfn.IFS(AF29=0,0,AF29=1,AA29,AF29&gt;1,U29*24)-IF(AA29&gt;40,AA29-40,0))/5,0)</f>
        <v>0</v>
      </c>
      <c r="AH29" s="33">
        <f t="shared" si="5"/>
        <v>0</v>
      </c>
      <c r="AI29" s="33" cm="1">
        <f t="array" ref="AI29">IF(W29="",0,ROUND(AC29*U29*24*_xlfn.XLOOKUP(1,(D29&lt;=Table7[End])*(E29=Table7[근무처])*(F29=Table7[업무]),Table7[휴일인센티브],0,0),0))</f>
        <v>0</v>
      </c>
      <c r="AJ29" s="33" cm="1">
        <f t="array" ref="AJ29">ROUND(AC29*IF(U29&gt;=8/24,U29-8/24,0)*24*_xlfn.XLOOKUP(1,(D29&lt;=Table7[End])*(E29=Table7[근무처])*(F29=Table7[업무]),Table7[야간인센티브],0,0),0)</f>
        <v>0</v>
      </c>
      <c r="AK29" s="33" cm="1">
        <f t="array" ref="AK29">IF(V29=0,0,ROUND(AC29*V29*24*_xlfn.XLOOKUP(1,(D29&lt;=Table7[End])*(E29=Table7[근무처])*(F29=Table7[업무]),Table7[야간인센티브],0,0),0))</f>
        <v>0</v>
      </c>
      <c r="AL29" s="34"/>
      <c r="AM29" s="33">
        <f t="shared" si="6"/>
        <v>84640</v>
      </c>
      <c r="AN29" s="33" cm="1">
        <f t="array" ref="AN29">IF(AM29&gt;=_xlfn.XLOOKUP(TRUE,D29&lt;=Table5[End],Table5[비과세소득기준],0,0),AM29-_xlfn.XLOOKUP(TRUE,D29&lt;=Table5[End],Table5[비과세소득기준],0,0),0)</f>
        <v>0</v>
      </c>
      <c r="AO29" s="33" cm="1">
        <f t="array" ref="AO29">ROUNDDOWN(_xlfn.LET(_xlpm.setvalue,_xlfn.XLOOKUP(TRUE,D29&lt;=Table5[End],Table5[[요율]:[근로소득세액공제]],0,0),_xlpm.tax,AN29*PRODUCT((_xlpm.setvalue-{0,1})*{1,-1}),_xlpm.threshold,_xlfn.XLOOKUP(TRUE,D29&lt;=Table5[End],Table5[소액부징수기준],0,0),IF(_xlpm.tax&gt;=_xlpm.threshold,_xlpm.tax,0)),-1)</f>
        <v>0</v>
      </c>
      <c r="AP29" s="33">
        <f>ROUNDDOWN(Table2[[#This Row],[소득세]]*10%,-1)</f>
        <v>0</v>
      </c>
      <c r="AQ29" s="33">
        <f>IF(AB29="v",AM29+IF(Y29=8,SUMIFS(Table2[지급총액],Table2[주민등록번호],O29,Table2[월],R29,Table2[월간
근무일],"&lt;="&amp;8)-AM29,0),0)+_xlfn.NUMBERVALUE(AR29)</f>
        <v>0</v>
      </c>
      <c r="AR29" s="34"/>
      <c r="AS29" s="33" cm="1">
        <f t="array" ref="AS29">ROUNDDOWN($AQ29*_xlfn.XLOOKUP(1,(AS$5=Table8[Type])*($D29&lt;=Table8[End]),Table8[요율],0,0),0)</f>
        <v>0</v>
      </c>
      <c r="AT29" s="33" cm="1">
        <f t="array" ref="AT29">ROUNDDOWN(AS29*_xlfn.XLOOKUP(1,(AT$5=Table8[Type])*($D29&lt;=Table8[End]),Table8[요율],0,0),-1)</f>
        <v>0</v>
      </c>
      <c r="AU29" s="33" cm="1">
        <f t="array" ref="AU29">ROUNDDOWN($AQ29*_xlfn.XLOOKUP(1,(AU$5=Table8[Type])*($D29&lt;=Table8[End]),Table8[요율],0,0),-1)</f>
        <v>0</v>
      </c>
      <c r="AV29" s="33" cm="1">
        <f t="array" ref="AV29">ROUNDDOWN(AM29*_xlfn.XLOOKUP(1,(AV$5=Table8[Type])*($D29&lt;=Table8[End]),Table8[요율],0,0),-1)</f>
        <v>0</v>
      </c>
      <c r="AW29" s="33" cm="1">
        <f t="array" ref="AW29">_xlfn.XLOOKUP(1,(O29=Table2[주민등록번호])*(D29&gt;Table2[근무일자]),Table2[청구 Claim 
이월],0,0,-1)</f>
        <v>0</v>
      </c>
      <c r="AX29" s="34"/>
      <c r="AY29" s="33" cm="1">
        <f t="array" ref="AY29">MAX(SUM(AO29:AP29,AS29:AX29)-_xlfn.XLOOKUP(1,(D29&lt;=Table7[End])*(E29=Table7[근무처])*(F29=Table7[업무]),Table7[1일 공제 상한],0,0),0)</f>
        <v>0</v>
      </c>
      <c r="AZ29" s="33">
        <f t="shared" si="7"/>
        <v>0</v>
      </c>
      <c r="BA29" s="33">
        <f t="shared" si="8"/>
        <v>84640</v>
      </c>
      <c r="BB29" s="87">
        <f t="shared" si="9"/>
        <v>0</v>
      </c>
      <c r="BC29" s="88"/>
      <c r="BD29" s="33">
        <f t="shared" si="10"/>
        <v>0</v>
      </c>
      <c r="BE29" s="33">
        <f t="shared" si="11"/>
        <v>0</v>
      </c>
      <c r="BF29" s="33">
        <f t="shared" si="12"/>
        <v>0</v>
      </c>
      <c r="BG29" s="33">
        <f t="shared" si="13"/>
        <v>0</v>
      </c>
      <c r="BH29" s="33" cm="1">
        <f t="array" ref="BH29">ROUNDDOWN(AM29*_xlfn.XLOOKUP(1,(BH$5=Table8[Type])*($D29&lt;=Table8[End]),Table8[요율],0,0),-1)</f>
        <v>670</v>
      </c>
      <c r="BI29" s="29" t="str" cm="1">
        <f t="array" ref="BI29">_xlfn.XLOOKUP(1,(D29&lt;=Table7[End])*(E29=Table7[근무처])*(F29=Table7[업무]),Table7[지급옵션],0,0)</f>
        <v>차주 화</v>
      </c>
      <c r="BJ29" s="83">
        <f>IF(BK29&lt;&gt;"",BK29,IFERROR(D29+_xlfn.NUMBERVALUE(RIGHT(BI29,1)),D29-WEEKDAY(D29)+CHOOSE(MATCH(RIGHT(BI29),{"일","월","화","수","목","금","토"},0),8,9,10,11,12,13,14)))</f>
        <v>45482</v>
      </c>
      <c r="BK29" s="84"/>
    </row>
    <row r="30" spans="2:63" x14ac:dyDescent="0.35">
      <c r="B30" s="20" t="str" cm="1">
        <f t="array" ref="B30">_xlfn.IFS(BB30&lt;&gt;BC30,"Claim확인",N30&lt;&gt;"OK","확인필요",TRUE,"")</f>
        <v/>
      </c>
      <c r="C30" s="21" t="str">
        <f t="shared" si="0"/>
        <v>010-12X4-XX781123581321</v>
      </c>
      <c r="D30" s="26">
        <v>45475</v>
      </c>
      <c r="E30" s="26" t="s">
        <v>256</v>
      </c>
      <c r="F30" s="25" t="s">
        <v>102</v>
      </c>
      <c r="G30" s="27" t="s">
        <v>60</v>
      </c>
      <c r="H30" s="25" t="s">
        <v>21</v>
      </c>
      <c r="I30" s="25"/>
      <c r="J30" s="25">
        <v>1123581321</v>
      </c>
      <c r="K30" s="28">
        <v>0.375</v>
      </c>
      <c r="L30" s="28">
        <v>0.75</v>
      </c>
      <c r="M30" s="28">
        <v>4.1666666666666664E-2</v>
      </c>
      <c r="N30" s="25" t="s">
        <v>281</v>
      </c>
      <c r="O30" s="29">
        <f>_xlfn.XLOOKUP(Table2[[#This Row],[Key]],Table1[Key],Table1[주민등록번호],"",0)</f>
        <v>1111111111111</v>
      </c>
      <c r="P30" s="29">
        <f>_xlfn.XLOOKUP(Table2[[#This Row],[Key]],Table1[Key],Table1[비자],"",0)</f>
        <v>0</v>
      </c>
      <c r="Q30" s="29">
        <f>IF(P30=0,0,_xlfn.XLOOKUP(Table2[[#This Row],[Key]],Table1[Key],Table1[고용보험 여부],0,0))</f>
        <v>0</v>
      </c>
      <c r="R30" s="29" t="str">
        <f t="shared" si="1"/>
        <v>2407</v>
      </c>
      <c r="S30" s="30" t="str">
        <f>YEAR(Table2[[#This Row],[근무일자]])&amp;TEXT(WEEKNUM(Table2[[#This Row],[근무일자]]),"00")</f>
        <v>202427</v>
      </c>
      <c r="T30" s="31">
        <f>_xlfn.XLOOKUP(Table2[[#This Row],[Key]],Table1[Key],Table1[등록일],"",0)</f>
        <v>45292</v>
      </c>
      <c r="U30" s="32">
        <f t="shared" si="2"/>
        <v>0.33333333333333331</v>
      </c>
      <c r="V30" s="89">
        <f t="shared" si="3"/>
        <v>0</v>
      </c>
      <c r="W30" s="100" t="str">
        <f>_xlfn.XLOOKUP(Table2[[#This Row],[근무일자]],Table3[Date],Table3[Holiday],"",0)</f>
        <v/>
      </c>
      <c r="X30" s="29">
        <f>IF(D30&lt;&gt;"",1,0)+IF(COUNTIFS(Table2[주민등록번호],O30,Table2[월],TEXT(EOMONTH(D30,-1),"YYMM"))&gt;0,1+IF(COUNTIFS(Table2[주민등록번호],O30,Table2[월],TEXT(EOMONTH(D30,-2),"YYMM"))&gt;0,1+IF(COUNTIFS(Table2[주민등록번호],O30,Table2[월],TEXT(EOMONTH(D30,-3),"YYMM"))&gt;0,1,0),0),0)</f>
        <v>1</v>
      </c>
      <c r="Y30" s="29">
        <f>COUNTIFS(Table2[주민등록번호],O30,Table2[월],R30,Table2[근무일자],"&lt;="&amp;D30)</f>
        <v>2</v>
      </c>
      <c r="Z30" s="29">
        <f>COUNTIFS(Table2[주민등록번호],O30,Table2[주간],S30,Table2[근무일자],"&lt;="&amp;D30)</f>
        <v>2</v>
      </c>
      <c r="AA30" s="29">
        <f>SUMIFS(Table2[근로
시간],Table2[주민등록번호],O30,Table2[주간],S30,Table2[근무일자],"&lt;="&amp;D30)*24</f>
        <v>16</v>
      </c>
      <c r="AB30" s="29" t="str">
        <f>IF(AND(Y30&gt;=8,COUNTIFS(Table2[주민등록번호],O30,Table2[근무일자],"&gt;="&amp;EOMONTH(D30,-2)+1,Table2[근무일자],"&lt;="&amp;EOMONTH(D30,-1)+1)&gt;0),"V","")</f>
        <v/>
      </c>
      <c r="AC30" s="33" cm="1">
        <f t="array" ref="AC30">IF(AD30&lt;&gt;"",AD30,_xlfn.XLOOKUP(1,(D30&lt;=Table7[End])*(E30=Table7[근무처])*(F30=Table7[업무]),Table7[시급],0,0))</f>
        <v>10580</v>
      </c>
      <c r="AD30" s="34"/>
      <c r="AE30" s="33">
        <f t="shared" si="4"/>
        <v>84640</v>
      </c>
      <c r="AF30" s="86" cm="1">
        <f t="array" ref="AF30">IF(AND(AA30&gt;=15,(AA30-U30*24)&lt;=40),IF(Z30&gt;=_xlfn.XLOOKUP(1,(D30&lt;=Table7[End])*(E30=Table7[근무처])*(F30=Table7[업무]),Table7[주휴적용일],0,0),1,0)+_xlfn.XLOOKUP(1,(Table2[주간]=Table2[[#This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30" s="86" cm="1">
        <f t="array" ref="AG30">MAX((_xlfn.IFS(AF30=0,0,AF30=1,AA30,AF30&gt;1,U30*24)-IF(AA30&gt;40,AA30-40,0))/5,0)</f>
        <v>3.2</v>
      </c>
      <c r="AH30" s="33">
        <f t="shared" si="5"/>
        <v>33856</v>
      </c>
      <c r="AI30" s="33" cm="1">
        <f t="array" ref="AI30">IF(W30="",0,ROUND(AC30*U30*24*_xlfn.XLOOKUP(1,(D30&lt;=Table7[End])*(E30=Table7[근무처])*(F30=Table7[업무]),Table7[휴일인센티브],0,0),0))</f>
        <v>0</v>
      </c>
      <c r="AJ30" s="33" cm="1">
        <f t="array" ref="AJ30">ROUND(AC30*IF(U30&gt;=8/24,U30-8/24,0)*24*_xlfn.XLOOKUP(1,(D30&lt;=Table7[End])*(E30=Table7[근무처])*(F30=Table7[업무]),Table7[야간인센티브],0,0),0)</f>
        <v>0</v>
      </c>
      <c r="AK30" s="33" cm="1">
        <f t="array" ref="AK30">IF(V30=0,0,ROUND(AC30*V30*24*_xlfn.XLOOKUP(1,(D30&lt;=Table7[End])*(E30=Table7[근무처])*(F30=Table7[업무]),Table7[야간인센티브],0,0),0))</f>
        <v>0</v>
      </c>
      <c r="AL30" s="34"/>
      <c r="AM30" s="33">
        <f t="shared" si="6"/>
        <v>118496</v>
      </c>
      <c r="AN30" s="33" cm="1">
        <f t="array" ref="AN30">IF(AM30&gt;=_xlfn.XLOOKUP(TRUE,D30&lt;=Table5[End],Table5[비과세소득기준],0,0),AM30-_xlfn.XLOOKUP(TRUE,D30&lt;=Table5[End],Table5[비과세소득기준],0,0),0)</f>
        <v>0</v>
      </c>
      <c r="AO30" s="33" cm="1">
        <f t="array" ref="AO30">ROUNDDOWN(_xlfn.LET(_xlpm.setvalue,_xlfn.XLOOKUP(TRUE,D30&lt;=Table5[End],Table5[[요율]:[근로소득세액공제]],0,0),_xlpm.tax,AN30*PRODUCT((_xlpm.setvalue-{0,1})*{1,-1}),_xlpm.threshold,_xlfn.XLOOKUP(TRUE,D30&lt;=Table5[End],Table5[소액부징수기준],0,0),IF(_xlpm.tax&gt;=_xlpm.threshold,_xlpm.tax,0)),-1)</f>
        <v>0</v>
      </c>
      <c r="AP30" s="33">
        <f>ROUNDDOWN(Table2[[#This Row],[소득세]]*10%,-1)</f>
        <v>0</v>
      </c>
      <c r="AQ30" s="33">
        <f>IF(AB30="v",AM30+IF(Y30=8,SUMIFS(Table2[지급총액],Table2[주민등록번호],O30,Table2[월],R30,Table2[월간
근무일],"&lt;="&amp;8)-AM30,0),0)+_xlfn.NUMBERVALUE(AR30)</f>
        <v>0</v>
      </c>
      <c r="AR30" s="34"/>
      <c r="AS30" s="33" cm="1">
        <f t="array" ref="AS30">ROUNDDOWN($AQ30*_xlfn.XLOOKUP(1,(AS$5=Table8[Type])*($D30&lt;=Table8[End]),Table8[요율],0,0),0)</f>
        <v>0</v>
      </c>
      <c r="AT30" s="33" cm="1">
        <f t="array" ref="AT30">ROUNDDOWN(AS30*_xlfn.XLOOKUP(1,(AT$5=Table8[Type])*($D30&lt;=Table8[End]),Table8[요율],0,0),-1)</f>
        <v>0</v>
      </c>
      <c r="AU30" s="33" cm="1">
        <f t="array" ref="AU30">ROUNDDOWN($AQ30*_xlfn.XLOOKUP(1,(AU$5=Table8[Type])*($D30&lt;=Table8[End]),Table8[요율],0,0),-1)</f>
        <v>0</v>
      </c>
      <c r="AV30" s="33" cm="1">
        <f t="array" ref="AV30">ROUNDDOWN(AM30*_xlfn.XLOOKUP(1,(AV$5=Table8[Type])*($D30&lt;=Table8[End]),Table8[요율],0,0),-1)</f>
        <v>0</v>
      </c>
      <c r="AW30" s="33" cm="1">
        <f t="array" ref="AW30">_xlfn.XLOOKUP(1,(O30=Table2[주민등록번호])*(D30&gt;Table2[근무일자]),Table2[청구 Claim 
이월],0,0,-1)</f>
        <v>0</v>
      </c>
      <c r="AX30" s="34"/>
      <c r="AY30" s="33" cm="1">
        <f t="array" ref="AY30">MAX(SUM(AO30:AP30,AS30:AX30)-_xlfn.XLOOKUP(1,(D30&lt;=Table7[End])*(E30=Table7[근무처])*(F30=Table7[업무]),Table7[1일 공제 상한],0,0),0)</f>
        <v>0</v>
      </c>
      <c r="AZ30" s="33">
        <f t="shared" si="7"/>
        <v>0</v>
      </c>
      <c r="BA30" s="33">
        <f t="shared" si="8"/>
        <v>118496</v>
      </c>
      <c r="BB30" s="87">
        <f t="shared" si="9"/>
        <v>0</v>
      </c>
      <c r="BC30" s="88"/>
      <c r="BD30" s="33">
        <f t="shared" si="10"/>
        <v>0</v>
      </c>
      <c r="BE30" s="33">
        <f t="shared" si="11"/>
        <v>0</v>
      </c>
      <c r="BF30" s="33">
        <f t="shared" si="12"/>
        <v>0</v>
      </c>
      <c r="BG30" s="33">
        <f t="shared" si="13"/>
        <v>0</v>
      </c>
      <c r="BH30" s="33" cm="1">
        <f t="array" ref="BH30">ROUNDDOWN(AM30*_xlfn.XLOOKUP(1,(BH$5=Table8[Type])*($D30&lt;=Table8[End]),Table8[요율],0,0),-1)</f>
        <v>940</v>
      </c>
      <c r="BI30" s="29" t="str" cm="1">
        <f t="array" ref="BI30">_xlfn.XLOOKUP(1,(D30&lt;=Table7[End])*(E30=Table7[근무처])*(F30=Table7[업무]),Table7[지급옵션],0,0)</f>
        <v>차주 화</v>
      </c>
      <c r="BJ30" s="83">
        <f>IF(BK30&lt;&gt;"",BK30,IFERROR(D30+_xlfn.NUMBERVALUE(RIGHT(BI30,1)),D30-WEEKDAY(D30)+CHOOSE(MATCH(RIGHT(BI30),{"일","월","화","수","목","금","토"},0),8,9,10,11,12,13,14)))</f>
        <v>45482</v>
      </c>
      <c r="BK30" s="84"/>
    </row>
    <row r="31" spans="2:63" x14ac:dyDescent="0.35">
      <c r="B31" s="20" t="str" cm="1">
        <f t="array" ref="B31">_xlfn.IFS(BB31&lt;&gt;BC31,"Claim확인",N31&lt;&gt;"OK","확인필요",TRUE,"")</f>
        <v/>
      </c>
      <c r="C31" s="21" t="str">
        <f t="shared" si="0"/>
        <v>010-12X4-XX781123581321</v>
      </c>
      <c r="D31" s="26">
        <v>45476</v>
      </c>
      <c r="E31" s="26" t="s">
        <v>256</v>
      </c>
      <c r="F31" s="25" t="s">
        <v>102</v>
      </c>
      <c r="G31" s="27" t="s">
        <v>60</v>
      </c>
      <c r="H31" s="25" t="s">
        <v>21</v>
      </c>
      <c r="I31" s="25"/>
      <c r="J31" s="25">
        <v>1123581321</v>
      </c>
      <c r="K31" s="28">
        <v>0.375</v>
      </c>
      <c r="L31" s="28">
        <v>0.75</v>
      </c>
      <c r="M31" s="28">
        <v>4.1666666666666664E-2</v>
      </c>
      <c r="N31" s="25" t="s">
        <v>281</v>
      </c>
      <c r="O31" s="29">
        <f>_xlfn.XLOOKUP(Table2[[#This Row],[Key]],Table1[Key],Table1[주민등록번호],"",0)</f>
        <v>1111111111111</v>
      </c>
      <c r="P31" s="29">
        <f>_xlfn.XLOOKUP(Table2[[#This Row],[Key]],Table1[Key],Table1[비자],"",0)</f>
        <v>0</v>
      </c>
      <c r="Q31" s="29">
        <f>IF(P31=0,0,_xlfn.XLOOKUP(Table2[[#This Row],[Key]],Table1[Key],Table1[고용보험 여부],0,0))</f>
        <v>0</v>
      </c>
      <c r="R31" s="29" t="str">
        <f t="shared" si="1"/>
        <v>2407</v>
      </c>
      <c r="S31" s="30" t="str">
        <f>YEAR(Table2[[#This Row],[근무일자]])&amp;TEXT(WEEKNUM(Table2[[#This Row],[근무일자]]),"00")</f>
        <v>202427</v>
      </c>
      <c r="T31" s="31">
        <f>_xlfn.XLOOKUP(Table2[[#This Row],[Key]],Table1[Key],Table1[등록일],"",0)</f>
        <v>45292</v>
      </c>
      <c r="U31" s="32">
        <f t="shared" si="2"/>
        <v>0.33333333333333331</v>
      </c>
      <c r="V31" s="89">
        <f t="shared" si="3"/>
        <v>0</v>
      </c>
      <c r="W31" s="100" t="str">
        <f>_xlfn.XLOOKUP(Table2[[#This Row],[근무일자]],Table3[Date],Table3[Holiday],"",0)</f>
        <v/>
      </c>
      <c r="X31" s="29">
        <f>IF(D31&lt;&gt;"",1,0)+IF(COUNTIFS(Table2[주민등록번호],O31,Table2[월],TEXT(EOMONTH(D31,-1),"YYMM"))&gt;0,1+IF(COUNTIFS(Table2[주민등록번호],O31,Table2[월],TEXT(EOMONTH(D31,-2),"YYMM"))&gt;0,1+IF(COUNTIFS(Table2[주민등록번호],O31,Table2[월],TEXT(EOMONTH(D31,-3),"YYMM"))&gt;0,1,0),0),0)</f>
        <v>1</v>
      </c>
      <c r="Y31" s="29">
        <f>COUNTIFS(Table2[주민등록번호],O31,Table2[월],R31,Table2[근무일자],"&lt;="&amp;D31)</f>
        <v>3</v>
      </c>
      <c r="Z31" s="29">
        <f>COUNTIFS(Table2[주민등록번호],O31,Table2[주간],S31,Table2[근무일자],"&lt;="&amp;D31)</f>
        <v>3</v>
      </c>
      <c r="AA31" s="29">
        <f>SUMIFS(Table2[근로
시간],Table2[주민등록번호],O31,Table2[주간],S31,Table2[근무일자],"&lt;="&amp;D31)*24</f>
        <v>24</v>
      </c>
      <c r="AB31" s="29" t="str">
        <f>IF(AND(Y31&gt;=8,COUNTIFS(Table2[주민등록번호],O31,Table2[근무일자],"&gt;="&amp;EOMONTH(D31,-2)+1,Table2[근무일자],"&lt;="&amp;EOMONTH(D31,-1)+1)&gt;0),"V","")</f>
        <v/>
      </c>
      <c r="AC31" s="33" cm="1">
        <f t="array" ref="AC31">IF(AD31&lt;&gt;"",AD31,_xlfn.XLOOKUP(1,(D31&lt;=Table7[End])*(E31=Table7[근무처])*(F31=Table7[업무]),Table7[시급],0,0))</f>
        <v>10580</v>
      </c>
      <c r="AD31" s="34"/>
      <c r="AE31" s="33">
        <f t="shared" si="4"/>
        <v>84640</v>
      </c>
      <c r="AF31" s="86" cm="1">
        <f t="array" ref="AF31">IF(AND(AA31&gt;=15,(AA31-U31*24)&lt;=40),IF(Z31&gt;=_xlfn.XLOOKUP(1,(D31&lt;=Table7[End])*(E31=Table7[근무처])*(F31=Table7[업무]),Table7[주휴적용일],0,0),1,0)+_xlfn.XLOOKUP(1,(Table2[주간]=Table2[[#This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31" s="86" cm="1">
        <f t="array" ref="AG31">MAX((_xlfn.IFS(AF31=0,0,AF31=1,AA31,AF31&gt;1,U31*24)-IF(AA31&gt;40,AA31-40,0))/5,0)</f>
        <v>1.6</v>
      </c>
      <c r="AH31" s="33">
        <f t="shared" si="5"/>
        <v>16928</v>
      </c>
      <c r="AI31" s="33" cm="1">
        <f t="array" ref="AI31">IF(W31="",0,ROUND(AC31*U31*24*_xlfn.XLOOKUP(1,(D31&lt;=Table7[End])*(E31=Table7[근무처])*(F31=Table7[업무]),Table7[휴일인센티브],0,0),0))</f>
        <v>0</v>
      </c>
      <c r="AJ31" s="33" cm="1">
        <f t="array" ref="AJ31">ROUND(AC31*IF(U31&gt;=8/24,U31-8/24,0)*24*_xlfn.XLOOKUP(1,(D31&lt;=Table7[End])*(E31=Table7[근무처])*(F31=Table7[업무]),Table7[야간인센티브],0,0),0)</f>
        <v>0</v>
      </c>
      <c r="AK31" s="33" cm="1">
        <f t="array" ref="AK31">IF(V31=0,0,ROUND(AC31*V31*24*_xlfn.XLOOKUP(1,(D31&lt;=Table7[End])*(E31=Table7[근무처])*(F31=Table7[업무]),Table7[야간인센티브],0,0),0))</f>
        <v>0</v>
      </c>
      <c r="AL31" s="34"/>
      <c r="AM31" s="33">
        <f t="shared" si="6"/>
        <v>101568</v>
      </c>
      <c r="AN31" s="33" cm="1">
        <f t="array" ref="AN31">IF(AM31&gt;=_xlfn.XLOOKUP(TRUE,D31&lt;=Table5[End],Table5[비과세소득기준],0,0),AM31-_xlfn.XLOOKUP(TRUE,D31&lt;=Table5[End],Table5[비과세소득기준],0,0),0)</f>
        <v>0</v>
      </c>
      <c r="AO31" s="33" cm="1">
        <f t="array" ref="AO31">ROUNDDOWN(_xlfn.LET(_xlpm.setvalue,_xlfn.XLOOKUP(TRUE,D31&lt;=Table5[End],Table5[[요율]:[근로소득세액공제]],0,0),_xlpm.tax,AN31*PRODUCT((_xlpm.setvalue-{0,1})*{1,-1}),_xlpm.threshold,_xlfn.XLOOKUP(TRUE,D31&lt;=Table5[End],Table5[소액부징수기준],0,0),IF(_xlpm.tax&gt;=_xlpm.threshold,_xlpm.tax,0)),-1)</f>
        <v>0</v>
      </c>
      <c r="AP31" s="33">
        <f>ROUNDDOWN(Table2[[#This Row],[소득세]]*10%,-1)</f>
        <v>0</v>
      </c>
      <c r="AQ31" s="33">
        <f>IF(AB31="v",AM31+IF(Y31=8,SUMIFS(Table2[지급총액],Table2[주민등록번호],O31,Table2[월],R31,Table2[월간
근무일],"&lt;="&amp;8)-AM31,0),0)+_xlfn.NUMBERVALUE(AR31)</f>
        <v>0</v>
      </c>
      <c r="AR31" s="34"/>
      <c r="AS31" s="33" cm="1">
        <f t="array" ref="AS31">ROUNDDOWN($AQ31*_xlfn.XLOOKUP(1,(AS$5=Table8[Type])*($D31&lt;=Table8[End]),Table8[요율],0,0),0)</f>
        <v>0</v>
      </c>
      <c r="AT31" s="33" cm="1">
        <f t="array" ref="AT31">ROUNDDOWN(AS31*_xlfn.XLOOKUP(1,(AT$5=Table8[Type])*($D31&lt;=Table8[End]),Table8[요율],0,0),-1)</f>
        <v>0</v>
      </c>
      <c r="AU31" s="33" cm="1">
        <f t="array" ref="AU31">ROUNDDOWN($AQ31*_xlfn.XLOOKUP(1,(AU$5=Table8[Type])*($D31&lt;=Table8[End]),Table8[요율],0,0),-1)</f>
        <v>0</v>
      </c>
      <c r="AV31" s="33" cm="1">
        <f t="array" ref="AV31">ROUNDDOWN(AM31*_xlfn.XLOOKUP(1,(AV$5=Table8[Type])*($D31&lt;=Table8[End]),Table8[요율],0,0),-1)</f>
        <v>0</v>
      </c>
      <c r="AW31" s="33" cm="1">
        <f t="array" ref="AW31">_xlfn.XLOOKUP(1,(O31=Table2[주민등록번호])*(D31&gt;Table2[근무일자]),Table2[청구 Claim 
이월],0,0,-1)</f>
        <v>0</v>
      </c>
      <c r="AX31" s="34"/>
      <c r="AY31" s="33" cm="1">
        <f t="array" ref="AY31">MAX(SUM(AO31:AP31,AS31:AX31)-_xlfn.XLOOKUP(1,(D31&lt;=Table7[End])*(E31=Table7[근무처])*(F31=Table7[업무]),Table7[1일 공제 상한],0,0),0)</f>
        <v>0</v>
      </c>
      <c r="AZ31" s="33">
        <f t="shared" si="7"/>
        <v>0</v>
      </c>
      <c r="BA31" s="33">
        <f t="shared" si="8"/>
        <v>101568</v>
      </c>
      <c r="BB31" s="87">
        <f t="shared" si="9"/>
        <v>0</v>
      </c>
      <c r="BC31" s="88"/>
      <c r="BD31" s="33">
        <f t="shared" si="10"/>
        <v>0</v>
      </c>
      <c r="BE31" s="33">
        <f t="shared" si="11"/>
        <v>0</v>
      </c>
      <c r="BF31" s="33">
        <f t="shared" si="12"/>
        <v>0</v>
      </c>
      <c r="BG31" s="33">
        <f t="shared" si="13"/>
        <v>0</v>
      </c>
      <c r="BH31" s="33" cm="1">
        <f t="array" ref="BH31">ROUNDDOWN(AM31*_xlfn.XLOOKUP(1,(BH$5=Table8[Type])*($D31&lt;=Table8[End]),Table8[요율],0,0),-1)</f>
        <v>810</v>
      </c>
      <c r="BI31" s="29" t="str" cm="1">
        <f t="array" ref="BI31">_xlfn.XLOOKUP(1,(D31&lt;=Table7[End])*(E31=Table7[근무처])*(F31=Table7[업무]),Table7[지급옵션],0,0)</f>
        <v>차주 화</v>
      </c>
      <c r="BJ31" s="83">
        <f>IF(BK31&lt;&gt;"",BK31,IFERROR(D31+_xlfn.NUMBERVALUE(RIGHT(BI31,1)),D31-WEEKDAY(D31)+CHOOSE(MATCH(RIGHT(BI31),{"일","월","화","수","목","금","토"},0),8,9,10,11,12,13,14)))</f>
        <v>45482</v>
      </c>
      <c r="BK31" s="84"/>
    </row>
    <row r="32" spans="2:63" x14ac:dyDescent="0.35">
      <c r="B32" s="20" t="str" cm="1">
        <f t="array" ref="B32">_xlfn.IFS(BB32&lt;&gt;BC32,"Claim확인",N32&lt;&gt;"OK","확인필요",TRUE,"")</f>
        <v/>
      </c>
      <c r="C32" s="21" t="str">
        <f t="shared" si="0"/>
        <v>010-3X4X-X9X7219X02XX284640</v>
      </c>
      <c r="D32" s="26">
        <v>45690</v>
      </c>
      <c r="E32" s="26" t="s">
        <v>253</v>
      </c>
      <c r="F32" s="25" t="s">
        <v>257</v>
      </c>
      <c r="G32" s="27" t="s">
        <v>286</v>
      </c>
      <c r="H32" s="25" t="s">
        <v>299</v>
      </c>
      <c r="I32" s="25"/>
      <c r="J32" s="25" t="s">
        <v>300</v>
      </c>
      <c r="K32" s="28">
        <v>0.33333333333333331</v>
      </c>
      <c r="L32" s="28">
        <v>0.70833333333333337</v>
      </c>
      <c r="M32" s="28">
        <v>4.1666666666666664E-2</v>
      </c>
      <c r="N32" s="25" t="s">
        <v>281</v>
      </c>
      <c r="O32" s="29" t="str">
        <f>_xlfn.XLOOKUP(Table2[[#This Row],[Key]],Table1[Key],Table1[주민등록번호],"",0)</f>
        <v>931XX31XX3X14</v>
      </c>
      <c r="P32" s="29">
        <f>_xlfn.XLOOKUP(Table2[[#This Row],[Key]],Table1[Key],Table1[비자],"",0)</f>
        <v>0</v>
      </c>
      <c r="Q32" s="29">
        <f>IF(P32=0,0,_xlfn.XLOOKUP(Table2[[#This Row],[Key]],Table1[Key],Table1[고용보험 여부],0,0))</f>
        <v>0</v>
      </c>
      <c r="R32" s="29" t="str">
        <f t="shared" si="1"/>
        <v>2502</v>
      </c>
      <c r="S32" s="30" t="str">
        <f>YEAR(Table2[[#This Row],[근무일자]])&amp;TEXT(WEEKNUM(Table2[[#This Row],[근무일자]]),"00")</f>
        <v>202506</v>
      </c>
      <c r="T32" s="31">
        <f>_xlfn.XLOOKUP(Table2[[#This Row],[Key]],Table1[Key],Table1[등록일],"",0)</f>
        <v>45773</v>
      </c>
      <c r="U32" s="32">
        <f t="shared" si="2"/>
        <v>0.33333333333333337</v>
      </c>
      <c r="V32" s="89">
        <f t="shared" si="3"/>
        <v>0</v>
      </c>
      <c r="W32" s="100" t="str">
        <f>_xlfn.XLOOKUP(Table2[[#This Row],[근무일자]],Table3[Date],Table3[Holiday],"",0)</f>
        <v/>
      </c>
      <c r="X32" s="29">
        <f>IF(D32&lt;&gt;"",1,0)+IF(COUNTIFS(Table2[주민등록번호],O32,Table2[월],TEXT(EOMONTH(D32,-1),"YYMM"))&gt;0,1+IF(COUNTIFS(Table2[주민등록번호],O32,Table2[월],TEXT(EOMONTH(D32,-2),"YYMM"))&gt;0,1+IF(COUNTIFS(Table2[주민등록번호],O32,Table2[월],TEXT(EOMONTH(D32,-3),"YYMM"))&gt;0,1,0),0),0)</f>
        <v>1</v>
      </c>
      <c r="Y32" s="29">
        <f>COUNTIFS(Table2[주민등록번호],O32,Table2[월],R32,Table2[근무일자],"&lt;="&amp;D32)</f>
        <v>1</v>
      </c>
      <c r="Z32" s="29">
        <f>COUNTIFS(Table2[주민등록번호],O32,Table2[주간],S32,Table2[근무일자],"&lt;="&amp;D32)</f>
        <v>1</v>
      </c>
      <c r="AA32" s="29">
        <f>SUMIFS(Table2[근로
시간],Table2[주민등록번호],O32,Table2[주간],S32,Table2[근무일자],"&lt;="&amp;D32)*24</f>
        <v>8</v>
      </c>
      <c r="AB32" s="29" t="str">
        <f>IF(AND(Y32&gt;=8,COUNTIFS(Table2[주민등록번호],O32,Table2[근무일자],"&gt;="&amp;EOMONTH(D32,-2)+1,Table2[근무일자],"&lt;="&amp;EOMONTH(D32,-1)+1)&gt;0),"V","")</f>
        <v/>
      </c>
      <c r="AC32" s="33" cm="1">
        <f t="array" ref="AC32">IF(AD32&lt;&gt;"",AD32,_xlfn.XLOOKUP(1,(D32&lt;=Table7[End])*(E32=Table7[근무처])*(F32=Table7[업무]),Table7[시급],0,0))</f>
        <v>10030</v>
      </c>
      <c r="AD32" s="34"/>
      <c r="AE32" s="33">
        <f t="shared" si="4"/>
        <v>80240</v>
      </c>
      <c r="AF32" s="86" cm="1">
        <f t="array" ref="AF32">IF(AND(AA32&gt;=15,(AA32-U32*24)&lt;=40),IF(Z32&gt;=_xlfn.XLOOKUP(1,(D32&lt;=Table7[End])*(E32=Table7[근무처])*(F32=Table7[업무]),Table7[주휴적용일],0,0),1,0)+_xlfn.XLOOKUP(1,(Table2[주간]=Table2[[#This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32" s="86" cm="1">
        <f t="array" ref="AG32">MAX((_xlfn.IFS(AF32=0,0,AF32=1,AA32,AF32&gt;1,U32*24)-IF(AA32&gt;40,AA32-40,0))/5,0)</f>
        <v>0</v>
      </c>
      <c r="AH32" s="33">
        <f t="shared" si="5"/>
        <v>0</v>
      </c>
      <c r="AI32" s="33" cm="1">
        <f t="array" ref="AI32">IF(W32="",0,ROUND(AC32*U32*24*_xlfn.XLOOKUP(1,(D32&lt;=Table7[End])*(E32=Table7[근무처])*(F32=Table7[업무]),Table7[휴일인센티브],0,0),0))</f>
        <v>0</v>
      </c>
      <c r="AJ32" s="33" cm="1">
        <f t="array" ref="AJ32">ROUND(AC32*IF(U32&gt;=8/24,U32-8/24,0)*24*_xlfn.XLOOKUP(1,(D32&lt;=Table7[End])*(E32=Table7[근무처])*(F32=Table7[업무]),Table7[야간인센티브],0,0),0)</f>
        <v>0</v>
      </c>
      <c r="AK32" s="33" cm="1">
        <f t="array" ref="AK32">IF(V32=0,0,ROUND(AC32*V32*24*_xlfn.XLOOKUP(1,(D32&lt;=Table7[End])*(E32=Table7[근무처])*(F32=Table7[업무]),Table7[야간인센티브],0,0),0))</f>
        <v>0</v>
      </c>
      <c r="AL32" s="34"/>
      <c r="AM32" s="33">
        <f t="shared" si="6"/>
        <v>80240</v>
      </c>
      <c r="AN32" s="33" cm="1">
        <f t="array" ref="AN32">IF(AM32&gt;=_xlfn.XLOOKUP(TRUE,D32&lt;=Table5[End],Table5[비과세소득기준],0,0),AM32-_xlfn.XLOOKUP(TRUE,D32&lt;=Table5[End],Table5[비과세소득기준],0,0),0)</f>
        <v>0</v>
      </c>
      <c r="AO32" s="33" cm="1">
        <f t="array" ref="AO32">ROUNDDOWN(_xlfn.LET(_xlpm.setvalue,_xlfn.XLOOKUP(TRUE,D32&lt;=Table5[End],Table5[[요율]:[근로소득세액공제]],0,0),_xlpm.tax,AN32*PRODUCT((_xlpm.setvalue-{0,1})*{1,-1}),_xlpm.threshold,_xlfn.XLOOKUP(TRUE,D32&lt;=Table5[End],Table5[소액부징수기준],0,0),IF(_xlpm.tax&gt;=_xlpm.threshold,_xlpm.tax,0)),-1)</f>
        <v>0</v>
      </c>
      <c r="AP32" s="33">
        <f>ROUNDDOWN(Table2[[#This Row],[소득세]]*10%,-1)</f>
        <v>0</v>
      </c>
      <c r="AQ32" s="33">
        <f>IF(AB32="v",AM32+IF(Y32=8,SUMIFS(Table2[지급총액],Table2[주민등록번호],O32,Table2[월],R32,Table2[월간
근무일],"&lt;="&amp;8)-AM32,0),0)+_xlfn.NUMBERVALUE(AR32)</f>
        <v>0</v>
      </c>
      <c r="AR32" s="34"/>
      <c r="AS32" s="33" cm="1">
        <f t="array" ref="AS32">ROUNDDOWN($AQ32*_xlfn.XLOOKUP(1,(AS$5=Table8[Type])*($D32&lt;=Table8[End]),Table8[요율],0,0),0)</f>
        <v>0</v>
      </c>
      <c r="AT32" s="33" cm="1">
        <f t="array" ref="AT32">ROUNDDOWN(AS32*_xlfn.XLOOKUP(1,(AT$5=Table8[Type])*($D32&lt;=Table8[End]),Table8[요율],0,0),-1)</f>
        <v>0</v>
      </c>
      <c r="AU32" s="33" cm="1">
        <f t="array" ref="AU32">ROUNDDOWN($AQ32*_xlfn.XLOOKUP(1,(AU$5=Table8[Type])*($D32&lt;=Table8[End]),Table8[요율],0,0),-1)</f>
        <v>0</v>
      </c>
      <c r="AV32" s="33" cm="1">
        <f t="array" ref="AV32">ROUNDDOWN(AM32*_xlfn.XLOOKUP(1,(AV$5=Table8[Type])*($D32&lt;=Table8[End]),Table8[요율],0,0),-1)</f>
        <v>0</v>
      </c>
      <c r="AW32" s="33" cm="1">
        <f t="array" ref="AW32">_xlfn.XLOOKUP(1,(O32=Table2[주민등록번호])*(D32&gt;Table2[근무일자]),Table2[청구 Claim 
이월],0,0,-1)</f>
        <v>0</v>
      </c>
      <c r="AX32" s="34"/>
      <c r="AY32" s="33" cm="1">
        <f t="array" ref="AY32">MAX(SUM(AO32:AP32,AS32:AX32)-_xlfn.XLOOKUP(1,(D32&lt;=Table7[End])*(E32=Table7[근무처])*(F32=Table7[업무]),Table7[1일 공제 상한],0,0),0)</f>
        <v>0</v>
      </c>
      <c r="AZ32" s="33">
        <f t="shared" si="7"/>
        <v>0</v>
      </c>
      <c r="BA32" s="33">
        <f t="shared" si="8"/>
        <v>80240</v>
      </c>
      <c r="BB32" s="87">
        <f t="shared" si="9"/>
        <v>0</v>
      </c>
      <c r="BC32" s="88"/>
      <c r="BD32" s="33">
        <f t="shared" si="10"/>
        <v>0</v>
      </c>
      <c r="BE32" s="33">
        <f t="shared" si="11"/>
        <v>0</v>
      </c>
      <c r="BF32" s="33">
        <f t="shared" si="12"/>
        <v>0</v>
      </c>
      <c r="BG32" s="33">
        <f t="shared" si="13"/>
        <v>0</v>
      </c>
      <c r="BH32" s="33" cm="1">
        <f t="array" ref="BH32">ROUNDDOWN(AM32*_xlfn.XLOOKUP(1,(BH$5=Table8[Type])*($D32&lt;=Table8[End]),Table8[요율],0,0),-1)</f>
        <v>640</v>
      </c>
      <c r="BI32" s="29" t="str" cm="1">
        <f t="array" ref="BI32">_xlfn.XLOOKUP(1,(D32&lt;=Table7[End])*(E32=Table7[근무처])*(F32=Table7[업무]),Table7[지급옵션],0,0)</f>
        <v>D+2</v>
      </c>
      <c r="BJ32" s="83">
        <f>IF(BK32&lt;&gt;"",BK32,IFERROR(D32+_xlfn.NUMBERVALUE(RIGHT(BI32,1)),D32-WEEKDAY(D32)+CHOOSE(MATCH(RIGHT(BI32),{"일","월","화","수","목","금","토"},0),8,9,10,11,12,13,14)))</f>
        <v>45692</v>
      </c>
      <c r="BK32" s="84"/>
    </row>
    <row r="33" spans="2:63" x14ac:dyDescent="0.35">
      <c r="B33" s="20" t="str" cm="1">
        <f t="array" ref="B33">_xlfn.IFS(BB33&lt;&gt;BC33,"Claim확인",N33&lt;&gt;"OK","확인필요",TRUE,"")</f>
        <v/>
      </c>
      <c r="C33" s="21" t="str">
        <f t="shared" si="0"/>
        <v>010-3X4X-X9X7219X02XX284640</v>
      </c>
      <c r="D33" s="26">
        <v>45691</v>
      </c>
      <c r="E33" s="91" t="s">
        <v>253</v>
      </c>
      <c r="F33" s="25" t="s">
        <v>257</v>
      </c>
      <c r="G33" s="27" t="s">
        <v>286</v>
      </c>
      <c r="H33" s="25" t="s">
        <v>299</v>
      </c>
      <c r="I33" s="25"/>
      <c r="J33" s="25" t="s">
        <v>300</v>
      </c>
      <c r="K33" s="28">
        <v>0.33333333333333331</v>
      </c>
      <c r="L33" s="28">
        <v>0.70833333333333337</v>
      </c>
      <c r="M33" s="28">
        <v>4.1666666666666664E-2</v>
      </c>
      <c r="N33" s="25" t="s">
        <v>281</v>
      </c>
      <c r="O33" s="29" t="str">
        <f>_xlfn.XLOOKUP(Table2[[#This Row],[Key]],Table1[Key],Table1[주민등록번호],"",0)</f>
        <v>931XX31XX3X14</v>
      </c>
      <c r="P33" s="29">
        <f>_xlfn.XLOOKUP(Table2[[#This Row],[Key]],Table1[Key],Table1[비자],"",0)</f>
        <v>0</v>
      </c>
      <c r="Q33" s="29">
        <f>IF(P33=0,0,_xlfn.XLOOKUP(Table2[[#This Row],[Key]],Table1[Key],Table1[고용보험 여부],0,0))</f>
        <v>0</v>
      </c>
      <c r="R33" s="29" t="str">
        <f t="shared" si="1"/>
        <v>2502</v>
      </c>
      <c r="S33" s="30" t="str">
        <f>YEAR(Table2[[#This Row],[근무일자]])&amp;TEXT(WEEKNUM(Table2[[#This Row],[근무일자]]),"00")</f>
        <v>202506</v>
      </c>
      <c r="T33" s="31">
        <f>_xlfn.XLOOKUP(Table2[[#This Row],[Key]],Table1[Key],Table1[등록일],"",0)</f>
        <v>45773</v>
      </c>
      <c r="U33" s="32">
        <f t="shared" si="2"/>
        <v>0.33333333333333337</v>
      </c>
      <c r="V33" s="92">
        <f t="shared" si="3"/>
        <v>0</v>
      </c>
      <c r="W33" s="100" t="str">
        <f>_xlfn.XLOOKUP(Table2[[#This Row],[근무일자]],Table3[Date],Table3[Holiday],"",0)</f>
        <v/>
      </c>
      <c r="X33" s="93">
        <f>IF(D33&lt;&gt;"",1,0)+IF(COUNTIFS(Table2[주민등록번호],O33,Table2[월],TEXT(EOMONTH(D33,-1),"YYMM"))&gt;0,1+IF(COUNTIFS(Table2[주민등록번호],O33,Table2[월],TEXT(EOMONTH(D33,-2),"YYMM"))&gt;0,1+IF(COUNTIFS(Table2[주민등록번호],O33,Table2[월],TEXT(EOMONTH(D33,-3),"YYMM"))&gt;0,1,0),0),0)</f>
        <v>1</v>
      </c>
      <c r="Y33" s="29">
        <f>COUNTIFS(Table2[주민등록번호],O33,Table2[월],R33,Table2[근무일자],"&lt;="&amp;D33)</f>
        <v>2</v>
      </c>
      <c r="Z33" s="29">
        <f>COUNTIFS(Table2[주민등록번호],O33,Table2[주간],S33,Table2[근무일자],"&lt;="&amp;D33)</f>
        <v>2</v>
      </c>
      <c r="AA33" s="29">
        <f>SUMIFS(Table2[근로
시간],Table2[주민등록번호],O33,Table2[주간],S33,Table2[근무일자],"&lt;="&amp;D33)*24</f>
        <v>16</v>
      </c>
      <c r="AB33" s="29" t="str">
        <f>IF(AND(Y33&gt;=8,COUNTIFS(Table2[주민등록번호],O33,Table2[근무일자],"&gt;="&amp;EOMONTH(D33,-2)+1,Table2[근무일자],"&lt;="&amp;EOMONTH(D33,-1)+1)&gt;0),"V","")</f>
        <v/>
      </c>
      <c r="AC33" s="94" cm="1">
        <f t="array" ref="AC33">IF(AD33&lt;&gt;"",AD33,_xlfn.XLOOKUP(1,(D33&lt;=Table7[End])*(E33=Table7[근무처])*(F33=Table7[업무]),Table7[시급],0,0))</f>
        <v>10030</v>
      </c>
      <c r="AD33" s="95"/>
      <c r="AE33" s="94">
        <f t="shared" si="4"/>
        <v>80240</v>
      </c>
      <c r="AF33" s="96" cm="1">
        <f t="array" ref="AF33">IF(AND(AA33&gt;=15,(AA33-U33*24)&lt;=40),IF(Z33&gt;=_xlfn.XLOOKUP(1,(D33&lt;=Table7[End])*(E33=Table7[근무처])*(F33=Table7[업무]),Table7[주휴적용일],0,0),1,0)+_xlfn.XLOOKUP(1,(Table2[주간]=Table2[[#This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33" s="96" cm="1">
        <f t="array" ref="AG33">MAX((_xlfn.IFS(AF33=0,0,AF33=1,AA33,AF33&gt;1,U33*24)-IF(AA33&gt;40,AA33-40,0))/5,0)</f>
        <v>0</v>
      </c>
      <c r="AH33" s="94">
        <f t="shared" si="5"/>
        <v>0</v>
      </c>
      <c r="AI33" s="33" cm="1">
        <f t="array" ref="AI33">IF(W33="",0,ROUND(AC33*U33*24*_xlfn.XLOOKUP(1,(D33&lt;=Table7[End])*(E33=Table7[근무처])*(F33=Table7[업무]),Table7[휴일인센티브],0,0),0))</f>
        <v>0</v>
      </c>
      <c r="AJ33" s="94" cm="1">
        <f t="array" ref="AJ33">ROUND(AC33*IF(U33&gt;=8/24,U33-8/24,0)*24*_xlfn.XLOOKUP(1,(D33&lt;=Table7[End])*(E33=Table7[근무처])*(F33=Table7[업무]),Table7[야간인센티브],0,0),0)</f>
        <v>0</v>
      </c>
      <c r="AK33" s="94" cm="1">
        <f t="array" ref="AK33">IF(V33=0,0,ROUND(AC33*V33*24*_xlfn.XLOOKUP(1,(D33&lt;=Table7[End])*(E33=Table7[근무처])*(F33=Table7[업무]),Table7[야간인센티브],0,0),0))</f>
        <v>0</v>
      </c>
      <c r="AL33" s="95"/>
      <c r="AM33" s="94">
        <f t="shared" si="6"/>
        <v>80240</v>
      </c>
      <c r="AN33" s="94" cm="1">
        <f t="array" ref="AN33">IF(AM33&gt;=_xlfn.XLOOKUP(TRUE,D33&lt;=Table5[End],Table5[비과세소득기준],0,0),AM33-_xlfn.XLOOKUP(TRUE,D33&lt;=Table5[End],Table5[비과세소득기준],0,0),0)</f>
        <v>0</v>
      </c>
      <c r="AO33" s="94" cm="1">
        <f t="array" ref="AO33">ROUNDDOWN(_xlfn.LET(_xlpm.setvalue,_xlfn.XLOOKUP(TRUE,D33&lt;=Table5[End],Table5[[요율]:[근로소득세액공제]],0,0),_xlpm.tax,AN33*PRODUCT((_xlpm.setvalue-{0,1})*{1,-1}),_xlpm.threshold,_xlfn.XLOOKUP(TRUE,D33&lt;=Table5[End],Table5[소액부징수기준],0,0),IF(_xlpm.tax&gt;=_xlpm.threshold,_xlpm.tax,0)),-1)</f>
        <v>0</v>
      </c>
      <c r="AP33" s="94">
        <f>ROUNDDOWN(Table2[[#This Row],[소득세]]*10%,-1)</f>
        <v>0</v>
      </c>
      <c r="AQ33" s="94">
        <f>IF(AB33="v",AM33+IF(Y33=8,SUMIFS(Table2[지급총액],Table2[주민등록번호],O33,Table2[월],R33,Table2[월간
근무일],"&lt;="&amp;8)-AM33,0),0)+_xlfn.NUMBERVALUE(AR33)</f>
        <v>0</v>
      </c>
      <c r="AR33" s="95"/>
      <c r="AS33" s="94" cm="1">
        <f t="array" ref="AS33">ROUNDDOWN($AQ33*_xlfn.XLOOKUP(1,(AS$5=Table8[Type])*($D33&lt;=Table8[End]),Table8[요율],0,0),0)</f>
        <v>0</v>
      </c>
      <c r="AT33" s="94" cm="1">
        <f t="array" ref="AT33">ROUNDDOWN(AS33*_xlfn.XLOOKUP(1,(AT$5=Table8[Type])*($D33&lt;=Table8[End]),Table8[요율],0,0),-1)</f>
        <v>0</v>
      </c>
      <c r="AU33" s="94" cm="1">
        <f t="array" ref="AU33">ROUNDDOWN($AQ33*_xlfn.XLOOKUP(1,(AU$5=Table8[Type])*($D33&lt;=Table8[End]),Table8[요율],0,0),-1)</f>
        <v>0</v>
      </c>
      <c r="AV33" s="94" cm="1">
        <f t="array" ref="AV33">ROUNDDOWN(AM33*_xlfn.XLOOKUP(1,(AV$5=Table8[Type])*($D33&lt;=Table8[End]),Table8[요율],0,0),-1)</f>
        <v>0</v>
      </c>
      <c r="AW33" s="94" cm="1">
        <f t="array" ref="AW33">_xlfn.XLOOKUP(1,(O33=Table2[주민등록번호])*(D33&gt;Table2[근무일자]),Table2[청구 Claim 
이월],0,0,-1)</f>
        <v>0</v>
      </c>
      <c r="AX33" s="95"/>
      <c r="AY33" s="94" cm="1">
        <f t="array" ref="AY33">MAX(SUM(AO33:AP33,AS33:AX33)-_xlfn.XLOOKUP(1,(D33&lt;=Table7[End])*(E33=Table7[근무처])*(F33=Table7[업무]),Table7[1일 공제 상한],0,0),0)</f>
        <v>0</v>
      </c>
      <c r="AZ33" s="94">
        <f t="shared" si="7"/>
        <v>0</v>
      </c>
      <c r="BA33" s="94">
        <f t="shared" si="8"/>
        <v>80240</v>
      </c>
      <c r="BB33" s="97">
        <f t="shared" si="9"/>
        <v>0</v>
      </c>
      <c r="BC33" s="98"/>
      <c r="BD33" s="94">
        <f t="shared" si="10"/>
        <v>0</v>
      </c>
      <c r="BE33" s="94">
        <f t="shared" si="11"/>
        <v>0</v>
      </c>
      <c r="BF33" s="94">
        <f t="shared" si="12"/>
        <v>0</v>
      </c>
      <c r="BG33" s="94">
        <f t="shared" si="13"/>
        <v>0</v>
      </c>
      <c r="BH33" s="94" cm="1">
        <f t="array" ref="BH33">ROUNDDOWN(AM33*_xlfn.XLOOKUP(1,(BH$5=Table8[Type])*($D33&lt;=Table8[End]),Table8[요율],0,0),-1)</f>
        <v>640</v>
      </c>
      <c r="BI33" s="93" t="str" cm="1">
        <f t="array" ref="BI33">_xlfn.XLOOKUP(1,(D33&lt;=Table7[End])*(E33=Table7[근무처])*(F33=Table7[업무]),Table7[지급옵션],0,0)</f>
        <v>D+2</v>
      </c>
      <c r="BJ33" s="83">
        <f>IF(BK33&lt;&gt;"",BK33,IFERROR(D33+_xlfn.NUMBERVALUE(RIGHT(BI33,1)),D33-WEEKDAY(D33)+CHOOSE(MATCH(RIGHT(BI33),{"일","월","화","수","목","금","토"},0),8,9,10,11,12,13,14)))</f>
        <v>45693</v>
      </c>
      <c r="BK33" s="99"/>
    </row>
    <row r="34" spans="2:63" x14ac:dyDescent="0.35">
      <c r="B34" s="20" t="str" cm="1">
        <f t="array" ref="B34">_xlfn.IFS(BB34&lt;&gt;BC34,"Claim확인",N34&lt;&gt;"OK","확인필요",TRUE,"")</f>
        <v/>
      </c>
      <c r="C34" s="21" t="str">
        <f t="shared" si="0"/>
        <v>010-7X6X-X9X5110X98XX7530</v>
      </c>
      <c r="D34" s="26">
        <v>45696</v>
      </c>
      <c r="E34" s="91" t="s">
        <v>255</v>
      </c>
      <c r="F34" s="25" t="s">
        <v>258</v>
      </c>
      <c r="G34" s="27" t="s">
        <v>282</v>
      </c>
      <c r="H34" s="25" t="s">
        <v>289</v>
      </c>
      <c r="I34" s="25"/>
      <c r="J34" s="25" t="s">
        <v>290</v>
      </c>
      <c r="K34" s="28">
        <v>0.375</v>
      </c>
      <c r="L34" s="28">
        <v>0.75</v>
      </c>
      <c r="M34" s="28">
        <v>4.1666666666666664E-2</v>
      </c>
      <c r="N34" s="25" t="s">
        <v>281</v>
      </c>
      <c r="O34" s="29" t="str">
        <f>_xlfn.XLOOKUP(Table2[[#This Row],[Key]],Table1[Key],Table1[주민등록번호],"",0)</f>
        <v>990XX62XX3X13</v>
      </c>
      <c r="P34" s="29">
        <f>_xlfn.XLOOKUP(Table2[[#This Row],[Key]],Table1[Key],Table1[비자],"",0)</f>
        <v>0</v>
      </c>
      <c r="Q34" s="29">
        <f>IF(P34=0,0,_xlfn.XLOOKUP(Table2[[#This Row],[Key]],Table1[Key],Table1[고용보험 여부],0,0))</f>
        <v>0</v>
      </c>
      <c r="R34" s="29" t="str">
        <f t="shared" si="1"/>
        <v>2502</v>
      </c>
      <c r="S34" s="30" t="str">
        <f>YEAR(Table2[[#This Row],[근무일자]])&amp;TEXT(WEEKNUM(Table2[[#This Row],[근무일자]]),"00")</f>
        <v>202506</v>
      </c>
      <c r="T34" s="31">
        <f>_xlfn.XLOOKUP(Table2[[#This Row],[Key]],Table1[Key],Table1[등록일],"",0)</f>
        <v>45696</v>
      </c>
      <c r="U34" s="32">
        <f t="shared" si="2"/>
        <v>0.33333333333333331</v>
      </c>
      <c r="V34" s="92">
        <f t="shared" si="3"/>
        <v>0</v>
      </c>
      <c r="W34" s="100" t="str">
        <f>_xlfn.XLOOKUP(Table2[[#This Row],[근무일자]],Table3[Date],Table3[Holiday],"",0)</f>
        <v/>
      </c>
      <c r="X34" s="93">
        <f>IF(D34&lt;&gt;"",1,0)+IF(COUNTIFS(Table2[주민등록번호],O34,Table2[월],TEXT(EOMONTH(D34,-1),"YYMM"))&gt;0,1+IF(COUNTIFS(Table2[주민등록번호],O34,Table2[월],TEXT(EOMONTH(D34,-2),"YYMM"))&gt;0,1+IF(COUNTIFS(Table2[주민등록번호],O34,Table2[월],TEXT(EOMONTH(D34,-3),"YYMM"))&gt;0,1,0),0),0)</f>
        <v>1</v>
      </c>
      <c r="Y34" s="29">
        <f>COUNTIFS(Table2[주민등록번호],O34,Table2[월],R34,Table2[근무일자],"&lt;="&amp;D34)</f>
        <v>1</v>
      </c>
      <c r="Z34" s="29">
        <f>COUNTIFS(Table2[주민등록번호],O34,Table2[주간],S34,Table2[근무일자],"&lt;="&amp;D34)</f>
        <v>1</v>
      </c>
      <c r="AA34" s="29">
        <f>SUMIFS(Table2[근로
시간],Table2[주민등록번호],O34,Table2[주간],S34,Table2[근무일자],"&lt;="&amp;D34)*24</f>
        <v>8</v>
      </c>
      <c r="AB34" s="29" t="str">
        <f>IF(AND(Y34&gt;=8,COUNTIFS(Table2[주민등록번호],O34,Table2[근무일자],"&gt;="&amp;EOMONTH(D34,-2)+1,Table2[근무일자],"&lt;="&amp;EOMONTH(D34,-1)+1)&gt;0),"V","")</f>
        <v/>
      </c>
      <c r="AC34" s="94" cm="1">
        <f t="array" ref="AC34">IF(AD34&lt;&gt;"",AD34,_xlfn.XLOOKUP(1,(D34&lt;=Table7[End])*(E34=Table7[근무처])*(F34=Table7[업무]),Table7[시급],0,0))</f>
        <v>10680</v>
      </c>
      <c r="AD34" s="95"/>
      <c r="AE34" s="94">
        <f t="shared" si="4"/>
        <v>85440</v>
      </c>
      <c r="AF34" s="96" cm="1">
        <f t="array" ref="AF34">IF(AND(AA34&gt;=15,(AA34-U34*24)&lt;=40),IF(Z34&gt;=_xlfn.XLOOKUP(1,(D34&lt;=Table7[End])*(E34=Table7[근무처])*(F34=Table7[업무]),Table7[주휴적용일],0,0),1,0)+_xlfn.XLOOKUP(1,(Table2[주간]=Table2[[#This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34" s="96" cm="1">
        <f t="array" ref="AG34">MAX((_xlfn.IFS(AF34=0,0,AF34=1,AA34,AF34&gt;1,U34*24)-IF(AA34&gt;40,AA34-40,0))/5,0)</f>
        <v>0</v>
      </c>
      <c r="AH34" s="94">
        <f t="shared" si="5"/>
        <v>0</v>
      </c>
      <c r="AI34" s="33" cm="1">
        <f t="array" ref="AI34">IF(W34="",0,ROUND(AC34*U34*24*_xlfn.XLOOKUP(1,(D34&lt;=Table7[End])*(E34=Table7[근무처])*(F34=Table7[업무]),Table7[휴일인센티브],0,0),0))</f>
        <v>0</v>
      </c>
      <c r="AJ34" s="94" cm="1">
        <f t="array" ref="AJ34">ROUND(AC34*IF(U34&gt;=8/24,U34-8/24,0)*24*_xlfn.XLOOKUP(1,(D34&lt;=Table7[End])*(E34=Table7[근무처])*(F34=Table7[업무]),Table7[야간인센티브],0,0),0)</f>
        <v>0</v>
      </c>
      <c r="AK34" s="94" cm="1">
        <f t="array" ref="AK34">IF(V34=0,0,ROUND(AC34*V34*24*_xlfn.XLOOKUP(1,(D34&lt;=Table7[End])*(E34=Table7[근무처])*(F34=Table7[업무]),Table7[야간인센티브],0,0),0))</f>
        <v>0</v>
      </c>
      <c r="AL34" s="95"/>
      <c r="AM34" s="94">
        <f t="shared" si="6"/>
        <v>85440</v>
      </c>
      <c r="AN34" s="94" cm="1">
        <f t="array" ref="AN34">IF(AM34&gt;=_xlfn.XLOOKUP(TRUE,D34&lt;=Table5[End],Table5[비과세소득기준],0,0),AM34-_xlfn.XLOOKUP(TRUE,D34&lt;=Table5[End],Table5[비과세소득기준],0,0),0)</f>
        <v>0</v>
      </c>
      <c r="AO34" s="94" cm="1">
        <f t="array" ref="AO34">ROUNDDOWN(_xlfn.LET(_xlpm.setvalue,_xlfn.XLOOKUP(TRUE,D34&lt;=Table5[End],Table5[[요율]:[근로소득세액공제]],0,0),_xlpm.tax,AN34*PRODUCT((_xlpm.setvalue-{0,1})*{1,-1}),_xlpm.threshold,_xlfn.XLOOKUP(TRUE,D34&lt;=Table5[End],Table5[소액부징수기준],0,0),IF(_xlpm.tax&gt;=_xlpm.threshold,_xlpm.tax,0)),-1)</f>
        <v>0</v>
      </c>
      <c r="AP34" s="94">
        <f>ROUNDDOWN(Table2[[#This Row],[소득세]]*10%,-1)</f>
        <v>0</v>
      </c>
      <c r="AQ34" s="94">
        <f>IF(AB34="v",AM34+IF(Y34=8,SUMIFS(Table2[지급총액],Table2[주민등록번호],O34,Table2[월],R34,Table2[월간
근무일],"&lt;="&amp;8)-AM34,0),0)+_xlfn.NUMBERVALUE(AR34)</f>
        <v>0</v>
      </c>
      <c r="AR34" s="95"/>
      <c r="AS34" s="94" cm="1">
        <f t="array" ref="AS34">ROUNDDOWN($AQ34*_xlfn.XLOOKUP(1,(AS$5=Table8[Type])*($D34&lt;=Table8[End]),Table8[요율],0,0),0)</f>
        <v>0</v>
      </c>
      <c r="AT34" s="94" cm="1">
        <f t="array" ref="AT34">ROUNDDOWN(AS34*_xlfn.XLOOKUP(1,(AT$5=Table8[Type])*($D34&lt;=Table8[End]),Table8[요율],0,0),-1)</f>
        <v>0</v>
      </c>
      <c r="AU34" s="94" cm="1">
        <f t="array" ref="AU34">ROUNDDOWN($AQ34*_xlfn.XLOOKUP(1,(AU$5=Table8[Type])*($D34&lt;=Table8[End]),Table8[요율],0,0),-1)</f>
        <v>0</v>
      </c>
      <c r="AV34" s="94" cm="1">
        <f t="array" ref="AV34">ROUNDDOWN(AM34*_xlfn.XLOOKUP(1,(AV$5=Table8[Type])*($D34&lt;=Table8[End]),Table8[요율],0,0),-1)</f>
        <v>0</v>
      </c>
      <c r="AW34" s="94" cm="1">
        <f t="array" ref="AW34">_xlfn.XLOOKUP(1,(O34=Table2[주민등록번호])*(D34&gt;Table2[근무일자]),Table2[청구 Claim 
이월],0,0,-1)</f>
        <v>0</v>
      </c>
      <c r="AX34" s="95"/>
      <c r="AY34" s="94" cm="1">
        <f t="array" ref="AY34">MAX(SUM(AO34:AP34,AS34:AX34)-_xlfn.XLOOKUP(1,(D34&lt;=Table7[End])*(E34=Table7[근무처])*(F34=Table7[업무]),Table7[1일 공제 상한],0,0),0)</f>
        <v>0</v>
      </c>
      <c r="AZ34" s="94">
        <f t="shared" si="7"/>
        <v>0</v>
      </c>
      <c r="BA34" s="94">
        <f t="shared" si="8"/>
        <v>85440</v>
      </c>
      <c r="BB34" s="97">
        <f t="shared" si="9"/>
        <v>0</v>
      </c>
      <c r="BC34" s="98"/>
      <c r="BD34" s="94">
        <f t="shared" si="10"/>
        <v>0</v>
      </c>
      <c r="BE34" s="94">
        <f t="shared" si="11"/>
        <v>0</v>
      </c>
      <c r="BF34" s="94">
        <f t="shared" si="12"/>
        <v>0</v>
      </c>
      <c r="BG34" s="94">
        <f t="shared" si="13"/>
        <v>0</v>
      </c>
      <c r="BH34" s="94" cm="1">
        <f t="array" ref="BH34">ROUNDDOWN(AM34*_xlfn.XLOOKUP(1,(BH$5=Table8[Type])*($D34&lt;=Table8[End]),Table8[요율],0,0),-1)</f>
        <v>680</v>
      </c>
      <c r="BI34" s="93" t="str" cm="1">
        <f t="array" ref="BI34">_xlfn.XLOOKUP(1,(D34&lt;=Table7[End])*(E34=Table7[근무처])*(F34=Table7[업무]),Table7[지급옵션],0,0)</f>
        <v>차주 화</v>
      </c>
      <c r="BJ34" s="83">
        <f>IF(BK34&lt;&gt;"",BK34,IFERROR(D34+_xlfn.NUMBERVALUE(RIGHT(BI34,1)),D34-WEEKDAY(D34)+CHOOSE(MATCH(RIGHT(BI34),{"일","월","화","수","목","금","토"},0),8,9,10,11,12,13,14)))</f>
        <v>45699</v>
      </c>
      <c r="BK34" s="99"/>
    </row>
    <row r="35" spans="2:63" x14ac:dyDescent="0.35">
      <c r="B35" s="20" t="str" cm="1">
        <f t="array" ref="B35">_xlfn.IFS(BB35&lt;&gt;BC35,"Claim확인",N35&lt;&gt;"OK","확인필요",TRUE,"")</f>
        <v/>
      </c>
      <c r="C35" s="21" t="str">
        <f t="shared" si="0"/>
        <v>010-5X8X-X4X0920X02XX253123</v>
      </c>
      <c r="D35" s="26">
        <v>45696</v>
      </c>
      <c r="E35" s="91" t="s">
        <v>255</v>
      </c>
      <c r="F35" s="25" t="s">
        <v>257</v>
      </c>
      <c r="G35" s="27" t="s">
        <v>288</v>
      </c>
      <c r="H35" s="25" t="s">
        <v>303</v>
      </c>
      <c r="I35" s="25"/>
      <c r="J35" s="25" t="s">
        <v>304</v>
      </c>
      <c r="K35" s="28">
        <v>0.4375</v>
      </c>
      <c r="L35" s="28">
        <v>0.8125</v>
      </c>
      <c r="M35" s="28">
        <v>4.1666666666666664E-2</v>
      </c>
      <c r="N35" s="25" t="s">
        <v>281</v>
      </c>
      <c r="O35" s="29" t="str">
        <f>_xlfn.XLOOKUP(Table2[[#This Row],[Key]],Table1[Key],Table1[주민등록번호],"",0)</f>
        <v>941XX31XX3X14</v>
      </c>
      <c r="P35" s="29">
        <f>_xlfn.XLOOKUP(Table2[[#This Row],[Key]],Table1[Key],Table1[비자],"",0)</f>
        <v>0</v>
      </c>
      <c r="Q35" s="29">
        <f>IF(P35=0,0,_xlfn.XLOOKUP(Table2[[#This Row],[Key]],Table1[Key],Table1[고용보험 여부],0,0))</f>
        <v>0</v>
      </c>
      <c r="R35" s="29" t="str">
        <f t="shared" si="1"/>
        <v>2502</v>
      </c>
      <c r="S35" s="30" t="str">
        <f>YEAR(Table2[[#This Row],[근무일자]])&amp;TEXT(WEEKNUM(Table2[[#This Row],[근무일자]]),"00")</f>
        <v>202506</v>
      </c>
      <c r="T35" s="31">
        <f>_xlfn.XLOOKUP(Table2[[#This Row],[Key]],Table1[Key],Table1[등록일],"",0)</f>
        <v>45846</v>
      </c>
      <c r="U35" s="32">
        <f t="shared" si="2"/>
        <v>0.33333333333333331</v>
      </c>
      <c r="V35" s="92">
        <f t="shared" si="3"/>
        <v>0</v>
      </c>
      <c r="W35" s="100" t="str">
        <f>_xlfn.XLOOKUP(Table2[[#This Row],[근무일자]],Table3[Date],Table3[Holiday],"",0)</f>
        <v/>
      </c>
      <c r="X35" s="93">
        <f>IF(D35&lt;&gt;"",1,0)+IF(COUNTIFS(Table2[주민등록번호],O35,Table2[월],TEXT(EOMONTH(D35,-1),"YYMM"))&gt;0,1+IF(COUNTIFS(Table2[주민등록번호],O35,Table2[월],TEXT(EOMONTH(D35,-2),"YYMM"))&gt;0,1+IF(COUNTIFS(Table2[주민등록번호],O35,Table2[월],TEXT(EOMONTH(D35,-3),"YYMM"))&gt;0,1,0),0),0)</f>
        <v>1</v>
      </c>
      <c r="Y35" s="29">
        <f>COUNTIFS(Table2[주민등록번호],O35,Table2[월],R35,Table2[근무일자],"&lt;="&amp;D35)</f>
        <v>1</v>
      </c>
      <c r="Z35" s="29">
        <f>COUNTIFS(Table2[주민등록번호],O35,Table2[주간],S35,Table2[근무일자],"&lt;="&amp;D35)</f>
        <v>1</v>
      </c>
      <c r="AA35" s="29">
        <f>SUMIFS(Table2[근로
시간],Table2[주민등록번호],O35,Table2[주간],S35,Table2[근무일자],"&lt;="&amp;D35)*24</f>
        <v>8</v>
      </c>
      <c r="AB35" s="29" t="str">
        <f>IF(AND(Y35&gt;=8,COUNTIFS(Table2[주민등록번호],O35,Table2[근무일자],"&gt;="&amp;EOMONTH(D35,-2)+1,Table2[근무일자],"&lt;="&amp;EOMONTH(D35,-1)+1)&gt;0),"V","")</f>
        <v/>
      </c>
      <c r="AC35" s="94" cm="1">
        <f t="array" ref="AC35">IF(AD35&lt;&gt;"",AD35,_xlfn.XLOOKUP(1,(D35&lt;=Table7[End])*(E35=Table7[근무처])*(F35=Table7[업무]),Table7[시급],0,0))</f>
        <v>10030</v>
      </c>
      <c r="AD35" s="95"/>
      <c r="AE35" s="94">
        <f t="shared" si="4"/>
        <v>80240</v>
      </c>
      <c r="AF35" s="96" cm="1">
        <f t="array" ref="AF35">IF(AND(AA35&gt;=15,(AA35-U35*24)&lt;=40),IF(Z35&gt;=_xlfn.XLOOKUP(1,(D35&lt;=Table7[End])*(E35=Table7[근무처])*(F35=Table7[업무]),Table7[주휴적용일],0,0),1,0)+_xlfn.XLOOKUP(1,(Table2[주간]=Table2[[#This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35" s="96" cm="1">
        <f t="array" ref="AG35">MAX((_xlfn.IFS(AF35=0,0,AF35=1,AA35,AF35&gt;1,U35*24)-IF(AA35&gt;40,AA35-40,0))/5,0)</f>
        <v>0</v>
      </c>
      <c r="AH35" s="94">
        <f t="shared" si="5"/>
        <v>0</v>
      </c>
      <c r="AI35" s="33" cm="1">
        <f t="array" ref="AI35">IF(W35="",0,ROUND(AC35*U35*24*_xlfn.XLOOKUP(1,(D35&lt;=Table7[End])*(E35=Table7[근무처])*(F35=Table7[업무]),Table7[휴일인센티브],0,0),0))</f>
        <v>0</v>
      </c>
      <c r="AJ35" s="94" cm="1">
        <f t="array" ref="AJ35">ROUND(AC35*IF(U35&gt;=8/24,U35-8/24,0)*24*_xlfn.XLOOKUP(1,(D35&lt;=Table7[End])*(E35=Table7[근무처])*(F35=Table7[업무]),Table7[야간인센티브],0,0),0)</f>
        <v>0</v>
      </c>
      <c r="AK35" s="94" cm="1">
        <f t="array" ref="AK35">IF(V35=0,0,ROUND(AC35*V35*24*_xlfn.XLOOKUP(1,(D35&lt;=Table7[End])*(E35=Table7[근무처])*(F35=Table7[업무]),Table7[야간인센티브],0,0),0))</f>
        <v>0</v>
      </c>
      <c r="AL35" s="95"/>
      <c r="AM35" s="94">
        <f t="shared" si="6"/>
        <v>80240</v>
      </c>
      <c r="AN35" s="94" cm="1">
        <f t="array" ref="AN35">IF(AM35&gt;=_xlfn.XLOOKUP(TRUE,D35&lt;=Table5[End],Table5[비과세소득기준],0,0),AM35-_xlfn.XLOOKUP(TRUE,D35&lt;=Table5[End],Table5[비과세소득기준],0,0),0)</f>
        <v>0</v>
      </c>
      <c r="AO35" s="94" cm="1">
        <f t="array" ref="AO35">ROUNDDOWN(_xlfn.LET(_xlpm.setvalue,_xlfn.XLOOKUP(TRUE,D35&lt;=Table5[End],Table5[[요율]:[근로소득세액공제]],0,0),_xlpm.tax,AN35*PRODUCT((_xlpm.setvalue-{0,1})*{1,-1}),_xlpm.threshold,_xlfn.XLOOKUP(TRUE,D35&lt;=Table5[End],Table5[소액부징수기준],0,0),IF(_xlpm.tax&gt;=_xlpm.threshold,_xlpm.tax,0)),-1)</f>
        <v>0</v>
      </c>
      <c r="AP35" s="94">
        <f>ROUNDDOWN(Table2[[#This Row],[소득세]]*10%,-1)</f>
        <v>0</v>
      </c>
      <c r="AQ35" s="94">
        <f>IF(AB35="v",AM35+IF(Y35=8,SUMIFS(Table2[지급총액],Table2[주민등록번호],O35,Table2[월],R35,Table2[월간
근무일],"&lt;="&amp;8)-AM35,0),0)+_xlfn.NUMBERVALUE(AR35)</f>
        <v>0</v>
      </c>
      <c r="AR35" s="95"/>
      <c r="AS35" s="94" cm="1">
        <f t="array" ref="AS35">ROUNDDOWN($AQ35*_xlfn.XLOOKUP(1,(AS$5=Table8[Type])*($D35&lt;=Table8[End]),Table8[요율],0,0),0)</f>
        <v>0</v>
      </c>
      <c r="AT35" s="94" cm="1">
        <f t="array" ref="AT35">ROUNDDOWN(AS35*_xlfn.XLOOKUP(1,(AT$5=Table8[Type])*($D35&lt;=Table8[End]),Table8[요율],0,0),-1)</f>
        <v>0</v>
      </c>
      <c r="AU35" s="94" cm="1">
        <f t="array" ref="AU35">ROUNDDOWN($AQ35*_xlfn.XLOOKUP(1,(AU$5=Table8[Type])*($D35&lt;=Table8[End]),Table8[요율],0,0),-1)</f>
        <v>0</v>
      </c>
      <c r="AV35" s="94" cm="1">
        <f t="array" ref="AV35">ROUNDDOWN(AM35*_xlfn.XLOOKUP(1,(AV$5=Table8[Type])*($D35&lt;=Table8[End]),Table8[요율],0,0),-1)</f>
        <v>0</v>
      </c>
      <c r="AW35" s="94" cm="1">
        <f t="array" ref="AW35">_xlfn.XLOOKUP(1,(O35=Table2[주민등록번호])*(D35&gt;Table2[근무일자]),Table2[청구 Claim 
이월],0,0,-1)</f>
        <v>0</v>
      </c>
      <c r="AX35" s="95"/>
      <c r="AY35" s="94" cm="1">
        <f t="array" ref="AY35">MAX(SUM(AO35:AP35,AS35:AX35)-_xlfn.XLOOKUP(1,(D35&lt;=Table7[End])*(E35=Table7[근무처])*(F35=Table7[업무]),Table7[1일 공제 상한],0,0),0)</f>
        <v>0</v>
      </c>
      <c r="AZ35" s="94">
        <f t="shared" si="7"/>
        <v>0</v>
      </c>
      <c r="BA35" s="94">
        <f t="shared" si="8"/>
        <v>80240</v>
      </c>
      <c r="BB35" s="97">
        <f t="shared" si="9"/>
        <v>0</v>
      </c>
      <c r="BC35" s="98"/>
      <c r="BD35" s="94">
        <f t="shared" si="10"/>
        <v>0</v>
      </c>
      <c r="BE35" s="94">
        <f t="shared" si="11"/>
        <v>0</v>
      </c>
      <c r="BF35" s="94">
        <f t="shared" si="12"/>
        <v>0</v>
      </c>
      <c r="BG35" s="94">
        <f t="shared" si="13"/>
        <v>0</v>
      </c>
      <c r="BH35" s="94" cm="1">
        <f t="array" ref="BH35">ROUNDDOWN(AM35*_xlfn.XLOOKUP(1,(BH$5=Table8[Type])*($D35&lt;=Table8[End]),Table8[요율],0,0),-1)</f>
        <v>640</v>
      </c>
      <c r="BI35" s="93" t="str" cm="1">
        <f t="array" ref="BI35">_xlfn.XLOOKUP(1,(D35&lt;=Table7[End])*(E35=Table7[근무처])*(F35=Table7[업무]),Table7[지급옵션],0,0)</f>
        <v>차주 화</v>
      </c>
      <c r="BJ35" s="83">
        <f>IF(BK35&lt;&gt;"",BK35,IFERROR(D35+_xlfn.NUMBERVALUE(RIGHT(BI35,1)),D35-WEEKDAY(D35)+CHOOSE(MATCH(RIGHT(BI35),{"일","월","화","수","목","금","토"},0),8,9,10,11,12,13,14)))</f>
        <v>45699</v>
      </c>
      <c r="BK35" s="99"/>
    </row>
    <row r="36" spans="2:63" x14ac:dyDescent="0.35">
      <c r="B36" s="20" t="str" cm="1">
        <f t="array" ref="B36">_xlfn.IFS(BB36&lt;&gt;BC36,"Claim확인",N36&lt;&gt;"OK","확인필요",TRUE,"")</f>
        <v/>
      </c>
      <c r="C36" s="21" t="str">
        <f t="shared" si="0"/>
        <v>010-8X0X-X0X9982X03XX901018</v>
      </c>
      <c r="D36" s="26">
        <v>45698</v>
      </c>
      <c r="E36" s="91" t="s">
        <v>255</v>
      </c>
      <c r="F36" s="25" t="s">
        <v>258</v>
      </c>
      <c r="G36" s="27" t="s">
        <v>283</v>
      </c>
      <c r="H36" s="25" t="s">
        <v>291</v>
      </c>
      <c r="I36" s="25"/>
      <c r="J36" s="25" t="s">
        <v>292</v>
      </c>
      <c r="K36" s="28">
        <v>0.375</v>
      </c>
      <c r="L36" s="28">
        <v>0.75</v>
      </c>
      <c r="M36" s="28">
        <v>4.1666666666666664E-2</v>
      </c>
      <c r="N36" s="25" t="s">
        <v>281</v>
      </c>
      <c r="O36" s="29" t="str">
        <f>_xlfn.XLOOKUP(Table2[[#This Row],[Key]],Table1[Key],Table1[주민등록번호],"",0)</f>
        <v>960XX51XX9X15</v>
      </c>
      <c r="P36" s="29">
        <f>_xlfn.XLOOKUP(Table2[[#This Row],[Key]],Table1[Key],Table1[비자],"",0)</f>
        <v>0</v>
      </c>
      <c r="Q36" s="29">
        <f>IF(P36=0,0,_xlfn.XLOOKUP(Table2[[#This Row],[Key]],Table1[Key],Table1[고용보험 여부],0,0))</f>
        <v>0</v>
      </c>
      <c r="R36" s="29" t="str">
        <f t="shared" si="1"/>
        <v>2502</v>
      </c>
      <c r="S36" s="30" t="str">
        <f>YEAR(Table2[[#This Row],[근무일자]])&amp;TEXT(WEEKNUM(Table2[[#This Row],[근무일자]]),"00")</f>
        <v>202507</v>
      </c>
      <c r="T36" s="31">
        <f>_xlfn.XLOOKUP(Table2[[#This Row],[Key]],Table1[Key],Table1[등록일],"",0)</f>
        <v>45698</v>
      </c>
      <c r="U36" s="32">
        <f t="shared" si="2"/>
        <v>0.33333333333333331</v>
      </c>
      <c r="V36" s="92">
        <f t="shared" si="3"/>
        <v>0</v>
      </c>
      <c r="W36" s="100" t="str">
        <f>_xlfn.XLOOKUP(Table2[[#This Row],[근무일자]],Table3[Date],Table3[Holiday],"",0)</f>
        <v/>
      </c>
      <c r="X36" s="93">
        <f>IF(D36&lt;&gt;"",1,0)+IF(COUNTIFS(Table2[주민등록번호],O36,Table2[월],TEXT(EOMONTH(D36,-1),"YYMM"))&gt;0,1+IF(COUNTIFS(Table2[주민등록번호],O36,Table2[월],TEXT(EOMONTH(D36,-2),"YYMM"))&gt;0,1+IF(COUNTIFS(Table2[주민등록번호],O36,Table2[월],TEXT(EOMONTH(D36,-3),"YYMM"))&gt;0,1,0),0),0)</f>
        <v>1</v>
      </c>
      <c r="Y36" s="29">
        <f>COUNTIFS(Table2[주민등록번호],O36,Table2[월],R36,Table2[근무일자],"&lt;="&amp;D36)</f>
        <v>1</v>
      </c>
      <c r="Z36" s="29">
        <f>COUNTIFS(Table2[주민등록번호],O36,Table2[주간],S36,Table2[근무일자],"&lt;="&amp;D36)</f>
        <v>1</v>
      </c>
      <c r="AA36" s="29">
        <f>SUMIFS(Table2[근로
시간],Table2[주민등록번호],O36,Table2[주간],S36,Table2[근무일자],"&lt;="&amp;D36)*24</f>
        <v>8</v>
      </c>
      <c r="AB36" s="29" t="str">
        <f>IF(AND(Y36&gt;=8,COUNTIFS(Table2[주민등록번호],O36,Table2[근무일자],"&gt;="&amp;EOMONTH(D36,-2)+1,Table2[근무일자],"&lt;="&amp;EOMONTH(D36,-1)+1)&gt;0),"V","")</f>
        <v/>
      </c>
      <c r="AC36" s="94" cm="1">
        <f t="array" ref="AC36">IF(AD36&lt;&gt;"",AD36,_xlfn.XLOOKUP(1,(D36&lt;=Table7[End])*(E36=Table7[근무처])*(F36=Table7[업무]),Table7[시급],0,0))</f>
        <v>10680</v>
      </c>
      <c r="AD36" s="95"/>
      <c r="AE36" s="94">
        <f t="shared" si="4"/>
        <v>85440</v>
      </c>
      <c r="AF36" s="96" cm="1">
        <f t="array" ref="AF36">IF(AND(AA36&gt;=15,(AA36-U36*24)&lt;=40),IF(Z36&gt;=_xlfn.XLOOKUP(1,(D36&lt;=Table7[End])*(E36=Table7[근무처])*(F36=Table7[업무]),Table7[주휴적용일],0,0),1,0)+_xlfn.XLOOKUP(1,(Table2[주간]=Table2[[#This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36" s="96" cm="1">
        <f t="array" ref="AG36">MAX((_xlfn.IFS(AF36=0,0,AF36=1,AA36,AF36&gt;1,U36*24)-IF(AA36&gt;40,AA36-40,0))/5,0)</f>
        <v>0</v>
      </c>
      <c r="AH36" s="94">
        <f t="shared" si="5"/>
        <v>0</v>
      </c>
      <c r="AI36" s="33" cm="1">
        <f t="array" ref="AI36">IF(W36="",0,ROUND(AC36*U36*24*_xlfn.XLOOKUP(1,(D36&lt;=Table7[End])*(E36=Table7[근무처])*(F36=Table7[업무]),Table7[휴일인센티브],0,0),0))</f>
        <v>0</v>
      </c>
      <c r="AJ36" s="94" cm="1">
        <f t="array" ref="AJ36">ROUND(AC36*IF(U36&gt;=8/24,U36-8/24,0)*24*_xlfn.XLOOKUP(1,(D36&lt;=Table7[End])*(E36=Table7[근무처])*(F36=Table7[업무]),Table7[야간인센티브],0,0),0)</f>
        <v>0</v>
      </c>
      <c r="AK36" s="94" cm="1">
        <f t="array" ref="AK36">IF(V36=0,0,ROUND(AC36*V36*24*_xlfn.XLOOKUP(1,(D36&lt;=Table7[End])*(E36=Table7[근무처])*(F36=Table7[업무]),Table7[야간인센티브],0,0),0))</f>
        <v>0</v>
      </c>
      <c r="AL36" s="95"/>
      <c r="AM36" s="94">
        <f t="shared" si="6"/>
        <v>85440</v>
      </c>
      <c r="AN36" s="94" cm="1">
        <f t="array" ref="AN36">IF(AM36&gt;=_xlfn.XLOOKUP(TRUE,D36&lt;=Table5[End],Table5[비과세소득기준],0,0),AM36-_xlfn.XLOOKUP(TRUE,D36&lt;=Table5[End],Table5[비과세소득기준],0,0),0)</f>
        <v>0</v>
      </c>
      <c r="AO36" s="94" cm="1">
        <f t="array" ref="AO36">ROUNDDOWN(_xlfn.LET(_xlpm.setvalue,_xlfn.XLOOKUP(TRUE,D36&lt;=Table5[End],Table5[[요율]:[근로소득세액공제]],0,0),_xlpm.tax,AN36*PRODUCT((_xlpm.setvalue-{0,1})*{1,-1}),_xlpm.threshold,_xlfn.XLOOKUP(TRUE,D36&lt;=Table5[End],Table5[소액부징수기준],0,0),IF(_xlpm.tax&gt;=_xlpm.threshold,_xlpm.tax,0)),-1)</f>
        <v>0</v>
      </c>
      <c r="AP36" s="94">
        <f>ROUNDDOWN(Table2[[#This Row],[소득세]]*10%,-1)</f>
        <v>0</v>
      </c>
      <c r="AQ36" s="94">
        <f>IF(AB36="v",AM36+IF(Y36=8,SUMIFS(Table2[지급총액],Table2[주민등록번호],O36,Table2[월],R36,Table2[월간
근무일],"&lt;="&amp;8)-AM36,0),0)+_xlfn.NUMBERVALUE(AR36)</f>
        <v>0</v>
      </c>
      <c r="AR36" s="95"/>
      <c r="AS36" s="94" cm="1">
        <f t="array" ref="AS36">ROUNDDOWN($AQ36*_xlfn.XLOOKUP(1,(AS$5=Table8[Type])*($D36&lt;=Table8[End]),Table8[요율],0,0),0)</f>
        <v>0</v>
      </c>
      <c r="AT36" s="94" cm="1">
        <f t="array" ref="AT36">ROUNDDOWN(AS36*_xlfn.XLOOKUP(1,(AT$5=Table8[Type])*($D36&lt;=Table8[End]),Table8[요율],0,0),-1)</f>
        <v>0</v>
      </c>
      <c r="AU36" s="94" cm="1">
        <f t="array" ref="AU36">ROUNDDOWN($AQ36*_xlfn.XLOOKUP(1,(AU$5=Table8[Type])*($D36&lt;=Table8[End]),Table8[요율],0,0),-1)</f>
        <v>0</v>
      </c>
      <c r="AV36" s="94" cm="1">
        <f t="array" ref="AV36">ROUNDDOWN(AM36*_xlfn.XLOOKUP(1,(AV$5=Table8[Type])*($D36&lt;=Table8[End]),Table8[요율],0,0),-1)</f>
        <v>0</v>
      </c>
      <c r="AW36" s="94" cm="1">
        <f t="array" ref="AW36">_xlfn.XLOOKUP(1,(O36=Table2[주민등록번호])*(D36&gt;Table2[근무일자]),Table2[청구 Claim 
이월],0,0,-1)</f>
        <v>0</v>
      </c>
      <c r="AX36" s="95"/>
      <c r="AY36" s="94" cm="1">
        <f t="array" ref="AY36">MAX(SUM(AO36:AP36,AS36:AX36)-_xlfn.XLOOKUP(1,(D36&lt;=Table7[End])*(E36=Table7[근무처])*(F36=Table7[업무]),Table7[1일 공제 상한],0,0),0)</f>
        <v>0</v>
      </c>
      <c r="AZ36" s="94">
        <f t="shared" si="7"/>
        <v>0</v>
      </c>
      <c r="BA36" s="94">
        <f t="shared" si="8"/>
        <v>85440</v>
      </c>
      <c r="BB36" s="97">
        <f t="shared" si="9"/>
        <v>0</v>
      </c>
      <c r="BC36" s="98"/>
      <c r="BD36" s="94">
        <f t="shared" si="10"/>
        <v>0</v>
      </c>
      <c r="BE36" s="94">
        <f t="shared" si="11"/>
        <v>0</v>
      </c>
      <c r="BF36" s="94">
        <f t="shared" si="12"/>
        <v>0</v>
      </c>
      <c r="BG36" s="94">
        <f t="shared" si="13"/>
        <v>0</v>
      </c>
      <c r="BH36" s="94" cm="1">
        <f t="array" ref="BH36">ROUNDDOWN(AM36*_xlfn.XLOOKUP(1,(BH$5=Table8[Type])*($D36&lt;=Table8[End]),Table8[요율],0,0),-1)</f>
        <v>680</v>
      </c>
      <c r="BI36" s="93" t="str" cm="1">
        <f t="array" ref="BI36">_xlfn.XLOOKUP(1,(D36&lt;=Table7[End])*(E36=Table7[근무처])*(F36=Table7[업무]),Table7[지급옵션],0,0)</f>
        <v>차주 화</v>
      </c>
      <c r="BJ36" s="83">
        <f>IF(BK36&lt;&gt;"",BK36,IFERROR(D36+_xlfn.NUMBERVALUE(RIGHT(BI36,1)),D36-WEEKDAY(D36)+CHOOSE(MATCH(RIGHT(BI36),{"일","월","화","수","목","금","토"},0),8,9,10,11,12,13,14)))</f>
        <v>45706</v>
      </c>
      <c r="BK36" s="99"/>
    </row>
    <row r="37" spans="2:63" x14ac:dyDescent="0.35">
      <c r="B37" s="20" t="str" cm="1">
        <f t="array" ref="B37">_xlfn.IFS(BB37&lt;&gt;BC37,"Claim확인",N37&lt;&gt;"OK","확인필요",TRUE,"")</f>
        <v/>
      </c>
      <c r="C37" s="21" t="str">
        <f t="shared" si="0"/>
        <v>010-5X8X-X4X0920X02XX253123</v>
      </c>
      <c r="D37" s="26">
        <v>45699</v>
      </c>
      <c r="E37" s="91" t="s">
        <v>255</v>
      </c>
      <c r="F37" s="25" t="s">
        <v>257</v>
      </c>
      <c r="G37" s="27" t="s">
        <v>288</v>
      </c>
      <c r="H37" s="25" t="s">
        <v>303</v>
      </c>
      <c r="I37" s="25"/>
      <c r="J37" s="25" t="s">
        <v>304</v>
      </c>
      <c r="K37" s="28">
        <v>0.4375</v>
      </c>
      <c r="L37" s="28">
        <v>0.8125</v>
      </c>
      <c r="M37" s="28">
        <v>4.1666666666666664E-2</v>
      </c>
      <c r="N37" s="25" t="s">
        <v>281</v>
      </c>
      <c r="O37" s="29" t="str">
        <f>_xlfn.XLOOKUP(Table2[[#This Row],[Key]],Table1[Key],Table1[주민등록번호],"",0)</f>
        <v>941XX31XX3X14</v>
      </c>
      <c r="P37" s="29">
        <f>_xlfn.XLOOKUP(Table2[[#This Row],[Key]],Table1[Key],Table1[비자],"",0)</f>
        <v>0</v>
      </c>
      <c r="Q37" s="29">
        <f>IF(P37=0,0,_xlfn.XLOOKUP(Table2[[#This Row],[Key]],Table1[Key],Table1[고용보험 여부],0,0))</f>
        <v>0</v>
      </c>
      <c r="R37" s="29" t="str">
        <f t="shared" si="1"/>
        <v>2502</v>
      </c>
      <c r="S37" s="30" t="str">
        <f>YEAR(Table2[[#This Row],[근무일자]])&amp;TEXT(WEEKNUM(Table2[[#This Row],[근무일자]]),"00")</f>
        <v>202507</v>
      </c>
      <c r="T37" s="31">
        <f>_xlfn.XLOOKUP(Table2[[#This Row],[Key]],Table1[Key],Table1[등록일],"",0)</f>
        <v>45846</v>
      </c>
      <c r="U37" s="32">
        <f t="shared" si="2"/>
        <v>0.33333333333333331</v>
      </c>
      <c r="V37" s="92">
        <f t="shared" si="3"/>
        <v>0</v>
      </c>
      <c r="W37" s="100" t="str">
        <f>_xlfn.XLOOKUP(Table2[[#This Row],[근무일자]],Table3[Date],Table3[Holiday],"",0)</f>
        <v/>
      </c>
      <c r="X37" s="93">
        <f>IF(D37&lt;&gt;"",1,0)+IF(COUNTIFS(Table2[주민등록번호],O37,Table2[월],TEXT(EOMONTH(D37,-1),"YYMM"))&gt;0,1+IF(COUNTIFS(Table2[주민등록번호],O37,Table2[월],TEXT(EOMONTH(D37,-2),"YYMM"))&gt;0,1+IF(COUNTIFS(Table2[주민등록번호],O37,Table2[월],TEXT(EOMONTH(D37,-3),"YYMM"))&gt;0,1,0),0),0)</f>
        <v>1</v>
      </c>
      <c r="Y37" s="29">
        <f>COUNTIFS(Table2[주민등록번호],O37,Table2[월],R37,Table2[근무일자],"&lt;="&amp;D37)</f>
        <v>2</v>
      </c>
      <c r="Z37" s="29">
        <f>COUNTIFS(Table2[주민등록번호],O37,Table2[주간],S37,Table2[근무일자],"&lt;="&amp;D37)</f>
        <v>1</v>
      </c>
      <c r="AA37" s="29">
        <f>SUMIFS(Table2[근로
시간],Table2[주민등록번호],O37,Table2[주간],S37,Table2[근무일자],"&lt;="&amp;D37)*24</f>
        <v>8</v>
      </c>
      <c r="AB37" s="29" t="str">
        <f>IF(AND(Y37&gt;=8,COUNTIFS(Table2[주민등록번호],O37,Table2[근무일자],"&gt;="&amp;EOMONTH(D37,-2)+1,Table2[근무일자],"&lt;="&amp;EOMONTH(D37,-1)+1)&gt;0),"V","")</f>
        <v/>
      </c>
      <c r="AC37" s="94" cm="1">
        <f t="array" ref="AC37">IF(AD37&lt;&gt;"",AD37,_xlfn.XLOOKUP(1,(D37&lt;=Table7[End])*(E37=Table7[근무처])*(F37=Table7[업무]),Table7[시급],0,0))</f>
        <v>10030</v>
      </c>
      <c r="AD37" s="95"/>
      <c r="AE37" s="94">
        <f t="shared" si="4"/>
        <v>80240</v>
      </c>
      <c r="AF37" s="96" cm="1">
        <f t="array" ref="AF37">IF(AND(AA37&gt;=15,(AA37-U37*24)&lt;=40),IF(Z37&gt;=_xlfn.XLOOKUP(1,(D37&lt;=Table7[End])*(E37=Table7[근무처])*(F37=Table7[업무]),Table7[주휴적용일],0,0),1,0)+_xlfn.XLOOKUP(1,(Table2[주간]=Table2[[#This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37" s="96" cm="1">
        <f t="array" ref="AG37">MAX((_xlfn.IFS(AF37=0,0,AF37=1,AA37,AF37&gt;1,U37*24)-IF(AA37&gt;40,AA37-40,0))/5,0)</f>
        <v>0</v>
      </c>
      <c r="AH37" s="94">
        <f t="shared" si="5"/>
        <v>0</v>
      </c>
      <c r="AI37" s="33" cm="1">
        <f t="array" ref="AI37">IF(W37="",0,ROUND(AC37*U37*24*_xlfn.XLOOKUP(1,(D37&lt;=Table7[End])*(E37=Table7[근무처])*(F37=Table7[업무]),Table7[휴일인센티브],0,0),0))</f>
        <v>0</v>
      </c>
      <c r="AJ37" s="94" cm="1">
        <f t="array" ref="AJ37">ROUND(AC37*IF(U37&gt;=8/24,U37-8/24,0)*24*_xlfn.XLOOKUP(1,(D37&lt;=Table7[End])*(E37=Table7[근무처])*(F37=Table7[업무]),Table7[야간인센티브],0,0),0)</f>
        <v>0</v>
      </c>
      <c r="AK37" s="94" cm="1">
        <f t="array" ref="AK37">IF(V37=0,0,ROUND(AC37*V37*24*_xlfn.XLOOKUP(1,(D37&lt;=Table7[End])*(E37=Table7[근무처])*(F37=Table7[업무]),Table7[야간인센티브],0,0),0))</f>
        <v>0</v>
      </c>
      <c r="AL37" s="95"/>
      <c r="AM37" s="94">
        <f t="shared" si="6"/>
        <v>80240</v>
      </c>
      <c r="AN37" s="94" cm="1">
        <f t="array" ref="AN37">IF(AM37&gt;=_xlfn.XLOOKUP(TRUE,D37&lt;=Table5[End],Table5[비과세소득기준],0,0),AM37-_xlfn.XLOOKUP(TRUE,D37&lt;=Table5[End],Table5[비과세소득기준],0,0),0)</f>
        <v>0</v>
      </c>
      <c r="AO37" s="94" cm="1">
        <f t="array" ref="AO37">ROUNDDOWN(_xlfn.LET(_xlpm.setvalue,_xlfn.XLOOKUP(TRUE,D37&lt;=Table5[End],Table5[[요율]:[근로소득세액공제]],0,0),_xlpm.tax,AN37*PRODUCT((_xlpm.setvalue-{0,1})*{1,-1}),_xlpm.threshold,_xlfn.XLOOKUP(TRUE,D37&lt;=Table5[End],Table5[소액부징수기준],0,0),IF(_xlpm.tax&gt;=_xlpm.threshold,_xlpm.tax,0)),-1)</f>
        <v>0</v>
      </c>
      <c r="AP37" s="94">
        <f>ROUNDDOWN(Table2[[#This Row],[소득세]]*10%,-1)</f>
        <v>0</v>
      </c>
      <c r="AQ37" s="94">
        <f>IF(AB37="v",AM37+IF(Y37=8,SUMIFS(Table2[지급총액],Table2[주민등록번호],O37,Table2[월],R37,Table2[월간
근무일],"&lt;="&amp;8)-AM37,0),0)+_xlfn.NUMBERVALUE(AR37)</f>
        <v>0</v>
      </c>
      <c r="AR37" s="95"/>
      <c r="AS37" s="94" cm="1">
        <f t="array" ref="AS37">ROUNDDOWN($AQ37*_xlfn.XLOOKUP(1,(AS$5=Table8[Type])*($D37&lt;=Table8[End]),Table8[요율],0,0),0)</f>
        <v>0</v>
      </c>
      <c r="AT37" s="94" cm="1">
        <f t="array" ref="AT37">ROUNDDOWN(AS37*_xlfn.XLOOKUP(1,(AT$5=Table8[Type])*($D37&lt;=Table8[End]),Table8[요율],0,0),-1)</f>
        <v>0</v>
      </c>
      <c r="AU37" s="94" cm="1">
        <f t="array" ref="AU37">ROUNDDOWN($AQ37*_xlfn.XLOOKUP(1,(AU$5=Table8[Type])*($D37&lt;=Table8[End]),Table8[요율],0,0),-1)</f>
        <v>0</v>
      </c>
      <c r="AV37" s="94" cm="1">
        <f t="array" ref="AV37">ROUNDDOWN(AM37*_xlfn.XLOOKUP(1,(AV$5=Table8[Type])*($D37&lt;=Table8[End]),Table8[요율],0,0),-1)</f>
        <v>0</v>
      </c>
      <c r="AW37" s="94" cm="1">
        <f t="array" ref="AW37">_xlfn.XLOOKUP(1,(O37=Table2[주민등록번호])*(D37&gt;Table2[근무일자]),Table2[청구 Claim 
이월],0,0,-1)</f>
        <v>0</v>
      </c>
      <c r="AX37" s="95"/>
      <c r="AY37" s="94" cm="1">
        <f t="array" ref="AY37">MAX(SUM(AO37:AP37,AS37:AX37)-_xlfn.XLOOKUP(1,(D37&lt;=Table7[End])*(E37=Table7[근무처])*(F37=Table7[업무]),Table7[1일 공제 상한],0,0),0)</f>
        <v>0</v>
      </c>
      <c r="AZ37" s="94">
        <f t="shared" si="7"/>
        <v>0</v>
      </c>
      <c r="BA37" s="94">
        <f t="shared" si="8"/>
        <v>80240</v>
      </c>
      <c r="BB37" s="97">
        <f t="shared" si="9"/>
        <v>0</v>
      </c>
      <c r="BC37" s="98"/>
      <c r="BD37" s="94">
        <f t="shared" si="10"/>
        <v>0</v>
      </c>
      <c r="BE37" s="94">
        <f t="shared" si="11"/>
        <v>0</v>
      </c>
      <c r="BF37" s="94">
        <f t="shared" si="12"/>
        <v>0</v>
      </c>
      <c r="BG37" s="94">
        <f t="shared" si="13"/>
        <v>0</v>
      </c>
      <c r="BH37" s="94" cm="1">
        <f t="array" ref="BH37">ROUNDDOWN(AM37*_xlfn.XLOOKUP(1,(BH$5=Table8[Type])*($D37&lt;=Table8[End]),Table8[요율],0,0),-1)</f>
        <v>640</v>
      </c>
      <c r="BI37" s="93" t="str" cm="1">
        <f t="array" ref="BI37">_xlfn.XLOOKUP(1,(D37&lt;=Table7[End])*(E37=Table7[근무처])*(F37=Table7[업무]),Table7[지급옵션],0,0)</f>
        <v>차주 화</v>
      </c>
      <c r="BJ37" s="83">
        <f>IF(BK37&lt;&gt;"",BK37,IFERROR(D37+_xlfn.NUMBERVALUE(RIGHT(BI37,1)),D37-WEEKDAY(D37)+CHOOSE(MATCH(RIGHT(BI37),{"일","월","화","수","목","금","토"},0),8,9,10,11,12,13,14)))</f>
        <v>45706</v>
      </c>
      <c r="BK37" s="99"/>
    </row>
    <row r="38" spans="2:63" x14ac:dyDescent="0.35">
      <c r="B38" s="20" t="str" cm="1">
        <f t="array" ref="B38">_xlfn.IFS(BB38&lt;&gt;BC38,"Claim확인",N38&lt;&gt;"OK","확인필요",TRUE,"")</f>
        <v/>
      </c>
      <c r="C38" s="21" t="str">
        <f t="shared" si="0"/>
        <v>010-8X0X-X0X9982X03XX901018</v>
      </c>
      <c r="D38" s="26">
        <v>45700</v>
      </c>
      <c r="E38" s="91" t="s">
        <v>255</v>
      </c>
      <c r="F38" s="25" t="s">
        <v>258</v>
      </c>
      <c r="G38" s="27" t="s">
        <v>283</v>
      </c>
      <c r="H38" s="25" t="s">
        <v>291</v>
      </c>
      <c r="I38" s="25"/>
      <c r="J38" s="25" t="s">
        <v>292</v>
      </c>
      <c r="K38" s="28">
        <v>0.375</v>
      </c>
      <c r="L38" s="28">
        <v>0.75</v>
      </c>
      <c r="M38" s="28">
        <v>4.1666666666666664E-2</v>
      </c>
      <c r="N38" s="25" t="s">
        <v>281</v>
      </c>
      <c r="O38" s="29" t="str">
        <f>_xlfn.XLOOKUP(Table2[[#This Row],[Key]],Table1[Key],Table1[주민등록번호],"",0)</f>
        <v>960XX51XX9X15</v>
      </c>
      <c r="P38" s="29">
        <f>_xlfn.XLOOKUP(Table2[[#This Row],[Key]],Table1[Key],Table1[비자],"",0)</f>
        <v>0</v>
      </c>
      <c r="Q38" s="29">
        <f>IF(P38=0,0,_xlfn.XLOOKUP(Table2[[#This Row],[Key]],Table1[Key],Table1[고용보험 여부],0,0))</f>
        <v>0</v>
      </c>
      <c r="R38" s="29" t="str">
        <f t="shared" si="1"/>
        <v>2502</v>
      </c>
      <c r="S38" s="30" t="str">
        <f>YEAR(Table2[[#This Row],[근무일자]])&amp;TEXT(WEEKNUM(Table2[[#This Row],[근무일자]]),"00")</f>
        <v>202507</v>
      </c>
      <c r="T38" s="31">
        <f>_xlfn.XLOOKUP(Table2[[#This Row],[Key]],Table1[Key],Table1[등록일],"",0)</f>
        <v>45698</v>
      </c>
      <c r="U38" s="32">
        <f t="shared" si="2"/>
        <v>0.33333333333333331</v>
      </c>
      <c r="V38" s="92">
        <f t="shared" si="3"/>
        <v>0</v>
      </c>
      <c r="W38" s="100" t="str">
        <f>_xlfn.XLOOKUP(Table2[[#This Row],[근무일자]],Table3[Date],Table3[Holiday],"",0)</f>
        <v/>
      </c>
      <c r="X38" s="93">
        <f>IF(D38&lt;&gt;"",1,0)+IF(COUNTIFS(Table2[주민등록번호],O38,Table2[월],TEXT(EOMONTH(D38,-1),"YYMM"))&gt;0,1+IF(COUNTIFS(Table2[주민등록번호],O38,Table2[월],TEXT(EOMONTH(D38,-2),"YYMM"))&gt;0,1+IF(COUNTIFS(Table2[주민등록번호],O38,Table2[월],TEXT(EOMONTH(D38,-3),"YYMM"))&gt;0,1,0),0),0)</f>
        <v>1</v>
      </c>
      <c r="Y38" s="29">
        <f>COUNTIFS(Table2[주민등록번호],O38,Table2[월],R38,Table2[근무일자],"&lt;="&amp;D38)</f>
        <v>2</v>
      </c>
      <c r="Z38" s="29">
        <f>COUNTIFS(Table2[주민등록번호],O38,Table2[주간],S38,Table2[근무일자],"&lt;="&amp;D38)</f>
        <v>2</v>
      </c>
      <c r="AA38" s="29">
        <f>SUMIFS(Table2[근로
시간],Table2[주민등록번호],O38,Table2[주간],S38,Table2[근무일자],"&lt;="&amp;D38)*24</f>
        <v>16</v>
      </c>
      <c r="AB38" s="29" t="str">
        <f>IF(AND(Y38&gt;=8,COUNTIFS(Table2[주민등록번호],O38,Table2[근무일자],"&gt;="&amp;EOMONTH(D38,-2)+1,Table2[근무일자],"&lt;="&amp;EOMONTH(D38,-1)+1)&gt;0),"V","")</f>
        <v/>
      </c>
      <c r="AC38" s="94" cm="1">
        <f t="array" ref="AC38">IF(AD38&lt;&gt;"",AD38,_xlfn.XLOOKUP(1,(D38&lt;=Table7[End])*(E38=Table7[근무처])*(F38=Table7[업무]),Table7[시급],0,0))</f>
        <v>10680</v>
      </c>
      <c r="AD38" s="95"/>
      <c r="AE38" s="94">
        <f t="shared" si="4"/>
        <v>85440</v>
      </c>
      <c r="AF38" s="96" cm="1">
        <f t="array" ref="AF38">IF(AND(AA38&gt;=15,(AA38-U38*24)&lt;=40),IF(Z38&gt;=_xlfn.XLOOKUP(1,(D38&lt;=Table7[End])*(E38=Table7[근무처])*(F38=Table7[업무]),Table7[주휴적용일],0,0),1,0)+_xlfn.XLOOKUP(1,(Table2[주간]=Table2[[#This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38" s="96" cm="1">
        <f t="array" ref="AG38">MAX((_xlfn.IFS(AF38=0,0,AF38=1,AA38,AF38&gt;1,U38*24)-IF(AA38&gt;40,AA38-40,0))/5,0)</f>
        <v>3.2</v>
      </c>
      <c r="AH38" s="94">
        <f t="shared" si="5"/>
        <v>34176</v>
      </c>
      <c r="AI38" s="33" cm="1">
        <f t="array" ref="AI38">IF(W38="",0,ROUND(AC38*U38*24*_xlfn.XLOOKUP(1,(D38&lt;=Table7[End])*(E38=Table7[근무처])*(F38=Table7[업무]),Table7[휴일인센티브],0,0),0))</f>
        <v>0</v>
      </c>
      <c r="AJ38" s="94" cm="1">
        <f t="array" ref="AJ38">ROUND(AC38*IF(U38&gt;=8/24,U38-8/24,0)*24*_xlfn.XLOOKUP(1,(D38&lt;=Table7[End])*(E38=Table7[근무처])*(F38=Table7[업무]),Table7[야간인센티브],0,0),0)</f>
        <v>0</v>
      </c>
      <c r="AK38" s="94" cm="1">
        <f t="array" ref="AK38">IF(V38=0,0,ROUND(AC38*V38*24*_xlfn.XLOOKUP(1,(D38&lt;=Table7[End])*(E38=Table7[근무처])*(F38=Table7[업무]),Table7[야간인센티브],0,0),0))</f>
        <v>0</v>
      </c>
      <c r="AL38" s="95"/>
      <c r="AM38" s="94">
        <f t="shared" si="6"/>
        <v>119616</v>
      </c>
      <c r="AN38" s="94" cm="1">
        <f t="array" ref="AN38">IF(AM38&gt;=_xlfn.XLOOKUP(TRUE,D38&lt;=Table5[End],Table5[비과세소득기준],0,0),AM38-_xlfn.XLOOKUP(TRUE,D38&lt;=Table5[End],Table5[비과세소득기준],0,0),0)</f>
        <v>0</v>
      </c>
      <c r="AO38" s="94" cm="1">
        <f t="array" ref="AO38">ROUNDDOWN(_xlfn.LET(_xlpm.setvalue,_xlfn.XLOOKUP(TRUE,D38&lt;=Table5[End],Table5[[요율]:[근로소득세액공제]],0,0),_xlpm.tax,AN38*PRODUCT((_xlpm.setvalue-{0,1})*{1,-1}),_xlpm.threshold,_xlfn.XLOOKUP(TRUE,D38&lt;=Table5[End],Table5[소액부징수기준],0,0),IF(_xlpm.tax&gt;=_xlpm.threshold,_xlpm.tax,0)),-1)</f>
        <v>0</v>
      </c>
      <c r="AP38" s="94">
        <f>ROUNDDOWN(Table2[[#This Row],[소득세]]*10%,-1)</f>
        <v>0</v>
      </c>
      <c r="AQ38" s="94">
        <f>IF(AB38="v",AM38+IF(Y38=8,SUMIFS(Table2[지급총액],Table2[주민등록번호],O38,Table2[월],R38,Table2[월간
근무일],"&lt;="&amp;8)-AM38,0),0)+_xlfn.NUMBERVALUE(AR38)</f>
        <v>0</v>
      </c>
      <c r="AR38" s="95"/>
      <c r="AS38" s="94" cm="1">
        <f t="array" ref="AS38">ROUNDDOWN($AQ38*_xlfn.XLOOKUP(1,(AS$5=Table8[Type])*($D38&lt;=Table8[End]),Table8[요율],0,0),0)</f>
        <v>0</v>
      </c>
      <c r="AT38" s="94" cm="1">
        <f t="array" ref="AT38">ROUNDDOWN(AS38*_xlfn.XLOOKUP(1,(AT$5=Table8[Type])*($D38&lt;=Table8[End]),Table8[요율],0,0),-1)</f>
        <v>0</v>
      </c>
      <c r="AU38" s="94" cm="1">
        <f t="array" ref="AU38">ROUNDDOWN($AQ38*_xlfn.XLOOKUP(1,(AU$5=Table8[Type])*($D38&lt;=Table8[End]),Table8[요율],0,0),-1)</f>
        <v>0</v>
      </c>
      <c r="AV38" s="94" cm="1">
        <f t="array" ref="AV38">ROUNDDOWN(AM38*_xlfn.XLOOKUP(1,(AV$5=Table8[Type])*($D38&lt;=Table8[End]),Table8[요율],0,0),-1)</f>
        <v>0</v>
      </c>
      <c r="AW38" s="94" cm="1">
        <f t="array" ref="AW38">_xlfn.XLOOKUP(1,(O38=Table2[주민등록번호])*(D38&gt;Table2[근무일자]),Table2[청구 Claim 
이월],0,0,-1)</f>
        <v>0</v>
      </c>
      <c r="AX38" s="95"/>
      <c r="AY38" s="94" cm="1">
        <f t="array" ref="AY38">MAX(SUM(AO38:AP38,AS38:AX38)-_xlfn.XLOOKUP(1,(D38&lt;=Table7[End])*(E38=Table7[근무처])*(F38=Table7[업무]),Table7[1일 공제 상한],0,0),0)</f>
        <v>0</v>
      </c>
      <c r="AZ38" s="94">
        <f t="shared" si="7"/>
        <v>0</v>
      </c>
      <c r="BA38" s="94">
        <f t="shared" si="8"/>
        <v>119616</v>
      </c>
      <c r="BB38" s="97">
        <f t="shared" si="9"/>
        <v>0</v>
      </c>
      <c r="BC38" s="98"/>
      <c r="BD38" s="94">
        <f t="shared" si="10"/>
        <v>0</v>
      </c>
      <c r="BE38" s="94">
        <f t="shared" si="11"/>
        <v>0</v>
      </c>
      <c r="BF38" s="94">
        <f t="shared" si="12"/>
        <v>0</v>
      </c>
      <c r="BG38" s="94">
        <f t="shared" si="13"/>
        <v>0</v>
      </c>
      <c r="BH38" s="94" cm="1">
        <f t="array" ref="BH38">ROUNDDOWN(AM38*_xlfn.XLOOKUP(1,(BH$5=Table8[Type])*($D38&lt;=Table8[End]),Table8[요율],0,0),-1)</f>
        <v>950</v>
      </c>
      <c r="BI38" s="93" t="str" cm="1">
        <f t="array" ref="BI38">_xlfn.XLOOKUP(1,(D38&lt;=Table7[End])*(E38=Table7[근무처])*(F38=Table7[업무]),Table7[지급옵션],0,0)</f>
        <v>차주 화</v>
      </c>
      <c r="BJ38" s="83">
        <f>IF(BK38&lt;&gt;"",BK38,IFERROR(D38+_xlfn.NUMBERVALUE(RIGHT(BI38,1)),D38-WEEKDAY(D38)+CHOOSE(MATCH(RIGHT(BI38),{"일","월","화","수","목","금","토"},0),8,9,10,11,12,13,14)))</f>
        <v>45706</v>
      </c>
      <c r="BK38" s="99"/>
    </row>
    <row r="39" spans="2:63" x14ac:dyDescent="0.35">
      <c r="B39" s="20" t="str" cm="1">
        <f t="array" ref="B39">_xlfn.IFS(BB39&lt;&gt;BC39,"Claim확인",N39&lt;&gt;"OK","확인필요",TRUE,"")</f>
        <v/>
      </c>
      <c r="C39" s="21" t="str">
        <f t="shared" si="0"/>
        <v>010-5X8X-X4X0920X02XX253123</v>
      </c>
      <c r="D39" s="26">
        <v>45700</v>
      </c>
      <c r="E39" s="91" t="s">
        <v>255</v>
      </c>
      <c r="F39" s="25" t="s">
        <v>257</v>
      </c>
      <c r="G39" s="27" t="s">
        <v>288</v>
      </c>
      <c r="H39" s="25" t="s">
        <v>303</v>
      </c>
      <c r="I39" s="25"/>
      <c r="J39" s="25" t="s">
        <v>304</v>
      </c>
      <c r="K39" s="28">
        <v>0.45833333333333331</v>
      </c>
      <c r="L39" s="28">
        <v>0.83333333333333337</v>
      </c>
      <c r="M39" s="28">
        <v>4.1666666666666664E-2</v>
      </c>
      <c r="N39" s="25" t="s">
        <v>281</v>
      </c>
      <c r="O39" s="29" t="str">
        <f>_xlfn.XLOOKUP(Table2[[#This Row],[Key]],Table1[Key],Table1[주민등록번호],"",0)</f>
        <v>941XX31XX3X14</v>
      </c>
      <c r="P39" s="29">
        <f>_xlfn.XLOOKUP(Table2[[#This Row],[Key]],Table1[Key],Table1[비자],"",0)</f>
        <v>0</v>
      </c>
      <c r="Q39" s="29">
        <f>IF(P39=0,0,_xlfn.XLOOKUP(Table2[[#This Row],[Key]],Table1[Key],Table1[고용보험 여부],0,0))</f>
        <v>0</v>
      </c>
      <c r="R39" s="29" t="str">
        <f t="shared" si="1"/>
        <v>2502</v>
      </c>
      <c r="S39" s="30" t="str">
        <f>YEAR(Table2[[#This Row],[근무일자]])&amp;TEXT(WEEKNUM(Table2[[#This Row],[근무일자]]),"00")</f>
        <v>202507</v>
      </c>
      <c r="T39" s="31">
        <f>_xlfn.XLOOKUP(Table2[[#This Row],[Key]],Table1[Key],Table1[등록일],"",0)</f>
        <v>45846</v>
      </c>
      <c r="U39" s="32">
        <f t="shared" si="2"/>
        <v>0.33333333333333337</v>
      </c>
      <c r="V39" s="92">
        <f t="shared" si="3"/>
        <v>0</v>
      </c>
      <c r="W39" s="100" t="str">
        <f>_xlfn.XLOOKUP(Table2[[#This Row],[근무일자]],Table3[Date],Table3[Holiday],"",0)</f>
        <v/>
      </c>
      <c r="X39" s="93">
        <f>IF(D39&lt;&gt;"",1,0)+IF(COUNTIFS(Table2[주민등록번호],O39,Table2[월],TEXT(EOMONTH(D39,-1),"YYMM"))&gt;0,1+IF(COUNTIFS(Table2[주민등록번호],O39,Table2[월],TEXT(EOMONTH(D39,-2),"YYMM"))&gt;0,1+IF(COUNTIFS(Table2[주민등록번호],O39,Table2[월],TEXT(EOMONTH(D39,-3),"YYMM"))&gt;0,1,0),0),0)</f>
        <v>1</v>
      </c>
      <c r="Y39" s="29">
        <f>COUNTIFS(Table2[주민등록번호],O39,Table2[월],R39,Table2[근무일자],"&lt;="&amp;D39)</f>
        <v>3</v>
      </c>
      <c r="Z39" s="29">
        <f>COUNTIFS(Table2[주민등록번호],O39,Table2[주간],S39,Table2[근무일자],"&lt;="&amp;D39)</f>
        <v>2</v>
      </c>
      <c r="AA39" s="29">
        <f>SUMIFS(Table2[근로
시간],Table2[주민등록번호],O39,Table2[주간],S39,Table2[근무일자],"&lt;="&amp;D39)*24</f>
        <v>16</v>
      </c>
      <c r="AB39" s="29" t="str">
        <f>IF(AND(Y39&gt;=8,COUNTIFS(Table2[주민등록번호],O39,Table2[근무일자],"&gt;="&amp;EOMONTH(D39,-2)+1,Table2[근무일자],"&lt;="&amp;EOMONTH(D39,-1)+1)&gt;0),"V","")</f>
        <v/>
      </c>
      <c r="AC39" s="94" cm="1">
        <f t="array" ref="AC39">IF(AD39&lt;&gt;"",AD39,_xlfn.XLOOKUP(1,(D39&lt;=Table7[End])*(E39=Table7[근무처])*(F39=Table7[업무]),Table7[시급],0,0))</f>
        <v>10030</v>
      </c>
      <c r="AD39" s="95"/>
      <c r="AE39" s="94">
        <f t="shared" si="4"/>
        <v>80240</v>
      </c>
      <c r="AF39" s="96" cm="1">
        <f t="array" ref="AF39">IF(AND(AA39&gt;=15,(AA39-U39*24)&lt;=40),IF(Z39&gt;=_xlfn.XLOOKUP(1,(D39&lt;=Table7[End])*(E39=Table7[근무처])*(F39=Table7[업무]),Table7[주휴적용일],0,0),1,0)+_xlfn.XLOOKUP(1,(Table2[주간]=Table2[[#This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39" s="96" cm="1">
        <f t="array" ref="AG39">MAX((_xlfn.IFS(AF39=0,0,AF39=1,AA39,AF39&gt;1,U39*24)-IF(AA39&gt;40,AA39-40,0))/5,0)</f>
        <v>3.2</v>
      </c>
      <c r="AH39" s="94">
        <f t="shared" si="5"/>
        <v>32096</v>
      </c>
      <c r="AI39" s="33" cm="1">
        <f t="array" ref="AI39">IF(W39="",0,ROUND(AC39*U39*24*_xlfn.XLOOKUP(1,(D39&lt;=Table7[End])*(E39=Table7[근무처])*(F39=Table7[업무]),Table7[휴일인센티브],0,0),0))</f>
        <v>0</v>
      </c>
      <c r="AJ39" s="94" cm="1">
        <f t="array" ref="AJ39">ROUND(AC39*IF(U39&gt;=8/24,U39-8/24,0)*24*_xlfn.XLOOKUP(1,(D39&lt;=Table7[End])*(E39=Table7[근무처])*(F39=Table7[업무]),Table7[야간인센티브],0,0),0)</f>
        <v>0</v>
      </c>
      <c r="AK39" s="94" cm="1">
        <f t="array" ref="AK39">IF(V39=0,0,ROUND(AC39*V39*24*_xlfn.XLOOKUP(1,(D39&lt;=Table7[End])*(E39=Table7[근무처])*(F39=Table7[업무]),Table7[야간인센티브],0,0),0))</f>
        <v>0</v>
      </c>
      <c r="AL39" s="95"/>
      <c r="AM39" s="94">
        <f t="shared" si="6"/>
        <v>112336</v>
      </c>
      <c r="AN39" s="94" cm="1">
        <f t="array" ref="AN39">IF(AM39&gt;=_xlfn.XLOOKUP(TRUE,D39&lt;=Table5[End],Table5[비과세소득기준],0,0),AM39-_xlfn.XLOOKUP(TRUE,D39&lt;=Table5[End],Table5[비과세소득기준],0,0),0)</f>
        <v>0</v>
      </c>
      <c r="AO39" s="94" cm="1">
        <f t="array" ref="AO39">ROUNDDOWN(_xlfn.LET(_xlpm.setvalue,_xlfn.XLOOKUP(TRUE,D39&lt;=Table5[End],Table5[[요율]:[근로소득세액공제]],0,0),_xlpm.tax,AN39*PRODUCT((_xlpm.setvalue-{0,1})*{1,-1}),_xlpm.threshold,_xlfn.XLOOKUP(TRUE,D39&lt;=Table5[End],Table5[소액부징수기준],0,0),IF(_xlpm.tax&gt;=_xlpm.threshold,_xlpm.tax,0)),-1)</f>
        <v>0</v>
      </c>
      <c r="AP39" s="94">
        <f>ROUNDDOWN(Table2[[#This Row],[소득세]]*10%,-1)</f>
        <v>0</v>
      </c>
      <c r="AQ39" s="94">
        <f>IF(AB39="v",AM39+IF(Y39=8,SUMIFS(Table2[지급총액],Table2[주민등록번호],O39,Table2[월],R39,Table2[월간
근무일],"&lt;="&amp;8)-AM39,0),0)+_xlfn.NUMBERVALUE(AR39)</f>
        <v>0</v>
      </c>
      <c r="AR39" s="95"/>
      <c r="AS39" s="94" cm="1">
        <f t="array" ref="AS39">ROUNDDOWN($AQ39*_xlfn.XLOOKUP(1,(AS$5=Table8[Type])*($D39&lt;=Table8[End]),Table8[요율],0,0),0)</f>
        <v>0</v>
      </c>
      <c r="AT39" s="94" cm="1">
        <f t="array" ref="AT39">ROUNDDOWN(AS39*_xlfn.XLOOKUP(1,(AT$5=Table8[Type])*($D39&lt;=Table8[End]),Table8[요율],0,0),-1)</f>
        <v>0</v>
      </c>
      <c r="AU39" s="94" cm="1">
        <f t="array" ref="AU39">ROUNDDOWN($AQ39*_xlfn.XLOOKUP(1,(AU$5=Table8[Type])*($D39&lt;=Table8[End]),Table8[요율],0,0),-1)</f>
        <v>0</v>
      </c>
      <c r="AV39" s="94" cm="1">
        <f t="array" ref="AV39">ROUNDDOWN(AM39*_xlfn.XLOOKUP(1,(AV$5=Table8[Type])*($D39&lt;=Table8[End]),Table8[요율],0,0),-1)</f>
        <v>0</v>
      </c>
      <c r="AW39" s="94" cm="1">
        <f t="array" ref="AW39">_xlfn.XLOOKUP(1,(O39=Table2[주민등록번호])*(D39&gt;Table2[근무일자]),Table2[청구 Claim 
이월],0,0,-1)</f>
        <v>0</v>
      </c>
      <c r="AX39" s="95"/>
      <c r="AY39" s="94" cm="1">
        <f t="array" ref="AY39">MAX(SUM(AO39:AP39,AS39:AX39)-_xlfn.XLOOKUP(1,(D39&lt;=Table7[End])*(E39=Table7[근무처])*(F39=Table7[업무]),Table7[1일 공제 상한],0,0),0)</f>
        <v>0</v>
      </c>
      <c r="AZ39" s="94">
        <f t="shared" si="7"/>
        <v>0</v>
      </c>
      <c r="BA39" s="94">
        <f t="shared" si="8"/>
        <v>112336</v>
      </c>
      <c r="BB39" s="97">
        <f t="shared" si="9"/>
        <v>0</v>
      </c>
      <c r="BC39" s="98"/>
      <c r="BD39" s="94">
        <f t="shared" si="10"/>
        <v>0</v>
      </c>
      <c r="BE39" s="94">
        <f t="shared" si="11"/>
        <v>0</v>
      </c>
      <c r="BF39" s="94">
        <f t="shared" si="12"/>
        <v>0</v>
      </c>
      <c r="BG39" s="94">
        <f t="shared" si="13"/>
        <v>0</v>
      </c>
      <c r="BH39" s="94" cm="1">
        <f t="array" ref="BH39">ROUNDDOWN(AM39*_xlfn.XLOOKUP(1,(BH$5=Table8[Type])*($D39&lt;=Table8[End]),Table8[요율],0,0),-1)</f>
        <v>890</v>
      </c>
      <c r="BI39" s="93" t="str" cm="1">
        <f t="array" ref="BI39">_xlfn.XLOOKUP(1,(D39&lt;=Table7[End])*(E39=Table7[근무처])*(F39=Table7[업무]),Table7[지급옵션],0,0)</f>
        <v>차주 화</v>
      </c>
      <c r="BJ39" s="83">
        <f>IF(BK39&lt;&gt;"",BK39,IFERROR(D39+_xlfn.NUMBERVALUE(RIGHT(BI39,1)),D39-WEEKDAY(D39)+CHOOSE(MATCH(RIGHT(BI39),{"일","월","화","수","목","금","토"},0),8,9,10,11,12,13,14)))</f>
        <v>45706</v>
      </c>
      <c r="BK39" s="99"/>
    </row>
    <row r="40" spans="2:63" x14ac:dyDescent="0.35">
      <c r="B40" s="20" t="str" cm="1">
        <f t="array" ref="B40">_xlfn.IFS(BB40&lt;&gt;BC40,"Claim확인",N40&lt;&gt;"OK","확인필요",TRUE,"")</f>
        <v/>
      </c>
      <c r="C40" s="21" t="str">
        <f t="shared" si="0"/>
        <v>010-8X0X-X0X9982X03XX901018</v>
      </c>
      <c r="D40" s="26">
        <v>45701</v>
      </c>
      <c r="E40" s="91" t="s">
        <v>255</v>
      </c>
      <c r="F40" s="25" t="s">
        <v>258</v>
      </c>
      <c r="G40" s="27" t="s">
        <v>283</v>
      </c>
      <c r="H40" s="25" t="s">
        <v>291</v>
      </c>
      <c r="I40" s="25"/>
      <c r="J40" s="25" t="s">
        <v>292</v>
      </c>
      <c r="K40" s="28">
        <v>0.375</v>
      </c>
      <c r="L40" s="28">
        <v>0.75</v>
      </c>
      <c r="M40" s="28">
        <v>4.1666666666666664E-2</v>
      </c>
      <c r="N40" s="25" t="s">
        <v>281</v>
      </c>
      <c r="O40" s="29" t="str">
        <f>_xlfn.XLOOKUP(Table2[[#This Row],[Key]],Table1[Key],Table1[주민등록번호],"",0)</f>
        <v>960XX51XX9X15</v>
      </c>
      <c r="P40" s="29">
        <f>_xlfn.XLOOKUP(Table2[[#This Row],[Key]],Table1[Key],Table1[비자],"",0)</f>
        <v>0</v>
      </c>
      <c r="Q40" s="29">
        <f>IF(P40=0,0,_xlfn.XLOOKUP(Table2[[#This Row],[Key]],Table1[Key],Table1[고용보험 여부],0,0))</f>
        <v>0</v>
      </c>
      <c r="R40" s="29" t="str">
        <f t="shared" si="1"/>
        <v>2502</v>
      </c>
      <c r="S40" s="30" t="str">
        <f>YEAR(Table2[[#This Row],[근무일자]])&amp;TEXT(WEEKNUM(Table2[[#This Row],[근무일자]]),"00")</f>
        <v>202507</v>
      </c>
      <c r="T40" s="31">
        <f>_xlfn.XLOOKUP(Table2[[#This Row],[Key]],Table1[Key],Table1[등록일],"",0)</f>
        <v>45698</v>
      </c>
      <c r="U40" s="32">
        <f t="shared" si="2"/>
        <v>0.33333333333333331</v>
      </c>
      <c r="V40" s="92">
        <f t="shared" si="3"/>
        <v>0</v>
      </c>
      <c r="W40" s="100" t="str">
        <f>_xlfn.XLOOKUP(Table2[[#This Row],[근무일자]],Table3[Date],Table3[Holiday],"",0)</f>
        <v/>
      </c>
      <c r="X40" s="93">
        <f>IF(D40&lt;&gt;"",1,0)+IF(COUNTIFS(Table2[주민등록번호],O40,Table2[월],TEXT(EOMONTH(D40,-1),"YYMM"))&gt;0,1+IF(COUNTIFS(Table2[주민등록번호],O40,Table2[월],TEXT(EOMONTH(D40,-2),"YYMM"))&gt;0,1+IF(COUNTIFS(Table2[주민등록번호],O40,Table2[월],TEXT(EOMONTH(D40,-3),"YYMM"))&gt;0,1,0),0),0)</f>
        <v>1</v>
      </c>
      <c r="Y40" s="29">
        <f>COUNTIFS(Table2[주민등록번호],O40,Table2[월],R40,Table2[근무일자],"&lt;="&amp;D40)</f>
        <v>3</v>
      </c>
      <c r="Z40" s="29">
        <f>COUNTIFS(Table2[주민등록번호],O40,Table2[주간],S40,Table2[근무일자],"&lt;="&amp;D40)</f>
        <v>3</v>
      </c>
      <c r="AA40" s="29">
        <f>SUMIFS(Table2[근로
시간],Table2[주민등록번호],O40,Table2[주간],S40,Table2[근무일자],"&lt;="&amp;D40)*24</f>
        <v>24</v>
      </c>
      <c r="AB40" s="29" t="str">
        <f>IF(AND(Y40&gt;=8,COUNTIFS(Table2[주민등록번호],O40,Table2[근무일자],"&gt;="&amp;EOMONTH(D40,-2)+1,Table2[근무일자],"&lt;="&amp;EOMONTH(D40,-1)+1)&gt;0),"V","")</f>
        <v/>
      </c>
      <c r="AC40" s="94" cm="1">
        <f t="array" ref="AC40">IF(AD40&lt;&gt;"",AD40,_xlfn.XLOOKUP(1,(D40&lt;=Table7[End])*(E40=Table7[근무처])*(F40=Table7[업무]),Table7[시급],0,0))</f>
        <v>10680</v>
      </c>
      <c r="AD40" s="95"/>
      <c r="AE40" s="94">
        <f t="shared" si="4"/>
        <v>85440</v>
      </c>
      <c r="AF40" s="96" cm="1">
        <f t="array" ref="AF40">IF(AND(AA40&gt;=15,(AA40-U40*24)&lt;=40),IF(Z40&gt;=_xlfn.XLOOKUP(1,(D40&lt;=Table7[End])*(E40=Table7[근무처])*(F40=Table7[업무]),Table7[주휴적용일],0,0),1,0)+_xlfn.XLOOKUP(1,(Table2[주간]=Table2[[#This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40" s="96" cm="1">
        <f t="array" ref="AG40">MAX((_xlfn.IFS(AF40=0,0,AF40=1,AA40,AF40&gt;1,U40*24)-IF(AA40&gt;40,AA40-40,0))/5,0)</f>
        <v>1.6</v>
      </c>
      <c r="AH40" s="94">
        <f t="shared" si="5"/>
        <v>17088</v>
      </c>
      <c r="AI40" s="33" cm="1">
        <f t="array" ref="AI40">IF(W40="",0,ROUND(AC40*U40*24*_xlfn.XLOOKUP(1,(D40&lt;=Table7[End])*(E40=Table7[근무처])*(F40=Table7[업무]),Table7[휴일인센티브],0,0),0))</f>
        <v>0</v>
      </c>
      <c r="AJ40" s="94" cm="1">
        <f t="array" ref="AJ40">ROUND(AC40*IF(U40&gt;=8/24,U40-8/24,0)*24*_xlfn.XLOOKUP(1,(D40&lt;=Table7[End])*(E40=Table7[근무처])*(F40=Table7[업무]),Table7[야간인센티브],0,0),0)</f>
        <v>0</v>
      </c>
      <c r="AK40" s="94" cm="1">
        <f t="array" ref="AK40">IF(V40=0,0,ROUND(AC40*V40*24*_xlfn.XLOOKUP(1,(D40&lt;=Table7[End])*(E40=Table7[근무처])*(F40=Table7[업무]),Table7[야간인센티브],0,0),0))</f>
        <v>0</v>
      </c>
      <c r="AL40" s="95"/>
      <c r="AM40" s="94">
        <f t="shared" si="6"/>
        <v>102528</v>
      </c>
      <c r="AN40" s="94" cm="1">
        <f t="array" ref="AN40">IF(AM40&gt;=_xlfn.XLOOKUP(TRUE,D40&lt;=Table5[End],Table5[비과세소득기준],0,0),AM40-_xlfn.XLOOKUP(TRUE,D40&lt;=Table5[End],Table5[비과세소득기준],0,0),0)</f>
        <v>0</v>
      </c>
      <c r="AO40" s="94" cm="1">
        <f t="array" ref="AO40">ROUNDDOWN(_xlfn.LET(_xlpm.setvalue,_xlfn.XLOOKUP(TRUE,D40&lt;=Table5[End],Table5[[요율]:[근로소득세액공제]],0,0),_xlpm.tax,AN40*PRODUCT((_xlpm.setvalue-{0,1})*{1,-1}),_xlpm.threshold,_xlfn.XLOOKUP(TRUE,D40&lt;=Table5[End],Table5[소액부징수기준],0,0),IF(_xlpm.tax&gt;=_xlpm.threshold,_xlpm.tax,0)),-1)</f>
        <v>0</v>
      </c>
      <c r="AP40" s="94">
        <f>ROUNDDOWN(Table2[[#This Row],[소득세]]*10%,-1)</f>
        <v>0</v>
      </c>
      <c r="AQ40" s="94">
        <f>IF(AB40="v",AM40+IF(Y40=8,SUMIFS(Table2[지급총액],Table2[주민등록번호],O40,Table2[월],R40,Table2[월간
근무일],"&lt;="&amp;8)-AM40,0),0)+_xlfn.NUMBERVALUE(AR40)</f>
        <v>0</v>
      </c>
      <c r="AR40" s="95"/>
      <c r="AS40" s="94" cm="1">
        <f t="array" ref="AS40">ROUNDDOWN($AQ40*_xlfn.XLOOKUP(1,(AS$5=Table8[Type])*($D40&lt;=Table8[End]),Table8[요율],0,0),0)</f>
        <v>0</v>
      </c>
      <c r="AT40" s="94" cm="1">
        <f t="array" ref="AT40">ROUNDDOWN(AS40*_xlfn.XLOOKUP(1,(AT$5=Table8[Type])*($D40&lt;=Table8[End]),Table8[요율],0,0),-1)</f>
        <v>0</v>
      </c>
      <c r="AU40" s="94" cm="1">
        <f t="array" ref="AU40">ROUNDDOWN($AQ40*_xlfn.XLOOKUP(1,(AU$5=Table8[Type])*($D40&lt;=Table8[End]),Table8[요율],0,0),-1)</f>
        <v>0</v>
      </c>
      <c r="AV40" s="94" cm="1">
        <f t="array" ref="AV40">ROUNDDOWN(AM40*_xlfn.XLOOKUP(1,(AV$5=Table8[Type])*($D40&lt;=Table8[End]),Table8[요율],0,0),-1)</f>
        <v>0</v>
      </c>
      <c r="AW40" s="94" cm="1">
        <f t="array" ref="AW40">_xlfn.XLOOKUP(1,(O40=Table2[주민등록번호])*(D40&gt;Table2[근무일자]),Table2[청구 Claim 
이월],0,0,-1)</f>
        <v>0</v>
      </c>
      <c r="AX40" s="95"/>
      <c r="AY40" s="94" cm="1">
        <f t="array" ref="AY40">MAX(SUM(AO40:AP40,AS40:AX40)-_xlfn.XLOOKUP(1,(D40&lt;=Table7[End])*(E40=Table7[근무처])*(F40=Table7[업무]),Table7[1일 공제 상한],0,0),0)</f>
        <v>0</v>
      </c>
      <c r="AZ40" s="94">
        <f t="shared" si="7"/>
        <v>0</v>
      </c>
      <c r="BA40" s="94">
        <f t="shared" si="8"/>
        <v>102528</v>
      </c>
      <c r="BB40" s="97">
        <f t="shared" si="9"/>
        <v>0</v>
      </c>
      <c r="BC40" s="98"/>
      <c r="BD40" s="94">
        <f t="shared" si="10"/>
        <v>0</v>
      </c>
      <c r="BE40" s="94">
        <f t="shared" si="11"/>
        <v>0</v>
      </c>
      <c r="BF40" s="94">
        <f t="shared" si="12"/>
        <v>0</v>
      </c>
      <c r="BG40" s="94">
        <f t="shared" si="13"/>
        <v>0</v>
      </c>
      <c r="BH40" s="94" cm="1">
        <f t="array" ref="BH40">ROUNDDOWN(AM40*_xlfn.XLOOKUP(1,(BH$5=Table8[Type])*($D40&lt;=Table8[End]),Table8[요율],0,0),-1)</f>
        <v>820</v>
      </c>
      <c r="BI40" s="93" t="str" cm="1">
        <f t="array" ref="BI40">_xlfn.XLOOKUP(1,(D40&lt;=Table7[End])*(E40=Table7[근무처])*(F40=Table7[업무]),Table7[지급옵션],0,0)</f>
        <v>차주 화</v>
      </c>
      <c r="BJ40" s="83">
        <f>IF(BK40&lt;&gt;"",BK40,IFERROR(D40+_xlfn.NUMBERVALUE(RIGHT(BI40,1)),D40-WEEKDAY(D40)+CHOOSE(MATCH(RIGHT(BI40),{"일","월","화","수","목","금","토"},0),8,9,10,11,12,13,14)))</f>
        <v>45706</v>
      </c>
      <c r="BK40" s="99"/>
    </row>
    <row r="41" spans="2:63" x14ac:dyDescent="0.35">
      <c r="B41" s="20" t="str" cm="1">
        <f t="array" ref="B41">_xlfn.IFS(BB41&lt;&gt;BC41,"Claim확인",N41&lt;&gt;"OK","확인필요",TRUE,"")</f>
        <v/>
      </c>
      <c r="C41" s="21" t="str">
        <f t="shared" si="0"/>
        <v>010-5X8X-X4X0920X02XX253123</v>
      </c>
      <c r="D41" s="26">
        <v>45701</v>
      </c>
      <c r="E41" s="91" t="s">
        <v>255</v>
      </c>
      <c r="F41" s="25" t="s">
        <v>257</v>
      </c>
      <c r="G41" s="27" t="s">
        <v>288</v>
      </c>
      <c r="H41" s="25" t="s">
        <v>303</v>
      </c>
      <c r="I41" s="25"/>
      <c r="J41" s="25" t="s">
        <v>304</v>
      </c>
      <c r="K41" s="28">
        <v>0.45833333333333331</v>
      </c>
      <c r="L41" s="28">
        <v>0.83333333333333337</v>
      </c>
      <c r="M41" s="28">
        <v>4.1666666666666664E-2</v>
      </c>
      <c r="N41" s="25" t="s">
        <v>281</v>
      </c>
      <c r="O41" s="29" t="str">
        <f>_xlfn.XLOOKUP(Table2[[#This Row],[Key]],Table1[Key],Table1[주민등록번호],"",0)</f>
        <v>941XX31XX3X14</v>
      </c>
      <c r="P41" s="29">
        <f>_xlfn.XLOOKUP(Table2[[#This Row],[Key]],Table1[Key],Table1[비자],"",0)</f>
        <v>0</v>
      </c>
      <c r="Q41" s="29">
        <f>IF(P41=0,0,_xlfn.XLOOKUP(Table2[[#This Row],[Key]],Table1[Key],Table1[고용보험 여부],0,0))</f>
        <v>0</v>
      </c>
      <c r="R41" s="29" t="str">
        <f t="shared" si="1"/>
        <v>2502</v>
      </c>
      <c r="S41" s="30" t="str">
        <f>YEAR(Table2[[#This Row],[근무일자]])&amp;TEXT(WEEKNUM(Table2[[#This Row],[근무일자]]),"00")</f>
        <v>202507</v>
      </c>
      <c r="T41" s="31">
        <f>_xlfn.XLOOKUP(Table2[[#This Row],[Key]],Table1[Key],Table1[등록일],"",0)</f>
        <v>45846</v>
      </c>
      <c r="U41" s="32">
        <f t="shared" si="2"/>
        <v>0.33333333333333337</v>
      </c>
      <c r="V41" s="92">
        <f t="shared" si="3"/>
        <v>0</v>
      </c>
      <c r="W41" s="100" t="str">
        <f>_xlfn.XLOOKUP(Table2[[#This Row],[근무일자]],Table3[Date],Table3[Holiday],"",0)</f>
        <v/>
      </c>
      <c r="X41" s="93">
        <f>IF(D41&lt;&gt;"",1,0)+IF(COUNTIFS(Table2[주민등록번호],O41,Table2[월],TEXT(EOMONTH(D41,-1),"YYMM"))&gt;0,1+IF(COUNTIFS(Table2[주민등록번호],O41,Table2[월],TEXT(EOMONTH(D41,-2),"YYMM"))&gt;0,1+IF(COUNTIFS(Table2[주민등록번호],O41,Table2[월],TEXT(EOMONTH(D41,-3),"YYMM"))&gt;0,1,0),0),0)</f>
        <v>1</v>
      </c>
      <c r="Y41" s="29">
        <f>COUNTIFS(Table2[주민등록번호],O41,Table2[월],R41,Table2[근무일자],"&lt;="&amp;D41)</f>
        <v>4</v>
      </c>
      <c r="Z41" s="29">
        <f>COUNTIFS(Table2[주민등록번호],O41,Table2[주간],S41,Table2[근무일자],"&lt;="&amp;D41)</f>
        <v>3</v>
      </c>
      <c r="AA41" s="29">
        <f>SUMIFS(Table2[근로
시간],Table2[주민등록번호],O41,Table2[주간],S41,Table2[근무일자],"&lt;="&amp;D41)*24</f>
        <v>24</v>
      </c>
      <c r="AB41" s="29" t="str">
        <f>IF(AND(Y41&gt;=8,COUNTIFS(Table2[주민등록번호],O41,Table2[근무일자],"&gt;="&amp;EOMONTH(D41,-2)+1,Table2[근무일자],"&lt;="&amp;EOMONTH(D41,-1)+1)&gt;0),"V","")</f>
        <v/>
      </c>
      <c r="AC41" s="94" cm="1">
        <f t="array" ref="AC41">IF(AD41&lt;&gt;"",AD41,_xlfn.XLOOKUP(1,(D41&lt;=Table7[End])*(E41=Table7[근무처])*(F41=Table7[업무]),Table7[시급],0,0))</f>
        <v>10030</v>
      </c>
      <c r="AD41" s="95"/>
      <c r="AE41" s="94">
        <f t="shared" si="4"/>
        <v>80240</v>
      </c>
      <c r="AF41" s="96" cm="1">
        <f t="array" ref="AF41">IF(AND(AA41&gt;=15,(AA41-U41*24)&lt;=40),IF(Z41&gt;=_xlfn.XLOOKUP(1,(D41&lt;=Table7[End])*(E41=Table7[근무처])*(F41=Table7[업무]),Table7[주휴적용일],0,0),1,0)+_xlfn.XLOOKUP(1,(Table2[주간]=Table2[[#This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41" s="96" cm="1">
        <f t="array" ref="AG41">MAX((_xlfn.IFS(AF41=0,0,AF41=1,AA41,AF41&gt;1,U41*24)-IF(AA41&gt;40,AA41-40,0))/5,0)</f>
        <v>1.6</v>
      </c>
      <c r="AH41" s="94">
        <f t="shared" si="5"/>
        <v>16048</v>
      </c>
      <c r="AI41" s="33" cm="1">
        <f t="array" ref="AI41">IF(W41="",0,ROUND(AC41*U41*24*_xlfn.XLOOKUP(1,(D41&lt;=Table7[End])*(E41=Table7[근무처])*(F41=Table7[업무]),Table7[휴일인센티브],0,0),0))</f>
        <v>0</v>
      </c>
      <c r="AJ41" s="94" cm="1">
        <f t="array" ref="AJ41">ROUND(AC41*IF(U41&gt;=8/24,U41-8/24,0)*24*_xlfn.XLOOKUP(1,(D41&lt;=Table7[End])*(E41=Table7[근무처])*(F41=Table7[업무]),Table7[야간인센티브],0,0),0)</f>
        <v>0</v>
      </c>
      <c r="AK41" s="94" cm="1">
        <f t="array" ref="AK41">IF(V41=0,0,ROUND(AC41*V41*24*_xlfn.XLOOKUP(1,(D41&lt;=Table7[End])*(E41=Table7[근무처])*(F41=Table7[업무]),Table7[야간인센티브],0,0),0))</f>
        <v>0</v>
      </c>
      <c r="AL41" s="95"/>
      <c r="AM41" s="94">
        <f t="shared" si="6"/>
        <v>96288</v>
      </c>
      <c r="AN41" s="94" cm="1">
        <f t="array" ref="AN41">IF(AM41&gt;=_xlfn.XLOOKUP(TRUE,D41&lt;=Table5[End],Table5[비과세소득기준],0,0),AM41-_xlfn.XLOOKUP(TRUE,D41&lt;=Table5[End],Table5[비과세소득기준],0,0),0)</f>
        <v>0</v>
      </c>
      <c r="AO41" s="94" cm="1">
        <f t="array" ref="AO41">ROUNDDOWN(_xlfn.LET(_xlpm.setvalue,_xlfn.XLOOKUP(TRUE,D41&lt;=Table5[End],Table5[[요율]:[근로소득세액공제]],0,0),_xlpm.tax,AN41*PRODUCT((_xlpm.setvalue-{0,1})*{1,-1}),_xlpm.threshold,_xlfn.XLOOKUP(TRUE,D41&lt;=Table5[End],Table5[소액부징수기준],0,0),IF(_xlpm.tax&gt;=_xlpm.threshold,_xlpm.tax,0)),-1)</f>
        <v>0</v>
      </c>
      <c r="AP41" s="94">
        <f>ROUNDDOWN(Table2[[#This Row],[소득세]]*10%,-1)</f>
        <v>0</v>
      </c>
      <c r="AQ41" s="94">
        <f>IF(AB41="v",AM41+IF(Y41=8,SUMIFS(Table2[지급총액],Table2[주민등록번호],O41,Table2[월],R41,Table2[월간
근무일],"&lt;="&amp;8)-AM41,0),0)+_xlfn.NUMBERVALUE(AR41)</f>
        <v>0</v>
      </c>
      <c r="AR41" s="95"/>
      <c r="AS41" s="94" cm="1">
        <f t="array" ref="AS41">ROUNDDOWN($AQ41*_xlfn.XLOOKUP(1,(AS$5=Table8[Type])*($D41&lt;=Table8[End]),Table8[요율],0,0),0)</f>
        <v>0</v>
      </c>
      <c r="AT41" s="94" cm="1">
        <f t="array" ref="AT41">ROUNDDOWN(AS41*_xlfn.XLOOKUP(1,(AT$5=Table8[Type])*($D41&lt;=Table8[End]),Table8[요율],0,0),-1)</f>
        <v>0</v>
      </c>
      <c r="AU41" s="94" cm="1">
        <f t="array" ref="AU41">ROUNDDOWN($AQ41*_xlfn.XLOOKUP(1,(AU$5=Table8[Type])*($D41&lt;=Table8[End]),Table8[요율],0,0),-1)</f>
        <v>0</v>
      </c>
      <c r="AV41" s="94" cm="1">
        <f t="array" ref="AV41">ROUNDDOWN(AM41*_xlfn.XLOOKUP(1,(AV$5=Table8[Type])*($D41&lt;=Table8[End]),Table8[요율],0,0),-1)</f>
        <v>0</v>
      </c>
      <c r="AW41" s="94" cm="1">
        <f t="array" ref="AW41">_xlfn.XLOOKUP(1,(O41=Table2[주민등록번호])*(D41&gt;Table2[근무일자]),Table2[청구 Claim 
이월],0,0,-1)</f>
        <v>0</v>
      </c>
      <c r="AX41" s="95"/>
      <c r="AY41" s="94" cm="1">
        <f t="array" ref="AY41">MAX(SUM(AO41:AP41,AS41:AX41)-_xlfn.XLOOKUP(1,(D41&lt;=Table7[End])*(E41=Table7[근무처])*(F41=Table7[업무]),Table7[1일 공제 상한],0,0),0)</f>
        <v>0</v>
      </c>
      <c r="AZ41" s="94">
        <f t="shared" si="7"/>
        <v>0</v>
      </c>
      <c r="BA41" s="94">
        <f t="shared" si="8"/>
        <v>96288</v>
      </c>
      <c r="BB41" s="97">
        <f t="shared" si="9"/>
        <v>0</v>
      </c>
      <c r="BC41" s="98"/>
      <c r="BD41" s="94">
        <f t="shared" si="10"/>
        <v>0</v>
      </c>
      <c r="BE41" s="94">
        <f t="shared" si="11"/>
        <v>0</v>
      </c>
      <c r="BF41" s="94">
        <f t="shared" si="12"/>
        <v>0</v>
      </c>
      <c r="BG41" s="94">
        <f t="shared" si="13"/>
        <v>0</v>
      </c>
      <c r="BH41" s="94" cm="1">
        <f t="array" ref="BH41">ROUNDDOWN(AM41*_xlfn.XLOOKUP(1,(BH$5=Table8[Type])*($D41&lt;=Table8[End]),Table8[요율],0,0),-1)</f>
        <v>770</v>
      </c>
      <c r="BI41" s="93" t="str" cm="1">
        <f t="array" ref="BI41">_xlfn.XLOOKUP(1,(D41&lt;=Table7[End])*(E41=Table7[근무처])*(F41=Table7[업무]),Table7[지급옵션],0,0)</f>
        <v>차주 화</v>
      </c>
      <c r="BJ41" s="83">
        <f>IF(BK41&lt;&gt;"",BK41,IFERROR(D41+_xlfn.NUMBERVALUE(RIGHT(BI41,1)),D41-WEEKDAY(D41)+CHOOSE(MATCH(RIGHT(BI41),{"일","월","화","수","목","금","토"},0),8,9,10,11,12,13,14)))</f>
        <v>45706</v>
      </c>
      <c r="BK41" s="99"/>
    </row>
    <row r="42" spans="2:63" x14ac:dyDescent="0.35">
      <c r="B42" s="20" t="str" cm="1">
        <f t="array" ref="B42">_xlfn.IFS(BB42&lt;&gt;BC42,"Claim확인",N42&lt;&gt;"OK","확인필요",TRUE,"")</f>
        <v/>
      </c>
      <c r="C42" s="21" t="str">
        <f t="shared" si="0"/>
        <v>010-8X0X-X0X9982X03XX901018</v>
      </c>
      <c r="D42" s="26">
        <v>45702</v>
      </c>
      <c r="E42" s="91" t="s">
        <v>255</v>
      </c>
      <c r="F42" s="25" t="s">
        <v>258</v>
      </c>
      <c r="G42" s="27" t="s">
        <v>283</v>
      </c>
      <c r="H42" s="25" t="s">
        <v>291</v>
      </c>
      <c r="I42" s="25"/>
      <c r="J42" s="25" t="s">
        <v>292</v>
      </c>
      <c r="K42" s="28">
        <v>0.375</v>
      </c>
      <c r="L42" s="28">
        <v>0.75</v>
      </c>
      <c r="M42" s="28">
        <v>4.1666666666666664E-2</v>
      </c>
      <c r="N42" s="25" t="s">
        <v>281</v>
      </c>
      <c r="O42" s="29" t="str">
        <f>_xlfn.XLOOKUP(Table2[[#This Row],[Key]],Table1[Key],Table1[주민등록번호],"",0)</f>
        <v>960XX51XX9X15</v>
      </c>
      <c r="P42" s="29">
        <f>_xlfn.XLOOKUP(Table2[[#This Row],[Key]],Table1[Key],Table1[비자],"",0)</f>
        <v>0</v>
      </c>
      <c r="Q42" s="29">
        <f>IF(P42=0,0,_xlfn.XLOOKUP(Table2[[#This Row],[Key]],Table1[Key],Table1[고용보험 여부],0,0))</f>
        <v>0</v>
      </c>
      <c r="R42" s="29" t="str">
        <f t="shared" si="1"/>
        <v>2502</v>
      </c>
      <c r="S42" s="30" t="str">
        <f>YEAR(Table2[[#This Row],[근무일자]])&amp;TEXT(WEEKNUM(Table2[[#This Row],[근무일자]]),"00")</f>
        <v>202507</v>
      </c>
      <c r="T42" s="31">
        <f>_xlfn.XLOOKUP(Table2[[#This Row],[Key]],Table1[Key],Table1[등록일],"",0)</f>
        <v>45698</v>
      </c>
      <c r="U42" s="32">
        <f t="shared" si="2"/>
        <v>0.33333333333333331</v>
      </c>
      <c r="V42" s="92">
        <f t="shared" si="3"/>
        <v>0</v>
      </c>
      <c r="W42" s="100" t="str">
        <f>_xlfn.XLOOKUP(Table2[[#This Row],[근무일자]],Table3[Date],Table3[Holiday],"",0)</f>
        <v/>
      </c>
      <c r="X42" s="93">
        <f>IF(D42&lt;&gt;"",1,0)+IF(COUNTIFS(Table2[주민등록번호],O42,Table2[월],TEXT(EOMONTH(D42,-1),"YYMM"))&gt;0,1+IF(COUNTIFS(Table2[주민등록번호],O42,Table2[월],TEXT(EOMONTH(D42,-2),"YYMM"))&gt;0,1+IF(COUNTIFS(Table2[주민등록번호],O42,Table2[월],TEXT(EOMONTH(D42,-3),"YYMM"))&gt;0,1,0),0),0)</f>
        <v>1</v>
      </c>
      <c r="Y42" s="29">
        <f>COUNTIFS(Table2[주민등록번호],O42,Table2[월],R42,Table2[근무일자],"&lt;="&amp;D42)</f>
        <v>4</v>
      </c>
      <c r="Z42" s="29">
        <f>COUNTIFS(Table2[주민등록번호],O42,Table2[주간],S42,Table2[근무일자],"&lt;="&amp;D42)</f>
        <v>4</v>
      </c>
      <c r="AA42" s="29">
        <f>SUMIFS(Table2[근로
시간],Table2[주민등록번호],O42,Table2[주간],S42,Table2[근무일자],"&lt;="&amp;D42)*24</f>
        <v>32</v>
      </c>
      <c r="AB42" s="29" t="str">
        <f>IF(AND(Y42&gt;=8,COUNTIFS(Table2[주민등록번호],O42,Table2[근무일자],"&gt;="&amp;EOMONTH(D42,-2)+1,Table2[근무일자],"&lt;="&amp;EOMONTH(D42,-1)+1)&gt;0),"V","")</f>
        <v/>
      </c>
      <c r="AC42" s="94" cm="1">
        <f t="array" ref="AC42">IF(AD42&lt;&gt;"",AD42,_xlfn.XLOOKUP(1,(D42&lt;=Table7[End])*(E42=Table7[근무처])*(F42=Table7[업무]),Table7[시급],0,0))</f>
        <v>10680</v>
      </c>
      <c r="AD42" s="95"/>
      <c r="AE42" s="94">
        <f t="shared" si="4"/>
        <v>85440</v>
      </c>
      <c r="AF42" s="96" cm="1">
        <f t="array" ref="AF42">IF(AND(AA42&gt;=15,(AA42-U42*24)&lt;=40),IF(Z42&gt;=_xlfn.XLOOKUP(1,(D42&lt;=Table7[End])*(E42=Table7[근무처])*(F42=Table7[업무]),Table7[주휴적용일],0,0),1,0)+_xlfn.XLOOKUP(1,(Table2[주간]=Table2[[#This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42" s="96" cm="1">
        <f t="array" ref="AG42">MAX((_xlfn.IFS(AF42=0,0,AF42=1,AA42,AF42&gt;1,U42*24)-IF(AA42&gt;40,AA42-40,0))/5,0)</f>
        <v>1.6</v>
      </c>
      <c r="AH42" s="94">
        <f t="shared" si="5"/>
        <v>17088</v>
      </c>
      <c r="AI42" s="33" cm="1">
        <f t="array" ref="AI42">IF(W42="",0,ROUND(AC42*U42*24*_xlfn.XLOOKUP(1,(D42&lt;=Table7[End])*(E42=Table7[근무처])*(F42=Table7[업무]),Table7[휴일인센티브],0,0),0))</f>
        <v>0</v>
      </c>
      <c r="AJ42" s="94" cm="1">
        <f t="array" ref="AJ42">ROUND(AC42*IF(U42&gt;=8/24,U42-8/24,0)*24*_xlfn.XLOOKUP(1,(D42&lt;=Table7[End])*(E42=Table7[근무처])*(F42=Table7[업무]),Table7[야간인센티브],0,0),0)</f>
        <v>0</v>
      </c>
      <c r="AK42" s="94" cm="1">
        <f t="array" ref="AK42">IF(V42=0,0,ROUND(AC42*V42*24*_xlfn.XLOOKUP(1,(D42&lt;=Table7[End])*(E42=Table7[근무처])*(F42=Table7[업무]),Table7[야간인센티브],0,0),0))</f>
        <v>0</v>
      </c>
      <c r="AL42" s="95"/>
      <c r="AM42" s="94">
        <f t="shared" si="6"/>
        <v>102528</v>
      </c>
      <c r="AN42" s="94" cm="1">
        <f t="array" ref="AN42">IF(AM42&gt;=_xlfn.XLOOKUP(TRUE,D42&lt;=Table5[End],Table5[비과세소득기준],0,0),AM42-_xlfn.XLOOKUP(TRUE,D42&lt;=Table5[End],Table5[비과세소득기준],0,0),0)</f>
        <v>0</v>
      </c>
      <c r="AO42" s="94" cm="1">
        <f t="array" ref="AO42">ROUNDDOWN(_xlfn.LET(_xlpm.setvalue,_xlfn.XLOOKUP(TRUE,D42&lt;=Table5[End],Table5[[요율]:[근로소득세액공제]],0,0),_xlpm.tax,AN42*PRODUCT((_xlpm.setvalue-{0,1})*{1,-1}),_xlpm.threshold,_xlfn.XLOOKUP(TRUE,D42&lt;=Table5[End],Table5[소액부징수기준],0,0),IF(_xlpm.tax&gt;=_xlpm.threshold,_xlpm.tax,0)),-1)</f>
        <v>0</v>
      </c>
      <c r="AP42" s="94">
        <f>ROUNDDOWN(Table2[[#This Row],[소득세]]*10%,-1)</f>
        <v>0</v>
      </c>
      <c r="AQ42" s="94">
        <f>IF(AB42="v",AM42+IF(Y42=8,SUMIFS(Table2[지급총액],Table2[주민등록번호],O42,Table2[월],R42,Table2[월간
근무일],"&lt;="&amp;8)-AM42,0),0)+_xlfn.NUMBERVALUE(AR42)</f>
        <v>0</v>
      </c>
      <c r="AR42" s="95"/>
      <c r="AS42" s="94" cm="1">
        <f t="array" ref="AS42">ROUNDDOWN($AQ42*_xlfn.XLOOKUP(1,(AS$5=Table8[Type])*($D42&lt;=Table8[End]),Table8[요율],0,0),0)</f>
        <v>0</v>
      </c>
      <c r="AT42" s="94" cm="1">
        <f t="array" ref="AT42">ROUNDDOWN(AS42*_xlfn.XLOOKUP(1,(AT$5=Table8[Type])*($D42&lt;=Table8[End]),Table8[요율],0,0),-1)</f>
        <v>0</v>
      </c>
      <c r="AU42" s="94" cm="1">
        <f t="array" ref="AU42">ROUNDDOWN($AQ42*_xlfn.XLOOKUP(1,(AU$5=Table8[Type])*($D42&lt;=Table8[End]),Table8[요율],0,0),-1)</f>
        <v>0</v>
      </c>
      <c r="AV42" s="94" cm="1">
        <f t="array" ref="AV42">ROUNDDOWN(AM42*_xlfn.XLOOKUP(1,(AV$5=Table8[Type])*($D42&lt;=Table8[End]),Table8[요율],0,0),-1)</f>
        <v>0</v>
      </c>
      <c r="AW42" s="94" cm="1">
        <f t="array" ref="AW42">_xlfn.XLOOKUP(1,(O42=Table2[주민등록번호])*(D42&gt;Table2[근무일자]),Table2[청구 Claim 
이월],0,0,-1)</f>
        <v>0</v>
      </c>
      <c r="AX42" s="95"/>
      <c r="AY42" s="94" cm="1">
        <f t="array" ref="AY42">MAX(SUM(AO42:AP42,AS42:AX42)-_xlfn.XLOOKUP(1,(D42&lt;=Table7[End])*(E42=Table7[근무처])*(F42=Table7[업무]),Table7[1일 공제 상한],0,0),0)</f>
        <v>0</v>
      </c>
      <c r="AZ42" s="94">
        <f t="shared" si="7"/>
        <v>0</v>
      </c>
      <c r="BA42" s="94">
        <f t="shared" si="8"/>
        <v>102528</v>
      </c>
      <c r="BB42" s="97">
        <f t="shared" si="9"/>
        <v>0</v>
      </c>
      <c r="BC42" s="98"/>
      <c r="BD42" s="94">
        <f t="shared" si="10"/>
        <v>0</v>
      </c>
      <c r="BE42" s="94">
        <f t="shared" si="11"/>
        <v>0</v>
      </c>
      <c r="BF42" s="94">
        <f t="shared" si="12"/>
        <v>0</v>
      </c>
      <c r="BG42" s="94">
        <f t="shared" si="13"/>
        <v>0</v>
      </c>
      <c r="BH42" s="94" cm="1">
        <f t="array" ref="BH42">ROUNDDOWN(AM42*_xlfn.XLOOKUP(1,(BH$5=Table8[Type])*($D42&lt;=Table8[End]),Table8[요율],0,0),-1)</f>
        <v>820</v>
      </c>
      <c r="BI42" s="93" t="str" cm="1">
        <f t="array" ref="BI42">_xlfn.XLOOKUP(1,(D42&lt;=Table7[End])*(E42=Table7[근무처])*(F42=Table7[업무]),Table7[지급옵션],0,0)</f>
        <v>차주 화</v>
      </c>
      <c r="BJ42" s="83">
        <f>IF(BK42&lt;&gt;"",BK42,IFERROR(D42+_xlfn.NUMBERVALUE(RIGHT(BI42,1)),D42-WEEKDAY(D42)+CHOOSE(MATCH(RIGHT(BI42),{"일","월","화","수","목","금","토"},0),8,9,10,11,12,13,14)))</f>
        <v>45706</v>
      </c>
      <c r="BK42" s="99"/>
    </row>
    <row r="43" spans="2:63" x14ac:dyDescent="0.35">
      <c r="B43" s="20" t="str" cm="1">
        <f t="array" ref="B43">_xlfn.IFS(BB43&lt;&gt;BC43,"Claim확인",N43&lt;&gt;"OK","확인필요",TRUE,"")</f>
        <v/>
      </c>
      <c r="C43" s="21" t="str">
        <f t="shared" si="0"/>
        <v>010-3X4X-X9X7219X02XX284640</v>
      </c>
      <c r="D43" s="26">
        <v>45703</v>
      </c>
      <c r="E43" s="91" t="s">
        <v>253</v>
      </c>
      <c r="F43" s="25" t="s">
        <v>257</v>
      </c>
      <c r="G43" s="27" t="s">
        <v>286</v>
      </c>
      <c r="H43" s="25" t="s">
        <v>299</v>
      </c>
      <c r="I43" s="25"/>
      <c r="J43" s="25" t="s">
        <v>300</v>
      </c>
      <c r="K43" s="28">
        <v>0.33333333333333331</v>
      </c>
      <c r="L43" s="28">
        <v>0.70833333333333337</v>
      </c>
      <c r="M43" s="28">
        <v>4.1666666666666664E-2</v>
      </c>
      <c r="N43" s="25" t="s">
        <v>281</v>
      </c>
      <c r="O43" s="29" t="str">
        <f>_xlfn.XLOOKUP(Table2[[#This Row],[Key]],Table1[Key],Table1[주민등록번호],"",0)</f>
        <v>931XX31XX3X14</v>
      </c>
      <c r="P43" s="29">
        <f>_xlfn.XLOOKUP(Table2[[#This Row],[Key]],Table1[Key],Table1[비자],"",0)</f>
        <v>0</v>
      </c>
      <c r="Q43" s="29">
        <f>IF(P43=0,0,_xlfn.XLOOKUP(Table2[[#This Row],[Key]],Table1[Key],Table1[고용보험 여부],0,0))</f>
        <v>0</v>
      </c>
      <c r="R43" s="29" t="str">
        <f t="shared" si="1"/>
        <v>2502</v>
      </c>
      <c r="S43" s="30" t="str">
        <f>YEAR(Table2[[#This Row],[근무일자]])&amp;TEXT(WEEKNUM(Table2[[#This Row],[근무일자]]),"00")</f>
        <v>202507</v>
      </c>
      <c r="T43" s="31">
        <f>_xlfn.XLOOKUP(Table2[[#This Row],[Key]],Table1[Key],Table1[등록일],"",0)</f>
        <v>45773</v>
      </c>
      <c r="U43" s="32">
        <f t="shared" si="2"/>
        <v>0.33333333333333337</v>
      </c>
      <c r="V43" s="92">
        <f t="shared" si="3"/>
        <v>0</v>
      </c>
      <c r="W43" s="100" t="str">
        <f>_xlfn.XLOOKUP(Table2[[#This Row],[근무일자]],Table3[Date],Table3[Holiday],"",0)</f>
        <v/>
      </c>
      <c r="X43" s="93">
        <f>IF(D43&lt;&gt;"",1,0)+IF(COUNTIFS(Table2[주민등록번호],O43,Table2[월],TEXT(EOMONTH(D43,-1),"YYMM"))&gt;0,1+IF(COUNTIFS(Table2[주민등록번호],O43,Table2[월],TEXT(EOMONTH(D43,-2),"YYMM"))&gt;0,1+IF(COUNTIFS(Table2[주민등록번호],O43,Table2[월],TEXT(EOMONTH(D43,-3),"YYMM"))&gt;0,1,0),0),0)</f>
        <v>1</v>
      </c>
      <c r="Y43" s="29">
        <f>COUNTIFS(Table2[주민등록번호],O43,Table2[월],R43,Table2[근무일자],"&lt;="&amp;D43)</f>
        <v>3</v>
      </c>
      <c r="Z43" s="29">
        <f>COUNTIFS(Table2[주민등록번호],O43,Table2[주간],S43,Table2[근무일자],"&lt;="&amp;D43)</f>
        <v>1</v>
      </c>
      <c r="AA43" s="29">
        <f>SUMIFS(Table2[근로
시간],Table2[주민등록번호],O43,Table2[주간],S43,Table2[근무일자],"&lt;="&amp;D43)*24</f>
        <v>8</v>
      </c>
      <c r="AB43" s="29" t="str">
        <f>IF(AND(Y43&gt;=8,COUNTIFS(Table2[주민등록번호],O43,Table2[근무일자],"&gt;="&amp;EOMONTH(D43,-2)+1,Table2[근무일자],"&lt;="&amp;EOMONTH(D43,-1)+1)&gt;0),"V","")</f>
        <v/>
      </c>
      <c r="AC43" s="94" cm="1">
        <f t="array" ref="AC43">IF(AD43&lt;&gt;"",AD43,_xlfn.XLOOKUP(1,(D43&lt;=Table7[End])*(E43=Table7[근무처])*(F43=Table7[업무]),Table7[시급],0,0))</f>
        <v>10030</v>
      </c>
      <c r="AD43" s="95"/>
      <c r="AE43" s="94">
        <f t="shared" si="4"/>
        <v>80240</v>
      </c>
      <c r="AF43" s="96" cm="1">
        <f t="array" ref="AF43">IF(AND(AA43&gt;=15,(AA43-U43*24)&lt;=40),IF(Z43&gt;=_xlfn.XLOOKUP(1,(D43&lt;=Table7[End])*(E43=Table7[근무처])*(F43=Table7[업무]),Table7[주휴적용일],0,0),1,0)+_xlfn.XLOOKUP(1,(Table2[주간]=Table2[[#This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43" s="96" cm="1">
        <f t="array" ref="AG43">MAX((_xlfn.IFS(AF43=0,0,AF43=1,AA43,AF43&gt;1,U43*24)-IF(AA43&gt;40,AA43-40,0))/5,0)</f>
        <v>0</v>
      </c>
      <c r="AH43" s="94">
        <f t="shared" si="5"/>
        <v>0</v>
      </c>
      <c r="AI43" s="33" cm="1">
        <f t="array" ref="AI43">IF(W43="",0,ROUND(AC43*U43*24*_xlfn.XLOOKUP(1,(D43&lt;=Table7[End])*(E43=Table7[근무처])*(F43=Table7[업무]),Table7[휴일인센티브],0,0),0))</f>
        <v>0</v>
      </c>
      <c r="AJ43" s="94" cm="1">
        <f t="array" ref="AJ43">ROUND(AC43*IF(U43&gt;=8/24,U43-8/24,0)*24*_xlfn.XLOOKUP(1,(D43&lt;=Table7[End])*(E43=Table7[근무처])*(F43=Table7[업무]),Table7[야간인센티브],0,0),0)</f>
        <v>0</v>
      </c>
      <c r="AK43" s="94" cm="1">
        <f t="array" ref="AK43">IF(V43=0,0,ROUND(AC43*V43*24*_xlfn.XLOOKUP(1,(D43&lt;=Table7[End])*(E43=Table7[근무처])*(F43=Table7[업무]),Table7[야간인센티브],0,0),0))</f>
        <v>0</v>
      </c>
      <c r="AL43" s="95"/>
      <c r="AM43" s="94">
        <f t="shared" si="6"/>
        <v>80240</v>
      </c>
      <c r="AN43" s="94" cm="1">
        <f t="array" ref="AN43">IF(AM43&gt;=_xlfn.XLOOKUP(TRUE,D43&lt;=Table5[End],Table5[비과세소득기준],0,0),AM43-_xlfn.XLOOKUP(TRUE,D43&lt;=Table5[End],Table5[비과세소득기준],0,0),0)</f>
        <v>0</v>
      </c>
      <c r="AO43" s="94" cm="1">
        <f t="array" ref="AO43">ROUNDDOWN(_xlfn.LET(_xlpm.setvalue,_xlfn.XLOOKUP(TRUE,D43&lt;=Table5[End],Table5[[요율]:[근로소득세액공제]],0,0),_xlpm.tax,AN43*PRODUCT((_xlpm.setvalue-{0,1})*{1,-1}),_xlpm.threshold,_xlfn.XLOOKUP(TRUE,D43&lt;=Table5[End],Table5[소액부징수기준],0,0),IF(_xlpm.tax&gt;=_xlpm.threshold,_xlpm.tax,0)),-1)</f>
        <v>0</v>
      </c>
      <c r="AP43" s="94">
        <f>ROUNDDOWN(Table2[[#This Row],[소득세]]*10%,-1)</f>
        <v>0</v>
      </c>
      <c r="AQ43" s="94">
        <f>IF(AB43="v",AM43+IF(Y43=8,SUMIFS(Table2[지급총액],Table2[주민등록번호],O43,Table2[월],R43,Table2[월간
근무일],"&lt;="&amp;8)-AM43,0),0)+_xlfn.NUMBERVALUE(AR43)</f>
        <v>0</v>
      </c>
      <c r="AR43" s="95"/>
      <c r="AS43" s="94" cm="1">
        <f t="array" ref="AS43">ROUNDDOWN($AQ43*_xlfn.XLOOKUP(1,(AS$5=Table8[Type])*($D43&lt;=Table8[End]),Table8[요율],0,0),0)</f>
        <v>0</v>
      </c>
      <c r="AT43" s="94" cm="1">
        <f t="array" ref="AT43">ROUNDDOWN(AS43*_xlfn.XLOOKUP(1,(AT$5=Table8[Type])*($D43&lt;=Table8[End]),Table8[요율],0,0),-1)</f>
        <v>0</v>
      </c>
      <c r="AU43" s="94" cm="1">
        <f t="array" ref="AU43">ROUNDDOWN($AQ43*_xlfn.XLOOKUP(1,(AU$5=Table8[Type])*($D43&lt;=Table8[End]),Table8[요율],0,0),-1)</f>
        <v>0</v>
      </c>
      <c r="AV43" s="94" cm="1">
        <f t="array" ref="AV43">ROUNDDOWN(AM43*_xlfn.XLOOKUP(1,(AV$5=Table8[Type])*($D43&lt;=Table8[End]),Table8[요율],0,0),-1)</f>
        <v>0</v>
      </c>
      <c r="AW43" s="94" cm="1">
        <f t="array" ref="AW43">_xlfn.XLOOKUP(1,(O43=Table2[주민등록번호])*(D43&gt;Table2[근무일자]),Table2[청구 Claim 
이월],0,0,-1)</f>
        <v>0</v>
      </c>
      <c r="AX43" s="95"/>
      <c r="AY43" s="94" cm="1">
        <f t="array" ref="AY43">MAX(SUM(AO43:AP43,AS43:AX43)-_xlfn.XLOOKUP(1,(D43&lt;=Table7[End])*(E43=Table7[근무처])*(F43=Table7[업무]),Table7[1일 공제 상한],0,0),0)</f>
        <v>0</v>
      </c>
      <c r="AZ43" s="94">
        <f t="shared" si="7"/>
        <v>0</v>
      </c>
      <c r="BA43" s="94">
        <f t="shared" si="8"/>
        <v>80240</v>
      </c>
      <c r="BB43" s="97">
        <f t="shared" si="9"/>
        <v>0</v>
      </c>
      <c r="BC43" s="98"/>
      <c r="BD43" s="94">
        <f t="shared" si="10"/>
        <v>0</v>
      </c>
      <c r="BE43" s="94">
        <f t="shared" si="11"/>
        <v>0</v>
      </c>
      <c r="BF43" s="94">
        <f t="shared" si="12"/>
        <v>0</v>
      </c>
      <c r="BG43" s="94">
        <f t="shared" si="13"/>
        <v>0</v>
      </c>
      <c r="BH43" s="94" cm="1">
        <f t="array" ref="BH43">ROUNDDOWN(AM43*_xlfn.XLOOKUP(1,(BH$5=Table8[Type])*($D43&lt;=Table8[End]),Table8[요율],0,0),-1)</f>
        <v>640</v>
      </c>
      <c r="BI43" s="93" t="str" cm="1">
        <f t="array" ref="BI43">_xlfn.XLOOKUP(1,(D43&lt;=Table7[End])*(E43=Table7[근무처])*(F43=Table7[업무]),Table7[지급옵션],0,0)</f>
        <v>D+2</v>
      </c>
      <c r="BJ43" s="83">
        <f>IF(BK43&lt;&gt;"",BK43,IFERROR(D43+_xlfn.NUMBERVALUE(RIGHT(BI43,1)),D43-WEEKDAY(D43)+CHOOSE(MATCH(RIGHT(BI43),{"일","월","화","수","목","금","토"},0),8,9,10,11,12,13,14)))</f>
        <v>45705</v>
      </c>
      <c r="BK43" s="99"/>
    </row>
    <row r="44" spans="2:63" x14ac:dyDescent="0.35">
      <c r="B44" s="20" t="str" cm="1">
        <f t="array" ref="B44">_xlfn.IFS(BB44&lt;&gt;BC44,"Claim확인",N44&lt;&gt;"OK","확인필요",TRUE,"")</f>
        <v/>
      </c>
      <c r="C44" s="21" t="str">
        <f t="shared" si="0"/>
        <v>010-8X0X-X0X9982X03XX901018</v>
      </c>
      <c r="D44" s="26">
        <v>45705</v>
      </c>
      <c r="E44" s="91" t="s">
        <v>255</v>
      </c>
      <c r="F44" s="25" t="s">
        <v>258</v>
      </c>
      <c r="G44" s="27" t="s">
        <v>283</v>
      </c>
      <c r="H44" s="25" t="s">
        <v>291</v>
      </c>
      <c r="I44" s="25"/>
      <c r="J44" s="25" t="s">
        <v>292</v>
      </c>
      <c r="K44" s="28">
        <v>0.375</v>
      </c>
      <c r="L44" s="28">
        <v>0.75</v>
      </c>
      <c r="M44" s="28">
        <v>4.1666666666666664E-2</v>
      </c>
      <c r="N44" s="25" t="s">
        <v>281</v>
      </c>
      <c r="O44" s="29" t="str">
        <f>_xlfn.XLOOKUP(Table2[[#This Row],[Key]],Table1[Key],Table1[주민등록번호],"",0)</f>
        <v>960XX51XX9X15</v>
      </c>
      <c r="P44" s="29">
        <f>_xlfn.XLOOKUP(Table2[[#This Row],[Key]],Table1[Key],Table1[비자],"",0)</f>
        <v>0</v>
      </c>
      <c r="Q44" s="29">
        <f>IF(P44=0,0,_xlfn.XLOOKUP(Table2[[#This Row],[Key]],Table1[Key],Table1[고용보험 여부],0,0))</f>
        <v>0</v>
      </c>
      <c r="R44" s="29" t="str">
        <f t="shared" si="1"/>
        <v>2502</v>
      </c>
      <c r="S44" s="30" t="str">
        <f>YEAR(Table2[[#This Row],[근무일자]])&amp;TEXT(WEEKNUM(Table2[[#This Row],[근무일자]]),"00")</f>
        <v>202508</v>
      </c>
      <c r="T44" s="31">
        <f>_xlfn.XLOOKUP(Table2[[#This Row],[Key]],Table1[Key],Table1[등록일],"",0)</f>
        <v>45698</v>
      </c>
      <c r="U44" s="32">
        <f t="shared" si="2"/>
        <v>0.33333333333333331</v>
      </c>
      <c r="V44" s="92">
        <f t="shared" si="3"/>
        <v>0</v>
      </c>
      <c r="W44" s="100" t="str">
        <f>_xlfn.XLOOKUP(Table2[[#This Row],[근무일자]],Table3[Date],Table3[Holiday],"",0)</f>
        <v/>
      </c>
      <c r="X44" s="93">
        <f>IF(D44&lt;&gt;"",1,0)+IF(COUNTIFS(Table2[주민등록번호],O44,Table2[월],TEXT(EOMONTH(D44,-1),"YYMM"))&gt;0,1+IF(COUNTIFS(Table2[주민등록번호],O44,Table2[월],TEXT(EOMONTH(D44,-2),"YYMM"))&gt;0,1+IF(COUNTIFS(Table2[주민등록번호],O44,Table2[월],TEXT(EOMONTH(D44,-3),"YYMM"))&gt;0,1,0),0),0)</f>
        <v>1</v>
      </c>
      <c r="Y44" s="29">
        <f>COUNTIFS(Table2[주민등록번호],O44,Table2[월],R44,Table2[근무일자],"&lt;="&amp;D44)</f>
        <v>5</v>
      </c>
      <c r="Z44" s="29">
        <f>COUNTIFS(Table2[주민등록번호],O44,Table2[주간],S44,Table2[근무일자],"&lt;="&amp;D44)</f>
        <v>1</v>
      </c>
      <c r="AA44" s="29">
        <f>SUMIFS(Table2[근로
시간],Table2[주민등록번호],O44,Table2[주간],S44,Table2[근무일자],"&lt;="&amp;D44)*24</f>
        <v>8</v>
      </c>
      <c r="AB44" s="29" t="str">
        <f>IF(AND(Y44&gt;=8,COUNTIFS(Table2[주민등록번호],O44,Table2[근무일자],"&gt;="&amp;EOMONTH(D44,-2)+1,Table2[근무일자],"&lt;="&amp;EOMONTH(D44,-1)+1)&gt;0),"V","")</f>
        <v/>
      </c>
      <c r="AC44" s="94" cm="1">
        <f t="array" ref="AC44">IF(AD44&lt;&gt;"",AD44,_xlfn.XLOOKUP(1,(D44&lt;=Table7[End])*(E44=Table7[근무처])*(F44=Table7[업무]),Table7[시급],0,0))</f>
        <v>10680</v>
      </c>
      <c r="AD44" s="95"/>
      <c r="AE44" s="94">
        <f t="shared" si="4"/>
        <v>85440</v>
      </c>
      <c r="AF44" s="96" cm="1">
        <f t="array" ref="AF44">IF(AND(AA44&gt;=15,(AA44-U44*24)&lt;=40),IF(Z44&gt;=_xlfn.XLOOKUP(1,(D44&lt;=Table7[End])*(E44=Table7[근무처])*(F44=Table7[업무]),Table7[주휴적용일],0,0),1,0)+_xlfn.XLOOKUP(1,(Table2[주간]=Table2[[#This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44" s="96" cm="1">
        <f t="array" ref="AG44">MAX((_xlfn.IFS(AF44=0,0,AF44=1,AA44,AF44&gt;1,U44*24)-IF(AA44&gt;40,AA44-40,0))/5,0)</f>
        <v>0</v>
      </c>
      <c r="AH44" s="94">
        <f t="shared" si="5"/>
        <v>0</v>
      </c>
      <c r="AI44" s="33" cm="1">
        <f t="array" ref="AI44">IF(W44="",0,ROUND(AC44*U44*24*_xlfn.XLOOKUP(1,(D44&lt;=Table7[End])*(E44=Table7[근무처])*(F44=Table7[업무]),Table7[휴일인센티브],0,0),0))</f>
        <v>0</v>
      </c>
      <c r="AJ44" s="94" cm="1">
        <f t="array" ref="AJ44">ROUND(AC44*IF(U44&gt;=8/24,U44-8/24,0)*24*_xlfn.XLOOKUP(1,(D44&lt;=Table7[End])*(E44=Table7[근무처])*(F44=Table7[업무]),Table7[야간인센티브],0,0),0)</f>
        <v>0</v>
      </c>
      <c r="AK44" s="94" cm="1">
        <f t="array" ref="AK44">IF(V44=0,0,ROUND(AC44*V44*24*_xlfn.XLOOKUP(1,(D44&lt;=Table7[End])*(E44=Table7[근무처])*(F44=Table7[업무]),Table7[야간인센티브],0,0),0))</f>
        <v>0</v>
      </c>
      <c r="AL44" s="95"/>
      <c r="AM44" s="94">
        <f t="shared" si="6"/>
        <v>85440</v>
      </c>
      <c r="AN44" s="94" cm="1">
        <f t="array" ref="AN44">IF(AM44&gt;=_xlfn.XLOOKUP(TRUE,D44&lt;=Table5[End],Table5[비과세소득기준],0,0),AM44-_xlfn.XLOOKUP(TRUE,D44&lt;=Table5[End],Table5[비과세소득기준],0,0),0)</f>
        <v>0</v>
      </c>
      <c r="AO44" s="94" cm="1">
        <f t="array" ref="AO44">ROUNDDOWN(_xlfn.LET(_xlpm.setvalue,_xlfn.XLOOKUP(TRUE,D44&lt;=Table5[End],Table5[[요율]:[근로소득세액공제]],0,0),_xlpm.tax,AN44*PRODUCT((_xlpm.setvalue-{0,1})*{1,-1}),_xlpm.threshold,_xlfn.XLOOKUP(TRUE,D44&lt;=Table5[End],Table5[소액부징수기준],0,0),IF(_xlpm.tax&gt;=_xlpm.threshold,_xlpm.tax,0)),-1)</f>
        <v>0</v>
      </c>
      <c r="AP44" s="94">
        <f>ROUNDDOWN(Table2[[#This Row],[소득세]]*10%,-1)</f>
        <v>0</v>
      </c>
      <c r="AQ44" s="94">
        <f>IF(AB44="v",AM44+IF(Y44=8,SUMIFS(Table2[지급총액],Table2[주민등록번호],O44,Table2[월],R44,Table2[월간
근무일],"&lt;="&amp;8)-AM44,0),0)+_xlfn.NUMBERVALUE(AR44)</f>
        <v>0</v>
      </c>
      <c r="AR44" s="95"/>
      <c r="AS44" s="94" cm="1">
        <f t="array" ref="AS44">ROUNDDOWN($AQ44*_xlfn.XLOOKUP(1,(AS$5=Table8[Type])*($D44&lt;=Table8[End]),Table8[요율],0,0),0)</f>
        <v>0</v>
      </c>
      <c r="AT44" s="94" cm="1">
        <f t="array" ref="AT44">ROUNDDOWN(AS44*_xlfn.XLOOKUP(1,(AT$5=Table8[Type])*($D44&lt;=Table8[End]),Table8[요율],0,0),-1)</f>
        <v>0</v>
      </c>
      <c r="AU44" s="94" cm="1">
        <f t="array" ref="AU44">ROUNDDOWN($AQ44*_xlfn.XLOOKUP(1,(AU$5=Table8[Type])*($D44&lt;=Table8[End]),Table8[요율],0,0),-1)</f>
        <v>0</v>
      </c>
      <c r="AV44" s="94" cm="1">
        <f t="array" ref="AV44">ROUNDDOWN(AM44*_xlfn.XLOOKUP(1,(AV$5=Table8[Type])*($D44&lt;=Table8[End]),Table8[요율],0,0),-1)</f>
        <v>0</v>
      </c>
      <c r="AW44" s="94" cm="1">
        <f t="array" ref="AW44">_xlfn.XLOOKUP(1,(O44=Table2[주민등록번호])*(D44&gt;Table2[근무일자]),Table2[청구 Claim 
이월],0,0,-1)</f>
        <v>0</v>
      </c>
      <c r="AX44" s="95"/>
      <c r="AY44" s="94" cm="1">
        <f t="array" ref="AY44">MAX(SUM(AO44:AP44,AS44:AX44)-_xlfn.XLOOKUP(1,(D44&lt;=Table7[End])*(E44=Table7[근무처])*(F44=Table7[업무]),Table7[1일 공제 상한],0,0),0)</f>
        <v>0</v>
      </c>
      <c r="AZ44" s="94">
        <f t="shared" si="7"/>
        <v>0</v>
      </c>
      <c r="BA44" s="94">
        <f t="shared" si="8"/>
        <v>85440</v>
      </c>
      <c r="BB44" s="97">
        <f t="shared" si="9"/>
        <v>0</v>
      </c>
      <c r="BC44" s="98"/>
      <c r="BD44" s="94">
        <f t="shared" si="10"/>
        <v>0</v>
      </c>
      <c r="BE44" s="94">
        <f t="shared" si="11"/>
        <v>0</v>
      </c>
      <c r="BF44" s="94">
        <f t="shared" si="12"/>
        <v>0</v>
      </c>
      <c r="BG44" s="94">
        <f t="shared" si="13"/>
        <v>0</v>
      </c>
      <c r="BH44" s="94" cm="1">
        <f t="array" ref="BH44">ROUNDDOWN(AM44*_xlfn.XLOOKUP(1,(BH$5=Table8[Type])*($D44&lt;=Table8[End]),Table8[요율],0,0),-1)</f>
        <v>680</v>
      </c>
      <c r="BI44" s="93" t="str" cm="1">
        <f t="array" ref="BI44">_xlfn.XLOOKUP(1,(D44&lt;=Table7[End])*(E44=Table7[근무처])*(F44=Table7[업무]),Table7[지급옵션],0,0)</f>
        <v>차주 화</v>
      </c>
      <c r="BJ44" s="83">
        <f>IF(BK44&lt;&gt;"",BK44,IFERROR(D44+_xlfn.NUMBERVALUE(RIGHT(BI44,1)),D44-WEEKDAY(D44)+CHOOSE(MATCH(RIGHT(BI44),{"일","월","화","수","목","금","토"},0),8,9,10,11,12,13,14)))</f>
        <v>45713</v>
      </c>
      <c r="BK44" s="99"/>
    </row>
    <row r="45" spans="2:63" x14ac:dyDescent="0.35">
      <c r="B45" s="20" t="str" cm="1">
        <f t="array" ref="B45">_xlfn.IFS(BB45&lt;&gt;BC45,"Claim확인",N45&lt;&gt;"OK","확인필요",TRUE,"")</f>
        <v/>
      </c>
      <c r="C45" s="21" t="str">
        <f t="shared" si="0"/>
        <v>010-8X0X-X0X9982X03XX901018</v>
      </c>
      <c r="D45" s="26">
        <v>45706</v>
      </c>
      <c r="E45" s="91" t="s">
        <v>255</v>
      </c>
      <c r="F45" s="25" t="s">
        <v>258</v>
      </c>
      <c r="G45" s="27" t="s">
        <v>283</v>
      </c>
      <c r="H45" s="25" t="s">
        <v>291</v>
      </c>
      <c r="I45" s="25"/>
      <c r="J45" s="25" t="s">
        <v>292</v>
      </c>
      <c r="K45" s="28">
        <v>0.375</v>
      </c>
      <c r="L45" s="28">
        <v>0.75</v>
      </c>
      <c r="M45" s="28">
        <v>4.1666666666666664E-2</v>
      </c>
      <c r="N45" s="25" t="s">
        <v>281</v>
      </c>
      <c r="O45" s="29" t="str">
        <f>_xlfn.XLOOKUP(Table2[[#This Row],[Key]],Table1[Key],Table1[주민등록번호],"",0)</f>
        <v>960XX51XX9X15</v>
      </c>
      <c r="P45" s="29">
        <f>_xlfn.XLOOKUP(Table2[[#This Row],[Key]],Table1[Key],Table1[비자],"",0)</f>
        <v>0</v>
      </c>
      <c r="Q45" s="29">
        <f>IF(P45=0,0,_xlfn.XLOOKUP(Table2[[#This Row],[Key]],Table1[Key],Table1[고용보험 여부],0,0))</f>
        <v>0</v>
      </c>
      <c r="R45" s="29" t="str">
        <f t="shared" si="1"/>
        <v>2502</v>
      </c>
      <c r="S45" s="30" t="str">
        <f>YEAR(Table2[[#This Row],[근무일자]])&amp;TEXT(WEEKNUM(Table2[[#This Row],[근무일자]]),"00")</f>
        <v>202508</v>
      </c>
      <c r="T45" s="31">
        <f>_xlfn.XLOOKUP(Table2[[#This Row],[Key]],Table1[Key],Table1[등록일],"",0)</f>
        <v>45698</v>
      </c>
      <c r="U45" s="32">
        <f t="shared" si="2"/>
        <v>0.33333333333333331</v>
      </c>
      <c r="V45" s="92">
        <f t="shared" si="3"/>
        <v>0</v>
      </c>
      <c r="W45" s="100" t="str">
        <f>_xlfn.XLOOKUP(Table2[[#This Row],[근무일자]],Table3[Date],Table3[Holiday],"",0)</f>
        <v/>
      </c>
      <c r="X45" s="93">
        <f>IF(D45&lt;&gt;"",1,0)+IF(COUNTIFS(Table2[주민등록번호],O45,Table2[월],TEXT(EOMONTH(D45,-1),"YYMM"))&gt;0,1+IF(COUNTIFS(Table2[주민등록번호],O45,Table2[월],TEXT(EOMONTH(D45,-2),"YYMM"))&gt;0,1+IF(COUNTIFS(Table2[주민등록번호],O45,Table2[월],TEXT(EOMONTH(D45,-3),"YYMM"))&gt;0,1,0),0),0)</f>
        <v>1</v>
      </c>
      <c r="Y45" s="29">
        <f>COUNTIFS(Table2[주민등록번호],O45,Table2[월],R45,Table2[근무일자],"&lt;="&amp;D45)</f>
        <v>6</v>
      </c>
      <c r="Z45" s="29">
        <f>COUNTIFS(Table2[주민등록번호],O45,Table2[주간],S45,Table2[근무일자],"&lt;="&amp;D45)</f>
        <v>2</v>
      </c>
      <c r="AA45" s="29">
        <f>SUMIFS(Table2[근로
시간],Table2[주민등록번호],O45,Table2[주간],S45,Table2[근무일자],"&lt;="&amp;D45)*24</f>
        <v>16</v>
      </c>
      <c r="AB45" s="29" t="str">
        <f>IF(AND(Y45&gt;=8,COUNTIFS(Table2[주민등록번호],O45,Table2[근무일자],"&gt;="&amp;EOMONTH(D45,-2)+1,Table2[근무일자],"&lt;="&amp;EOMONTH(D45,-1)+1)&gt;0),"V","")</f>
        <v/>
      </c>
      <c r="AC45" s="94" cm="1">
        <f t="array" ref="AC45">IF(AD45&lt;&gt;"",AD45,_xlfn.XLOOKUP(1,(D45&lt;=Table7[End])*(E45=Table7[근무처])*(F45=Table7[업무]),Table7[시급],0,0))</f>
        <v>10680</v>
      </c>
      <c r="AD45" s="95"/>
      <c r="AE45" s="94">
        <f t="shared" si="4"/>
        <v>85440</v>
      </c>
      <c r="AF45" s="96" cm="1">
        <f t="array" ref="AF45">IF(AND(AA45&gt;=15,(AA45-U45*24)&lt;=40),IF(Z45&gt;=_xlfn.XLOOKUP(1,(D45&lt;=Table7[End])*(E45=Table7[근무처])*(F45=Table7[업무]),Table7[주휴적용일],0,0),1,0)+_xlfn.XLOOKUP(1,(Table2[주간]=Table2[[#This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45" s="96" cm="1">
        <f t="array" ref="AG45">MAX((_xlfn.IFS(AF45=0,0,AF45=1,AA45,AF45&gt;1,U45*24)-IF(AA45&gt;40,AA45-40,0))/5,0)</f>
        <v>3.2</v>
      </c>
      <c r="AH45" s="94">
        <f t="shared" si="5"/>
        <v>34176</v>
      </c>
      <c r="AI45" s="33" cm="1">
        <f t="array" ref="AI45">IF(W45="",0,ROUND(AC45*U45*24*_xlfn.XLOOKUP(1,(D45&lt;=Table7[End])*(E45=Table7[근무처])*(F45=Table7[업무]),Table7[휴일인센티브],0,0),0))</f>
        <v>0</v>
      </c>
      <c r="AJ45" s="94" cm="1">
        <f t="array" ref="AJ45">ROUND(AC45*IF(U45&gt;=8/24,U45-8/24,0)*24*_xlfn.XLOOKUP(1,(D45&lt;=Table7[End])*(E45=Table7[근무처])*(F45=Table7[업무]),Table7[야간인센티브],0,0),0)</f>
        <v>0</v>
      </c>
      <c r="AK45" s="94" cm="1">
        <f t="array" ref="AK45">IF(V45=0,0,ROUND(AC45*V45*24*_xlfn.XLOOKUP(1,(D45&lt;=Table7[End])*(E45=Table7[근무처])*(F45=Table7[업무]),Table7[야간인센티브],0,0),0))</f>
        <v>0</v>
      </c>
      <c r="AL45" s="95"/>
      <c r="AM45" s="94">
        <f t="shared" si="6"/>
        <v>119616</v>
      </c>
      <c r="AN45" s="94" cm="1">
        <f t="array" ref="AN45">IF(AM45&gt;=_xlfn.XLOOKUP(TRUE,D45&lt;=Table5[End],Table5[비과세소득기준],0,0),AM45-_xlfn.XLOOKUP(TRUE,D45&lt;=Table5[End],Table5[비과세소득기준],0,0),0)</f>
        <v>0</v>
      </c>
      <c r="AO45" s="94" cm="1">
        <f t="array" ref="AO45">ROUNDDOWN(_xlfn.LET(_xlpm.setvalue,_xlfn.XLOOKUP(TRUE,D45&lt;=Table5[End],Table5[[요율]:[근로소득세액공제]],0,0),_xlpm.tax,AN45*PRODUCT((_xlpm.setvalue-{0,1})*{1,-1}),_xlpm.threshold,_xlfn.XLOOKUP(TRUE,D45&lt;=Table5[End],Table5[소액부징수기준],0,0),IF(_xlpm.tax&gt;=_xlpm.threshold,_xlpm.tax,0)),-1)</f>
        <v>0</v>
      </c>
      <c r="AP45" s="94">
        <f>ROUNDDOWN(Table2[[#This Row],[소득세]]*10%,-1)</f>
        <v>0</v>
      </c>
      <c r="AQ45" s="94">
        <f>IF(AB45="v",AM45+IF(Y45=8,SUMIFS(Table2[지급총액],Table2[주민등록번호],O45,Table2[월],R45,Table2[월간
근무일],"&lt;="&amp;8)-AM45,0),0)+_xlfn.NUMBERVALUE(AR45)</f>
        <v>0</v>
      </c>
      <c r="AR45" s="95"/>
      <c r="AS45" s="94" cm="1">
        <f t="array" ref="AS45">ROUNDDOWN($AQ45*_xlfn.XLOOKUP(1,(AS$5=Table8[Type])*($D45&lt;=Table8[End]),Table8[요율],0,0),0)</f>
        <v>0</v>
      </c>
      <c r="AT45" s="94" cm="1">
        <f t="array" ref="AT45">ROUNDDOWN(AS45*_xlfn.XLOOKUP(1,(AT$5=Table8[Type])*($D45&lt;=Table8[End]),Table8[요율],0,0),-1)</f>
        <v>0</v>
      </c>
      <c r="AU45" s="94" cm="1">
        <f t="array" ref="AU45">ROUNDDOWN($AQ45*_xlfn.XLOOKUP(1,(AU$5=Table8[Type])*($D45&lt;=Table8[End]),Table8[요율],0,0),-1)</f>
        <v>0</v>
      </c>
      <c r="AV45" s="94" cm="1">
        <f t="array" ref="AV45">ROUNDDOWN(AM45*_xlfn.XLOOKUP(1,(AV$5=Table8[Type])*($D45&lt;=Table8[End]),Table8[요율],0,0),-1)</f>
        <v>0</v>
      </c>
      <c r="AW45" s="94" cm="1">
        <f t="array" ref="AW45">_xlfn.XLOOKUP(1,(O45=Table2[주민등록번호])*(D45&gt;Table2[근무일자]),Table2[청구 Claim 
이월],0,0,-1)</f>
        <v>0</v>
      </c>
      <c r="AX45" s="95"/>
      <c r="AY45" s="94" cm="1">
        <f t="array" ref="AY45">MAX(SUM(AO45:AP45,AS45:AX45)-_xlfn.XLOOKUP(1,(D45&lt;=Table7[End])*(E45=Table7[근무처])*(F45=Table7[업무]),Table7[1일 공제 상한],0,0),0)</f>
        <v>0</v>
      </c>
      <c r="AZ45" s="94">
        <f t="shared" si="7"/>
        <v>0</v>
      </c>
      <c r="BA45" s="94">
        <f t="shared" si="8"/>
        <v>119616</v>
      </c>
      <c r="BB45" s="97">
        <f t="shared" si="9"/>
        <v>0</v>
      </c>
      <c r="BC45" s="98"/>
      <c r="BD45" s="94">
        <f t="shared" si="10"/>
        <v>0</v>
      </c>
      <c r="BE45" s="94">
        <f t="shared" si="11"/>
        <v>0</v>
      </c>
      <c r="BF45" s="94">
        <f t="shared" si="12"/>
        <v>0</v>
      </c>
      <c r="BG45" s="94">
        <f t="shared" si="13"/>
        <v>0</v>
      </c>
      <c r="BH45" s="94" cm="1">
        <f t="array" ref="BH45">ROUNDDOWN(AM45*_xlfn.XLOOKUP(1,(BH$5=Table8[Type])*($D45&lt;=Table8[End]),Table8[요율],0,0),-1)</f>
        <v>950</v>
      </c>
      <c r="BI45" s="93" t="str" cm="1">
        <f t="array" ref="BI45">_xlfn.XLOOKUP(1,(D45&lt;=Table7[End])*(E45=Table7[근무처])*(F45=Table7[업무]),Table7[지급옵션],0,0)</f>
        <v>차주 화</v>
      </c>
      <c r="BJ45" s="83">
        <f>IF(BK45&lt;&gt;"",BK45,IFERROR(D45+_xlfn.NUMBERVALUE(RIGHT(BI45,1)),D45-WEEKDAY(D45)+CHOOSE(MATCH(RIGHT(BI45),{"일","월","화","수","목","금","토"},0),8,9,10,11,12,13,14)))</f>
        <v>45713</v>
      </c>
      <c r="BK45" s="99"/>
    </row>
    <row r="46" spans="2:63" x14ac:dyDescent="0.35">
      <c r="B46" s="20" t="str" cm="1">
        <f t="array" ref="B46">_xlfn.IFS(BB46&lt;&gt;BC46,"Claim확인",N46&lt;&gt;"OK","확인필요",TRUE,"")</f>
        <v/>
      </c>
      <c r="C46" s="21" t="str">
        <f t="shared" si="0"/>
        <v>010-5X8X-X4X0920X02XX253123</v>
      </c>
      <c r="D46" s="26">
        <v>45707</v>
      </c>
      <c r="E46" s="91" t="s">
        <v>255</v>
      </c>
      <c r="F46" s="25" t="s">
        <v>257</v>
      </c>
      <c r="G46" s="27" t="s">
        <v>288</v>
      </c>
      <c r="H46" s="25" t="s">
        <v>303</v>
      </c>
      <c r="I46" s="25"/>
      <c r="J46" s="25" t="s">
        <v>304</v>
      </c>
      <c r="K46" s="28">
        <v>0.45833333333333331</v>
      </c>
      <c r="L46" s="28">
        <v>0.83333333333333337</v>
      </c>
      <c r="M46" s="28">
        <v>4.1666666666666664E-2</v>
      </c>
      <c r="N46" s="25" t="s">
        <v>281</v>
      </c>
      <c r="O46" s="29" t="str">
        <f>_xlfn.XLOOKUP(Table2[[#This Row],[Key]],Table1[Key],Table1[주민등록번호],"",0)</f>
        <v>941XX31XX3X14</v>
      </c>
      <c r="P46" s="29">
        <f>_xlfn.XLOOKUP(Table2[[#This Row],[Key]],Table1[Key],Table1[비자],"",0)</f>
        <v>0</v>
      </c>
      <c r="Q46" s="29">
        <f>IF(P46=0,0,_xlfn.XLOOKUP(Table2[[#This Row],[Key]],Table1[Key],Table1[고용보험 여부],0,0))</f>
        <v>0</v>
      </c>
      <c r="R46" s="29" t="str">
        <f t="shared" si="1"/>
        <v>2502</v>
      </c>
      <c r="S46" s="30" t="str">
        <f>YEAR(Table2[[#This Row],[근무일자]])&amp;TEXT(WEEKNUM(Table2[[#This Row],[근무일자]]),"00")</f>
        <v>202508</v>
      </c>
      <c r="T46" s="31">
        <f>_xlfn.XLOOKUP(Table2[[#This Row],[Key]],Table1[Key],Table1[등록일],"",0)</f>
        <v>45846</v>
      </c>
      <c r="U46" s="32">
        <f t="shared" si="2"/>
        <v>0.33333333333333337</v>
      </c>
      <c r="V46" s="92">
        <f t="shared" si="3"/>
        <v>0</v>
      </c>
      <c r="W46" s="100" t="str">
        <f>_xlfn.XLOOKUP(Table2[[#This Row],[근무일자]],Table3[Date],Table3[Holiday],"",0)</f>
        <v/>
      </c>
      <c r="X46" s="93">
        <f>IF(D46&lt;&gt;"",1,0)+IF(COUNTIFS(Table2[주민등록번호],O46,Table2[월],TEXT(EOMONTH(D46,-1),"YYMM"))&gt;0,1+IF(COUNTIFS(Table2[주민등록번호],O46,Table2[월],TEXT(EOMONTH(D46,-2),"YYMM"))&gt;0,1+IF(COUNTIFS(Table2[주민등록번호],O46,Table2[월],TEXT(EOMONTH(D46,-3),"YYMM"))&gt;0,1,0),0),0)</f>
        <v>1</v>
      </c>
      <c r="Y46" s="29">
        <f>COUNTIFS(Table2[주민등록번호],O46,Table2[월],R46,Table2[근무일자],"&lt;="&amp;D46)</f>
        <v>5</v>
      </c>
      <c r="Z46" s="29">
        <f>COUNTIFS(Table2[주민등록번호],O46,Table2[주간],S46,Table2[근무일자],"&lt;="&amp;D46)</f>
        <v>1</v>
      </c>
      <c r="AA46" s="29">
        <f>SUMIFS(Table2[근로
시간],Table2[주민등록번호],O46,Table2[주간],S46,Table2[근무일자],"&lt;="&amp;D46)*24</f>
        <v>8</v>
      </c>
      <c r="AB46" s="29" t="str">
        <f>IF(AND(Y46&gt;=8,COUNTIFS(Table2[주민등록번호],O46,Table2[근무일자],"&gt;="&amp;EOMONTH(D46,-2)+1,Table2[근무일자],"&lt;="&amp;EOMONTH(D46,-1)+1)&gt;0),"V","")</f>
        <v/>
      </c>
      <c r="AC46" s="94" cm="1">
        <f t="array" ref="AC46">IF(AD46&lt;&gt;"",AD46,_xlfn.XLOOKUP(1,(D46&lt;=Table7[End])*(E46=Table7[근무처])*(F46=Table7[업무]),Table7[시급],0,0))</f>
        <v>10030</v>
      </c>
      <c r="AD46" s="95"/>
      <c r="AE46" s="94">
        <f t="shared" si="4"/>
        <v>80240</v>
      </c>
      <c r="AF46" s="96" cm="1">
        <f t="array" ref="AF46">IF(AND(AA46&gt;=15,(AA46-U46*24)&lt;=40),IF(Z46&gt;=_xlfn.XLOOKUP(1,(D46&lt;=Table7[End])*(E46=Table7[근무처])*(F46=Table7[업무]),Table7[주휴적용일],0,0),1,0)+_xlfn.XLOOKUP(1,(Table2[주간]=Table2[[#This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46" s="96" cm="1">
        <f t="array" ref="AG46">MAX((_xlfn.IFS(AF46=0,0,AF46=1,AA46,AF46&gt;1,U46*24)-IF(AA46&gt;40,AA46-40,0))/5,0)</f>
        <v>0</v>
      </c>
      <c r="AH46" s="94">
        <f t="shared" si="5"/>
        <v>0</v>
      </c>
      <c r="AI46" s="33" cm="1">
        <f t="array" ref="AI46">IF(W46="",0,ROUND(AC46*U46*24*_xlfn.XLOOKUP(1,(D46&lt;=Table7[End])*(E46=Table7[근무처])*(F46=Table7[업무]),Table7[휴일인센티브],0,0),0))</f>
        <v>0</v>
      </c>
      <c r="AJ46" s="94" cm="1">
        <f t="array" ref="AJ46">ROUND(AC46*IF(U46&gt;=8/24,U46-8/24,0)*24*_xlfn.XLOOKUP(1,(D46&lt;=Table7[End])*(E46=Table7[근무처])*(F46=Table7[업무]),Table7[야간인센티브],0,0),0)</f>
        <v>0</v>
      </c>
      <c r="AK46" s="94" cm="1">
        <f t="array" ref="AK46">IF(V46=0,0,ROUND(AC46*V46*24*_xlfn.XLOOKUP(1,(D46&lt;=Table7[End])*(E46=Table7[근무처])*(F46=Table7[업무]),Table7[야간인센티브],0,0),0))</f>
        <v>0</v>
      </c>
      <c r="AL46" s="95"/>
      <c r="AM46" s="94">
        <f t="shared" si="6"/>
        <v>80240</v>
      </c>
      <c r="AN46" s="94" cm="1">
        <f t="array" ref="AN46">IF(AM46&gt;=_xlfn.XLOOKUP(TRUE,D46&lt;=Table5[End],Table5[비과세소득기준],0,0),AM46-_xlfn.XLOOKUP(TRUE,D46&lt;=Table5[End],Table5[비과세소득기준],0,0),0)</f>
        <v>0</v>
      </c>
      <c r="AO46" s="94" cm="1">
        <f t="array" ref="AO46">ROUNDDOWN(_xlfn.LET(_xlpm.setvalue,_xlfn.XLOOKUP(TRUE,D46&lt;=Table5[End],Table5[[요율]:[근로소득세액공제]],0,0),_xlpm.tax,AN46*PRODUCT((_xlpm.setvalue-{0,1})*{1,-1}),_xlpm.threshold,_xlfn.XLOOKUP(TRUE,D46&lt;=Table5[End],Table5[소액부징수기준],0,0),IF(_xlpm.tax&gt;=_xlpm.threshold,_xlpm.tax,0)),-1)</f>
        <v>0</v>
      </c>
      <c r="AP46" s="94">
        <f>ROUNDDOWN(Table2[[#This Row],[소득세]]*10%,-1)</f>
        <v>0</v>
      </c>
      <c r="AQ46" s="94">
        <f>IF(AB46="v",AM46+IF(Y46=8,SUMIFS(Table2[지급총액],Table2[주민등록번호],O46,Table2[월],R46,Table2[월간
근무일],"&lt;="&amp;8)-AM46,0),0)+_xlfn.NUMBERVALUE(AR46)</f>
        <v>0</v>
      </c>
      <c r="AR46" s="95"/>
      <c r="AS46" s="94" cm="1">
        <f t="array" ref="AS46">ROUNDDOWN($AQ46*_xlfn.XLOOKUP(1,(AS$5=Table8[Type])*($D46&lt;=Table8[End]),Table8[요율],0,0),0)</f>
        <v>0</v>
      </c>
      <c r="AT46" s="94" cm="1">
        <f t="array" ref="AT46">ROUNDDOWN(AS46*_xlfn.XLOOKUP(1,(AT$5=Table8[Type])*($D46&lt;=Table8[End]),Table8[요율],0,0),-1)</f>
        <v>0</v>
      </c>
      <c r="AU46" s="94" cm="1">
        <f t="array" ref="AU46">ROUNDDOWN($AQ46*_xlfn.XLOOKUP(1,(AU$5=Table8[Type])*($D46&lt;=Table8[End]),Table8[요율],0,0),-1)</f>
        <v>0</v>
      </c>
      <c r="AV46" s="94" cm="1">
        <f t="array" ref="AV46">ROUNDDOWN(AM46*_xlfn.XLOOKUP(1,(AV$5=Table8[Type])*($D46&lt;=Table8[End]),Table8[요율],0,0),-1)</f>
        <v>0</v>
      </c>
      <c r="AW46" s="94" cm="1">
        <f t="array" ref="AW46">_xlfn.XLOOKUP(1,(O46=Table2[주민등록번호])*(D46&gt;Table2[근무일자]),Table2[청구 Claim 
이월],0,0,-1)</f>
        <v>0</v>
      </c>
      <c r="AX46" s="95"/>
      <c r="AY46" s="94" cm="1">
        <f t="array" ref="AY46">MAX(SUM(AO46:AP46,AS46:AX46)-_xlfn.XLOOKUP(1,(D46&lt;=Table7[End])*(E46=Table7[근무처])*(F46=Table7[업무]),Table7[1일 공제 상한],0,0),0)</f>
        <v>0</v>
      </c>
      <c r="AZ46" s="94">
        <f t="shared" si="7"/>
        <v>0</v>
      </c>
      <c r="BA46" s="94">
        <f t="shared" si="8"/>
        <v>80240</v>
      </c>
      <c r="BB46" s="97">
        <f t="shared" si="9"/>
        <v>0</v>
      </c>
      <c r="BC46" s="98"/>
      <c r="BD46" s="94">
        <f t="shared" si="10"/>
        <v>0</v>
      </c>
      <c r="BE46" s="94">
        <f t="shared" si="11"/>
        <v>0</v>
      </c>
      <c r="BF46" s="94">
        <f t="shared" si="12"/>
        <v>0</v>
      </c>
      <c r="BG46" s="94">
        <f t="shared" si="13"/>
        <v>0</v>
      </c>
      <c r="BH46" s="94" cm="1">
        <f t="array" ref="BH46">ROUNDDOWN(AM46*_xlfn.XLOOKUP(1,(BH$5=Table8[Type])*($D46&lt;=Table8[End]),Table8[요율],0,0),-1)</f>
        <v>640</v>
      </c>
      <c r="BI46" s="93" t="str" cm="1">
        <f t="array" ref="BI46">_xlfn.XLOOKUP(1,(D46&lt;=Table7[End])*(E46=Table7[근무처])*(F46=Table7[업무]),Table7[지급옵션],0,0)</f>
        <v>차주 화</v>
      </c>
      <c r="BJ46" s="83">
        <f>IF(BK46&lt;&gt;"",BK46,IFERROR(D46+_xlfn.NUMBERVALUE(RIGHT(BI46,1)),D46-WEEKDAY(D46)+CHOOSE(MATCH(RIGHT(BI46),{"일","월","화","수","목","금","토"},0),8,9,10,11,12,13,14)))</f>
        <v>45713</v>
      </c>
      <c r="BK46" s="99"/>
    </row>
    <row r="47" spans="2:63" x14ac:dyDescent="0.35">
      <c r="B47" s="20" t="str" cm="1">
        <f t="array" ref="B47">_xlfn.IFS(BB47&lt;&gt;BC47,"Claim확인",N47&lt;&gt;"OK","확인필요",TRUE,"")</f>
        <v/>
      </c>
      <c r="C47" s="21" t="str">
        <f t="shared" si="0"/>
        <v>010-8X0X-X0X9982X03XX901018</v>
      </c>
      <c r="D47" s="26">
        <v>45708</v>
      </c>
      <c r="E47" s="91" t="s">
        <v>255</v>
      </c>
      <c r="F47" s="25" t="s">
        <v>258</v>
      </c>
      <c r="G47" s="27" t="s">
        <v>283</v>
      </c>
      <c r="H47" s="25" t="s">
        <v>291</v>
      </c>
      <c r="I47" s="25"/>
      <c r="J47" s="25" t="s">
        <v>292</v>
      </c>
      <c r="K47" s="28">
        <v>0.375</v>
      </c>
      <c r="L47" s="28">
        <v>0.75</v>
      </c>
      <c r="M47" s="28">
        <v>4.1666666666666664E-2</v>
      </c>
      <c r="N47" s="25" t="s">
        <v>281</v>
      </c>
      <c r="O47" s="29" t="str">
        <f>_xlfn.XLOOKUP(Table2[[#This Row],[Key]],Table1[Key],Table1[주민등록번호],"",0)</f>
        <v>960XX51XX9X15</v>
      </c>
      <c r="P47" s="29">
        <f>_xlfn.XLOOKUP(Table2[[#This Row],[Key]],Table1[Key],Table1[비자],"",0)</f>
        <v>0</v>
      </c>
      <c r="Q47" s="29">
        <f>IF(P47=0,0,_xlfn.XLOOKUP(Table2[[#This Row],[Key]],Table1[Key],Table1[고용보험 여부],0,0))</f>
        <v>0</v>
      </c>
      <c r="R47" s="29" t="str">
        <f t="shared" si="1"/>
        <v>2502</v>
      </c>
      <c r="S47" s="30" t="str">
        <f>YEAR(Table2[[#This Row],[근무일자]])&amp;TEXT(WEEKNUM(Table2[[#This Row],[근무일자]]),"00")</f>
        <v>202508</v>
      </c>
      <c r="T47" s="31">
        <f>_xlfn.XLOOKUP(Table2[[#This Row],[Key]],Table1[Key],Table1[등록일],"",0)</f>
        <v>45698</v>
      </c>
      <c r="U47" s="32">
        <f t="shared" si="2"/>
        <v>0.33333333333333331</v>
      </c>
      <c r="V47" s="92">
        <f t="shared" si="3"/>
        <v>0</v>
      </c>
      <c r="W47" s="100" t="str">
        <f>_xlfn.XLOOKUP(Table2[[#This Row],[근무일자]],Table3[Date],Table3[Holiday],"",0)</f>
        <v/>
      </c>
      <c r="X47" s="93">
        <f>IF(D47&lt;&gt;"",1,0)+IF(COUNTIFS(Table2[주민등록번호],O47,Table2[월],TEXT(EOMONTH(D47,-1),"YYMM"))&gt;0,1+IF(COUNTIFS(Table2[주민등록번호],O47,Table2[월],TEXT(EOMONTH(D47,-2),"YYMM"))&gt;0,1+IF(COUNTIFS(Table2[주민등록번호],O47,Table2[월],TEXT(EOMONTH(D47,-3),"YYMM"))&gt;0,1,0),0),0)</f>
        <v>1</v>
      </c>
      <c r="Y47" s="29">
        <f>COUNTIFS(Table2[주민등록번호],O47,Table2[월],R47,Table2[근무일자],"&lt;="&amp;D47)</f>
        <v>7</v>
      </c>
      <c r="Z47" s="29">
        <f>COUNTIFS(Table2[주민등록번호],O47,Table2[주간],S47,Table2[근무일자],"&lt;="&amp;D47)</f>
        <v>3</v>
      </c>
      <c r="AA47" s="29">
        <f>SUMIFS(Table2[근로
시간],Table2[주민등록번호],O47,Table2[주간],S47,Table2[근무일자],"&lt;="&amp;D47)*24</f>
        <v>24</v>
      </c>
      <c r="AB47" s="29" t="str">
        <f>IF(AND(Y47&gt;=8,COUNTIFS(Table2[주민등록번호],O47,Table2[근무일자],"&gt;="&amp;EOMONTH(D47,-2)+1,Table2[근무일자],"&lt;="&amp;EOMONTH(D47,-1)+1)&gt;0),"V","")</f>
        <v/>
      </c>
      <c r="AC47" s="94" cm="1">
        <f t="array" ref="AC47">IF(AD47&lt;&gt;"",AD47,_xlfn.XLOOKUP(1,(D47&lt;=Table7[End])*(E47=Table7[근무처])*(F47=Table7[업무]),Table7[시급],0,0))</f>
        <v>10680</v>
      </c>
      <c r="AD47" s="95"/>
      <c r="AE47" s="94">
        <f t="shared" si="4"/>
        <v>85440</v>
      </c>
      <c r="AF47" s="96" cm="1">
        <f t="array" ref="AF47">IF(AND(AA47&gt;=15,(AA47-U47*24)&lt;=40),IF(Z47&gt;=_xlfn.XLOOKUP(1,(D47&lt;=Table7[End])*(E47=Table7[근무처])*(F47=Table7[업무]),Table7[주휴적용일],0,0),1,0)+_xlfn.XLOOKUP(1,(Table2[주간]=Table2[[#This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47" s="96" cm="1">
        <f t="array" ref="AG47">MAX((_xlfn.IFS(AF47=0,0,AF47=1,AA47,AF47&gt;1,U47*24)-IF(AA47&gt;40,AA47-40,0))/5,0)</f>
        <v>1.6</v>
      </c>
      <c r="AH47" s="94">
        <f t="shared" si="5"/>
        <v>17088</v>
      </c>
      <c r="AI47" s="33" cm="1">
        <f t="array" ref="AI47">IF(W47="",0,ROUND(AC47*U47*24*_xlfn.XLOOKUP(1,(D47&lt;=Table7[End])*(E47=Table7[근무처])*(F47=Table7[업무]),Table7[휴일인센티브],0,0),0))</f>
        <v>0</v>
      </c>
      <c r="AJ47" s="94" cm="1">
        <f t="array" ref="AJ47">ROUND(AC47*IF(U47&gt;=8/24,U47-8/24,0)*24*_xlfn.XLOOKUP(1,(D47&lt;=Table7[End])*(E47=Table7[근무처])*(F47=Table7[업무]),Table7[야간인센티브],0,0),0)</f>
        <v>0</v>
      </c>
      <c r="AK47" s="94" cm="1">
        <f t="array" ref="AK47">IF(V47=0,0,ROUND(AC47*V47*24*_xlfn.XLOOKUP(1,(D47&lt;=Table7[End])*(E47=Table7[근무처])*(F47=Table7[업무]),Table7[야간인센티브],0,0),0))</f>
        <v>0</v>
      </c>
      <c r="AL47" s="95"/>
      <c r="AM47" s="94">
        <f t="shared" si="6"/>
        <v>102528</v>
      </c>
      <c r="AN47" s="94" cm="1">
        <f t="array" ref="AN47">IF(AM47&gt;=_xlfn.XLOOKUP(TRUE,D47&lt;=Table5[End],Table5[비과세소득기준],0,0),AM47-_xlfn.XLOOKUP(TRUE,D47&lt;=Table5[End],Table5[비과세소득기준],0,0),0)</f>
        <v>0</v>
      </c>
      <c r="AO47" s="94" cm="1">
        <f t="array" ref="AO47">ROUNDDOWN(_xlfn.LET(_xlpm.setvalue,_xlfn.XLOOKUP(TRUE,D47&lt;=Table5[End],Table5[[요율]:[근로소득세액공제]],0,0),_xlpm.tax,AN47*PRODUCT((_xlpm.setvalue-{0,1})*{1,-1}),_xlpm.threshold,_xlfn.XLOOKUP(TRUE,D47&lt;=Table5[End],Table5[소액부징수기준],0,0),IF(_xlpm.tax&gt;=_xlpm.threshold,_xlpm.tax,0)),-1)</f>
        <v>0</v>
      </c>
      <c r="AP47" s="94">
        <f>ROUNDDOWN(Table2[[#This Row],[소득세]]*10%,-1)</f>
        <v>0</v>
      </c>
      <c r="AQ47" s="94">
        <f>IF(AB47="v",AM47+IF(Y47=8,SUMIFS(Table2[지급총액],Table2[주민등록번호],O47,Table2[월],R47,Table2[월간
근무일],"&lt;="&amp;8)-AM47,0),0)+_xlfn.NUMBERVALUE(AR47)</f>
        <v>0</v>
      </c>
      <c r="AR47" s="95"/>
      <c r="AS47" s="94" cm="1">
        <f t="array" ref="AS47">ROUNDDOWN($AQ47*_xlfn.XLOOKUP(1,(AS$5=Table8[Type])*($D47&lt;=Table8[End]),Table8[요율],0,0),0)</f>
        <v>0</v>
      </c>
      <c r="AT47" s="94" cm="1">
        <f t="array" ref="AT47">ROUNDDOWN(AS47*_xlfn.XLOOKUP(1,(AT$5=Table8[Type])*($D47&lt;=Table8[End]),Table8[요율],0,0),-1)</f>
        <v>0</v>
      </c>
      <c r="AU47" s="94" cm="1">
        <f t="array" ref="AU47">ROUNDDOWN($AQ47*_xlfn.XLOOKUP(1,(AU$5=Table8[Type])*($D47&lt;=Table8[End]),Table8[요율],0,0),-1)</f>
        <v>0</v>
      </c>
      <c r="AV47" s="94" cm="1">
        <f t="array" ref="AV47">ROUNDDOWN(AM47*_xlfn.XLOOKUP(1,(AV$5=Table8[Type])*($D47&lt;=Table8[End]),Table8[요율],0,0),-1)</f>
        <v>0</v>
      </c>
      <c r="AW47" s="94" cm="1">
        <f t="array" ref="AW47">_xlfn.XLOOKUP(1,(O47=Table2[주민등록번호])*(D47&gt;Table2[근무일자]),Table2[청구 Claim 
이월],0,0,-1)</f>
        <v>0</v>
      </c>
      <c r="AX47" s="95"/>
      <c r="AY47" s="94" cm="1">
        <f t="array" ref="AY47">MAX(SUM(AO47:AP47,AS47:AX47)-_xlfn.XLOOKUP(1,(D47&lt;=Table7[End])*(E47=Table7[근무처])*(F47=Table7[업무]),Table7[1일 공제 상한],0,0),0)</f>
        <v>0</v>
      </c>
      <c r="AZ47" s="94">
        <f t="shared" si="7"/>
        <v>0</v>
      </c>
      <c r="BA47" s="94">
        <f t="shared" si="8"/>
        <v>102528</v>
      </c>
      <c r="BB47" s="97">
        <f t="shared" si="9"/>
        <v>0</v>
      </c>
      <c r="BC47" s="98"/>
      <c r="BD47" s="94">
        <f t="shared" si="10"/>
        <v>0</v>
      </c>
      <c r="BE47" s="94">
        <f t="shared" si="11"/>
        <v>0</v>
      </c>
      <c r="BF47" s="94">
        <f t="shared" si="12"/>
        <v>0</v>
      </c>
      <c r="BG47" s="94">
        <f t="shared" si="13"/>
        <v>0</v>
      </c>
      <c r="BH47" s="94" cm="1">
        <f t="array" ref="BH47">ROUNDDOWN(AM47*_xlfn.XLOOKUP(1,(BH$5=Table8[Type])*($D47&lt;=Table8[End]),Table8[요율],0,0),-1)</f>
        <v>820</v>
      </c>
      <c r="BI47" s="93" t="str" cm="1">
        <f t="array" ref="BI47">_xlfn.XLOOKUP(1,(D47&lt;=Table7[End])*(E47=Table7[근무처])*(F47=Table7[업무]),Table7[지급옵션],0,0)</f>
        <v>차주 화</v>
      </c>
      <c r="BJ47" s="83">
        <f>IF(BK47&lt;&gt;"",BK47,IFERROR(D47+_xlfn.NUMBERVALUE(RIGHT(BI47,1)),D47-WEEKDAY(D47)+CHOOSE(MATCH(RIGHT(BI47),{"일","월","화","수","목","금","토"},0),8,9,10,11,12,13,14)))</f>
        <v>45713</v>
      </c>
      <c r="BK47" s="99"/>
    </row>
    <row r="48" spans="2:63" x14ac:dyDescent="0.35">
      <c r="B48" s="20" t="str" cm="1">
        <f t="array" ref="B48">_xlfn.IFS(BB48&lt;&gt;BC48,"Claim확인",N48&lt;&gt;"OK","확인필요",TRUE,"")</f>
        <v/>
      </c>
      <c r="C48" s="21" t="str">
        <f t="shared" si="0"/>
        <v>010-5X8X-X4X0920X02XX253123</v>
      </c>
      <c r="D48" s="26">
        <v>45708</v>
      </c>
      <c r="E48" s="91" t="s">
        <v>255</v>
      </c>
      <c r="F48" s="25" t="s">
        <v>257</v>
      </c>
      <c r="G48" s="27" t="s">
        <v>288</v>
      </c>
      <c r="H48" s="25" t="s">
        <v>303</v>
      </c>
      <c r="I48" s="25"/>
      <c r="J48" s="25" t="s">
        <v>304</v>
      </c>
      <c r="K48" s="28">
        <v>0.45833333333333331</v>
      </c>
      <c r="L48" s="28">
        <v>0.83333333333333337</v>
      </c>
      <c r="M48" s="28">
        <v>4.1666666666666664E-2</v>
      </c>
      <c r="N48" s="25" t="s">
        <v>281</v>
      </c>
      <c r="O48" s="29" t="str">
        <f>_xlfn.XLOOKUP(Table2[[#This Row],[Key]],Table1[Key],Table1[주민등록번호],"",0)</f>
        <v>941XX31XX3X14</v>
      </c>
      <c r="P48" s="29">
        <f>_xlfn.XLOOKUP(Table2[[#This Row],[Key]],Table1[Key],Table1[비자],"",0)</f>
        <v>0</v>
      </c>
      <c r="Q48" s="29">
        <f>IF(P48=0,0,_xlfn.XLOOKUP(Table2[[#This Row],[Key]],Table1[Key],Table1[고용보험 여부],0,0))</f>
        <v>0</v>
      </c>
      <c r="R48" s="29" t="str">
        <f t="shared" si="1"/>
        <v>2502</v>
      </c>
      <c r="S48" s="30" t="str">
        <f>YEAR(Table2[[#This Row],[근무일자]])&amp;TEXT(WEEKNUM(Table2[[#This Row],[근무일자]]),"00")</f>
        <v>202508</v>
      </c>
      <c r="T48" s="31">
        <f>_xlfn.XLOOKUP(Table2[[#This Row],[Key]],Table1[Key],Table1[등록일],"",0)</f>
        <v>45846</v>
      </c>
      <c r="U48" s="32">
        <f t="shared" si="2"/>
        <v>0.33333333333333337</v>
      </c>
      <c r="V48" s="92">
        <f t="shared" si="3"/>
        <v>0</v>
      </c>
      <c r="W48" s="100" t="str">
        <f>_xlfn.XLOOKUP(Table2[[#This Row],[근무일자]],Table3[Date],Table3[Holiday],"",0)</f>
        <v/>
      </c>
      <c r="X48" s="93">
        <f>IF(D48&lt;&gt;"",1,0)+IF(COUNTIFS(Table2[주민등록번호],O48,Table2[월],TEXT(EOMONTH(D48,-1),"YYMM"))&gt;0,1+IF(COUNTIFS(Table2[주민등록번호],O48,Table2[월],TEXT(EOMONTH(D48,-2),"YYMM"))&gt;0,1+IF(COUNTIFS(Table2[주민등록번호],O48,Table2[월],TEXT(EOMONTH(D48,-3),"YYMM"))&gt;0,1,0),0),0)</f>
        <v>1</v>
      </c>
      <c r="Y48" s="29">
        <f>COUNTIFS(Table2[주민등록번호],O48,Table2[월],R48,Table2[근무일자],"&lt;="&amp;D48)</f>
        <v>6</v>
      </c>
      <c r="Z48" s="29">
        <f>COUNTIFS(Table2[주민등록번호],O48,Table2[주간],S48,Table2[근무일자],"&lt;="&amp;D48)</f>
        <v>2</v>
      </c>
      <c r="AA48" s="29">
        <f>SUMIFS(Table2[근로
시간],Table2[주민등록번호],O48,Table2[주간],S48,Table2[근무일자],"&lt;="&amp;D48)*24</f>
        <v>16</v>
      </c>
      <c r="AB48" s="29" t="str">
        <f>IF(AND(Y48&gt;=8,COUNTIFS(Table2[주민등록번호],O48,Table2[근무일자],"&gt;="&amp;EOMONTH(D48,-2)+1,Table2[근무일자],"&lt;="&amp;EOMONTH(D48,-1)+1)&gt;0),"V","")</f>
        <v/>
      </c>
      <c r="AC48" s="94" cm="1">
        <f t="array" ref="AC48">IF(AD48&lt;&gt;"",AD48,_xlfn.XLOOKUP(1,(D48&lt;=Table7[End])*(E48=Table7[근무처])*(F48=Table7[업무]),Table7[시급],0,0))</f>
        <v>10030</v>
      </c>
      <c r="AD48" s="95"/>
      <c r="AE48" s="94">
        <f t="shared" si="4"/>
        <v>80240</v>
      </c>
      <c r="AF48" s="96" cm="1">
        <f t="array" ref="AF48">IF(AND(AA48&gt;=15,(AA48-U48*24)&lt;=40),IF(Z48&gt;=_xlfn.XLOOKUP(1,(D48&lt;=Table7[End])*(E48=Table7[근무처])*(F48=Table7[업무]),Table7[주휴적용일],0,0),1,0)+_xlfn.XLOOKUP(1,(Table2[주간]=Table2[[#This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48" s="96" cm="1">
        <f t="array" ref="AG48">MAX((_xlfn.IFS(AF48=0,0,AF48=1,AA48,AF48&gt;1,U48*24)-IF(AA48&gt;40,AA48-40,0))/5,0)</f>
        <v>3.2</v>
      </c>
      <c r="AH48" s="94">
        <f t="shared" si="5"/>
        <v>32096</v>
      </c>
      <c r="AI48" s="33" cm="1">
        <f t="array" ref="AI48">IF(W48="",0,ROUND(AC48*U48*24*_xlfn.XLOOKUP(1,(D48&lt;=Table7[End])*(E48=Table7[근무처])*(F48=Table7[업무]),Table7[휴일인센티브],0,0),0))</f>
        <v>0</v>
      </c>
      <c r="AJ48" s="94" cm="1">
        <f t="array" ref="AJ48">ROUND(AC48*IF(U48&gt;=8/24,U48-8/24,0)*24*_xlfn.XLOOKUP(1,(D48&lt;=Table7[End])*(E48=Table7[근무처])*(F48=Table7[업무]),Table7[야간인센티브],0,0),0)</f>
        <v>0</v>
      </c>
      <c r="AK48" s="94" cm="1">
        <f t="array" ref="AK48">IF(V48=0,0,ROUND(AC48*V48*24*_xlfn.XLOOKUP(1,(D48&lt;=Table7[End])*(E48=Table7[근무처])*(F48=Table7[업무]),Table7[야간인센티브],0,0),0))</f>
        <v>0</v>
      </c>
      <c r="AL48" s="95"/>
      <c r="AM48" s="94">
        <f t="shared" si="6"/>
        <v>112336</v>
      </c>
      <c r="AN48" s="94" cm="1">
        <f t="array" ref="AN48">IF(AM48&gt;=_xlfn.XLOOKUP(TRUE,D48&lt;=Table5[End],Table5[비과세소득기준],0,0),AM48-_xlfn.XLOOKUP(TRUE,D48&lt;=Table5[End],Table5[비과세소득기준],0,0),0)</f>
        <v>0</v>
      </c>
      <c r="AO48" s="94" cm="1">
        <f t="array" ref="AO48">ROUNDDOWN(_xlfn.LET(_xlpm.setvalue,_xlfn.XLOOKUP(TRUE,D48&lt;=Table5[End],Table5[[요율]:[근로소득세액공제]],0,0),_xlpm.tax,AN48*PRODUCT((_xlpm.setvalue-{0,1})*{1,-1}),_xlpm.threshold,_xlfn.XLOOKUP(TRUE,D48&lt;=Table5[End],Table5[소액부징수기준],0,0),IF(_xlpm.tax&gt;=_xlpm.threshold,_xlpm.tax,0)),-1)</f>
        <v>0</v>
      </c>
      <c r="AP48" s="94">
        <f>ROUNDDOWN(Table2[[#This Row],[소득세]]*10%,-1)</f>
        <v>0</v>
      </c>
      <c r="AQ48" s="94">
        <f>IF(AB48="v",AM48+IF(Y48=8,SUMIFS(Table2[지급총액],Table2[주민등록번호],O48,Table2[월],R48,Table2[월간
근무일],"&lt;="&amp;8)-AM48,0),0)+_xlfn.NUMBERVALUE(AR48)</f>
        <v>0</v>
      </c>
      <c r="AR48" s="95"/>
      <c r="AS48" s="94" cm="1">
        <f t="array" ref="AS48">ROUNDDOWN($AQ48*_xlfn.XLOOKUP(1,(AS$5=Table8[Type])*($D48&lt;=Table8[End]),Table8[요율],0,0),0)</f>
        <v>0</v>
      </c>
      <c r="AT48" s="94" cm="1">
        <f t="array" ref="AT48">ROUNDDOWN(AS48*_xlfn.XLOOKUP(1,(AT$5=Table8[Type])*($D48&lt;=Table8[End]),Table8[요율],0,0),-1)</f>
        <v>0</v>
      </c>
      <c r="AU48" s="94" cm="1">
        <f t="array" ref="AU48">ROUNDDOWN($AQ48*_xlfn.XLOOKUP(1,(AU$5=Table8[Type])*($D48&lt;=Table8[End]),Table8[요율],0,0),-1)</f>
        <v>0</v>
      </c>
      <c r="AV48" s="94" cm="1">
        <f t="array" ref="AV48">ROUNDDOWN(AM48*_xlfn.XLOOKUP(1,(AV$5=Table8[Type])*($D48&lt;=Table8[End]),Table8[요율],0,0),-1)</f>
        <v>0</v>
      </c>
      <c r="AW48" s="94" cm="1">
        <f t="array" ref="AW48">_xlfn.XLOOKUP(1,(O48=Table2[주민등록번호])*(D48&gt;Table2[근무일자]),Table2[청구 Claim 
이월],0,0,-1)</f>
        <v>0</v>
      </c>
      <c r="AX48" s="95"/>
      <c r="AY48" s="94" cm="1">
        <f t="array" ref="AY48">MAX(SUM(AO48:AP48,AS48:AX48)-_xlfn.XLOOKUP(1,(D48&lt;=Table7[End])*(E48=Table7[근무처])*(F48=Table7[업무]),Table7[1일 공제 상한],0,0),0)</f>
        <v>0</v>
      </c>
      <c r="AZ48" s="94">
        <f t="shared" si="7"/>
        <v>0</v>
      </c>
      <c r="BA48" s="94">
        <f t="shared" si="8"/>
        <v>112336</v>
      </c>
      <c r="BB48" s="97">
        <f t="shared" si="9"/>
        <v>0</v>
      </c>
      <c r="BC48" s="98"/>
      <c r="BD48" s="94">
        <f t="shared" si="10"/>
        <v>0</v>
      </c>
      <c r="BE48" s="94">
        <f t="shared" si="11"/>
        <v>0</v>
      </c>
      <c r="BF48" s="94">
        <f t="shared" si="12"/>
        <v>0</v>
      </c>
      <c r="BG48" s="94">
        <f t="shared" si="13"/>
        <v>0</v>
      </c>
      <c r="BH48" s="94" cm="1">
        <f t="array" ref="BH48">ROUNDDOWN(AM48*_xlfn.XLOOKUP(1,(BH$5=Table8[Type])*($D48&lt;=Table8[End]),Table8[요율],0,0),-1)</f>
        <v>890</v>
      </c>
      <c r="BI48" s="93" t="str" cm="1">
        <f t="array" ref="BI48">_xlfn.XLOOKUP(1,(D48&lt;=Table7[End])*(E48=Table7[근무처])*(F48=Table7[업무]),Table7[지급옵션],0,0)</f>
        <v>차주 화</v>
      </c>
      <c r="BJ48" s="83">
        <f>IF(BK48&lt;&gt;"",BK48,IFERROR(D48+_xlfn.NUMBERVALUE(RIGHT(BI48,1)),D48-WEEKDAY(D48)+CHOOSE(MATCH(RIGHT(BI48),{"일","월","화","수","목","금","토"},0),8,9,10,11,12,13,14)))</f>
        <v>45713</v>
      </c>
      <c r="BK48" s="99"/>
    </row>
    <row r="49" spans="2:63" x14ac:dyDescent="0.35">
      <c r="B49" s="20" t="str" cm="1">
        <f t="array" ref="B49">_xlfn.IFS(BB49&lt;&gt;BC49,"Claim확인",N49&lt;&gt;"OK","확인필요",TRUE,"")</f>
        <v/>
      </c>
      <c r="C49" s="21" t="str">
        <f t="shared" si="0"/>
        <v>010-7X6X-X9X5110X98XX7530</v>
      </c>
      <c r="D49" s="26">
        <v>45711</v>
      </c>
      <c r="E49" s="91" t="s">
        <v>255</v>
      </c>
      <c r="F49" s="25" t="s">
        <v>258</v>
      </c>
      <c r="G49" s="27" t="s">
        <v>282</v>
      </c>
      <c r="H49" s="25" t="s">
        <v>289</v>
      </c>
      <c r="I49" s="25"/>
      <c r="J49" s="25" t="s">
        <v>290</v>
      </c>
      <c r="K49" s="28">
        <v>0.375</v>
      </c>
      <c r="L49" s="28">
        <v>0.75</v>
      </c>
      <c r="M49" s="28">
        <v>4.1666666666666664E-2</v>
      </c>
      <c r="N49" s="25" t="s">
        <v>281</v>
      </c>
      <c r="O49" s="29" t="str">
        <f>_xlfn.XLOOKUP(Table2[[#This Row],[Key]],Table1[Key],Table1[주민등록번호],"",0)</f>
        <v>990XX62XX3X13</v>
      </c>
      <c r="P49" s="29">
        <f>_xlfn.XLOOKUP(Table2[[#This Row],[Key]],Table1[Key],Table1[비자],"",0)</f>
        <v>0</v>
      </c>
      <c r="Q49" s="29">
        <f>IF(P49=0,0,_xlfn.XLOOKUP(Table2[[#This Row],[Key]],Table1[Key],Table1[고용보험 여부],0,0))</f>
        <v>0</v>
      </c>
      <c r="R49" s="29" t="str">
        <f t="shared" si="1"/>
        <v>2502</v>
      </c>
      <c r="S49" s="30" t="str">
        <f>YEAR(Table2[[#This Row],[근무일자]])&amp;TEXT(WEEKNUM(Table2[[#This Row],[근무일자]]),"00")</f>
        <v>202509</v>
      </c>
      <c r="T49" s="31">
        <f>_xlfn.XLOOKUP(Table2[[#This Row],[Key]],Table1[Key],Table1[등록일],"",0)</f>
        <v>45696</v>
      </c>
      <c r="U49" s="32">
        <f t="shared" si="2"/>
        <v>0.33333333333333331</v>
      </c>
      <c r="V49" s="92">
        <f t="shared" si="3"/>
        <v>0</v>
      </c>
      <c r="W49" s="100" t="str">
        <f>_xlfn.XLOOKUP(Table2[[#This Row],[근무일자]],Table3[Date],Table3[Holiday],"",0)</f>
        <v/>
      </c>
      <c r="X49" s="93">
        <f>IF(D49&lt;&gt;"",1,0)+IF(COUNTIFS(Table2[주민등록번호],O49,Table2[월],TEXT(EOMONTH(D49,-1),"YYMM"))&gt;0,1+IF(COUNTIFS(Table2[주민등록번호],O49,Table2[월],TEXT(EOMONTH(D49,-2),"YYMM"))&gt;0,1+IF(COUNTIFS(Table2[주민등록번호],O49,Table2[월],TEXT(EOMONTH(D49,-3),"YYMM"))&gt;0,1,0),0),0)</f>
        <v>1</v>
      </c>
      <c r="Y49" s="29">
        <f>COUNTIFS(Table2[주민등록번호],O49,Table2[월],R49,Table2[근무일자],"&lt;="&amp;D49)</f>
        <v>2</v>
      </c>
      <c r="Z49" s="29">
        <f>COUNTIFS(Table2[주민등록번호],O49,Table2[주간],S49,Table2[근무일자],"&lt;="&amp;D49)</f>
        <v>1</v>
      </c>
      <c r="AA49" s="29">
        <f>SUMIFS(Table2[근로
시간],Table2[주민등록번호],O49,Table2[주간],S49,Table2[근무일자],"&lt;="&amp;D49)*24</f>
        <v>8</v>
      </c>
      <c r="AB49" s="29" t="str">
        <f>IF(AND(Y49&gt;=8,COUNTIFS(Table2[주민등록번호],O49,Table2[근무일자],"&gt;="&amp;EOMONTH(D49,-2)+1,Table2[근무일자],"&lt;="&amp;EOMONTH(D49,-1)+1)&gt;0),"V","")</f>
        <v/>
      </c>
      <c r="AC49" s="94" cm="1">
        <f t="array" ref="AC49">IF(AD49&lt;&gt;"",AD49,_xlfn.XLOOKUP(1,(D49&lt;=Table7[End])*(E49=Table7[근무처])*(F49=Table7[업무]),Table7[시급],0,0))</f>
        <v>10680</v>
      </c>
      <c r="AD49" s="95"/>
      <c r="AE49" s="94">
        <f t="shared" si="4"/>
        <v>85440</v>
      </c>
      <c r="AF49" s="96" cm="1">
        <f t="array" ref="AF49">IF(AND(AA49&gt;=15,(AA49-U49*24)&lt;=40),IF(Z49&gt;=_xlfn.XLOOKUP(1,(D49&lt;=Table7[End])*(E49=Table7[근무처])*(F49=Table7[업무]),Table7[주휴적용일],0,0),1,0)+_xlfn.XLOOKUP(1,(Table2[주간]=Table2[[#This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49" s="96" cm="1">
        <f t="array" ref="AG49">MAX((_xlfn.IFS(AF49=0,0,AF49=1,AA49,AF49&gt;1,U49*24)-IF(AA49&gt;40,AA49-40,0))/5,0)</f>
        <v>0</v>
      </c>
      <c r="AH49" s="94">
        <f t="shared" si="5"/>
        <v>0</v>
      </c>
      <c r="AI49" s="33" cm="1">
        <f t="array" ref="AI49">IF(W49="",0,ROUND(AC49*U49*24*_xlfn.XLOOKUP(1,(D49&lt;=Table7[End])*(E49=Table7[근무처])*(F49=Table7[업무]),Table7[휴일인센티브],0,0),0))</f>
        <v>0</v>
      </c>
      <c r="AJ49" s="94" cm="1">
        <f t="array" ref="AJ49">ROUND(AC49*IF(U49&gt;=8/24,U49-8/24,0)*24*_xlfn.XLOOKUP(1,(D49&lt;=Table7[End])*(E49=Table7[근무처])*(F49=Table7[업무]),Table7[야간인센티브],0,0),0)</f>
        <v>0</v>
      </c>
      <c r="AK49" s="94" cm="1">
        <f t="array" ref="AK49">IF(V49=0,0,ROUND(AC49*V49*24*_xlfn.XLOOKUP(1,(D49&lt;=Table7[End])*(E49=Table7[근무처])*(F49=Table7[업무]),Table7[야간인센티브],0,0),0))</f>
        <v>0</v>
      </c>
      <c r="AL49" s="95"/>
      <c r="AM49" s="94">
        <f t="shared" si="6"/>
        <v>85440</v>
      </c>
      <c r="AN49" s="94" cm="1">
        <f t="array" ref="AN49">IF(AM49&gt;=_xlfn.XLOOKUP(TRUE,D49&lt;=Table5[End],Table5[비과세소득기준],0,0),AM49-_xlfn.XLOOKUP(TRUE,D49&lt;=Table5[End],Table5[비과세소득기준],0,0),0)</f>
        <v>0</v>
      </c>
      <c r="AO49" s="94" cm="1">
        <f t="array" ref="AO49">ROUNDDOWN(_xlfn.LET(_xlpm.setvalue,_xlfn.XLOOKUP(TRUE,D49&lt;=Table5[End],Table5[[요율]:[근로소득세액공제]],0,0),_xlpm.tax,AN49*PRODUCT((_xlpm.setvalue-{0,1})*{1,-1}),_xlpm.threshold,_xlfn.XLOOKUP(TRUE,D49&lt;=Table5[End],Table5[소액부징수기준],0,0),IF(_xlpm.tax&gt;=_xlpm.threshold,_xlpm.tax,0)),-1)</f>
        <v>0</v>
      </c>
      <c r="AP49" s="94">
        <f>ROUNDDOWN(Table2[[#This Row],[소득세]]*10%,-1)</f>
        <v>0</v>
      </c>
      <c r="AQ49" s="94">
        <f>IF(AB49="v",AM49+IF(Y49=8,SUMIFS(Table2[지급총액],Table2[주민등록번호],O49,Table2[월],R49,Table2[월간
근무일],"&lt;="&amp;8)-AM49,0),0)+_xlfn.NUMBERVALUE(AR49)</f>
        <v>0</v>
      </c>
      <c r="AR49" s="95"/>
      <c r="AS49" s="94" cm="1">
        <f t="array" ref="AS49">ROUNDDOWN($AQ49*_xlfn.XLOOKUP(1,(AS$5=Table8[Type])*($D49&lt;=Table8[End]),Table8[요율],0,0),0)</f>
        <v>0</v>
      </c>
      <c r="AT49" s="94" cm="1">
        <f t="array" ref="AT49">ROUNDDOWN(AS49*_xlfn.XLOOKUP(1,(AT$5=Table8[Type])*($D49&lt;=Table8[End]),Table8[요율],0,0),-1)</f>
        <v>0</v>
      </c>
      <c r="AU49" s="94" cm="1">
        <f t="array" ref="AU49">ROUNDDOWN($AQ49*_xlfn.XLOOKUP(1,(AU$5=Table8[Type])*($D49&lt;=Table8[End]),Table8[요율],0,0),-1)</f>
        <v>0</v>
      </c>
      <c r="AV49" s="94" cm="1">
        <f t="array" ref="AV49">ROUNDDOWN(AM49*_xlfn.XLOOKUP(1,(AV$5=Table8[Type])*($D49&lt;=Table8[End]),Table8[요율],0,0),-1)</f>
        <v>0</v>
      </c>
      <c r="AW49" s="94" cm="1">
        <f t="array" ref="AW49">_xlfn.XLOOKUP(1,(O49=Table2[주민등록번호])*(D49&gt;Table2[근무일자]),Table2[청구 Claim 
이월],0,0,-1)</f>
        <v>0</v>
      </c>
      <c r="AX49" s="95"/>
      <c r="AY49" s="94" cm="1">
        <f t="array" ref="AY49">MAX(SUM(AO49:AP49,AS49:AX49)-_xlfn.XLOOKUP(1,(D49&lt;=Table7[End])*(E49=Table7[근무처])*(F49=Table7[업무]),Table7[1일 공제 상한],0,0),0)</f>
        <v>0</v>
      </c>
      <c r="AZ49" s="94">
        <f t="shared" si="7"/>
        <v>0</v>
      </c>
      <c r="BA49" s="94">
        <f t="shared" si="8"/>
        <v>85440</v>
      </c>
      <c r="BB49" s="97">
        <f t="shared" si="9"/>
        <v>0</v>
      </c>
      <c r="BC49" s="98"/>
      <c r="BD49" s="94">
        <f t="shared" si="10"/>
        <v>0</v>
      </c>
      <c r="BE49" s="94">
        <f t="shared" si="11"/>
        <v>0</v>
      </c>
      <c r="BF49" s="94">
        <f t="shared" si="12"/>
        <v>0</v>
      </c>
      <c r="BG49" s="94">
        <f t="shared" si="13"/>
        <v>0</v>
      </c>
      <c r="BH49" s="94" cm="1">
        <f t="array" ref="BH49">ROUNDDOWN(AM49*_xlfn.XLOOKUP(1,(BH$5=Table8[Type])*($D49&lt;=Table8[End]),Table8[요율],0,0),-1)</f>
        <v>680</v>
      </c>
      <c r="BI49" s="93" t="str" cm="1">
        <f t="array" ref="BI49">_xlfn.XLOOKUP(1,(D49&lt;=Table7[End])*(E49=Table7[근무처])*(F49=Table7[업무]),Table7[지급옵션],0,0)</f>
        <v>차주 화</v>
      </c>
      <c r="BJ49" s="83">
        <f>IF(BK49&lt;&gt;"",BK49,IFERROR(D49+_xlfn.NUMBERVALUE(RIGHT(BI49,1)),D49-WEEKDAY(D49)+CHOOSE(MATCH(RIGHT(BI49),{"일","월","화","수","목","금","토"},0),8,9,10,11,12,13,14)))</f>
        <v>45720</v>
      </c>
      <c r="BK49" s="99"/>
    </row>
    <row r="50" spans="2:63" x14ac:dyDescent="0.35">
      <c r="B50" s="20" t="str" cm="1">
        <f t="array" ref="B50">_xlfn.IFS(BB50&lt;&gt;BC50,"Claim확인",N50&lt;&gt;"OK","확인필요",TRUE,"")</f>
        <v/>
      </c>
      <c r="C50" s="21" t="str">
        <f t="shared" si="0"/>
        <v>010-5X8X-X4X0920X02XX253123</v>
      </c>
      <c r="D50" s="26">
        <v>45711</v>
      </c>
      <c r="E50" s="91" t="s">
        <v>255</v>
      </c>
      <c r="F50" s="25" t="s">
        <v>257</v>
      </c>
      <c r="G50" s="27" t="s">
        <v>288</v>
      </c>
      <c r="H50" s="25" t="s">
        <v>303</v>
      </c>
      <c r="I50" s="25"/>
      <c r="J50" s="25" t="s">
        <v>304</v>
      </c>
      <c r="K50" s="28">
        <v>0.45833333333333331</v>
      </c>
      <c r="L50" s="28">
        <v>0.83333333333333337</v>
      </c>
      <c r="M50" s="28">
        <v>4.1666666666666664E-2</v>
      </c>
      <c r="N50" s="25" t="s">
        <v>281</v>
      </c>
      <c r="O50" s="29" t="str">
        <f>_xlfn.XLOOKUP(Table2[[#This Row],[Key]],Table1[Key],Table1[주민등록번호],"",0)</f>
        <v>941XX31XX3X14</v>
      </c>
      <c r="P50" s="29">
        <f>_xlfn.XLOOKUP(Table2[[#This Row],[Key]],Table1[Key],Table1[비자],"",0)</f>
        <v>0</v>
      </c>
      <c r="Q50" s="29">
        <f>IF(P50=0,0,_xlfn.XLOOKUP(Table2[[#This Row],[Key]],Table1[Key],Table1[고용보험 여부],0,0))</f>
        <v>0</v>
      </c>
      <c r="R50" s="29" t="str">
        <f t="shared" si="1"/>
        <v>2502</v>
      </c>
      <c r="S50" s="30" t="str">
        <f>YEAR(Table2[[#This Row],[근무일자]])&amp;TEXT(WEEKNUM(Table2[[#This Row],[근무일자]]),"00")</f>
        <v>202509</v>
      </c>
      <c r="T50" s="31">
        <f>_xlfn.XLOOKUP(Table2[[#This Row],[Key]],Table1[Key],Table1[등록일],"",0)</f>
        <v>45846</v>
      </c>
      <c r="U50" s="32">
        <f t="shared" si="2"/>
        <v>0.33333333333333337</v>
      </c>
      <c r="V50" s="92">
        <f t="shared" si="3"/>
        <v>0</v>
      </c>
      <c r="W50" s="100" t="str">
        <f>_xlfn.XLOOKUP(Table2[[#This Row],[근무일자]],Table3[Date],Table3[Holiday],"",0)</f>
        <v/>
      </c>
      <c r="X50" s="93">
        <f>IF(D50&lt;&gt;"",1,0)+IF(COUNTIFS(Table2[주민등록번호],O50,Table2[월],TEXT(EOMONTH(D50,-1),"YYMM"))&gt;0,1+IF(COUNTIFS(Table2[주민등록번호],O50,Table2[월],TEXT(EOMONTH(D50,-2),"YYMM"))&gt;0,1+IF(COUNTIFS(Table2[주민등록번호],O50,Table2[월],TEXT(EOMONTH(D50,-3),"YYMM"))&gt;0,1,0),0),0)</f>
        <v>1</v>
      </c>
      <c r="Y50" s="29">
        <f>COUNTIFS(Table2[주민등록번호],O50,Table2[월],R50,Table2[근무일자],"&lt;="&amp;D50)</f>
        <v>7</v>
      </c>
      <c r="Z50" s="29">
        <f>COUNTIFS(Table2[주민등록번호],O50,Table2[주간],S50,Table2[근무일자],"&lt;="&amp;D50)</f>
        <v>1</v>
      </c>
      <c r="AA50" s="29">
        <f>SUMIFS(Table2[근로
시간],Table2[주민등록번호],O50,Table2[주간],S50,Table2[근무일자],"&lt;="&amp;D50)*24</f>
        <v>8</v>
      </c>
      <c r="AB50" s="29" t="str">
        <f>IF(AND(Y50&gt;=8,COUNTIFS(Table2[주민등록번호],O50,Table2[근무일자],"&gt;="&amp;EOMONTH(D50,-2)+1,Table2[근무일자],"&lt;="&amp;EOMONTH(D50,-1)+1)&gt;0),"V","")</f>
        <v/>
      </c>
      <c r="AC50" s="94" cm="1">
        <f t="array" ref="AC50">IF(AD50&lt;&gt;"",AD50,_xlfn.XLOOKUP(1,(D50&lt;=Table7[End])*(E50=Table7[근무처])*(F50=Table7[업무]),Table7[시급],0,0))</f>
        <v>10030</v>
      </c>
      <c r="AD50" s="95"/>
      <c r="AE50" s="94">
        <f t="shared" si="4"/>
        <v>80240</v>
      </c>
      <c r="AF50" s="96" cm="1">
        <f t="array" ref="AF50">IF(AND(AA50&gt;=15,(AA50-U50*24)&lt;=40),IF(Z50&gt;=_xlfn.XLOOKUP(1,(D50&lt;=Table7[End])*(E50=Table7[근무처])*(F50=Table7[업무]),Table7[주휴적용일],0,0),1,0)+_xlfn.XLOOKUP(1,(Table2[주간]=Table2[[#This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50" s="96" cm="1">
        <f t="array" ref="AG50">MAX((_xlfn.IFS(AF50=0,0,AF50=1,AA50,AF50&gt;1,U50*24)-IF(AA50&gt;40,AA50-40,0))/5,0)</f>
        <v>0</v>
      </c>
      <c r="AH50" s="94">
        <f t="shared" si="5"/>
        <v>0</v>
      </c>
      <c r="AI50" s="33" cm="1">
        <f t="array" ref="AI50">IF(W50="",0,ROUND(AC50*U50*24*_xlfn.XLOOKUP(1,(D50&lt;=Table7[End])*(E50=Table7[근무처])*(F50=Table7[업무]),Table7[휴일인센티브],0,0),0))</f>
        <v>0</v>
      </c>
      <c r="AJ50" s="94" cm="1">
        <f t="array" ref="AJ50">ROUND(AC50*IF(U50&gt;=8/24,U50-8/24,0)*24*_xlfn.XLOOKUP(1,(D50&lt;=Table7[End])*(E50=Table7[근무처])*(F50=Table7[업무]),Table7[야간인센티브],0,0),0)</f>
        <v>0</v>
      </c>
      <c r="AK50" s="94" cm="1">
        <f t="array" ref="AK50">IF(V50=0,0,ROUND(AC50*V50*24*_xlfn.XLOOKUP(1,(D50&lt;=Table7[End])*(E50=Table7[근무처])*(F50=Table7[업무]),Table7[야간인센티브],0,0),0))</f>
        <v>0</v>
      </c>
      <c r="AL50" s="95"/>
      <c r="AM50" s="94">
        <f t="shared" si="6"/>
        <v>80240</v>
      </c>
      <c r="AN50" s="94" cm="1">
        <f t="array" ref="AN50">IF(AM50&gt;=_xlfn.XLOOKUP(TRUE,D50&lt;=Table5[End],Table5[비과세소득기준],0,0),AM50-_xlfn.XLOOKUP(TRUE,D50&lt;=Table5[End],Table5[비과세소득기준],0,0),0)</f>
        <v>0</v>
      </c>
      <c r="AO50" s="94" cm="1">
        <f t="array" ref="AO50">ROUNDDOWN(_xlfn.LET(_xlpm.setvalue,_xlfn.XLOOKUP(TRUE,D50&lt;=Table5[End],Table5[[요율]:[근로소득세액공제]],0,0),_xlpm.tax,AN50*PRODUCT((_xlpm.setvalue-{0,1})*{1,-1}),_xlpm.threshold,_xlfn.XLOOKUP(TRUE,D50&lt;=Table5[End],Table5[소액부징수기준],0,0),IF(_xlpm.tax&gt;=_xlpm.threshold,_xlpm.tax,0)),-1)</f>
        <v>0</v>
      </c>
      <c r="AP50" s="94">
        <f>ROUNDDOWN(Table2[[#This Row],[소득세]]*10%,-1)</f>
        <v>0</v>
      </c>
      <c r="AQ50" s="94">
        <f>IF(AB50="v",AM50+IF(Y50=8,SUMIFS(Table2[지급총액],Table2[주민등록번호],O50,Table2[월],R50,Table2[월간
근무일],"&lt;="&amp;8)-AM50,0),0)+_xlfn.NUMBERVALUE(AR50)</f>
        <v>0</v>
      </c>
      <c r="AR50" s="95"/>
      <c r="AS50" s="94" cm="1">
        <f t="array" ref="AS50">ROUNDDOWN($AQ50*_xlfn.XLOOKUP(1,(AS$5=Table8[Type])*($D50&lt;=Table8[End]),Table8[요율],0,0),0)</f>
        <v>0</v>
      </c>
      <c r="AT50" s="94" cm="1">
        <f t="array" ref="AT50">ROUNDDOWN(AS50*_xlfn.XLOOKUP(1,(AT$5=Table8[Type])*($D50&lt;=Table8[End]),Table8[요율],0,0),-1)</f>
        <v>0</v>
      </c>
      <c r="AU50" s="94" cm="1">
        <f t="array" ref="AU50">ROUNDDOWN($AQ50*_xlfn.XLOOKUP(1,(AU$5=Table8[Type])*($D50&lt;=Table8[End]),Table8[요율],0,0),-1)</f>
        <v>0</v>
      </c>
      <c r="AV50" s="94" cm="1">
        <f t="array" ref="AV50">ROUNDDOWN(AM50*_xlfn.XLOOKUP(1,(AV$5=Table8[Type])*($D50&lt;=Table8[End]),Table8[요율],0,0),-1)</f>
        <v>0</v>
      </c>
      <c r="AW50" s="94" cm="1">
        <f t="array" ref="AW50">_xlfn.XLOOKUP(1,(O50=Table2[주민등록번호])*(D50&gt;Table2[근무일자]),Table2[청구 Claim 
이월],0,0,-1)</f>
        <v>0</v>
      </c>
      <c r="AX50" s="95"/>
      <c r="AY50" s="94" cm="1">
        <f t="array" ref="AY50">MAX(SUM(AO50:AP50,AS50:AX50)-_xlfn.XLOOKUP(1,(D50&lt;=Table7[End])*(E50=Table7[근무처])*(F50=Table7[업무]),Table7[1일 공제 상한],0,0),0)</f>
        <v>0</v>
      </c>
      <c r="AZ50" s="94">
        <f t="shared" si="7"/>
        <v>0</v>
      </c>
      <c r="BA50" s="94">
        <f t="shared" si="8"/>
        <v>80240</v>
      </c>
      <c r="BB50" s="97">
        <f t="shared" si="9"/>
        <v>0</v>
      </c>
      <c r="BC50" s="98"/>
      <c r="BD50" s="94">
        <f t="shared" si="10"/>
        <v>0</v>
      </c>
      <c r="BE50" s="94">
        <f t="shared" si="11"/>
        <v>0</v>
      </c>
      <c r="BF50" s="94">
        <f t="shared" si="12"/>
        <v>0</v>
      </c>
      <c r="BG50" s="94">
        <f t="shared" si="13"/>
        <v>0</v>
      </c>
      <c r="BH50" s="94" cm="1">
        <f t="array" ref="BH50">ROUNDDOWN(AM50*_xlfn.XLOOKUP(1,(BH$5=Table8[Type])*($D50&lt;=Table8[End]),Table8[요율],0,0),-1)</f>
        <v>640</v>
      </c>
      <c r="BI50" s="93" t="str" cm="1">
        <f t="array" ref="BI50">_xlfn.XLOOKUP(1,(D50&lt;=Table7[End])*(E50=Table7[근무처])*(F50=Table7[업무]),Table7[지급옵션],0,0)</f>
        <v>차주 화</v>
      </c>
      <c r="BJ50" s="83">
        <f>IF(BK50&lt;&gt;"",BK50,IFERROR(D50+_xlfn.NUMBERVALUE(RIGHT(BI50,1)),D50-WEEKDAY(D50)+CHOOSE(MATCH(RIGHT(BI50),{"일","월","화","수","목","금","토"},0),8,9,10,11,12,13,14)))</f>
        <v>45720</v>
      </c>
      <c r="BK50" s="99"/>
    </row>
    <row r="51" spans="2:63" x14ac:dyDescent="0.35">
      <c r="B51" s="20" t="str" cm="1">
        <f t="array" ref="B51">_xlfn.IFS(BB51&lt;&gt;BC51,"Claim확인",N51&lt;&gt;"OK","확인필요",TRUE,"")</f>
        <v/>
      </c>
      <c r="C51" s="21" t="str">
        <f t="shared" si="0"/>
        <v>010-8X0X-X0X9982X03XX901018</v>
      </c>
      <c r="D51" s="26">
        <v>45712</v>
      </c>
      <c r="E51" s="91" t="s">
        <v>255</v>
      </c>
      <c r="F51" s="25" t="s">
        <v>258</v>
      </c>
      <c r="G51" s="27" t="s">
        <v>283</v>
      </c>
      <c r="H51" s="25" t="s">
        <v>291</v>
      </c>
      <c r="I51" s="25"/>
      <c r="J51" s="25" t="s">
        <v>292</v>
      </c>
      <c r="K51" s="28">
        <v>0.375</v>
      </c>
      <c r="L51" s="28">
        <v>0.75</v>
      </c>
      <c r="M51" s="28">
        <v>4.1666666666666664E-2</v>
      </c>
      <c r="N51" s="25" t="s">
        <v>281</v>
      </c>
      <c r="O51" s="29" t="str">
        <f>_xlfn.XLOOKUP(Table2[[#This Row],[Key]],Table1[Key],Table1[주민등록번호],"",0)</f>
        <v>960XX51XX9X15</v>
      </c>
      <c r="P51" s="29">
        <f>_xlfn.XLOOKUP(Table2[[#This Row],[Key]],Table1[Key],Table1[비자],"",0)</f>
        <v>0</v>
      </c>
      <c r="Q51" s="29">
        <f>IF(P51=0,0,_xlfn.XLOOKUP(Table2[[#This Row],[Key]],Table1[Key],Table1[고용보험 여부],0,0))</f>
        <v>0</v>
      </c>
      <c r="R51" s="29" t="str">
        <f t="shared" si="1"/>
        <v>2502</v>
      </c>
      <c r="S51" s="30" t="str">
        <f>YEAR(Table2[[#This Row],[근무일자]])&amp;TEXT(WEEKNUM(Table2[[#This Row],[근무일자]]),"00")</f>
        <v>202509</v>
      </c>
      <c r="T51" s="31">
        <f>_xlfn.XLOOKUP(Table2[[#This Row],[Key]],Table1[Key],Table1[등록일],"",0)</f>
        <v>45698</v>
      </c>
      <c r="U51" s="32">
        <f t="shared" si="2"/>
        <v>0.33333333333333331</v>
      </c>
      <c r="V51" s="92">
        <f t="shared" si="3"/>
        <v>0</v>
      </c>
      <c r="W51" s="100" t="str">
        <f>_xlfn.XLOOKUP(Table2[[#This Row],[근무일자]],Table3[Date],Table3[Holiday],"",0)</f>
        <v/>
      </c>
      <c r="X51" s="93">
        <f>IF(D51&lt;&gt;"",1,0)+IF(COUNTIFS(Table2[주민등록번호],O51,Table2[월],TEXT(EOMONTH(D51,-1),"YYMM"))&gt;0,1+IF(COUNTIFS(Table2[주민등록번호],O51,Table2[월],TEXT(EOMONTH(D51,-2),"YYMM"))&gt;0,1+IF(COUNTIFS(Table2[주민등록번호],O51,Table2[월],TEXT(EOMONTH(D51,-3),"YYMM"))&gt;0,1,0),0),0)</f>
        <v>1</v>
      </c>
      <c r="Y51" s="29">
        <f>COUNTIFS(Table2[주민등록번호],O51,Table2[월],R51,Table2[근무일자],"&lt;="&amp;D51)</f>
        <v>8</v>
      </c>
      <c r="Z51" s="29">
        <f>COUNTIFS(Table2[주민등록번호],O51,Table2[주간],S51,Table2[근무일자],"&lt;="&amp;D51)</f>
        <v>1</v>
      </c>
      <c r="AA51" s="29">
        <f>SUMIFS(Table2[근로
시간],Table2[주민등록번호],O51,Table2[주간],S51,Table2[근무일자],"&lt;="&amp;D51)*24</f>
        <v>8</v>
      </c>
      <c r="AB51" s="29" t="str">
        <f>IF(AND(Y51&gt;=8,COUNTIFS(Table2[주민등록번호],O51,Table2[근무일자],"&gt;="&amp;EOMONTH(D51,-2)+1,Table2[근무일자],"&lt;="&amp;EOMONTH(D51,-1)+1)&gt;0),"V","")</f>
        <v/>
      </c>
      <c r="AC51" s="94" cm="1">
        <f t="array" ref="AC51">IF(AD51&lt;&gt;"",AD51,_xlfn.XLOOKUP(1,(D51&lt;=Table7[End])*(E51=Table7[근무처])*(F51=Table7[업무]),Table7[시급],0,0))</f>
        <v>10680</v>
      </c>
      <c r="AD51" s="95"/>
      <c r="AE51" s="94">
        <f t="shared" si="4"/>
        <v>85440</v>
      </c>
      <c r="AF51" s="96" cm="1">
        <f t="array" ref="AF51">IF(AND(AA51&gt;=15,(AA51-U51*24)&lt;=40),IF(Z51&gt;=_xlfn.XLOOKUP(1,(D51&lt;=Table7[End])*(E51=Table7[근무처])*(F51=Table7[업무]),Table7[주휴적용일],0,0),1,0)+_xlfn.XLOOKUP(1,(Table2[주간]=Table2[[#This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51" s="96" cm="1">
        <f t="array" ref="AG51">MAX((_xlfn.IFS(AF51=0,0,AF51=1,AA51,AF51&gt;1,U51*24)-IF(AA51&gt;40,AA51-40,0))/5,0)</f>
        <v>0</v>
      </c>
      <c r="AH51" s="94">
        <f t="shared" si="5"/>
        <v>0</v>
      </c>
      <c r="AI51" s="33" cm="1">
        <f t="array" ref="AI51">IF(W51="",0,ROUND(AC51*U51*24*_xlfn.XLOOKUP(1,(D51&lt;=Table7[End])*(E51=Table7[근무처])*(F51=Table7[업무]),Table7[휴일인센티브],0,0),0))</f>
        <v>0</v>
      </c>
      <c r="AJ51" s="94" cm="1">
        <f t="array" ref="AJ51">ROUND(AC51*IF(U51&gt;=8/24,U51-8/24,0)*24*_xlfn.XLOOKUP(1,(D51&lt;=Table7[End])*(E51=Table7[근무처])*(F51=Table7[업무]),Table7[야간인센티브],0,0),0)</f>
        <v>0</v>
      </c>
      <c r="AK51" s="94" cm="1">
        <f t="array" ref="AK51">IF(V51=0,0,ROUND(AC51*V51*24*_xlfn.XLOOKUP(1,(D51&lt;=Table7[End])*(E51=Table7[근무처])*(F51=Table7[업무]),Table7[야간인센티브],0,0),0))</f>
        <v>0</v>
      </c>
      <c r="AL51" s="95"/>
      <c r="AM51" s="94">
        <f t="shared" si="6"/>
        <v>85440</v>
      </c>
      <c r="AN51" s="94" cm="1">
        <f t="array" ref="AN51">IF(AM51&gt;=_xlfn.XLOOKUP(TRUE,D51&lt;=Table5[End],Table5[비과세소득기준],0,0),AM51-_xlfn.XLOOKUP(TRUE,D51&lt;=Table5[End],Table5[비과세소득기준],0,0),0)</f>
        <v>0</v>
      </c>
      <c r="AO51" s="94" cm="1">
        <f t="array" ref="AO51">ROUNDDOWN(_xlfn.LET(_xlpm.setvalue,_xlfn.XLOOKUP(TRUE,D51&lt;=Table5[End],Table5[[요율]:[근로소득세액공제]],0,0),_xlpm.tax,AN51*PRODUCT((_xlpm.setvalue-{0,1})*{1,-1}),_xlpm.threshold,_xlfn.XLOOKUP(TRUE,D51&lt;=Table5[End],Table5[소액부징수기준],0,0),IF(_xlpm.tax&gt;=_xlpm.threshold,_xlpm.tax,0)),-1)</f>
        <v>0</v>
      </c>
      <c r="AP51" s="94">
        <f>ROUNDDOWN(Table2[[#This Row],[소득세]]*10%,-1)</f>
        <v>0</v>
      </c>
      <c r="AQ51" s="94">
        <f>IF(AB51="v",AM51+IF(Y51=8,SUMIFS(Table2[지급총액],Table2[주민등록번호],O51,Table2[월],R51,Table2[월간
근무일],"&lt;="&amp;8)-AM51,0),0)+_xlfn.NUMBERVALUE(AR51)</f>
        <v>0</v>
      </c>
      <c r="AR51" s="95"/>
      <c r="AS51" s="94" cm="1">
        <f t="array" ref="AS51">ROUNDDOWN($AQ51*_xlfn.XLOOKUP(1,(AS$5=Table8[Type])*($D51&lt;=Table8[End]),Table8[요율],0,0),0)</f>
        <v>0</v>
      </c>
      <c r="AT51" s="94" cm="1">
        <f t="array" ref="AT51">ROUNDDOWN(AS51*_xlfn.XLOOKUP(1,(AT$5=Table8[Type])*($D51&lt;=Table8[End]),Table8[요율],0,0),-1)</f>
        <v>0</v>
      </c>
      <c r="AU51" s="94" cm="1">
        <f t="array" ref="AU51">ROUNDDOWN($AQ51*_xlfn.XLOOKUP(1,(AU$5=Table8[Type])*($D51&lt;=Table8[End]),Table8[요율],0,0),-1)</f>
        <v>0</v>
      </c>
      <c r="AV51" s="94" cm="1">
        <f t="array" ref="AV51">ROUNDDOWN(AM51*_xlfn.XLOOKUP(1,(AV$5=Table8[Type])*($D51&lt;=Table8[End]),Table8[요율],0,0),-1)</f>
        <v>0</v>
      </c>
      <c r="AW51" s="94" cm="1">
        <f t="array" ref="AW51">_xlfn.XLOOKUP(1,(O51=Table2[주민등록번호])*(D51&gt;Table2[근무일자]),Table2[청구 Claim 
이월],0,0,-1)</f>
        <v>0</v>
      </c>
      <c r="AX51" s="95"/>
      <c r="AY51" s="94" cm="1">
        <f t="array" ref="AY51">MAX(SUM(AO51:AP51,AS51:AX51)-_xlfn.XLOOKUP(1,(D51&lt;=Table7[End])*(E51=Table7[근무처])*(F51=Table7[업무]),Table7[1일 공제 상한],0,0),0)</f>
        <v>0</v>
      </c>
      <c r="AZ51" s="94">
        <f t="shared" si="7"/>
        <v>0</v>
      </c>
      <c r="BA51" s="94">
        <f t="shared" si="8"/>
        <v>85440</v>
      </c>
      <c r="BB51" s="97">
        <f t="shared" si="9"/>
        <v>0</v>
      </c>
      <c r="BC51" s="98"/>
      <c r="BD51" s="94">
        <f t="shared" si="10"/>
        <v>0</v>
      </c>
      <c r="BE51" s="94">
        <f t="shared" si="11"/>
        <v>0</v>
      </c>
      <c r="BF51" s="94">
        <f t="shared" si="12"/>
        <v>0</v>
      </c>
      <c r="BG51" s="94">
        <f t="shared" si="13"/>
        <v>0</v>
      </c>
      <c r="BH51" s="94" cm="1">
        <f t="array" ref="BH51">ROUNDDOWN(AM51*_xlfn.XLOOKUP(1,(BH$5=Table8[Type])*($D51&lt;=Table8[End]),Table8[요율],0,0),-1)</f>
        <v>680</v>
      </c>
      <c r="BI51" s="93" t="str" cm="1">
        <f t="array" ref="BI51">_xlfn.XLOOKUP(1,(D51&lt;=Table7[End])*(E51=Table7[근무처])*(F51=Table7[업무]),Table7[지급옵션],0,0)</f>
        <v>차주 화</v>
      </c>
      <c r="BJ51" s="83">
        <f>IF(BK51&lt;&gt;"",BK51,IFERROR(D51+_xlfn.NUMBERVALUE(RIGHT(BI51,1)),D51-WEEKDAY(D51)+CHOOSE(MATCH(RIGHT(BI51),{"일","월","화","수","목","금","토"},0),8,9,10,11,12,13,14)))</f>
        <v>45720</v>
      </c>
      <c r="BK51" s="99"/>
    </row>
    <row r="52" spans="2:63" x14ac:dyDescent="0.35">
      <c r="B52" s="20" t="str" cm="1">
        <f t="array" ref="B52">_xlfn.IFS(BB52&lt;&gt;BC52,"Claim확인",N52&lt;&gt;"OK","확인필요",TRUE,"")</f>
        <v/>
      </c>
      <c r="C52" s="21" t="str">
        <f t="shared" si="0"/>
        <v>010-5X8X-X4X0920X02XX253123</v>
      </c>
      <c r="D52" s="26">
        <v>45712</v>
      </c>
      <c r="E52" s="91" t="s">
        <v>255</v>
      </c>
      <c r="F52" s="25" t="s">
        <v>257</v>
      </c>
      <c r="G52" s="27" t="s">
        <v>288</v>
      </c>
      <c r="H52" s="25" t="s">
        <v>303</v>
      </c>
      <c r="I52" s="25"/>
      <c r="J52" s="25" t="s">
        <v>304</v>
      </c>
      <c r="K52" s="28">
        <v>0.45833333333333331</v>
      </c>
      <c r="L52" s="28">
        <v>0.83333333333333337</v>
      </c>
      <c r="M52" s="28">
        <v>4.1666666666666664E-2</v>
      </c>
      <c r="N52" s="25" t="s">
        <v>281</v>
      </c>
      <c r="O52" s="29" t="str">
        <f>_xlfn.XLOOKUP(Table2[[#This Row],[Key]],Table1[Key],Table1[주민등록번호],"",0)</f>
        <v>941XX31XX3X14</v>
      </c>
      <c r="P52" s="29">
        <f>_xlfn.XLOOKUP(Table2[[#This Row],[Key]],Table1[Key],Table1[비자],"",0)</f>
        <v>0</v>
      </c>
      <c r="Q52" s="29">
        <f>IF(P52=0,0,_xlfn.XLOOKUP(Table2[[#This Row],[Key]],Table1[Key],Table1[고용보험 여부],0,0))</f>
        <v>0</v>
      </c>
      <c r="R52" s="29" t="str">
        <f t="shared" si="1"/>
        <v>2502</v>
      </c>
      <c r="S52" s="30" t="str">
        <f>YEAR(Table2[[#This Row],[근무일자]])&amp;TEXT(WEEKNUM(Table2[[#This Row],[근무일자]]),"00")</f>
        <v>202509</v>
      </c>
      <c r="T52" s="31">
        <f>_xlfn.XLOOKUP(Table2[[#This Row],[Key]],Table1[Key],Table1[등록일],"",0)</f>
        <v>45846</v>
      </c>
      <c r="U52" s="32">
        <f t="shared" si="2"/>
        <v>0.33333333333333337</v>
      </c>
      <c r="V52" s="92">
        <f t="shared" si="3"/>
        <v>0</v>
      </c>
      <c r="W52" s="100" t="str">
        <f>_xlfn.XLOOKUP(Table2[[#This Row],[근무일자]],Table3[Date],Table3[Holiday],"",0)</f>
        <v/>
      </c>
      <c r="X52" s="93">
        <f>IF(D52&lt;&gt;"",1,0)+IF(COUNTIFS(Table2[주민등록번호],O52,Table2[월],TEXT(EOMONTH(D52,-1),"YYMM"))&gt;0,1+IF(COUNTIFS(Table2[주민등록번호],O52,Table2[월],TEXT(EOMONTH(D52,-2),"YYMM"))&gt;0,1+IF(COUNTIFS(Table2[주민등록번호],O52,Table2[월],TEXT(EOMONTH(D52,-3),"YYMM"))&gt;0,1,0),0),0)</f>
        <v>1</v>
      </c>
      <c r="Y52" s="29">
        <f>COUNTIFS(Table2[주민등록번호],O52,Table2[월],R52,Table2[근무일자],"&lt;="&amp;D52)</f>
        <v>8</v>
      </c>
      <c r="Z52" s="29">
        <f>COUNTIFS(Table2[주민등록번호],O52,Table2[주간],S52,Table2[근무일자],"&lt;="&amp;D52)</f>
        <v>2</v>
      </c>
      <c r="AA52" s="29">
        <f>SUMIFS(Table2[근로
시간],Table2[주민등록번호],O52,Table2[주간],S52,Table2[근무일자],"&lt;="&amp;D52)*24</f>
        <v>16</v>
      </c>
      <c r="AB52" s="29" t="str">
        <f>IF(AND(Y52&gt;=8,COUNTIFS(Table2[주민등록번호],O52,Table2[근무일자],"&gt;="&amp;EOMONTH(D52,-2)+1,Table2[근무일자],"&lt;="&amp;EOMONTH(D52,-1)+1)&gt;0),"V","")</f>
        <v/>
      </c>
      <c r="AC52" s="94" cm="1">
        <f t="array" ref="AC52">IF(AD52&lt;&gt;"",AD52,_xlfn.XLOOKUP(1,(D52&lt;=Table7[End])*(E52=Table7[근무처])*(F52=Table7[업무]),Table7[시급],0,0))</f>
        <v>10030</v>
      </c>
      <c r="AD52" s="95"/>
      <c r="AE52" s="94">
        <f t="shared" si="4"/>
        <v>80240</v>
      </c>
      <c r="AF52" s="96" cm="1">
        <f t="array" ref="AF52">IF(AND(AA52&gt;=15,(AA52-U52*24)&lt;=40),IF(Z52&gt;=_xlfn.XLOOKUP(1,(D52&lt;=Table7[End])*(E52=Table7[근무처])*(F52=Table7[업무]),Table7[주휴적용일],0,0),1,0)+_xlfn.XLOOKUP(1,(Table2[주간]=Table2[[#This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52" s="96" cm="1">
        <f t="array" ref="AG52">MAX((_xlfn.IFS(AF52=0,0,AF52=1,AA52,AF52&gt;1,U52*24)-IF(AA52&gt;40,AA52-40,0))/5,0)</f>
        <v>3.2</v>
      </c>
      <c r="AH52" s="94">
        <f t="shared" si="5"/>
        <v>32096</v>
      </c>
      <c r="AI52" s="33" cm="1">
        <f t="array" ref="AI52">IF(W52="",0,ROUND(AC52*U52*24*_xlfn.XLOOKUP(1,(D52&lt;=Table7[End])*(E52=Table7[근무처])*(F52=Table7[업무]),Table7[휴일인센티브],0,0),0))</f>
        <v>0</v>
      </c>
      <c r="AJ52" s="94" cm="1">
        <f t="array" ref="AJ52">ROUND(AC52*IF(U52&gt;=8/24,U52-8/24,0)*24*_xlfn.XLOOKUP(1,(D52&lt;=Table7[End])*(E52=Table7[근무처])*(F52=Table7[업무]),Table7[야간인센티브],0,0),0)</f>
        <v>0</v>
      </c>
      <c r="AK52" s="94" cm="1">
        <f t="array" ref="AK52">IF(V52=0,0,ROUND(AC52*V52*24*_xlfn.XLOOKUP(1,(D52&lt;=Table7[End])*(E52=Table7[근무처])*(F52=Table7[업무]),Table7[야간인센티브],0,0),0))</f>
        <v>0</v>
      </c>
      <c r="AL52" s="95"/>
      <c r="AM52" s="94">
        <f t="shared" si="6"/>
        <v>112336</v>
      </c>
      <c r="AN52" s="94" cm="1">
        <f t="array" ref="AN52">IF(AM52&gt;=_xlfn.XLOOKUP(TRUE,D52&lt;=Table5[End],Table5[비과세소득기준],0,0),AM52-_xlfn.XLOOKUP(TRUE,D52&lt;=Table5[End],Table5[비과세소득기준],0,0),0)</f>
        <v>0</v>
      </c>
      <c r="AO52" s="94" cm="1">
        <f t="array" ref="AO52">ROUNDDOWN(_xlfn.LET(_xlpm.setvalue,_xlfn.XLOOKUP(TRUE,D52&lt;=Table5[End],Table5[[요율]:[근로소득세액공제]],0,0),_xlpm.tax,AN52*PRODUCT((_xlpm.setvalue-{0,1})*{1,-1}),_xlpm.threshold,_xlfn.XLOOKUP(TRUE,D52&lt;=Table5[End],Table5[소액부징수기준],0,0),IF(_xlpm.tax&gt;=_xlpm.threshold,_xlpm.tax,0)),-1)</f>
        <v>0</v>
      </c>
      <c r="AP52" s="94">
        <f>ROUNDDOWN(Table2[[#This Row],[소득세]]*10%,-1)</f>
        <v>0</v>
      </c>
      <c r="AQ52" s="94">
        <f>IF(AB52="v",AM52+IF(Y52=8,SUMIFS(Table2[지급총액],Table2[주민등록번호],O52,Table2[월],R52,Table2[월간
근무일],"&lt;="&amp;8)-AM52,0),0)+_xlfn.NUMBERVALUE(AR52)</f>
        <v>0</v>
      </c>
      <c r="AR52" s="95"/>
      <c r="AS52" s="94" cm="1">
        <f t="array" ref="AS52">ROUNDDOWN($AQ52*_xlfn.XLOOKUP(1,(AS$5=Table8[Type])*($D52&lt;=Table8[End]),Table8[요율],0,0),0)</f>
        <v>0</v>
      </c>
      <c r="AT52" s="94" cm="1">
        <f t="array" ref="AT52">ROUNDDOWN(AS52*_xlfn.XLOOKUP(1,(AT$5=Table8[Type])*($D52&lt;=Table8[End]),Table8[요율],0,0),-1)</f>
        <v>0</v>
      </c>
      <c r="AU52" s="94" cm="1">
        <f t="array" ref="AU52">ROUNDDOWN($AQ52*_xlfn.XLOOKUP(1,(AU$5=Table8[Type])*($D52&lt;=Table8[End]),Table8[요율],0,0),-1)</f>
        <v>0</v>
      </c>
      <c r="AV52" s="94" cm="1">
        <f t="array" ref="AV52">ROUNDDOWN(AM52*_xlfn.XLOOKUP(1,(AV$5=Table8[Type])*($D52&lt;=Table8[End]),Table8[요율],0,0),-1)</f>
        <v>0</v>
      </c>
      <c r="AW52" s="94" cm="1">
        <f t="array" ref="AW52">_xlfn.XLOOKUP(1,(O52=Table2[주민등록번호])*(D52&gt;Table2[근무일자]),Table2[청구 Claim 
이월],0,0,-1)</f>
        <v>0</v>
      </c>
      <c r="AX52" s="95"/>
      <c r="AY52" s="94" cm="1">
        <f t="array" ref="AY52">MAX(SUM(AO52:AP52,AS52:AX52)-_xlfn.XLOOKUP(1,(D52&lt;=Table7[End])*(E52=Table7[근무처])*(F52=Table7[업무]),Table7[1일 공제 상한],0,0),0)</f>
        <v>0</v>
      </c>
      <c r="AZ52" s="94">
        <f t="shared" si="7"/>
        <v>0</v>
      </c>
      <c r="BA52" s="94">
        <f t="shared" si="8"/>
        <v>112336</v>
      </c>
      <c r="BB52" s="97">
        <f t="shared" si="9"/>
        <v>0</v>
      </c>
      <c r="BC52" s="98"/>
      <c r="BD52" s="94">
        <f t="shared" si="10"/>
        <v>0</v>
      </c>
      <c r="BE52" s="94">
        <f t="shared" si="11"/>
        <v>0</v>
      </c>
      <c r="BF52" s="94">
        <f t="shared" si="12"/>
        <v>0</v>
      </c>
      <c r="BG52" s="94">
        <f t="shared" si="13"/>
        <v>0</v>
      </c>
      <c r="BH52" s="94" cm="1">
        <f t="array" ref="BH52">ROUNDDOWN(AM52*_xlfn.XLOOKUP(1,(BH$5=Table8[Type])*($D52&lt;=Table8[End]),Table8[요율],0,0),-1)</f>
        <v>890</v>
      </c>
      <c r="BI52" s="93" t="str" cm="1">
        <f t="array" ref="BI52">_xlfn.XLOOKUP(1,(D52&lt;=Table7[End])*(E52=Table7[근무처])*(F52=Table7[업무]),Table7[지급옵션],0,0)</f>
        <v>차주 화</v>
      </c>
      <c r="BJ52" s="83">
        <f>IF(BK52&lt;&gt;"",BK52,IFERROR(D52+_xlfn.NUMBERVALUE(RIGHT(BI52,1)),D52-WEEKDAY(D52)+CHOOSE(MATCH(RIGHT(BI52),{"일","월","화","수","목","금","토"},0),8,9,10,11,12,13,14)))</f>
        <v>45720</v>
      </c>
      <c r="BK52" s="99"/>
    </row>
    <row r="53" spans="2:63" x14ac:dyDescent="0.35">
      <c r="B53" s="20" t="str" cm="1">
        <f t="array" ref="B53">_xlfn.IFS(BB53&lt;&gt;BC53,"Claim확인",N53&lt;&gt;"OK","확인필요",TRUE,"")</f>
        <v/>
      </c>
      <c r="C53" s="21" t="str">
        <f t="shared" si="0"/>
        <v>010-8X0X-X0X9982X03XX901018</v>
      </c>
      <c r="D53" s="26">
        <v>45713</v>
      </c>
      <c r="E53" s="91" t="s">
        <v>255</v>
      </c>
      <c r="F53" s="25" t="s">
        <v>258</v>
      </c>
      <c r="G53" s="27" t="s">
        <v>283</v>
      </c>
      <c r="H53" s="25" t="s">
        <v>291</v>
      </c>
      <c r="I53" s="25"/>
      <c r="J53" s="25" t="s">
        <v>292</v>
      </c>
      <c r="K53" s="28">
        <v>0.375</v>
      </c>
      <c r="L53" s="28">
        <v>0.75</v>
      </c>
      <c r="M53" s="28">
        <v>4.1666666666666664E-2</v>
      </c>
      <c r="N53" s="25" t="s">
        <v>281</v>
      </c>
      <c r="O53" s="29" t="str">
        <f>_xlfn.XLOOKUP(Table2[[#This Row],[Key]],Table1[Key],Table1[주민등록번호],"",0)</f>
        <v>960XX51XX9X15</v>
      </c>
      <c r="P53" s="29">
        <f>_xlfn.XLOOKUP(Table2[[#This Row],[Key]],Table1[Key],Table1[비자],"",0)</f>
        <v>0</v>
      </c>
      <c r="Q53" s="29">
        <f>IF(P53=0,0,_xlfn.XLOOKUP(Table2[[#This Row],[Key]],Table1[Key],Table1[고용보험 여부],0,0))</f>
        <v>0</v>
      </c>
      <c r="R53" s="29" t="str">
        <f t="shared" si="1"/>
        <v>2502</v>
      </c>
      <c r="S53" s="30" t="str">
        <f>YEAR(Table2[[#This Row],[근무일자]])&amp;TEXT(WEEKNUM(Table2[[#This Row],[근무일자]]),"00")</f>
        <v>202509</v>
      </c>
      <c r="T53" s="31">
        <f>_xlfn.XLOOKUP(Table2[[#This Row],[Key]],Table1[Key],Table1[등록일],"",0)</f>
        <v>45698</v>
      </c>
      <c r="U53" s="32">
        <f t="shared" si="2"/>
        <v>0.33333333333333331</v>
      </c>
      <c r="V53" s="92">
        <f t="shared" si="3"/>
        <v>0</v>
      </c>
      <c r="W53" s="100" t="str">
        <f>_xlfn.XLOOKUP(Table2[[#This Row],[근무일자]],Table3[Date],Table3[Holiday],"",0)</f>
        <v/>
      </c>
      <c r="X53" s="93">
        <f>IF(D53&lt;&gt;"",1,0)+IF(COUNTIFS(Table2[주민등록번호],O53,Table2[월],TEXT(EOMONTH(D53,-1),"YYMM"))&gt;0,1+IF(COUNTIFS(Table2[주민등록번호],O53,Table2[월],TEXT(EOMONTH(D53,-2),"YYMM"))&gt;0,1+IF(COUNTIFS(Table2[주민등록번호],O53,Table2[월],TEXT(EOMONTH(D53,-3),"YYMM"))&gt;0,1,0),0),0)</f>
        <v>1</v>
      </c>
      <c r="Y53" s="29">
        <f>COUNTIFS(Table2[주민등록번호],O53,Table2[월],R53,Table2[근무일자],"&lt;="&amp;D53)</f>
        <v>9</v>
      </c>
      <c r="Z53" s="29">
        <f>COUNTIFS(Table2[주민등록번호],O53,Table2[주간],S53,Table2[근무일자],"&lt;="&amp;D53)</f>
        <v>2</v>
      </c>
      <c r="AA53" s="29">
        <f>SUMIFS(Table2[근로
시간],Table2[주민등록번호],O53,Table2[주간],S53,Table2[근무일자],"&lt;="&amp;D53)*24</f>
        <v>16</v>
      </c>
      <c r="AB53" s="29" t="str">
        <f>IF(AND(Y53&gt;=8,COUNTIFS(Table2[주민등록번호],O53,Table2[근무일자],"&gt;="&amp;EOMONTH(D53,-2)+1,Table2[근무일자],"&lt;="&amp;EOMONTH(D53,-1)+1)&gt;0),"V","")</f>
        <v/>
      </c>
      <c r="AC53" s="94" cm="1">
        <f t="array" ref="AC53">IF(AD53&lt;&gt;"",AD53,_xlfn.XLOOKUP(1,(D53&lt;=Table7[End])*(E53=Table7[근무처])*(F53=Table7[업무]),Table7[시급],0,0))</f>
        <v>10680</v>
      </c>
      <c r="AD53" s="95"/>
      <c r="AE53" s="94">
        <f t="shared" si="4"/>
        <v>85440</v>
      </c>
      <c r="AF53" s="96" cm="1">
        <f t="array" ref="AF53">IF(AND(AA53&gt;=15,(AA53-U53*24)&lt;=40),IF(Z53&gt;=_xlfn.XLOOKUP(1,(D53&lt;=Table7[End])*(E53=Table7[근무처])*(F53=Table7[업무]),Table7[주휴적용일],0,0),1,0)+_xlfn.XLOOKUP(1,(Table2[주간]=Table2[[#This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53" s="96" cm="1">
        <f t="array" ref="AG53">MAX((_xlfn.IFS(AF53=0,0,AF53=1,AA53,AF53&gt;1,U53*24)-IF(AA53&gt;40,AA53-40,0))/5,0)</f>
        <v>3.2</v>
      </c>
      <c r="AH53" s="94">
        <f t="shared" si="5"/>
        <v>34176</v>
      </c>
      <c r="AI53" s="33" cm="1">
        <f t="array" ref="AI53">IF(W53="",0,ROUND(AC53*U53*24*_xlfn.XLOOKUP(1,(D53&lt;=Table7[End])*(E53=Table7[근무처])*(F53=Table7[업무]),Table7[휴일인센티브],0,0),0))</f>
        <v>0</v>
      </c>
      <c r="AJ53" s="94" cm="1">
        <f t="array" ref="AJ53">ROUND(AC53*IF(U53&gt;=8/24,U53-8/24,0)*24*_xlfn.XLOOKUP(1,(D53&lt;=Table7[End])*(E53=Table7[근무처])*(F53=Table7[업무]),Table7[야간인센티브],0,0),0)</f>
        <v>0</v>
      </c>
      <c r="AK53" s="94" cm="1">
        <f t="array" ref="AK53">IF(V53=0,0,ROUND(AC53*V53*24*_xlfn.XLOOKUP(1,(D53&lt;=Table7[End])*(E53=Table7[근무처])*(F53=Table7[업무]),Table7[야간인센티브],0,0),0))</f>
        <v>0</v>
      </c>
      <c r="AL53" s="95"/>
      <c r="AM53" s="94">
        <f t="shared" si="6"/>
        <v>119616</v>
      </c>
      <c r="AN53" s="94" cm="1">
        <f t="array" ref="AN53">IF(AM53&gt;=_xlfn.XLOOKUP(TRUE,D53&lt;=Table5[End],Table5[비과세소득기준],0,0),AM53-_xlfn.XLOOKUP(TRUE,D53&lt;=Table5[End],Table5[비과세소득기준],0,0),0)</f>
        <v>0</v>
      </c>
      <c r="AO53" s="94" cm="1">
        <f t="array" ref="AO53">ROUNDDOWN(_xlfn.LET(_xlpm.setvalue,_xlfn.XLOOKUP(TRUE,D53&lt;=Table5[End],Table5[[요율]:[근로소득세액공제]],0,0),_xlpm.tax,AN53*PRODUCT((_xlpm.setvalue-{0,1})*{1,-1}),_xlpm.threshold,_xlfn.XLOOKUP(TRUE,D53&lt;=Table5[End],Table5[소액부징수기준],0,0),IF(_xlpm.tax&gt;=_xlpm.threshold,_xlpm.tax,0)),-1)</f>
        <v>0</v>
      </c>
      <c r="AP53" s="94">
        <f>ROUNDDOWN(Table2[[#This Row],[소득세]]*10%,-1)</f>
        <v>0</v>
      </c>
      <c r="AQ53" s="94">
        <f>IF(AB53="v",AM53+IF(Y53=8,SUMIFS(Table2[지급총액],Table2[주민등록번호],O53,Table2[월],R53,Table2[월간
근무일],"&lt;="&amp;8)-AM53,0),0)+_xlfn.NUMBERVALUE(AR53)</f>
        <v>0</v>
      </c>
      <c r="AR53" s="95"/>
      <c r="AS53" s="94" cm="1">
        <f t="array" ref="AS53">ROUNDDOWN($AQ53*_xlfn.XLOOKUP(1,(AS$5=Table8[Type])*($D53&lt;=Table8[End]),Table8[요율],0,0),0)</f>
        <v>0</v>
      </c>
      <c r="AT53" s="94" cm="1">
        <f t="array" ref="AT53">ROUNDDOWN(AS53*_xlfn.XLOOKUP(1,(AT$5=Table8[Type])*($D53&lt;=Table8[End]),Table8[요율],0,0),-1)</f>
        <v>0</v>
      </c>
      <c r="AU53" s="94" cm="1">
        <f t="array" ref="AU53">ROUNDDOWN($AQ53*_xlfn.XLOOKUP(1,(AU$5=Table8[Type])*($D53&lt;=Table8[End]),Table8[요율],0,0),-1)</f>
        <v>0</v>
      </c>
      <c r="AV53" s="94" cm="1">
        <f t="array" ref="AV53">ROUNDDOWN(AM53*_xlfn.XLOOKUP(1,(AV$5=Table8[Type])*($D53&lt;=Table8[End]),Table8[요율],0,0),-1)</f>
        <v>0</v>
      </c>
      <c r="AW53" s="94" cm="1">
        <f t="array" ref="AW53">_xlfn.XLOOKUP(1,(O53=Table2[주민등록번호])*(D53&gt;Table2[근무일자]),Table2[청구 Claim 
이월],0,0,-1)</f>
        <v>0</v>
      </c>
      <c r="AX53" s="95"/>
      <c r="AY53" s="94" cm="1">
        <f t="array" ref="AY53">MAX(SUM(AO53:AP53,AS53:AX53)-_xlfn.XLOOKUP(1,(D53&lt;=Table7[End])*(E53=Table7[근무처])*(F53=Table7[업무]),Table7[1일 공제 상한],0,0),0)</f>
        <v>0</v>
      </c>
      <c r="AZ53" s="94">
        <f t="shared" si="7"/>
        <v>0</v>
      </c>
      <c r="BA53" s="94">
        <f t="shared" si="8"/>
        <v>119616</v>
      </c>
      <c r="BB53" s="97">
        <f t="shared" si="9"/>
        <v>0</v>
      </c>
      <c r="BC53" s="98"/>
      <c r="BD53" s="94">
        <f t="shared" si="10"/>
        <v>0</v>
      </c>
      <c r="BE53" s="94">
        <f t="shared" si="11"/>
        <v>0</v>
      </c>
      <c r="BF53" s="94">
        <f t="shared" si="12"/>
        <v>0</v>
      </c>
      <c r="BG53" s="94">
        <f t="shared" si="13"/>
        <v>0</v>
      </c>
      <c r="BH53" s="94" cm="1">
        <f t="array" ref="BH53">ROUNDDOWN(AM53*_xlfn.XLOOKUP(1,(BH$5=Table8[Type])*($D53&lt;=Table8[End]),Table8[요율],0,0),-1)</f>
        <v>950</v>
      </c>
      <c r="BI53" s="93" t="str" cm="1">
        <f t="array" ref="BI53">_xlfn.XLOOKUP(1,(D53&lt;=Table7[End])*(E53=Table7[근무처])*(F53=Table7[업무]),Table7[지급옵션],0,0)</f>
        <v>차주 화</v>
      </c>
      <c r="BJ53" s="83">
        <f>IF(BK53&lt;&gt;"",BK53,IFERROR(D53+_xlfn.NUMBERVALUE(RIGHT(BI53,1)),D53-WEEKDAY(D53)+CHOOSE(MATCH(RIGHT(BI53),{"일","월","화","수","목","금","토"},0),8,9,10,11,12,13,14)))</f>
        <v>45720</v>
      </c>
      <c r="BK53" s="99"/>
    </row>
    <row r="54" spans="2:63" x14ac:dyDescent="0.35">
      <c r="B54" s="20" t="str" cm="1">
        <f t="array" ref="B54">_xlfn.IFS(BB54&lt;&gt;BC54,"Claim확인",N54&lt;&gt;"OK","확인필요",TRUE,"")</f>
        <v/>
      </c>
      <c r="C54" s="21" t="str">
        <f t="shared" si="0"/>
        <v>010-8X0X-X0X9982X03XX901018</v>
      </c>
      <c r="D54" s="26">
        <v>45714</v>
      </c>
      <c r="E54" s="91" t="s">
        <v>255</v>
      </c>
      <c r="F54" s="25" t="s">
        <v>258</v>
      </c>
      <c r="G54" s="27" t="s">
        <v>283</v>
      </c>
      <c r="H54" s="25" t="s">
        <v>291</v>
      </c>
      <c r="I54" s="25"/>
      <c r="J54" s="25" t="s">
        <v>292</v>
      </c>
      <c r="K54" s="28">
        <v>0.375</v>
      </c>
      <c r="L54" s="28">
        <v>0.75</v>
      </c>
      <c r="M54" s="28">
        <v>4.1666666666666664E-2</v>
      </c>
      <c r="N54" s="25" t="s">
        <v>281</v>
      </c>
      <c r="O54" s="29" t="str">
        <f>_xlfn.XLOOKUP(Table2[[#This Row],[Key]],Table1[Key],Table1[주민등록번호],"",0)</f>
        <v>960XX51XX9X15</v>
      </c>
      <c r="P54" s="29">
        <f>_xlfn.XLOOKUP(Table2[[#This Row],[Key]],Table1[Key],Table1[비자],"",0)</f>
        <v>0</v>
      </c>
      <c r="Q54" s="29">
        <f>IF(P54=0,0,_xlfn.XLOOKUP(Table2[[#This Row],[Key]],Table1[Key],Table1[고용보험 여부],0,0))</f>
        <v>0</v>
      </c>
      <c r="R54" s="29" t="str">
        <f t="shared" si="1"/>
        <v>2502</v>
      </c>
      <c r="S54" s="30" t="str">
        <f>YEAR(Table2[[#This Row],[근무일자]])&amp;TEXT(WEEKNUM(Table2[[#This Row],[근무일자]]),"00")</f>
        <v>202509</v>
      </c>
      <c r="T54" s="31">
        <f>_xlfn.XLOOKUP(Table2[[#This Row],[Key]],Table1[Key],Table1[등록일],"",0)</f>
        <v>45698</v>
      </c>
      <c r="U54" s="32">
        <f t="shared" si="2"/>
        <v>0.33333333333333331</v>
      </c>
      <c r="V54" s="92">
        <f t="shared" si="3"/>
        <v>0</v>
      </c>
      <c r="W54" s="100" t="str">
        <f>_xlfn.XLOOKUP(Table2[[#This Row],[근무일자]],Table3[Date],Table3[Holiday],"",0)</f>
        <v/>
      </c>
      <c r="X54" s="93">
        <f>IF(D54&lt;&gt;"",1,0)+IF(COUNTIFS(Table2[주민등록번호],O54,Table2[월],TEXT(EOMONTH(D54,-1),"YYMM"))&gt;0,1+IF(COUNTIFS(Table2[주민등록번호],O54,Table2[월],TEXT(EOMONTH(D54,-2),"YYMM"))&gt;0,1+IF(COUNTIFS(Table2[주민등록번호],O54,Table2[월],TEXT(EOMONTH(D54,-3),"YYMM"))&gt;0,1,0),0),0)</f>
        <v>1</v>
      </c>
      <c r="Y54" s="29">
        <f>COUNTIFS(Table2[주민등록번호],O54,Table2[월],R54,Table2[근무일자],"&lt;="&amp;D54)</f>
        <v>10</v>
      </c>
      <c r="Z54" s="29">
        <f>COUNTIFS(Table2[주민등록번호],O54,Table2[주간],S54,Table2[근무일자],"&lt;="&amp;D54)</f>
        <v>3</v>
      </c>
      <c r="AA54" s="29">
        <f>SUMIFS(Table2[근로
시간],Table2[주민등록번호],O54,Table2[주간],S54,Table2[근무일자],"&lt;="&amp;D54)*24</f>
        <v>24</v>
      </c>
      <c r="AB54" s="29" t="str">
        <f>IF(AND(Y54&gt;=8,COUNTIFS(Table2[주민등록번호],O54,Table2[근무일자],"&gt;="&amp;EOMONTH(D54,-2)+1,Table2[근무일자],"&lt;="&amp;EOMONTH(D54,-1)+1)&gt;0),"V","")</f>
        <v/>
      </c>
      <c r="AC54" s="94" cm="1">
        <f t="array" ref="AC54">IF(AD54&lt;&gt;"",AD54,_xlfn.XLOOKUP(1,(D54&lt;=Table7[End])*(E54=Table7[근무처])*(F54=Table7[업무]),Table7[시급],0,0))</f>
        <v>10680</v>
      </c>
      <c r="AD54" s="95"/>
      <c r="AE54" s="94">
        <f t="shared" si="4"/>
        <v>85440</v>
      </c>
      <c r="AF54" s="96" cm="1">
        <f t="array" ref="AF54">IF(AND(AA54&gt;=15,(AA54-U54*24)&lt;=40),IF(Z54&gt;=_xlfn.XLOOKUP(1,(D54&lt;=Table7[End])*(E54=Table7[근무처])*(F54=Table7[업무]),Table7[주휴적용일],0,0),1,0)+_xlfn.XLOOKUP(1,(Table2[주간]=Table2[[#This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54" s="96" cm="1">
        <f t="array" ref="AG54">MAX((_xlfn.IFS(AF54=0,0,AF54=1,AA54,AF54&gt;1,U54*24)-IF(AA54&gt;40,AA54-40,0))/5,0)</f>
        <v>1.6</v>
      </c>
      <c r="AH54" s="94">
        <f t="shared" si="5"/>
        <v>17088</v>
      </c>
      <c r="AI54" s="33" cm="1">
        <f t="array" ref="AI54">IF(W54="",0,ROUND(AC54*U54*24*_xlfn.XLOOKUP(1,(D54&lt;=Table7[End])*(E54=Table7[근무처])*(F54=Table7[업무]),Table7[휴일인센티브],0,0),0))</f>
        <v>0</v>
      </c>
      <c r="AJ54" s="94" cm="1">
        <f t="array" ref="AJ54">ROUND(AC54*IF(U54&gt;=8/24,U54-8/24,0)*24*_xlfn.XLOOKUP(1,(D54&lt;=Table7[End])*(E54=Table7[근무처])*(F54=Table7[업무]),Table7[야간인센티브],0,0),0)</f>
        <v>0</v>
      </c>
      <c r="AK54" s="94" cm="1">
        <f t="array" ref="AK54">IF(V54=0,0,ROUND(AC54*V54*24*_xlfn.XLOOKUP(1,(D54&lt;=Table7[End])*(E54=Table7[근무처])*(F54=Table7[업무]),Table7[야간인센티브],0,0),0))</f>
        <v>0</v>
      </c>
      <c r="AL54" s="95"/>
      <c r="AM54" s="94">
        <f t="shared" si="6"/>
        <v>102528</v>
      </c>
      <c r="AN54" s="94" cm="1">
        <f t="array" ref="AN54">IF(AM54&gt;=_xlfn.XLOOKUP(TRUE,D54&lt;=Table5[End],Table5[비과세소득기준],0,0),AM54-_xlfn.XLOOKUP(TRUE,D54&lt;=Table5[End],Table5[비과세소득기준],0,0),0)</f>
        <v>0</v>
      </c>
      <c r="AO54" s="94" cm="1">
        <f t="array" ref="AO54">ROUNDDOWN(_xlfn.LET(_xlpm.setvalue,_xlfn.XLOOKUP(TRUE,D54&lt;=Table5[End],Table5[[요율]:[근로소득세액공제]],0,0),_xlpm.tax,AN54*PRODUCT((_xlpm.setvalue-{0,1})*{1,-1}),_xlpm.threshold,_xlfn.XLOOKUP(TRUE,D54&lt;=Table5[End],Table5[소액부징수기준],0,0),IF(_xlpm.tax&gt;=_xlpm.threshold,_xlpm.tax,0)),-1)</f>
        <v>0</v>
      </c>
      <c r="AP54" s="94">
        <f>ROUNDDOWN(Table2[[#This Row],[소득세]]*10%,-1)</f>
        <v>0</v>
      </c>
      <c r="AQ54" s="94">
        <f>IF(AB54="v",AM54+IF(Y54=8,SUMIFS(Table2[지급총액],Table2[주민등록번호],O54,Table2[월],R54,Table2[월간
근무일],"&lt;="&amp;8)-AM54,0),0)+_xlfn.NUMBERVALUE(AR54)</f>
        <v>0</v>
      </c>
      <c r="AR54" s="95"/>
      <c r="AS54" s="94" cm="1">
        <f t="array" ref="AS54">ROUNDDOWN($AQ54*_xlfn.XLOOKUP(1,(AS$5=Table8[Type])*($D54&lt;=Table8[End]),Table8[요율],0,0),0)</f>
        <v>0</v>
      </c>
      <c r="AT54" s="94" cm="1">
        <f t="array" ref="AT54">ROUNDDOWN(AS54*_xlfn.XLOOKUP(1,(AT$5=Table8[Type])*($D54&lt;=Table8[End]),Table8[요율],0,0),-1)</f>
        <v>0</v>
      </c>
      <c r="AU54" s="94" cm="1">
        <f t="array" ref="AU54">ROUNDDOWN($AQ54*_xlfn.XLOOKUP(1,(AU$5=Table8[Type])*($D54&lt;=Table8[End]),Table8[요율],0,0),-1)</f>
        <v>0</v>
      </c>
      <c r="AV54" s="94" cm="1">
        <f t="array" ref="AV54">ROUNDDOWN(AM54*_xlfn.XLOOKUP(1,(AV$5=Table8[Type])*($D54&lt;=Table8[End]),Table8[요율],0,0),-1)</f>
        <v>0</v>
      </c>
      <c r="AW54" s="94" cm="1">
        <f t="array" ref="AW54">_xlfn.XLOOKUP(1,(O54=Table2[주민등록번호])*(D54&gt;Table2[근무일자]),Table2[청구 Claim 
이월],0,0,-1)</f>
        <v>0</v>
      </c>
      <c r="AX54" s="95"/>
      <c r="AY54" s="94" cm="1">
        <f t="array" ref="AY54">MAX(SUM(AO54:AP54,AS54:AX54)-_xlfn.XLOOKUP(1,(D54&lt;=Table7[End])*(E54=Table7[근무처])*(F54=Table7[업무]),Table7[1일 공제 상한],0,0),0)</f>
        <v>0</v>
      </c>
      <c r="AZ54" s="94">
        <f t="shared" si="7"/>
        <v>0</v>
      </c>
      <c r="BA54" s="94">
        <f t="shared" si="8"/>
        <v>102528</v>
      </c>
      <c r="BB54" s="97">
        <f t="shared" si="9"/>
        <v>0</v>
      </c>
      <c r="BC54" s="98"/>
      <c r="BD54" s="94">
        <f t="shared" si="10"/>
        <v>0</v>
      </c>
      <c r="BE54" s="94">
        <f t="shared" si="11"/>
        <v>0</v>
      </c>
      <c r="BF54" s="94">
        <f t="shared" si="12"/>
        <v>0</v>
      </c>
      <c r="BG54" s="94">
        <f t="shared" si="13"/>
        <v>0</v>
      </c>
      <c r="BH54" s="94" cm="1">
        <f t="array" ref="BH54">ROUNDDOWN(AM54*_xlfn.XLOOKUP(1,(BH$5=Table8[Type])*($D54&lt;=Table8[End]),Table8[요율],0,0),-1)</f>
        <v>820</v>
      </c>
      <c r="BI54" s="93" t="str" cm="1">
        <f t="array" ref="BI54">_xlfn.XLOOKUP(1,(D54&lt;=Table7[End])*(E54=Table7[근무처])*(F54=Table7[업무]),Table7[지급옵션],0,0)</f>
        <v>차주 화</v>
      </c>
      <c r="BJ54" s="83">
        <f>IF(BK54&lt;&gt;"",BK54,IFERROR(D54+_xlfn.NUMBERVALUE(RIGHT(BI54,1)),D54-WEEKDAY(D54)+CHOOSE(MATCH(RIGHT(BI54),{"일","월","화","수","목","금","토"},0),8,9,10,11,12,13,14)))</f>
        <v>45720</v>
      </c>
      <c r="BK54" s="99"/>
    </row>
    <row r="55" spans="2:63" x14ac:dyDescent="0.35">
      <c r="B55" s="20" t="str" cm="1">
        <f t="array" ref="B55">_xlfn.IFS(BB55&lt;&gt;BC55,"Claim확인",N55&lt;&gt;"OK","확인필요",TRUE,"")</f>
        <v/>
      </c>
      <c r="C55" s="21" t="str">
        <f t="shared" si="0"/>
        <v>010-5X8X-X4X0920X02XX253123</v>
      </c>
      <c r="D55" s="26">
        <v>45714</v>
      </c>
      <c r="E55" s="91" t="s">
        <v>255</v>
      </c>
      <c r="F55" s="25" t="s">
        <v>257</v>
      </c>
      <c r="G55" s="27" t="s">
        <v>288</v>
      </c>
      <c r="H55" s="25" t="s">
        <v>303</v>
      </c>
      <c r="I55" s="25"/>
      <c r="J55" s="25" t="s">
        <v>304</v>
      </c>
      <c r="K55" s="28">
        <v>0.47916666666666669</v>
      </c>
      <c r="L55" s="28">
        <v>0.85416666666666663</v>
      </c>
      <c r="M55" s="28">
        <v>4.1666666666666664E-2</v>
      </c>
      <c r="N55" s="25" t="s">
        <v>281</v>
      </c>
      <c r="O55" s="29" t="str">
        <f>_xlfn.XLOOKUP(Table2[[#This Row],[Key]],Table1[Key],Table1[주민등록번호],"",0)</f>
        <v>941XX31XX3X14</v>
      </c>
      <c r="P55" s="29">
        <f>_xlfn.XLOOKUP(Table2[[#This Row],[Key]],Table1[Key],Table1[비자],"",0)</f>
        <v>0</v>
      </c>
      <c r="Q55" s="29">
        <f>IF(P55=0,0,_xlfn.XLOOKUP(Table2[[#This Row],[Key]],Table1[Key],Table1[고용보험 여부],0,0))</f>
        <v>0</v>
      </c>
      <c r="R55" s="29" t="str">
        <f t="shared" si="1"/>
        <v>2502</v>
      </c>
      <c r="S55" s="30" t="str">
        <f>YEAR(Table2[[#This Row],[근무일자]])&amp;TEXT(WEEKNUM(Table2[[#This Row],[근무일자]]),"00")</f>
        <v>202509</v>
      </c>
      <c r="T55" s="31">
        <f>_xlfn.XLOOKUP(Table2[[#This Row],[Key]],Table1[Key],Table1[등록일],"",0)</f>
        <v>45846</v>
      </c>
      <c r="U55" s="32">
        <f t="shared" si="2"/>
        <v>0.33333333333333326</v>
      </c>
      <c r="V55" s="92">
        <f t="shared" si="3"/>
        <v>0</v>
      </c>
      <c r="W55" s="100" t="str">
        <f>_xlfn.XLOOKUP(Table2[[#This Row],[근무일자]],Table3[Date],Table3[Holiday],"",0)</f>
        <v/>
      </c>
      <c r="X55" s="93">
        <f>IF(D55&lt;&gt;"",1,0)+IF(COUNTIFS(Table2[주민등록번호],O55,Table2[월],TEXT(EOMONTH(D55,-1),"YYMM"))&gt;0,1+IF(COUNTIFS(Table2[주민등록번호],O55,Table2[월],TEXT(EOMONTH(D55,-2),"YYMM"))&gt;0,1+IF(COUNTIFS(Table2[주민등록번호],O55,Table2[월],TEXT(EOMONTH(D55,-3),"YYMM"))&gt;0,1,0),0),0)</f>
        <v>1</v>
      </c>
      <c r="Y55" s="29">
        <f>COUNTIFS(Table2[주민등록번호],O55,Table2[월],R55,Table2[근무일자],"&lt;="&amp;D55)</f>
        <v>9</v>
      </c>
      <c r="Z55" s="29">
        <f>COUNTIFS(Table2[주민등록번호],O55,Table2[주간],S55,Table2[근무일자],"&lt;="&amp;D55)</f>
        <v>3</v>
      </c>
      <c r="AA55" s="29">
        <f>SUMIFS(Table2[근로
시간],Table2[주민등록번호],O55,Table2[주간],S55,Table2[근무일자],"&lt;="&amp;D55)*24</f>
        <v>24</v>
      </c>
      <c r="AB55" s="29" t="str">
        <f>IF(AND(Y55&gt;=8,COUNTIFS(Table2[주민등록번호],O55,Table2[근무일자],"&gt;="&amp;EOMONTH(D55,-2)+1,Table2[근무일자],"&lt;="&amp;EOMONTH(D55,-1)+1)&gt;0),"V","")</f>
        <v/>
      </c>
      <c r="AC55" s="94" cm="1">
        <f t="array" ref="AC55">IF(AD55&lt;&gt;"",AD55,_xlfn.XLOOKUP(1,(D55&lt;=Table7[End])*(E55=Table7[근무처])*(F55=Table7[업무]),Table7[시급],0,0))</f>
        <v>10030</v>
      </c>
      <c r="AD55" s="95"/>
      <c r="AE55" s="94">
        <f t="shared" si="4"/>
        <v>80240</v>
      </c>
      <c r="AF55" s="96" cm="1">
        <f t="array" ref="AF55">IF(AND(AA55&gt;=15,(AA55-U55*24)&lt;=40),IF(Z55&gt;=_xlfn.XLOOKUP(1,(D55&lt;=Table7[End])*(E55=Table7[근무처])*(F55=Table7[업무]),Table7[주휴적용일],0,0),1,0)+_xlfn.XLOOKUP(1,(Table2[주간]=Table2[[#This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55" s="96" cm="1">
        <f t="array" ref="AG55">MAX((_xlfn.IFS(AF55=0,0,AF55=1,AA55,AF55&gt;1,U55*24)-IF(AA55&gt;40,AA55-40,0))/5,0)</f>
        <v>1.5999999999999996</v>
      </c>
      <c r="AH55" s="94">
        <f t="shared" si="5"/>
        <v>16048</v>
      </c>
      <c r="AI55" s="33" cm="1">
        <f t="array" ref="AI55">IF(W55="",0,ROUND(AC55*U55*24*_xlfn.XLOOKUP(1,(D55&lt;=Table7[End])*(E55=Table7[근무처])*(F55=Table7[업무]),Table7[휴일인센티브],0,0),0))</f>
        <v>0</v>
      </c>
      <c r="AJ55" s="94" cm="1">
        <f t="array" ref="AJ55">ROUND(AC55*IF(U55&gt;=8/24,U55-8/24,0)*24*_xlfn.XLOOKUP(1,(D55&lt;=Table7[End])*(E55=Table7[근무처])*(F55=Table7[업무]),Table7[야간인센티브],0,0),0)</f>
        <v>0</v>
      </c>
      <c r="AK55" s="94" cm="1">
        <f t="array" ref="AK55">IF(V55=0,0,ROUND(AC55*V55*24*_xlfn.XLOOKUP(1,(D55&lt;=Table7[End])*(E55=Table7[근무처])*(F55=Table7[업무]),Table7[야간인센티브],0,0),0))</f>
        <v>0</v>
      </c>
      <c r="AL55" s="95"/>
      <c r="AM55" s="94">
        <f t="shared" si="6"/>
        <v>96288</v>
      </c>
      <c r="AN55" s="94" cm="1">
        <f t="array" ref="AN55">IF(AM55&gt;=_xlfn.XLOOKUP(TRUE,D55&lt;=Table5[End],Table5[비과세소득기준],0,0),AM55-_xlfn.XLOOKUP(TRUE,D55&lt;=Table5[End],Table5[비과세소득기준],0,0),0)</f>
        <v>0</v>
      </c>
      <c r="AO55" s="94" cm="1">
        <f t="array" ref="AO55">ROUNDDOWN(_xlfn.LET(_xlpm.setvalue,_xlfn.XLOOKUP(TRUE,D55&lt;=Table5[End],Table5[[요율]:[근로소득세액공제]],0,0),_xlpm.tax,AN55*PRODUCT((_xlpm.setvalue-{0,1})*{1,-1}),_xlpm.threshold,_xlfn.XLOOKUP(TRUE,D55&lt;=Table5[End],Table5[소액부징수기준],0,0),IF(_xlpm.tax&gt;=_xlpm.threshold,_xlpm.tax,0)),-1)</f>
        <v>0</v>
      </c>
      <c r="AP55" s="94">
        <f>ROUNDDOWN(Table2[[#This Row],[소득세]]*10%,-1)</f>
        <v>0</v>
      </c>
      <c r="AQ55" s="94">
        <f>IF(AB55="v",AM55+IF(Y55=8,SUMIFS(Table2[지급총액],Table2[주민등록번호],O55,Table2[월],R55,Table2[월간
근무일],"&lt;="&amp;8)-AM55,0),0)+_xlfn.NUMBERVALUE(AR55)</f>
        <v>0</v>
      </c>
      <c r="AR55" s="95"/>
      <c r="AS55" s="94" cm="1">
        <f t="array" ref="AS55">ROUNDDOWN($AQ55*_xlfn.XLOOKUP(1,(AS$5=Table8[Type])*($D55&lt;=Table8[End]),Table8[요율],0,0),0)</f>
        <v>0</v>
      </c>
      <c r="AT55" s="94" cm="1">
        <f t="array" ref="AT55">ROUNDDOWN(AS55*_xlfn.XLOOKUP(1,(AT$5=Table8[Type])*($D55&lt;=Table8[End]),Table8[요율],0,0),-1)</f>
        <v>0</v>
      </c>
      <c r="AU55" s="94" cm="1">
        <f t="array" ref="AU55">ROUNDDOWN($AQ55*_xlfn.XLOOKUP(1,(AU$5=Table8[Type])*($D55&lt;=Table8[End]),Table8[요율],0,0),-1)</f>
        <v>0</v>
      </c>
      <c r="AV55" s="94" cm="1">
        <f t="array" ref="AV55">ROUNDDOWN(AM55*_xlfn.XLOOKUP(1,(AV$5=Table8[Type])*($D55&lt;=Table8[End]),Table8[요율],0,0),-1)</f>
        <v>0</v>
      </c>
      <c r="AW55" s="94" cm="1">
        <f t="array" ref="AW55">_xlfn.XLOOKUP(1,(O55=Table2[주민등록번호])*(D55&gt;Table2[근무일자]),Table2[청구 Claim 
이월],0,0,-1)</f>
        <v>0</v>
      </c>
      <c r="AX55" s="95"/>
      <c r="AY55" s="94" cm="1">
        <f t="array" ref="AY55">MAX(SUM(AO55:AP55,AS55:AX55)-_xlfn.XLOOKUP(1,(D55&lt;=Table7[End])*(E55=Table7[근무처])*(F55=Table7[업무]),Table7[1일 공제 상한],0,0),0)</f>
        <v>0</v>
      </c>
      <c r="AZ55" s="94">
        <f t="shared" si="7"/>
        <v>0</v>
      </c>
      <c r="BA55" s="94">
        <f t="shared" si="8"/>
        <v>96288</v>
      </c>
      <c r="BB55" s="97">
        <f t="shared" si="9"/>
        <v>0</v>
      </c>
      <c r="BC55" s="98"/>
      <c r="BD55" s="94">
        <f t="shared" si="10"/>
        <v>0</v>
      </c>
      <c r="BE55" s="94">
        <f t="shared" si="11"/>
        <v>0</v>
      </c>
      <c r="BF55" s="94">
        <f t="shared" si="12"/>
        <v>0</v>
      </c>
      <c r="BG55" s="94">
        <f t="shared" si="13"/>
        <v>0</v>
      </c>
      <c r="BH55" s="94" cm="1">
        <f t="array" ref="BH55">ROUNDDOWN(AM55*_xlfn.XLOOKUP(1,(BH$5=Table8[Type])*($D55&lt;=Table8[End]),Table8[요율],0,0),-1)</f>
        <v>770</v>
      </c>
      <c r="BI55" s="93" t="str" cm="1">
        <f t="array" ref="BI55">_xlfn.XLOOKUP(1,(D55&lt;=Table7[End])*(E55=Table7[근무처])*(F55=Table7[업무]),Table7[지급옵션],0,0)</f>
        <v>차주 화</v>
      </c>
      <c r="BJ55" s="83">
        <f>IF(BK55&lt;&gt;"",BK55,IFERROR(D55+_xlfn.NUMBERVALUE(RIGHT(BI55,1)),D55-WEEKDAY(D55)+CHOOSE(MATCH(RIGHT(BI55),{"일","월","화","수","목","금","토"},0),8,9,10,11,12,13,14)))</f>
        <v>45720</v>
      </c>
      <c r="BK55" s="99"/>
    </row>
    <row r="56" spans="2:63" x14ac:dyDescent="0.35">
      <c r="B56" s="20" t="str" cm="1">
        <f t="array" ref="B56">_xlfn.IFS(BB56&lt;&gt;BC56,"Claim확인",N56&lt;&gt;"OK","확인필요",TRUE,"")</f>
        <v/>
      </c>
      <c r="C56" s="21" t="str">
        <f t="shared" si="0"/>
        <v>010-5X8X-X4X0920X02XX253123</v>
      </c>
      <c r="D56" s="26">
        <v>45715</v>
      </c>
      <c r="E56" s="91" t="s">
        <v>255</v>
      </c>
      <c r="F56" s="25" t="s">
        <v>257</v>
      </c>
      <c r="G56" s="27" t="s">
        <v>288</v>
      </c>
      <c r="H56" s="25" t="s">
        <v>303</v>
      </c>
      <c r="I56" s="25"/>
      <c r="J56" s="25" t="s">
        <v>304</v>
      </c>
      <c r="K56" s="28">
        <v>0.45833333333333331</v>
      </c>
      <c r="L56" s="28">
        <v>0.83333333333333337</v>
      </c>
      <c r="M56" s="28">
        <v>4.1666666666666664E-2</v>
      </c>
      <c r="N56" s="25" t="s">
        <v>281</v>
      </c>
      <c r="O56" s="29" t="str">
        <f>_xlfn.XLOOKUP(Table2[[#This Row],[Key]],Table1[Key],Table1[주민등록번호],"",0)</f>
        <v>941XX31XX3X14</v>
      </c>
      <c r="P56" s="29">
        <f>_xlfn.XLOOKUP(Table2[[#This Row],[Key]],Table1[Key],Table1[비자],"",0)</f>
        <v>0</v>
      </c>
      <c r="Q56" s="29">
        <f>IF(P56=0,0,_xlfn.XLOOKUP(Table2[[#This Row],[Key]],Table1[Key],Table1[고용보험 여부],0,0))</f>
        <v>0</v>
      </c>
      <c r="R56" s="29" t="str">
        <f t="shared" si="1"/>
        <v>2502</v>
      </c>
      <c r="S56" s="30" t="str">
        <f>YEAR(Table2[[#This Row],[근무일자]])&amp;TEXT(WEEKNUM(Table2[[#This Row],[근무일자]]),"00")</f>
        <v>202509</v>
      </c>
      <c r="T56" s="31">
        <f>_xlfn.XLOOKUP(Table2[[#This Row],[Key]],Table1[Key],Table1[등록일],"",0)</f>
        <v>45846</v>
      </c>
      <c r="U56" s="32">
        <f t="shared" si="2"/>
        <v>0.33333333333333337</v>
      </c>
      <c r="V56" s="92">
        <f t="shared" si="3"/>
        <v>0</v>
      </c>
      <c r="W56" s="100" t="str">
        <f>_xlfn.XLOOKUP(Table2[[#This Row],[근무일자]],Table3[Date],Table3[Holiday],"",0)</f>
        <v/>
      </c>
      <c r="X56" s="93">
        <f>IF(D56&lt;&gt;"",1,0)+IF(COUNTIFS(Table2[주민등록번호],O56,Table2[월],TEXT(EOMONTH(D56,-1),"YYMM"))&gt;0,1+IF(COUNTIFS(Table2[주민등록번호],O56,Table2[월],TEXT(EOMONTH(D56,-2),"YYMM"))&gt;0,1+IF(COUNTIFS(Table2[주민등록번호],O56,Table2[월],TEXT(EOMONTH(D56,-3),"YYMM"))&gt;0,1,0),0),0)</f>
        <v>1</v>
      </c>
      <c r="Y56" s="29">
        <f>COUNTIFS(Table2[주민등록번호],O56,Table2[월],R56,Table2[근무일자],"&lt;="&amp;D56)</f>
        <v>10</v>
      </c>
      <c r="Z56" s="29">
        <f>COUNTIFS(Table2[주민등록번호],O56,Table2[주간],S56,Table2[근무일자],"&lt;="&amp;D56)</f>
        <v>4</v>
      </c>
      <c r="AA56" s="29">
        <f>SUMIFS(Table2[근로
시간],Table2[주민등록번호],O56,Table2[주간],S56,Table2[근무일자],"&lt;="&amp;D56)*24</f>
        <v>32</v>
      </c>
      <c r="AB56" s="29" t="str">
        <f>IF(AND(Y56&gt;=8,COUNTIFS(Table2[주민등록번호],O56,Table2[근무일자],"&gt;="&amp;EOMONTH(D56,-2)+1,Table2[근무일자],"&lt;="&amp;EOMONTH(D56,-1)+1)&gt;0),"V","")</f>
        <v/>
      </c>
      <c r="AC56" s="94" cm="1">
        <f t="array" ref="AC56">IF(AD56&lt;&gt;"",AD56,_xlfn.XLOOKUP(1,(D56&lt;=Table7[End])*(E56=Table7[근무처])*(F56=Table7[업무]),Table7[시급],0,0))</f>
        <v>10030</v>
      </c>
      <c r="AD56" s="95"/>
      <c r="AE56" s="94">
        <f t="shared" si="4"/>
        <v>80240</v>
      </c>
      <c r="AF56" s="96" cm="1">
        <f t="array" ref="AF56">IF(AND(AA56&gt;=15,(AA56-U56*24)&lt;=40),IF(Z56&gt;=_xlfn.XLOOKUP(1,(D56&lt;=Table7[End])*(E56=Table7[근무처])*(F56=Table7[업무]),Table7[주휴적용일],0,0),1,0)+_xlfn.XLOOKUP(1,(Table2[주간]=Table2[[#This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56" s="96" cm="1">
        <f t="array" ref="AG56">MAX((_xlfn.IFS(AF56=0,0,AF56=1,AA56,AF56&gt;1,U56*24)-IF(AA56&gt;40,AA56-40,0))/5,0)</f>
        <v>1.6</v>
      </c>
      <c r="AH56" s="94">
        <f t="shared" si="5"/>
        <v>16048</v>
      </c>
      <c r="AI56" s="33" cm="1">
        <f t="array" ref="AI56">IF(W56="",0,ROUND(AC56*U56*24*_xlfn.XLOOKUP(1,(D56&lt;=Table7[End])*(E56=Table7[근무처])*(F56=Table7[업무]),Table7[휴일인센티브],0,0),0))</f>
        <v>0</v>
      </c>
      <c r="AJ56" s="94" cm="1">
        <f t="array" ref="AJ56">ROUND(AC56*IF(U56&gt;=8/24,U56-8/24,0)*24*_xlfn.XLOOKUP(1,(D56&lt;=Table7[End])*(E56=Table7[근무처])*(F56=Table7[업무]),Table7[야간인센티브],0,0),0)</f>
        <v>0</v>
      </c>
      <c r="AK56" s="94" cm="1">
        <f t="array" ref="AK56">IF(V56=0,0,ROUND(AC56*V56*24*_xlfn.XLOOKUP(1,(D56&lt;=Table7[End])*(E56=Table7[근무처])*(F56=Table7[업무]),Table7[야간인센티브],0,0),0))</f>
        <v>0</v>
      </c>
      <c r="AL56" s="95"/>
      <c r="AM56" s="94">
        <f t="shared" si="6"/>
        <v>96288</v>
      </c>
      <c r="AN56" s="94" cm="1">
        <f t="array" ref="AN56">IF(AM56&gt;=_xlfn.XLOOKUP(TRUE,D56&lt;=Table5[End],Table5[비과세소득기준],0,0),AM56-_xlfn.XLOOKUP(TRUE,D56&lt;=Table5[End],Table5[비과세소득기준],0,0),0)</f>
        <v>0</v>
      </c>
      <c r="AO56" s="94" cm="1">
        <f t="array" ref="AO56">ROUNDDOWN(_xlfn.LET(_xlpm.setvalue,_xlfn.XLOOKUP(TRUE,D56&lt;=Table5[End],Table5[[요율]:[근로소득세액공제]],0,0),_xlpm.tax,AN56*PRODUCT((_xlpm.setvalue-{0,1})*{1,-1}),_xlpm.threshold,_xlfn.XLOOKUP(TRUE,D56&lt;=Table5[End],Table5[소액부징수기준],0,0),IF(_xlpm.tax&gt;=_xlpm.threshold,_xlpm.tax,0)),-1)</f>
        <v>0</v>
      </c>
      <c r="AP56" s="94">
        <f>ROUNDDOWN(Table2[[#This Row],[소득세]]*10%,-1)</f>
        <v>0</v>
      </c>
      <c r="AQ56" s="94">
        <f>IF(AB56="v",AM56+IF(Y56=8,SUMIFS(Table2[지급총액],Table2[주민등록번호],O56,Table2[월],R56,Table2[월간
근무일],"&lt;="&amp;8)-AM56,0),0)+_xlfn.NUMBERVALUE(AR56)</f>
        <v>0</v>
      </c>
      <c r="AR56" s="95"/>
      <c r="AS56" s="94" cm="1">
        <f t="array" ref="AS56">ROUNDDOWN($AQ56*_xlfn.XLOOKUP(1,(AS$5=Table8[Type])*($D56&lt;=Table8[End]),Table8[요율],0,0),0)</f>
        <v>0</v>
      </c>
      <c r="AT56" s="94" cm="1">
        <f t="array" ref="AT56">ROUNDDOWN(AS56*_xlfn.XLOOKUP(1,(AT$5=Table8[Type])*($D56&lt;=Table8[End]),Table8[요율],0,0),-1)</f>
        <v>0</v>
      </c>
      <c r="AU56" s="94" cm="1">
        <f t="array" ref="AU56">ROUNDDOWN($AQ56*_xlfn.XLOOKUP(1,(AU$5=Table8[Type])*($D56&lt;=Table8[End]),Table8[요율],0,0),-1)</f>
        <v>0</v>
      </c>
      <c r="AV56" s="94" cm="1">
        <f t="array" ref="AV56">ROUNDDOWN(AM56*_xlfn.XLOOKUP(1,(AV$5=Table8[Type])*($D56&lt;=Table8[End]),Table8[요율],0,0),-1)</f>
        <v>0</v>
      </c>
      <c r="AW56" s="94" cm="1">
        <f t="array" ref="AW56">_xlfn.XLOOKUP(1,(O56=Table2[주민등록번호])*(D56&gt;Table2[근무일자]),Table2[청구 Claim 
이월],0,0,-1)</f>
        <v>0</v>
      </c>
      <c r="AX56" s="95"/>
      <c r="AY56" s="94" cm="1">
        <f t="array" ref="AY56">MAX(SUM(AO56:AP56,AS56:AX56)-_xlfn.XLOOKUP(1,(D56&lt;=Table7[End])*(E56=Table7[근무처])*(F56=Table7[업무]),Table7[1일 공제 상한],0,0),0)</f>
        <v>0</v>
      </c>
      <c r="AZ56" s="94">
        <f t="shared" si="7"/>
        <v>0</v>
      </c>
      <c r="BA56" s="94">
        <f t="shared" si="8"/>
        <v>96288</v>
      </c>
      <c r="BB56" s="97">
        <f t="shared" si="9"/>
        <v>0</v>
      </c>
      <c r="BC56" s="98"/>
      <c r="BD56" s="94">
        <f t="shared" si="10"/>
        <v>0</v>
      </c>
      <c r="BE56" s="94">
        <f t="shared" si="11"/>
        <v>0</v>
      </c>
      <c r="BF56" s="94">
        <f t="shared" si="12"/>
        <v>0</v>
      </c>
      <c r="BG56" s="94">
        <f t="shared" si="13"/>
        <v>0</v>
      </c>
      <c r="BH56" s="94" cm="1">
        <f t="array" ref="BH56">ROUNDDOWN(AM56*_xlfn.XLOOKUP(1,(BH$5=Table8[Type])*($D56&lt;=Table8[End]),Table8[요율],0,0),-1)</f>
        <v>770</v>
      </c>
      <c r="BI56" s="93" t="str" cm="1">
        <f t="array" ref="BI56">_xlfn.XLOOKUP(1,(D56&lt;=Table7[End])*(E56=Table7[근무처])*(F56=Table7[업무]),Table7[지급옵션],0,0)</f>
        <v>차주 화</v>
      </c>
      <c r="BJ56" s="83">
        <f>IF(BK56&lt;&gt;"",BK56,IFERROR(D56+_xlfn.NUMBERVALUE(RIGHT(BI56,1)),D56-WEEKDAY(D56)+CHOOSE(MATCH(RIGHT(BI56),{"일","월","화","수","목","금","토"},0),8,9,10,11,12,13,14)))</f>
        <v>45720</v>
      </c>
      <c r="BK56" s="99"/>
    </row>
    <row r="57" spans="2:63" x14ac:dyDescent="0.35">
      <c r="B57" s="20" t="str" cm="1">
        <f t="array" ref="B57">_xlfn.IFS(BB57&lt;&gt;BC57,"Claim확인",N57&lt;&gt;"OK","확인필요",TRUE,"")</f>
        <v/>
      </c>
      <c r="C57" s="21" t="str">
        <f t="shared" si="0"/>
        <v>010-8X0X-X0X9982X03XX901018</v>
      </c>
      <c r="D57" s="26">
        <v>45716</v>
      </c>
      <c r="E57" s="91" t="s">
        <v>255</v>
      </c>
      <c r="F57" s="25" t="s">
        <v>258</v>
      </c>
      <c r="G57" s="27" t="s">
        <v>283</v>
      </c>
      <c r="H57" s="25" t="s">
        <v>291</v>
      </c>
      <c r="I57" s="25"/>
      <c r="J57" s="25" t="s">
        <v>292</v>
      </c>
      <c r="K57" s="28">
        <v>0.375</v>
      </c>
      <c r="L57" s="28">
        <v>0.75</v>
      </c>
      <c r="M57" s="28">
        <v>4.1666666666666664E-2</v>
      </c>
      <c r="N57" s="25" t="s">
        <v>281</v>
      </c>
      <c r="O57" s="29" t="str">
        <f>_xlfn.XLOOKUP(Table2[[#This Row],[Key]],Table1[Key],Table1[주민등록번호],"",0)</f>
        <v>960XX51XX9X15</v>
      </c>
      <c r="P57" s="29">
        <f>_xlfn.XLOOKUP(Table2[[#This Row],[Key]],Table1[Key],Table1[비자],"",0)</f>
        <v>0</v>
      </c>
      <c r="Q57" s="29">
        <f>IF(P57=0,0,_xlfn.XLOOKUP(Table2[[#This Row],[Key]],Table1[Key],Table1[고용보험 여부],0,0))</f>
        <v>0</v>
      </c>
      <c r="R57" s="29" t="str">
        <f t="shared" si="1"/>
        <v>2502</v>
      </c>
      <c r="S57" s="30" t="str">
        <f>YEAR(Table2[[#This Row],[근무일자]])&amp;TEXT(WEEKNUM(Table2[[#This Row],[근무일자]]),"00")</f>
        <v>202509</v>
      </c>
      <c r="T57" s="31">
        <f>_xlfn.XLOOKUP(Table2[[#This Row],[Key]],Table1[Key],Table1[등록일],"",0)</f>
        <v>45698</v>
      </c>
      <c r="U57" s="32">
        <f t="shared" si="2"/>
        <v>0.33333333333333331</v>
      </c>
      <c r="V57" s="92">
        <f t="shared" si="3"/>
        <v>0</v>
      </c>
      <c r="W57" s="100" t="str">
        <f>_xlfn.XLOOKUP(Table2[[#This Row],[근무일자]],Table3[Date],Table3[Holiday],"",0)</f>
        <v/>
      </c>
      <c r="X57" s="93">
        <f>IF(D57&lt;&gt;"",1,0)+IF(COUNTIFS(Table2[주민등록번호],O57,Table2[월],TEXT(EOMONTH(D57,-1),"YYMM"))&gt;0,1+IF(COUNTIFS(Table2[주민등록번호],O57,Table2[월],TEXT(EOMONTH(D57,-2),"YYMM"))&gt;0,1+IF(COUNTIFS(Table2[주민등록번호],O57,Table2[월],TEXT(EOMONTH(D57,-3),"YYMM"))&gt;0,1,0),0),0)</f>
        <v>1</v>
      </c>
      <c r="Y57" s="29">
        <f>COUNTIFS(Table2[주민등록번호],O57,Table2[월],R57,Table2[근무일자],"&lt;="&amp;D57)</f>
        <v>11</v>
      </c>
      <c r="Z57" s="29">
        <f>COUNTIFS(Table2[주민등록번호],O57,Table2[주간],S57,Table2[근무일자],"&lt;="&amp;D57)</f>
        <v>4</v>
      </c>
      <c r="AA57" s="29">
        <f>SUMIFS(Table2[근로
시간],Table2[주민등록번호],O57,Table2[주간],S57,Table2[근무일자],"&lt;="&amp;D57)*24</f>
        <v>32</v>
      </c>
      <c r="AB57" s="29" t="str">
        <f>IF(AND(Y57&gt;=8,COUNTIFS(Table2[주민등록번호],O57,Table2[근무일자],"&gt;="&amp;EOMONTH(D57,-2)+1,Table2[근무일자],"&lt;="&amp;EOMONTH(D57,-1)+1)&gt;0),"V","")</f>
        <v/>
      </c>
      <c r="AC57" s="94" cm="1">
        <f t="array" ref="AC57">IF(AD57&lt;&gt;"",AD57,_xlfn.XLOOKUP(1,(D57&lt;=Table7[End])*(E57=Table7[근무처])*(F57=Table7[업무]),Table7[시급],0,0))</f>
        <v>10680</v>
      </c>
      <c r="AD57" s="95"/>
      <c r="AE57" s="94">
        <f t="shared" si="4"/>
        <v>85440</v>
      </c>
      <c r="AF57" s="96" cm="1">
        <f t="array" ref="AF57">IF(AND(AA57&gt;=15,(AA57-U57*24)&lt;=40),IF(Z57&gt;=_xlfn.XLOOKUP(1,(D57&lt;=Table7[End])*(E57=Table7[근무처])*(F57=Table7[업무]),Table7[주휴적용일],0,0),1,0)+_xlfn.XLOOKUP(1,(Table2[주간]=Table2[[#This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57" s="96" cm="1">
        <f t="array" ref="AG57">MAX((_xlfn.IFS(AF57=0,0,AF57=1,AA57,AF57&gt;1,U57*24)-IF(AA57&gt;40,AA57-40,0))/5,0)</f>
        <v>1.6</v>
      </c>
      <c r="AH57" s="94">
        <f t="shared" si="5"/>
        <v>17088</v>
      </c>
      <c r="AI57" s="33" cm="1">
        <f t="array" ref="AI57">IF(W57="",0,ROUND(AC57*U57*24*_xlfn.XLOOKUP(1,(D57&lt;=Table7[End])*(E57=Table7[근무처])*(F57=Table7[업무]),Table7[휴일인센티브],0,0),0))</f>
        <v>0</v>
      </c>
      <c r="AJ57" s="94" cm="1">
        <f t="array" ref="AJ57">ROUND(AC57*IF(U57&gt;=8/24,U57-8/24,0)*24*_xlfn.XLOOKUP(1,(D57&lt;=Table7[End])*(E57=Table7[근무처])*(F57=Table7[업무]),Table7[야간인센티브],0,0),0)</f>
        <v>0</v>
      </c>
      <c r="AK57" s="94" cm="1">
        <f t="array" ref="AK57">IF(V57=0,0,ROUND(AC57*V57*24*_xlfn.XLOOKUP(1,(D57&lt;=Table7[End])*(E57=Table7[근무처])*(F57=Table7[업무]),Table7[야간인센티브],0,0),0))</f>
        <v>0</v>
      </c>
      <c r="AL57" s="95"/>
      <c r="AM57" s="94">
        <f t="shared" si="6"/>
        <v>102528</v>
      </c>
      <c r="AN57" s="94" cm="1">
        <f t="array" ref="AN57">IF(AM57&gt;=_xlfn.XLOOKUP(TRUE,D57&lt;=Table5[End],Table5[비과세소득기준],0,0),AM57-_xlfn.XLOOKUP(TRUE,D57&lt;=Table5[End],Table5[비과세소득기준],0,0),0)</f>
        <v>0</v>
      </c>
      <c r="AO57" s="94" cm="1">
        <f t="array" ref="AO57">ROUNDDOWN(_xlfn.LET(_xlpm.setvalue,_xlfn.XLOOKUP(TRUE,D57&lt;=Table5[End],Table5[[요율]:[근로소득세액공제]],0,0),_xlpm.tax,AN57*PRODUCT((_xlpm.setvalue-{0,1})*{1,-1}),_xlpm.threshold,_xlfn.XLOOKUP(TRUE,D57&lt;=Table5[End],Table5[소액부징수기준],0,0),IF(_xlpm.tax&gt;=_xlpm.threshold,_xlpm.tax,0)),-1)</f>
        <v>0</v>
      </c>
      <c r="AP57" s="94">
        <f>ROUNDDOWN(Table2[[#This Row],[소득세]]*10%,-1)</f>
        <v>0</v>
      </c>
      <c r="AQ57" s="94">
        <f>IF(AB57="v",AM57+IF(Y57=8,SUMIFS(Table2[지급총액],Table2[주민등록번호],O57,Table2[월],R57,Table2[월간
근무일],"&lt;="&amp;8)-AM57,0),0)+_xlfn.NUMBERVALUE(AR57)</f>
        <v>0</v>
      </c>
      <c r="AR57" s="95"/>
      <c r="AS57" s="94" cm="1">
        <f t="array" ref="AS57">ROUNDDOWN($AQ57*_xlfn.XLOOKUP(1,(AS$5=Table8[Type])*($D57&lt;=Table8[End]),Table8[요율],0,0),0)</f>
        <v>0</v>
      </c>
      <c r="AT57" s="94" cm="1">
        <f t="array" ref="AT57">ROUNDDOWN(AS57*_xlfn.XLOOKUP(1,(AT$5=Table8[Type])*($D57&lt;=Table8[End]),Table8[요율],0,0),-1)</f>
        <v>0</v>
      </c>
      <c r="AU57" s="94" cm="1">
        <f t="array" ref="AU57">ROUNDDOWN($AQ57*_xlfn.XLOOKUP(1,(AU$5=Table8[Type])*($D57&lt;=Table8[End]),Table8[요율],0,0),-1)</f>
        <v>0</v>
      </c>
      <c r="AV57" s="94" cm="1">
        <f t="array" ref="AV57">ROUNDDOWN(AM57*_xlfn.XLOOKUP(1,(AV$5=Table8[Type])*($D57&lt;=Table8[End]),Table8[요율],0,0),-1)</f>
        <v>0</v>
      </c>
      <c r="AW57" s="94" cm="1">
        <f t="array" ref="AW57">_xlfn.XLOOKUP(1,(O57=Table2[주민등록번호])*(D57&gt;Table2[근무일자]),Table2[청구 Claim 
이월],0,0,-1)</f>
        <v>0</v>
      </c>
      <c r="AX57" s="95"/>
      <c r="AY57" s="94" cm="1">
        <f t="array" ref="AY57">MAX(SUM(AO57:AP57,AS57:AX57)-_xlfn.XLOOKUP(1,(D57&lt;=Table7[End])*(E57=Table7[근무처])*(F57=Table7[업무]),Table7[1일 공제 상한],0,0),0)</f>
        <v>0</v>
      </c>
      <c r="AZ57" s="94">
        <f t="shared" si="7"/>
        <v>0</v>
      </c>
      <c r="BA57" s="94">
        <f t="shared" si="8"/>
        <v>102528</v>
      </c>
      <c r="BB57" s="97">
        <f t="shared" si="9"/>
        <v>0</v>
      </c>
      <c r="BC57" s="98"/>
      <c r="BD57" s="94">
        <f t="shared" si="10"/>
        <v>0</v>
      </c>
      <c r="BE57" s="94">
        <f t="shared" si="11"/>
        <v>0</v>
      </c>
      <c r="BF57" s="94">
        <f t="shared" si="12"/>
        <v>0</v>
      </c>
      <c r="BG57" s="94">
        <f t="shared" si="13"/>
        <v>0</v>
      </c>
      <c r="BH57" s="94" cm="1">
        <f t="array" ref="BH57">ROUNDDOWN(AM57*_xlfn.XLOOKUP(1,(BH$5=Table8[Type])*($D57&lt;=Table8[End]),Table8[요율],0,0),-1)</f>
        <v>820</v>
      </c>
      <c r="BI57" s="93" t="str" cm="1">
        <f t="array" ref="BI57">_xlfn.XLOOKUP(1,(D57&lt;=Table7[End])*(E57=Table7[근무처])*(F57=Table7[업무]),Table7[지급옵션],0,0)</f>
        <v>차주 화</v>
      </c>
      <c r="BJ57" s="83">
        <f>IF(BK57&lt;&gt;"",BK57,IFERROR(D57+_xlfn.NUMBERVALUE(RIGHT(BI57,1)),D57-WEEKDAY(D57)+CHOOSE(MATCH(RIGHT(BI57),{"일","월","화","수","목","금","토"},0),8,9,10,11,12,13,14)))</f>
        <v>45720</v>
      </c>
      <c r="BK57" s="99"/>
    </row>
    <row r="58" spans="2:63" x14ac:dyDescent="0.35">
      <c r="B58" s="20" t="str" cm="1">
        <f t="array" ref="B58">_xlfn.IFS(BB58&lt;&gt;BC58,"Claim확인",N58&lt;&gt;"OK","확인필요",TRUE,"")</f>
        <v/>
      </c>
      <c r="C58" s="21" t="str">
        <f t="shared" si="0"/>
        <v>010-7X6X-X9X5110X98XX7530</v>
      </c>
      <c r="D58" s="26">
        <v>45717</v>
      </c>
      <c r="E58" s="91" t="s">
        <v>255</v>
      </c>
      <c r="F58" s="25" t="s">
        <v>258</v>
      </c>
      <c r="G58" s="27" t="s">
        <v>282</v>
      </c>
      <c r="H58" s="25" t="s">
        <v>289</v>
      </c>
      <c r="I58" s="25"/>
      <c r="J58" s="25" t="s">
        <v>290</v>
      </c>
      <c r="K58" s="28">
        <v>0.375</v>
      </c>
      <c r="L58" s="28">
        <v>0.75</v>
      </c>
      <c r="M58" s="28">
        <v>4.1666666666666664E-2</v>
      </c>
      <c r="N58" s="25" t="s">
        <v>281</v>
      </c>
      <c r="O58" s="29" t="str">
        <f>_xlfn.XLOOKUP(Table2[[#This Row],[Key]],Table1[Key],Table1[주민등록번호],"",0)</f>
        <v>990XX62XX3X13</v>
      </c>
      <c r="P58" s="29">
        <f>_xlfn.XLOOKUP(Table2[[#This Row],[Key]],Table1[Key],Table1[비자],"",0)</f>
        <v>0</v>
      </c>
      <c r="Q58" s="29">
        <f>IF(P58=0,0,_xlfn.XLOOKUP(Table2[[#This Row],[Key]],Table1[Key],Table1[고용보험 여부],0,0))</f>
        <v>0</v>
      </c>
      <c r="R58" s="29" t="str">
        <f t="shared" si="1"/>
        <v>2503</v>
      </c>
      <c r="S58" s="30" t="str">
        <f>YEAR(Table2[[#This Row],[근무일자]])&amp;TEXT(WEEKNUM(Table2[[#This Row],[근무일자]]),"00")</f>
        <v>202509</v>
      </c>
      <c r="T58" s="31">
        <f>_xlfn.XLOOKUP(Table2[[#This Row],[Key]],Table1[Key],Table1[등록일],"",0)</f>
        <v>45696</v>
      </c>
      <c r="U58" s="32">
        <f t="shared" si="2"/>
        <v>0.33333333333333331</v>
      </c>
      <c r="V58" s="92">
        <f t="shared" si="3"/>
        <v>0</v>
      </c>
      <c r="W58" s="100" t="str">
        <f>_xlfn.XLOOKUP(Table2[[#This Row],[근무일자]],Table3[Date],Table3[Holiday],"",0)</f>
        <v>삼일절</v>
      </c>
      <c r="X58" s="93">
        <f>IF(D58&lt;&gt;"",1,0)+IF(COUNTIFS(Table2[주민등록번호],O58,Table2[월],TEXT(EOMONTH(D58,-1),"YYMM"))&gt;0,1+IF(COUNTIFS(Table2[주민등록번호],O58,Table2[월],TEXT(EOMONTH(D58,-2),"YYMM"))&gt;0,1+IF(COUNTIFS(Table2[주민등록번호],O58,Table2[월],TEXT(EOMONTH(D58,-3),"YYMM"))&gt;0,1,0),0),0)</f>
        <v>2</v>
      </c>
      <c r="Y58" s="29">
        <f>COUNTIFS(Table2[주민등록번호],O58,Table2[월],R58,Table2[근무일자],"&lt;="&amp;D58)</f>
        <v>1</v>
      </c>
      <c r="Z58" s="29">
        <f>COUNTIFS(Table2[주민등록번호],O58,Table2[주간],S58,Table2[근무일자],"&lt;="&amp;D58)</f>
        <v>2</v>
      </c>
      <c r="AA58" s="29">
        <f>SUMIFS(Table2[근로
시간],Table2[주민등록번호],O58,Table2[주간],S58,Table2[근무일자],"&lt;="&amp;D58)*24</f>
        <v>16</v>
      </c>
      <c r="AB58" s="29" t="str">
        <f>IF(AND(Y58&gt;=8,COUNTIFS(Table2[주민등록번호],O58,Table2[근무일자],"&gt;="&amp;EOMONTH(D58,-2)+1,Table2[근무일자],"&lt;="&amp;EOMONTH(D58,-1)+1)&gt;0),"V","")</f>
        <v/>
      </c>
      <c r="AC58" s="94" cm="1">
        <f t="array" ref="AC58">IF(AD58&lt;&gt;"",AD58,_xlfn.XLOOKUP(1,(D58&lt;=Table7[End])*(E58=Table7[근무처])*(F58=Table7[업무]),Table7[시급],0,0))</f>
        <v>10680</v>
      </c>
      <c r="AD58" s="95"/>
      <c r="AE58" s="94">
        <f t="shared" si="4"/>
        <v>85440</v>
      </c>
      <c r="AF58" s="96" cm="1">
        <f t="array" ref="AF58">IF(AND(AA58&gt;=15,(AA58-U58*24)&lt;=40),IF(Z58&gt;=_xlfn.XLOOKUP(1,(D58&lt;=Table7[End])*(E58=Table7[근무처])*(F58=Table7[업무]),Table7[주휴적용일],0,0),1,0)+_xlfn.XLOOKUP(1,(Table2[주간]=Table2[[#This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58" s="96" cm="1">
        <f t="array" ref="AG58">MAX((_xlfn.IFS(AF58=0,0,AF58=1,AA58,AF58&gt;1,U58*24)-IF(AA58&gt;40,AA58-40,0))/5,0)</f>
        <v>3.2</v>
      </c>
      <c r="AH58" s="94">
        <f t="shared" si="5"/>
        <v>34176</v>
      </c>
      <c r="AI58" s="33" cm="1">
        <f t="array" ref="AI58">IF(W58="",0,ROUND(AC58*U58*24*_xlfn.XLOOKUP(1,(D58&lt;=Table7[End])*(E58=Table7[근무처])*(F58=Table7[업무]),Table7[휴일인센티브],0,0),0))</f>
        <v>42720</v>
      </c>
      <c r="AJ58" s="94" cm="1">
        <f t="array" ref="AJ58">ROUND(AC58*IF(U58&gt;=8/24,U58-8/24,0)*24*_xlfn.XLOOKUP(1,(D58&lt;=Table7[End])*(E58=Table7[근무처])*(F58=Table7[업무]),Table7[야간인센티브],0,0),0)</f>
        <v>0</v>
      </c>
      <c r="AK58" s="94" cm="1">
        <f t="array" ref="AK58">IF(V58=0,0,ROUND(AC58*V58*24*_xlfn.XLOOKUP(1,(D58&lt;=Table7[End])*(E58=Table7[근무처])*(F58=Table7[업무]),Table7[야간인센티브],0,0),0))</f>
        <v>0</v>
      </c>
      <c r="AL58" s="95"/>
      <c r="AM58" s="94">
        <f t="shared" si="6"/>
        <v>162336</v>
      </c>
      <c r="AN58" s="94" cm="1">
        <f t="array" ref="AN58">IF(AM58&gt;=_xlfn.XLOOKUP(TRUE,D58&lt;=Table5[End],Table5[비과세소득기준],0,0),AM58-_xlfn.XLOOKUP(TRUE,D58&lt;=Table5[End],Table5[비과세소득기준],0,0),0)</f>
        <v>12336</v>
      </c>
      <c r="AO58" s="94" cm="1">
        <f t="array" ref="AO58">ROUNDDOWN(_xlfn.LET(_xlpm.setvalue,_xlfn.XLOOKUP(TRUE,D58&lt;=Table5[End],Table5[[요율]:[근로소득세액공제]],0,0),_xlpm.tax,AN58*PRODUCT((_xlpm.setvalue-{0,1})*{1,-1}),_xlpm.threshold,_xlfn.XLOOKUP(TRUE,D58&lt;=Table5[End],Table5[소액부징수기준],0,0),IF(_xlpm.tax&gt;=_xlpm.threshold,_xlpm.tax,0)),-1)</f>
        <v>0</v>
      </c>
      <c r="AP58" s="94">
        <f>ROUNDDOWN(Table2[[#This Row],[소득세]]*10%,-1)</f>
        <v>0</v>
      </c>
      <c r="AQ58" s="94">
        <f>IF(AB58="v",AM58+IF(Y58=8,SUMIFS(Table2[지급총액],Table2[주민등록번호],O58,Table2[월],R58,Table2[월간
근무일],"&lt;="&amp;8)-AM58,0),0)+_xlfn.NUMBERVALUE(AR58)</f>
        <v>0</v>
      </c>
      <c r="AR58" s="95"/>
      <c r="AS58" s="94" cm="1">
        <f t="array" ref="AS58">ROUNDDOWN($AQ58*_xlfn.XLOOKUP(1,(AS$5=Table8[Type])*($D58&lt;=Table8[End]),Table8[요율],0,0),0)</f>
        <v>0</v>
      </c>
      <c r="AT58" s="94" cm="1">
        <f t="array" ref="AT58">ROUNDDOWN(AS58*_xlfn.XLOOKUP(1,(AT$5=Table8[Type])*($D58&lt;=Table8[End]),Table8[요율],0,0),-1)</f>
        <v>0</v>
      </c>
      <c r="AU58" s="94" cm="1">
        <f t="array" ref="AU58">ROUNDDOWN($AQ58*_xlfn.XLOOKUP(1,(AU$5=Table8[Type])*($D58&lt;=Table8[End]),Table8[요율],0,0),-1)</f>
        <v>0</v>
      </c>
      <c r="AV58" s="94" cm="1">
        <f t="array" ref="AV58">ROUNDDOWN(AM58*_xlfn.XLOOKUP(1,(AV$5=Table8[Type])*($D58&lt;=Table8[End]),Table8[요율],0,0),-1)</f>
        <v>0</v>
      </c>
      <c r="AW58" s="94" cm="1">
        <f t="array" ref="AW58">_xlfn.XLOOKUP(1,(O58=Table2[주민등록번호])*(D58&gt;Table2[근무일자]),Table2[청구 Claim 
이월],0,0,-1)</f>
        <v>0</v>
      </c>
      <c r="AX58" s="95"/>
      <c r="AY58" s="94" cm="1">
        <f t="array" ref="AY58">MAX(SUM(AO58:AP58,AS58:AX58)-_xlfn.XLOOKUP(1,(D58&lt;=Table7[End])*(E58=Table7[근무처])*(F58=Table7[업무]),Table7[1일 공제 상한],0,0),0)</f>
        <v>0</v>
      </c>
      <c r="AZ58" s="94">
        <f t="shared" si="7"/>
        <v>0</v>
      </c>
      <c r="BA58" s="94">
        <f t="shared" si="8"/>
        <v>162336</v>
      </c>
      <c r="BB58" s="97">
        <f t="shared" si="9"/>
        <v>0</v>
      </c>
      <c r="BC58" s="98"/>
      <c r="BD58" s="94">
        <f t="shared" si="10"/>
        <v>0</v>
      </c>
      <c r="BE58" s="94">
        <f t="shared" si="11"/>
        <v>0</v>
      </c>
      <c r="BF58" s="94">
        <f t="shared" si="12"/>
        <v>0</v>
      </c>
      <c r="BG58" s="94">
        <f t="shared" si="13"/>
        <v>0</v>
      </c>
      <c r="BH58" s="94" cm="1">
        <f t="array" ref="BH58">ROUNDDOWN(AM58*_xlfn.XLOOKUP(1,(BH$5=Table8[Type])*($D58&lt;=Table8[End]),Table8[요율],0,0),-1)</f>
        <v>1290</v>
      </c>
      <c r="BI58" s="93" t="str" cm="1">
        <f t="array" ref="BI58">_xlfn.XLOOKUP(1,(D58&lt;=Table7[End])*(E58=Table7[근무처])*(F58=Table7[업무]),Table7[지급옵션],0,0)</f>
        <v>차주 화</v>
      </c>
      <c r="BJ58" s="83">
        <f>IF(BK58&lt;&gt;"",BK58,IFERROR(D58+_xlfn.NUMBERVALUE(RIGHT(BI58,1)),D58-WEEKDAY(D58)+CHOOSE(MATCH(RIGHT(BI58),{"일","월","화","수","목","금","토"},0),8,9,10,11,12,13,14)))</f>
        <v>45720</v>
      </c>
      <c r="BK58" s="99"/>
    </row>
    <row r="59" spans="2:63" x14ac:dyDescent="0.35">
      <c r="B59" s="20" t="str" cm="1">
        <f t="array" ref="B59">_xlfn.IFS(BB59&lt;&gt;BC59,"Claim확인",N59&lt;&gt;"OK","확인필요",TRUE,"")</f>
        <v/>
      </c>
      <c r="C59" s="21" t="str">
        <f t="shared" si="0"/>
        <v>010-8X0X-X0X9982X03XX901018</v>
      </c>
      <c r="D59" s="26">
        <v>45717</v>
      </c>
      <c r="E59" s="91" t="s">
        <v>255</v>
      </c>
      <c r="F59" s="25" t="s">
        <v>258</v>
      </c>
      <c r="G59" s="27" t="s">
        <v>283</v>
      </c>
      <c r="H59" s="25" t="s">
        <v>291</v>
      </c>
      <c r="I59" s="25"/>
      <c r="J59" s="25" t="s">
        <v>292</v>
      </c>
      <c r="K59" s="28">
        <v>0.375</v>
      </c>
      <c r="L59" s="28">
        <v>0.75</v>
      </c>
      <c r="M59" s="28">
        <v>4.1666666666666664E-2</v>
      </c>
      <c r="N59" s="25" t="s">
        <v>281</v>
      </c>
      <c r="O59" s="29" t="str">
        <f>_xlfn.XLOOKUP(Table2[[#This Row],[Key]],Table1[Key],Table1[주민등록번호],"",0)</f>
        <v>960XX51XX9X15</v>
      </c>
      <c r="P59" s="29">
        <f>_xlfn.XLOOKUP(Table2[[#This Row],[Key]],Table1[Key],Table1[비자],"",0)</f>
        <v>0</v>
      </c>
      <c r="Q59" s="29">
        <f>IF(P59=0,0,_xlfn.XLOOKUP(Table2[[#This Row],[Key]],Table1[Key],Table1[고용보험 여부],0,0))</f>
        <v>0</v>
      </c>
      <c r="R59" s="29" t="str">
        <f t="shared" si="1"/>
        <v>2503</v>
      </c>
      <c r="S59" s="30" t="str">
        <f>YEAR(Table2[[#This Row],[근무일자]])&amp;TEXT(WEEKNUM(Table2[[#This Row],[근무일자]]),"00")</f>
        <v>202509</v>
      </c>
      <c r="T59" s="31">
        <f>_xlfn.XLOOKUP(Table2[[#This Row],[Key]],Table1[Key],Table1[등록일],"",0)</f>
        <v>45698</v>
      </c>
      <c r="U59" s="32">
        <f t="shared" si="2"/>
        <v>0.33333333333333331</v>
      </c>
      <c r="V59" s="92">
        <f t="shared" si="3"/>
        <v>0</v>
      </c>
      <c r="W59" s="100" t="str">
        <f>_xlfn.XLOOKUP(Table2[[#This Row],[근무일자]],Table3[Date],Table3[Holiday],"",0)</f>
        <v>삼일절</v>
      </c>
      <c r="X59" s="93">
        <f>IF(D59&lt;&gt;"",1,0)+IF(COUNTIFS(Table2[주민등록번호],O59,Table2[월],TEXT(EOMONTH(D59,-1),"YYMM"))&gt;0,1+IF(COUNTIFS(Table2[주민등록번호],O59,Table2[월],TEXT(EOMONTH(D59,-2),"YYMM"))&gt;0,1+IF(COUNTIFS(Table2[주민등록번호],O59,Table2[월],TEXT(EOMONTH(D59,-3),"YYMM"))&gt;0,1,0),0),0)</f>
        <v>2</v>
      </c>
      <c r="Y59" s="29">
        <f>COUNTIFS(Table2[주민등록번호],O59,Table2[월],R59,Table2[근무일자],"&lt;="&amp;D59)</f>
        <v>1</v>
      </c>
      <c r="Z59" s="29">
        <f>COUNTIFS(Table2[주민등록번호],O59,Table2[주간],S59,Table2[근무일자],"&lt;="&amp;D59)</f>
        <v>5</v>
      </c>
      <c r="AA59" s="29">
        <f>SUMIFS(Table2[근로
시간],Table2[주민등록번호],O59,Table2[주간],S59,Table2[근무일자],"&lt;="&amp;D59)*24</f>
        <v>40</v>
      </c>
      <c r="AB59" s="29" t="str">
        <f>IF(AND(Y59&gt;=8,COUNTIFS(Table2[주민등록번호],O59,Table2[근무일자],"&gt;="&amp;EOMONTH(D59,-2)+1,Table2[근무일자],"&lt;="&amp;EOMONTH(D59,-1)+1)&gt;0),"V","")</f>
        <v/>
      </c>
      <c r="AC59" s="94" cm="1">
        <f t="array" ref="AC59">IF(AD59&lt;&gt;"",AD59,_xlfn.XLOOKUP(1,(D59&lt;=Table7[End])*(E59=Table7[근무처])*(F59=Table7[업무]),Table7[시급],0,0))</f>
        <v>10680</v>
      </c>
      <c r="AD59" s="95"/>
      <c r="AE59" s="94">
        <f t="shared" si="4"/>
        <v>85440</v>
      </c>
      <c r="AF59" s="96" cm="1">
        <f t="array" ref="AF59">IF(AND(AA59&gt;=15,(AA59-U59*24)&lt;=40),IF(Z59&gt;=_xlfn.XLOOKUP(1,(D59&lt;=Table7[End])*(E59=Table7[근무처])*(F59=Table7[업무]),Table7[주휴적용일],0,0),1,0)+_xlfn.XLOOKUP(1,(Table2[주간]=Table2[[#This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59" s="96" cm="1">
        <f t="array" ref="AG59">MAX((_xlfn.IFS(AF59=0,0,AF59=1,AA59,AF59&gt;1,U59*24)-IF(AA59&gt;40,AA59-40,0))/5,0)</f>
        <v>1.6</v>
      </c>
      <c r="AH59" s="94">
        <f t="shared" si="5"/>
        <v>17088</v>
      </c>
      <c r="AI59" s="33" cm="1">
        <f t="array" ref="AI59">IF(W59="",0,ROUND(AC59*U59*24*_xlfn.XLOOKUP(1,(D59&lt;=Table7[End])*(E59=Table7[근무처])*(F59=Table7[업무]),Table7[휴일인센티브],0,0),0))</f>
        <v>42720</v>
      </c>
      <c r="AJ59" s="94" cm="1">
        <f t="array" ref="AJ59">ROUND(AC59*IF(U59&gt;=8/24,U59-8/24,0)*24*_xlfn.XLOOKUP(1,(D59&lt;=Table7[End])*(E59=Table7[근무처])*(F59=Table7[업무]),Table7[야간인센티브],0,0),0)</f>
        <v>0</v>
      </c>
      <c r="AK59" s="94" cm="1">
        <f t="array" ref="AK59">IF(V59=0,0,ROUND(AC59*V59*24*_xlfn.XLOOKUP(1,(D59&lt;=Table7[End])*(E59=Table7[근무처])*(F59=Table7[업무]),Table7[야간인센티브],0,0),0))</f>
        <v>0</v>
      </c>
      <c r="AL59" s="95"/>
      <c r="AM59" s="94">
        <f t="shared" si="6"/>
        <v>145248</v>
      </c>
      <c r="AN59" s="94" cm="1">
        <f t="array" ref="AN59">IF(AM59&gt;=_xlfn.XLOOKUP(TRUE,D59&lt;=Table5[End],Table5[비과세소득기준],0,0),AM59-_xlfn.XLOOKUP(TRUE,D59&lt;=Table5[End],Table5[비과세소득기준],0,0),0)</f>
        <v>0</v>
      </c>
      <c r="AO59" s="94" cm="1">
        <f t="array" ref="AO59">ROUNDDOWN(_xlfn.LET(_xlpm.setvalue,_xlfn.XLOOKUP(TRUE,D59&lt;=Table5[End],Table5[[요율]:[근로소득세액공제]],0,0),_xlpm.tax,AN59*PRODUCT((_xlpm.setvalue-{0,1})*{1,-1}),_xlpm.threshold,_xlfn.XLOOKUP(TRUE,D59&lt;=Table5[End],Table5[소액부징수기준],0,0),IF(_xlpm.tax&gt;=_xlpm.threshold,_xlpm.tax,0)),-1)</f>
        <v>0</v>
      </c>
      <c r="AP59" s="94">
        <f>ROUNDDOWN(Table2[[#This Row],[소득세]]*10%,-1)</f>
        <v>0</v>
      </c>
      <c r="AQ59" s="94">
        <f>IF(AB59="v",AM59+IF(Y59=8,SUMIFS(Table2[지급총액],Table2[주민등록번호],O59,Table2[월],R59,Table2[월간
근무일],"&lt;="&amp;8)-AM59,0),0)+_xlfn.NUMBERVALUE(AR59)</f>
        <v>0</v>
      </c>
      <c r="AR59" s="95"/>
      <c r="AS59" s="94" cm="1">
        <f t="array" ref="AS59">ROUNDDOWN($AQ59*_xlfn.XLOOKUP(1,(AS$5=Table8[Type])*($D59&lt;=Table8[End]),Table8[요율],0,0),0)</f>
        <v>0</v>
      </c>
      <c r="AT59" s="94" cm="1">
        <f t="array" ref="AT59">ROUNDDOWN(AS59*_xlfn.XLOOKUP(1,(AT$5=Table8[Type])*($D59&lt;=Table8[End]),Table8[요율],0,0),-1)</f>
        <v>0</v>
      </c>
      <c r="AU59" s="94" cm="1">
        <f t="array" ref="AU59">ROUNDDOWN($AQ59*_xlfn.XLOOKUP(1,(AU$5=Table8[Type])*($D59&lt;=Table8[End]),Table8[요율],0,0),-1)</f>
        <v>0</v>
      </c>
      <c r="AV59" s="94" cm="1">
        <f t="array" ref="AV59">ROUNDDOWN(AM59*_xlfn.XLOOKUP(1,(AV$5=Table8[Type])*($D59&lt;=Table8[End]),Table8[요율],0,0),-1)</f>
        <v>0</v>
      </c>
      <c r="AW59" s="94" cm="1">
        <f t="array" ref="AW59">_xlfn.XLOOKUP(1,(O59=Table2[주민등록번호])*(D59&gt;Table2[근무일자]),Table2[청구 Claim 
이월],0,0,-1)</f>
        <v>0</v>
      </c>
      <c r="AX59" s="95"/>
      <c r="AY59" s="94" cm="1">
        <f t="array" ref="AY59">MAX(SUM(AO59:AP59,AS59:AX59)-_xlfn.XLOOKUP(1,(D59&lt;=Table7[End])*(E59=Table7[근무처])*(F59=Table7[업무]),Table7[1일 공제 상한],0,0),0)</f>
        <v>0</v>
      </c>
      <c r="AZ59" s="94">
        <f t="shared" si="7"/>
        <v>0</v>
      </c>
      <c r="BA59" s="94">
        <f t="shared" si="8"/>
        <v>145248</v>
      </c>
      <c r="BB59" s="97">
        <f t="shared" si="9"/>
        <v>0</v>
      </c>
      <c r="BC59" s="98"/>
      <c r="BD59" s="94">
        <f t="shared" si="10"/>
        <v>0</v>
      </c>
      <c r="BE59" s="94">
        <f t="shared" si="11"/>
        <v>0</v>
      </c>
      <c r="BF59" s="94">
        <f t="shared" si="12"/>
        <v>0</v>
      </c>
      <c r="BG59" s="94">
        <f t="shared" si="13"/>
        <v>0</v>
      </c>
      <c r="BH59" s="94" cm="1">
        <f t="array" ref="BH59">ROUNDDOWN(AM59*_xlfn.XLOOKUP(1,(BH$5=Table8[Type])*($D59&lt;=Table8[End]),Table8[요율],0,0),-1)</f>
        <v>1160</v>
      </c>
      <c r="BI59" s="93" t="str" cm="1">
        <f t="array" ref="BI59">_xlfn.XLOOKUP(1,(D59&lt;=Table7[End])*(E59=Table7[근무처])*(F59=Table7[업무]),Table7[지급옵션],0,0)</f>
        <v>차주 화</v>
      </c>
      <c r="BJ59" s="83">
        <f>IF(BK59&lt;&gt;"",BK59,IFERROR(D59+_xlfn.NUMBERVALUE(RIGHT(BI59,1)),D59-WEEKDAY(D59)+CHOOSE(MATCH(RIGHT(BI59),{"일","월","화","수","목","금","토"},0),8,9,10,11,12,13,14)))</f>
        <v>45720</v>
      </c>
      <c r="BK59" s="99"/>
    </row>
    <row r="60" spans="2:63" x14ac:dyDescent="0.35">
      <c r="B60" s="20" t="str" cm="1">
        <f t="array" ref="B60">_xlfn.IFS(BB60&lt;&gt;BC60,"Claim확인",N60&lt;&gt;"OK","확인필요",TRUE,"")</f>
        <v/>
      </c>
      <c r="C60" s="21" t="str">
        <f t="shared" si="0"/>
        <v>010-5X8X-X4X0920X02XX253123</v>
      </c>
      <c r="D60" s="26">
        <v>45717</v>
      </c>
      <c r="E60" s="91" t="s">
        <v>255</v>
      </c>
      <c r="F60" s="25" t="s">
        <v>257</v>
      </c>
      <c r="G60" s="27" t="s">
        <v>288</v>
      </c>
      <c r="H60" s="25" t="s">
        <v>303</v>
      </c>
      <c r="I60" s="25"/>
      <c r="J60" s="25" t="s">
        <v>304</v>
      </c>
      <c r="K60" s="28">
        <v>0.45833333333333331</v>
      </c>
      <c r="L60" s="28">
        <v>0.83333333333333337</v>
      </c>
      <c r="M60" s="28">
        <v>4.1666666666666664E-2</v>
      </c>
      <c r="N60" s="25" t="s">
        <v>281</v>
      </c>
      <c r="O60" s="29" t="str">
        <f>_xlfn.XLOOKUP(Table2[[#This Row],[Key]],Table1[Key],Table1[주민등록번호],"",0)</f>
        <v>941XX31XX3X14</v>
      </c>
      <c r="P60" s="29">
        <f>_xlfn.XLOOKUP(Table2[[#This Row],[Key]],Table1[Key],Table1[비자],"",0)</f>
        <v>0</v>
      </c>
      <c r="Q60" s="29">
        <f>IF(P60=0,0,_xlfn.XLOOKUP(Table2[[#This Row],[Key]],Table1[Key],Table1[고용보험 여부],0,0))</f>
        <v>0</v>
      </c>
      <c r="R60" s="29" t="str">
        <f t="shared" si="1"/>
        <v>2503</v>
      </c>
      <c r="S60" s="30" t="str">
        <f>YEAR(Table2[[#This Row],[근무일자]])&amp;TEXT(WEEKNUM(Table2[[#This Row],[근무일자]]),"00")</f>
        <v>202509</v>
      </c>
      <c r="T60" s="31">
        <f>_xlfn.XLOOKUP(Table2[[#This Row],[Key]],Table1[Key],Table1[등록일],"",0)</f>
        <v>45846</v>
      </c>
      <c r="U60" s="32">
        <f t="shared" si="2"/>
        <v>0.33333333333333337</v>
      </c>
      <c r="V60" s="92">
        <f t="shared" si="3"/>
        <v>0</v>
      </c>
      <c r="W60" s="100" t="str">
        <f>_xlfn.XLOOKUP(Table2[[#This Row],[근무일자]],Table3[Date],Table3[Holiday],"",0)</f>
        <v>삼일절</v>
      </c>
      <c r="X60" s="93">
        <f>IF(D60&lt;&gt;"",1,0)+IF(COUNTIFS(Table2[주민등록번호],O60,Table2[월],TEXT(EOMONTH(D60,-1),"YYMM"))&gt;0,1+IF(COUNTIFS(Table2[주민등록번호],O60,Table2[월],TEXT(EOMONTH(D60,-2),"YYMM"))&gt;0,1+IF(COUNTIFS(Table2[주민등록번호],O60,Table2[월],TEXT(EOMONTH(D60,-3),"YYMM"))&gt;0,1,0),0),0)</f>
        <v>2</v>
      </c>
      <c r="Y60" s="29">
        <f>COUNTIFS(Table2[주민등록번호],O60,Table2[월],R60,Table2[근무일자],"&lt;="&amp;D60)</f>
        <v>1</v>
      </c>
      <c r="Z60" s="29">
        <f>COUNTIFS(Table2[주민등록번호],O60,Table2[주간],S60,Table2[근무일자],"&lt;="&amp;D60)</f>
        <v>5</v>
      </c>
      <c r="AA60" s="29">
        <f>SUMIFS(Table2[근로
시간],Table2[주민등록번호],O60,Table2[주간],S60,Table2[근무일자],"&lt;="&amp;D60)*24</f>
        <v>40.000000000000007</v>
      </c>
      <c r="AB60" s="29" t="str">
        <f>IF(AND(Y60&gt;=8,COUNTIFS(Table2[주민등록번호],O60,Table2[근무일자],"&gt;="&amp;EOMONTH(D60,-2)+1,Table2[근무일자],"&lt;="&amp;EOMONTH(D60,-1)+1)&gt;0),"V","")</f>
        <v/>
      </c>
      <c r="AC60" s="94" cm="1">
        <f t="array" ref="AC60">IF(AD60&lt;&gt;"",AD60,_xlfn.XLOOKUP(1,(D60&lt;=Table7[End])*(E60=Table7[근무처])*(F60=Table7[업무]),Table7[시급],0,0))</f>
        <v>10030</v>
      </c>
      <c r="AD60" s="95"/>
      <c r="AE60" s="94">
        <f t="shared" si="4"/>
        <v>80240</v>
      </c>
      <c r="AF60" s="96" cm="1">
        <f t="array" ref="AF60">IF(AND(AA60&gt;=15,(AA60-U60*24)&lt;=40),IF(Z60&gt;=_xlfn.XLOOKUP(1,(D60&lt;=Table7[End])*(E60=Table7[근무처])*(F60=Table7[업무]),Table7[주휴적용일],0,0),1,0)+_xlfn.XLOOKUP(1,(Table2[주간]=Table2[[#This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60" s="96" cm="1">
        <f t="array" ref="AG60">MAX((_xlfn.IFS(AF60=0,0,AF60=1,AA60,AF60&gt;1,U60*24)-IF(AA60&gt;40,AA60-40,0))/5,0)</f>
        <v>1.6</v>
      </c>
      <c r="AH60" s="94">
        <f t="shared" si="5"/>
        <v>16048</v>
      </c>
      <c r="AI60" s="33" cm="1">
        <f t="array" ref="AI60">IF(W60="",0,ROUND(AC60*U60*24*_xlfn.XLOOKUP(1,(D60&lt;=Table7[End])*(E60=Table7[근무처])*(F60=Table7[업무]),Table7[휴일인센티브],0,0),0))</f>
        <v>40120</v>
      </c>
      <c r="AJ60" s="94" cm="1">
        <f t="array" ref="AJ60">ROUND(AC60*IF(U60&gt;=8/24,U60-8/24,0)*24*_xlfn.XLOOKUP(1,(D60&lt;=Table7[End])*(E60=Table7[근무처])*(F60=Table7[업무]),Table7[야간인센티브],0,0),0)</f>
        <v>0</v>
      </c>
      <c r="AK60" s="94" cm="1">
        <f t="array" ref="AK60">IF(V60=0,0,ROUND(AC60*V60*24*_xlfn.XLOOKUP(1,(D60&lt;=Table7[End])*(E60=Table7[근무처])*(F60=Table7[업무]),Table7[야간인센티브],0,0),0))</f>
        <v>0</v>
      </c>
      <c r="AL60" s="95"/>
      <c r="AM60" s="94">
        <f t="shared" si="6"/>
        <v>136408</v>
      </c>
      <c r="AN60" s="94" cm="1">
        <f t="array" ref="AN60">IF(AM60&gt;=_xlfn.XLOOKUP(TRUE,D60&lt;=Table5[End],Table5[비과세소득기준],0,0),AM60-_xlfn.XLOOKUP(TRUE,D60&lt;=Table5[End],Table5[비과세소득기준],0,0),0)</f>
        <v>0</v>
      </c>
      <c r="AO60" s="94" cm="1">
        <f t="array" ref="AO60">ROUNDDOWN(_xlfn.LET(_xlpm.setvalue,_xlfn.XLOOKUP(TRUE,D60&lt;=Table5[End],Table5[[요율]:[근로소득세액공제]],0,0),_xlpm.tax,AN60*PRODUCT((_xlpm.setvalue-{0,1})*{1,-1}),_xlpm.threshold,_xlfn.XLOOKUP(TRUE,D60&lt;=Table5[End],Table5[소액부징수기준],0,0),IF(_xlpm.tax&gt;=_xlpm.threshold,_xlpm.tax,0)),-1)</f>
        <v>0</v>
      </c>
      <c r="AP60" s="94">
        <f>ROUNDDOWN(Table2[[#This Row],[소득세]]*10%,-1)</f>
        <v>0</v>
      </c>
      <c r="AQ60" s="94">
        <f>IF(AB60="v",AM60+IF(Y60=8,SUMIFS(Table2[지급총액],Table2[주민등록번호],O60,Table2[월],R60,Table2[월간
근무일],"&lt;="&amp;8)-AM60,0),0)+_xlfn.NUMBERVALUE(AR60)</f>
        <v>0</v>
      </c>
      <c r="AR60" s="95"/>
      <c r="AS60" s="94" cm="1">
        <f t="array" ref="AS60">ROUNDDOWN($AQ60*_xlfn.XLOOKUP(1,(AS$5=Table8[Type])*($D60&lt;=Table8[End]),Table8[요율],0,0),0)</f>
        <v>0</v>
      </c>
      <c r="AT60" s="94" cm="1">
        <f t="array" ref="AT60">ROUNDDOWN(AS60*_xlfn.XLOOKUP(1,(AT$5=Table8[Type])*($D60&lt;=Table8[End]),Table8[요율],0,0),-1)</f>
        <v>0</v>
      </c>
      <c r="AU60" s="94" cm="1">
        <f t="array" ref="AU60">ROUNDDOWN($AQ60*_xlfn.XLOOKUP(1,(AU$5=Table8[Type])*($D60&lt;=Table8[End]),Table8[요율],0,0),-1)</f>
        <v>0</v>
      </c>
      <c r="AV60" s="94" cm="1">
        <f t="array" ref="AV60">ROUNDDOWN(AM60*_xlfn.XLOOKUP(1,(AV$5=Table8[Type])*($D60&lt;=Table8[End]),Table8[요율],0,0),-1)</f>
        <v>0</v>
      </c>
      <c r="AW60" s="94" cm="1">
        <f t="array" ref="AW60">_xlfn.XLOOKUP(1,(O60=Table2[주민등록번호])*(D60&gt;Table2[근무일자]),Table2[청구 Claim 
이월],0,0,-1)</f>
        <v>0</v>
      </c>
      <c r="AX60" s="95"/>
      <c r="AY60" s="94" cm="1">
        <f t="array" ref="AY60">MAX(SUM(AO60:AP60,AS60:AX60)-_xlfn.XLOOKUP(1,(D60&lt;=Table7[End])*(E60=Table7[근무처])*(F60=Table7[업무]),Table7[1일 공제 상한],0,0),0)</f>
        <v>0</v>
      </c>
      <c r="AZ60" s="94">
        <f t="shared" si="7"/>
        <v>0</v>
      </c>
      <c r="BA60" s="94">
        <f t="shared" si="8"/>
        <v>136408</v>
      </c>
      <c r="BB60" s="97">
        <f t="shared" si="9"/>
        <v>0</v>
      </c>
      <c r="BC60" s="98"/>
      <c r="BD60" s="94">
        <f t="shared" si="10"/>
        <v>0</v>
      </c>
      <c r="BE60" s="94">
        <f t="shared" si="11"/>
        <v>0</v>
      </c>
      <c r="BF60" s="94">
        <f t="shared" si="12"/>
        <v>0</v>
      </c>
      <c r="BG60" s="94">
        <f t="shared" si="13"/>
        <v>0</v>
      </c>
      <c r="BH60" s="94" cm="1">
        <f t="array" ref="BH60">ROUNDDOWN(AM60*_xlfn.XLOOKUP(1,(BH$5=Table8[Type])*($D60&lt;=Table8[End]),Table8[요율],0,0),-1)</f>
        <v>1090</v>
      </c>
      <c r="BI60" s="93" t="str" cm="1">
        <f t="array" ref="BI60">_xlfn.XLOOKUP(1,(D60&lt;=Table7[End])*(E60=Table7[근무처])*(F60=Table7[업무]),Table7[지급옵션],0,0)</f>
        <v>차주 화</v>
      </c>
      <c r="BJ60" s="83">
        <f>IF(BK60&lt;&gt;"",BK60,IFERROR(D60+_xlfn.NUMBERVALUE(RIGHT(BI60,1)),D60-WEEKDAY(D60)+CHOOSE(MATCH(RIGHT(BI60),{"일","월","화","수","목","금","토"},0),8,9,10,11,12,13,14)))</f>
        <v>45720</v>
      </c>
      <c r="BK60" s="99"/>
    </row>
    <row r="61" spans="2:63" x14ac:dyDescent="0.35">
      <c r="B61" s="20" t="str" cm="1">
        <f t="array" ref="B61">_xlfn.IFS(BB61&lt;&gt;BC61,"Claim확인",N61&lt;&gt;"OK","확인필요",TRUE,"")</f>
        <v/>
      </c>
      <c r="C61" s="21" t="str">
        <f t="shared" si="0"/>
        <v>010-7X6X-X9X5110X98XX7530</v>
      </c>
      <c r="D61" s="26">
        <v>45718</v>
      </c>
      <c r="E61" s="91" t="s">
        <v>255</v>
      </c>
      <c r="F61" s="25" t="s">
        <v>258</v>
      </c>
      <c r="G61" s="27" t="s">
        <v>282</v>
      </c>
      <c r="H61" s="25" t="s">
        <v>289</v>
      </c>
      <c r="I61" s="25"/>
      <c r="J61" s="25" t="s">
        <v>290</v>
      </c>
      <c r="K61" s="28">
        <v>0.375</v>
      </c>
      <c r="L61" s="28">
        <v>0.75</v>
      </c>
      <c r="M61" s="28">
        <v>4.1666666666666664E-2</v>
      </c>
      <c r="N61" s="25" t="s">
        <v>281</v>
      </c>
      <c r="O61" s="29" t="str">
        <f>_xlfn.XLOOKUP(Table2[[#This Row],[Key]],Table1[Key],Table1[주민등록번호],"",0)</f>
        <v>990XX62XX3X13</v>
      </c>
      <c r="P61" s="29">
        <f>_xlfn.XLOOKUP(Table2[[#This Row],[Key]],Table1[Key],Table1[비자],"",0)</f>
        <v>0</v>
      </c>
      <c r="Q61" s="29">
        <f>IF(P61=0,0,_xlfn.XLOOKUP(Table2[[#This Row],[Key]],Table1[Key],Table1[고용보험 여부],0,0))</f>
        <v>0</v>
      </c>
      <c r="R61" s="29" t="str">
        <f t="shared" si="1"/>
        <v>2503</v>
      </c>
      <c r="S61" s="30" t="str">
        <f>YEAR(Table2[[#This Row],[근무일자]])&amp;TEXT(WEEKNUM(Table2[[#This Row],[근무일자]]),"00")</f>
        <v>202510</v>
      </c>
      <c r="T61" s="31">
        <f>_xlfn.XLOOKUP(Table2[[#This Row],[Key]],Table1[Key],Table1[등록일],"",0)</f>
        <v>45696</v>
      </c>
      <c r="U61" s="32">
        <f t="shared" si="2"/>
        <v>0.33333333333333331</v>
      </c>
      <c r="V61" s="92">
        <f t="shared" si="3"/>
        <v>0</v>
      </c>
      <c r="W61" s="100" t="str">
        <f>_xlfn.XLOOKUP(Table2[[#This Row],[근무일자]],Table3[Date],Table3[Holiday],"",0)</f>
        <v/>
      </c>
      <c r="X61" s="93">
        <f>IF(D61&lt;&gt;"",1,0)+IF(COUNTIFS(Table2[주민등록번호],O61,Table2[월],TEXT(EOMONTH(D61,-1),"YYMM"))&gt;0,1+IF(COUNTIFS(Table2[주민등록번호],O61,Table2[월],TEXT(EOMONTH(D61,-2),"YYMM"))&gt;0,1+IF(COUNTIFS(Table2[주민등록번호],O61,Table2[월],TEXT(EOMONTH(D61,-3),"YYMM"))&gt;0,1,0),0),0)</f>
        <v>2</v>
      </c>
      <c r="Y61" s="29">
        <f>COUNTIFS(Table2[주민등록번호],O61,Table2[월],R61,Table2[근무일자],"&lt;="&amp;D61)</f>
        <v>2</v>
      </c>
      <c r="Z61" s="29">
        <f>COUNTIFS(Table2[주민등록번호],O61,Table2[주간],S61,Table2[근무일자],"&lt;="&amp;D61)</f>
        <v>1</v>
      </c>
      <c r="AA61" s="29">
        <f>SUMIFS(Table2[근로
시간],Table2[주민등록번호],O61,Table2[주간],S61,Table2[근무일자],"&lt;="&amp;D61)*24</f>
        <v>8</v>
      </c>
      <c r="AB61" s="29" t="str">
        <f>IF(AND(Y61&gt;=8,COUNTIFS(Table2[주민등록번호],O61,Table2[근무일자],"&gt;="&amp;EOMONTH(D61,-2)+1,Table2[근무일자],"&lt;="&amp;EOMONTH(D61,-1)+1)&gt;0),"V","")</f>
        <v/>
      </c>
      <c r="AC61" s="94" cm="1">
        <f t="array" ref="AC61">IF(AD61&lt;&gt;"",AD61,_xlfn.XLOOKUP(1,(D61&lt;=Table7[End])*(E61=Table7[근무처])*(F61=Table7[업무]),Table7[시급],0,0))</f>
        <v>10680</v>
      </c>
      <c r="AD61" s="95"/>
      <c r="AE61" s="94">
        <f t="shared" si="4"/>
        <v>85440</v>
      </c>
      <c r="AF61" s="96" cm="1">
        <f t="array" ref="AF61">IF(AND(AA61&gt;=15,(AA61-U61*24)&lt;=40),IF(Z61&gt;=_xlfn.XLOOKUP(1,(D61&lt;=Table7[End])*(E61=Table7[근무처])*(F61=Table7[업무]),Table7[주휴적용일],0,0),1,0)+_xlfn.XLOOKUP(1,(Table2[주간]=Table2[[#This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61" s="96" cm="1">
        <f t="array" ref="AG61">MAX((_xlfn.IFS(AF61=0,0,AF61=1,AA61,AF61&gt;1,U61*24)-IF(AA61&gt;40,AA61-40,0))/5,0)</f>
        <v>0</v>
      </c>
      <c r="AH61" s="94">
        <f t="shared" si="5"/>
        <v>0</v>
      </c>
      <c r="AI61" s="33" cm="1">
        <f t="array" ref="AI61">IF(W61="",0,ROUND(AC61*U61*24*_xlfn.XLOOKUP(1,(D61&lt;=Table7[End])*(E61=Table7[근무처])*(F61=Table7[업무]),Table7[휴일인센티브],0,0),0))</f>
        <v>0</v>
      </c>
      <c r="AJ61" s="94" cm="1">
        <f t="array" ref="AJ61">ROUND(AC61*IF(U61&gt;=8/24,U61-8/24,0)*24*_xlfn.XLOOKUP(1,(D61&lt;=Table7[End])*(E61=Table7[근무처])*(F61=Table7[업무]),Table7[야간인센티브],0,0),0)</f>
        <v>0</v>
      </c>
      <c r="AK61" s="94" cm="1">
        <f t="array" ref="AK61">IF(V61=0,0,ROUND(AC61*V61*24*_xlfn.XLOOKUP(1,(D61&lt;=Table7[End])*(E61=Table7[근무처])*(F61=Table7[업무]),Table7[야간인센티브],0,0),0))</f>
        <v>0</v>
      </c>
      <c r="AL61" s="95"/>
      <c r="AM61" s="94">
        <f t="shared" si="6"/>
        <v>85440</v>
      </c>
      <c r="AN61" s="94" cm="1">
        <f t="array" ref="AN61">IF(AM61&gt;=_xlfn.XLOOKUP(TRUE,D61&lt;=Table5[End],Table5[비과세소득기준],0,0),AM61-_xlfn.XLOOKUP(TRUE,D61&lt;=Table5[End],Table5[비과세소득기준],0,0),0)</f>
        <v>0</v>
      </c>
      <c r="AO61" s="94" cm="1">
        <f t="array" ref="AO61">ROUNDDOWN(_xlfn.LET(_xlpm.setvalue,_xlfn.XLOOKUP(TRUE,D61&lt;=Table5[End],Table5[[요율]:[근로소득세액공제]],0,0),_xlpm.tax,AN61*PRODUCT((_xlpm.setvalue-{0,1})*{1,-1}),_xlpm.threshold,_xlfn.XLOOKUP(TRUE,D61&lt;=Table5[End],Table5[소액부징수기준],0,0),IF(_xlpm.tax&gt;=_xlpm.threshold,_xlpm.tax,0)),-1)</f>
        <v>0</v>
      </c>
      <c r="AP61" s="94">
        <f>ROUNDDOWN(Table2[[#This Row],[소득세]]*10%,-1)</f>
        <v>0</v>
      </c>
      <c r="AQ61" s="94">
        <f>IF(AB61="v",AM61+IF(Y61=8,SUMIFS(Table2[지급총액],Table2[주민등록번호],O61,Table2[월],R61,Table2[월간
근무일],"&lt;="&amp;8)-AM61,0),0)+_xlfn.NUMBERVALUE(AR61)</f>
        <v>0</v>
      </c>
      <c r="AR61" s="95"/>
      <c r="AS61" s="94" cm="1">
        <f t="array" ref="AS61">ROUNDDOWN($AQ61*_xlfn.XLOOKUP(1,(AS$5=Table8[Type])*($D61&lt;=Table8[End]),Table8[요율],0,0),0)</f>
        <v>0</v>
      </c>
      <c r="AT61" s="94" cm="1">
        <f t="array" ref="AT61">ROUNDDOWN(AS61*_xlfn.XLOOKUP(1,(AT$5=Table8[Type])*($D61&lt;=Table8[End]),Table8[요율],0,0),-1)</f>
        <v>0</v>
      </c>
      <c r="AU61" s="94" cm="1">
        <f t="array" ref="AU61">ROUNDDOWN($AQ61*_xlfn.XLOOKUP(1,(AU$5=Table8[Type])*($D61&lt;=Table8[End]),Table8[요율],0,0),-1)</f>
        <v>0</v>
      </c>
      <c r="AV61" s="94" cm="1">
        <f t="array" ref="AV61">ROUNDDOWN(AM61*_xlfn.XLOOKUP(1,(AV$5=Table8[Type])*($D61&lt;=Table8[End]),Table8[요율],0,0),-1)</f>
        <v>0</v>
      </c>
      <c r="AW61" s="94" cm="1">
        <f t="array" ref="AW61">_xlfn.XLOOKUP(1,(O61=Table2[주민등록번호])*(D61&gt;Table2[근무일자]),Table2[청구 Claim 
이월],0,0,-1)</f>
        <v>0</v>
      </c>
      <c r="AX61" s="95"/>
      <c r="AY61" s="94" cm="1">
        <f t="array" ref="AY61">MAX(SUM(AO61:AP61,AS61:AX61)-_xlfn.XLOOKUP(1,(D61&lt;=Table7[End])*(E61=Table7[근무처])*(F61=Table7[업무]),Table7[1일 공제 상한],0,0),0)</f>
        <v>0</v>
      </c>
      <c r="AZ61" s="94">
        <f t="shared" si="7"/>
        <v>0</v>
      </c>
      <c r="BA61" s="94">
        <f t="shared" si="8"/>
        <v>85440</v>
      </c>
      <c r="BB61" s="97">
        <f t="shared" si="9"/>
        <v>0</v>
      </c>
      <c r="BC61" s="98"/>
      <c r="BD61" s="94">
        <f t="shared" si="10"/>
        <v>0</v>
      </c>
      <c r="BE61" s="94">
        <f t="shared" si="11"/>
        <v>0</v>
      </c>
      <c r="BF61" s="94">
        <f t="shared" si="12"/>
        <v>0</v>
      </c>
      <c r="BG61" s="94">
        <f t="shared" si="13"/>
        <v>0</v>
      </c>
      <c r="BH61" s="94" cm="1">
        <f t="array" ref="BH61">ROUNDDOWN(AM61*_xlfn.XLOOKUP(1,(BH$5=Table8[Type])*($D61&lt;=Table8[End]),Table8[요율],0,0),-1)</f>
        <v>680</v>
      </c>
      <c r="BI61" s="93" t="str" cm="1">
        <f t="array" ref="BI61">_xlfn.XLOOKUP(1,(D61&lt;=Table7[End])*(E61=Table7[근무처])*(F61=Table7[업무]),Table7[지급옵션],0,0)</f>
        <v>차주 화</v>
      </c>
      <c r="BJ61" s="83">
        <f>IF(BK61&lt;&gt;"",BK61,IFERROR(D61+_xlfn.NUMBERVALUE(RIGHT(BI61,1)),D61-WEEKDAY(D61)+CHOOSE(MATCH(RIGHT(BI61),{"일","월","화","수","목","금","토"},0),8,9,10,11,12,13,14)))</f>
        <v>45727</v>
      </c>
      <c r="BK61" s="99"/>
    </row>
    <row r="62" spans="2:63" x14ac:dyDescent="0.35">
      <c r="B62" s="20" t="str" cm="1">
        <f t="array" ref="B62">_xlfn.IFS(BB62&lt;&gt;BC62,"Claim확인",N62&lt;&gt;"OK","확인필요",TRUE,"")</f>
        <v/>
      </c>
      <c r="C62" s="21" t="str">
        <f t="shared" si="0"/>
        <v>010-8X0X-X0X9982X03XX901018</v>
      </c>
      <c r="D62" s="26">
        <v>45718</v>
      </c>
      <c r="E62" s="91" t="s">
        <v>255</v>
      </c>
      <c r="F62" s="25" t="s">
        <v>258</v>
      </c>
      <c r="G62" s="27" t="s">
        <v>283</v>
      </c>
      <c r="H62" s="25" t="s">
        <v>291</v>
      </c>
      <c r="I62" s="25"/>
      <c r="J62" s="25" t="s">
        <v>292</v>
      </c>
      <c r="K62" s="28">
        <v>0.375</v>
      </c>
      <c r="L62" s="28">
        <v>0.75</v>
      </c>
      <c r="M62" s="28">
        <v>4.1666666666666664E-2</v>
      </c>
      <c r="N62" s="25" t="s">
        <v>281</v>
      </c>
      <c r="O62" s="29" t="str">
        <f>_xlfn.XLOOKUP(Table2[[#This Row],[Key]],Table1[Key],Table1[주민등록번호],"",0)</f>
        <v>960XX51XX9X15</v>
      </c>
      <c r="P62" s="29">
        <f>_xlfn.XLOOKUP(Table2[[#This Row],[Key]],Table1[Key],Table1[비자],"",0)</f>
        <v>0</v>
      </c>
      <c r="Q62" s="29">
        <f>IF(P62=0,0,_xlfn.XLOOKUP(Table2[[#This Row],[Key]],Table1[Key],Table1[고용보험 여부],0,0))</f>
        <v>0</v>
      </c>
      <c r="R62" s="29" t="str">
        <f t="shared" si="1"/>
        <v>2503</v>
      </c>
      <c r="S62" s="30" t="str">
        <f>YEAR(Table2[[#This Row],[근무일자]])&amp;TEXT(WEEKNUM(Table2[[#This Row],[근무일자]]),"00")</f>
        <v>202510</v>
      </c>
      <c r="T62" s="31">
        <f>_xlfn.XLOOKUP(Table2[[#This Row],[Key]],Table1[Key],Table1[등록일],"",0)</f>
        <v>45698</v>
      </c>
      <c r="U62" s="32">
        <f t="shared" si="2"/>
        <v>0.33333333333333331</v>
      </c>
      <c r="V62" s="92">
        <f t="shared" si="3"/>
        <v>0</v>
      </c>
      <c r="W62" s="100" t="str">
        <f>_xlfn.XLOOKUP(Table2[[#This Row],[근무일자]],Table3[Date],Table3[Holiday],"",0)</f>
        <v/>
      </c>
      <c r="X62" s="93">
        <f>IF(D62&lt;&gt;"",1,0)+IF(COUNTIFS(Table2[주민등록번호],O62,Table2[월],TEXT(EOMONTH(D62,-1),"YYMM"))&gt;0,1+IF(COUNTIFS(Table2[주민등록번호],O62,Table2[월],TEXT(EOMONTH(D62,-2),"YYMM"))&gt;0,1+IF(COUNTIFS(Table2[주민등록번호],O62,Table2[월],TEXT(EOMONTH(D62,-3),"YYMM"))&gt;0,1,0),0),0)</f>
        <v>2</v>
      </c>
      <c r="Y62" s="29">
        <f>COUNTIFS(Table2[주민등록번호],O62,Table2[월],R62,Table2[근무일자],"&lt;="&amp;D62)</f>
        <v>2</v>
      </c>
      <c r="Z62" s="29">
        <f>COUNTIFS(Table2[주민등록번호],O62,Table2[주간],S62,Table2[근무일자],"&lt;="&amp;D62)</f>
        <v>1</v>
      </c>
      <c r="AA62" s="29">
        <f>SUMIFS(Table2[근로
시간],Table2[주민등록번호],O62,Table2[주간],S62,Table2[근무일자],"&lt;="&amp;D62)*24</f>
        <v>8</v>
      </c>
      <c r="AB62" s="29" t="str">
        <f>IF(AND(Y62&gt;=8,COUNTIFS(Table2[주민등록번호],O62,Table2[근무일자],"&gt;="&amp;EOMONTH(D62,-2)+1,Table2[근무일자],"&lt;="&amp;EOMONTH(D62,-1)+1)&gt;0),"V","")</f>
        <v/>
      </c>
      <c r="AC62" s="94" cm="1">
        <f t="array" ref="AC62">IF(AD62&lt;&gt;"",AD62,_xlfn.XLOOKUP(1,(D62&lt;=Table7[End])*(E62=Table7[근무처])*(F62=Table7[업무]),Table7[시급],0,0))</f>
        <v>10680</v>
      </c>
      <c r="AD62" s="95"/>
      <c r="AE62" s="94">
        <f t="shared" si="4"/>
        <v>85440</v>
      </c>
      <c r="AF62" s="96" cm="1">
        <f t="array" ref="AF62">IF(AND(AA62&gt;=15,(AA62-U62*24)&lt;=40),IF(Z62&gt;=_xlfn.XLOOKUP(1,(D62&lt;=Table7[End])*(E62=Table7[근무처])*(F62=Table7[업무]),Table7[주휴적용일],0,0),1,0)+_xlfn.XLOOKUP(1,(Table2[주간]=Table2[[#This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62" s="96" cm="1">
        <f t="array" ref="AG62">MAX((_xlfn.IFS(AF62=0,0,AF62=1,AA62,AF62&gt;1,U62*24)-IF(AA62&gt;40,AA62-40,0))/5,0)</f>
        <v>0</v>
      </c>
      <c r="AH62" s="94">
        <f t="shared" si="5"/>
        <v>0</v>
      </c>
      <c r="AI62" s="33" cm="1">
        <f t="array" ref="AI62">IF(W62="",0,ROUND(AC62*U62*24*_xlfn.XLOOKUP(1,(D62&lt;=Table7[End])*(E62=Table7[근무처])*(F62=Table7[업무]),Table7[휴일인센티브],0,0),0))</f>
        <v>0</v>
      </c>
      <c r="AJ62" s="94" cm="1">
        <f t="array" ref="AJ62">ROUND(AC62*IF(U62&gt;=8/24,U62-8/24,0)*24*_xlfn.XLOOKUP(1,(D62&lt;=Table7[End])*(E62=Table7[근무처])*(F62=Table7[업무]),Table7[야간인센티브],0,0),0)</f>
        <v>0</v>
      </c>
      <c r="AK62" s="94" cm="1">
        <f t="array" ref="AK62">IF(V62=0,0,ROUND(AC62*V62*24*_xlfn.XLOOKUP(1,(D62&lt;=Table7[End])*(E62=Table7[근무처])*(F62=Table7[업무]),Table7[야간인센티브],0,0),0))</f>
        <v>0</v>
      </c>
      <c r="AL62" s="95"/>
      <c r="AM62" s="94">
        <f t="shared" si="6"/>
        <v>85440</v>
      </c>
      <c r="AN62" s="94" cm="1">
        <f t="array" ref="AN62">IF(AM62&gt;=_xlfn.XLOOKUP(TRUE,D62&lt;=Table5[End],Table5[비과세소득기준],0,0),AM62-_xlfn.XLOOKUP(TRUE,D62&lt;=Table5[End],Table5[비과세소득기준],0,0),0)</f>
        <v>0</v>
      </c>
      <c r="AO62" s="94" cm="1">
        <f t="array" ref="AO62">ROUNDDOWN(_xlfn.LET(_xlpm.setvalue,_xlfn.XLOOKUP(TRUE,D62&lt;=Table5[End],Table5[[요율]:[근로소득세액공제]],0,0),_xlpm.tax,AN62*PRODUCT((_xlpm.setvalue-{0,1})*{1,-1}),_xlpm.threshold,_xlfn.XLOOKUP(TRUE,D62&lt;=Table5[End],Table5[소액부징수기준],0,0),IF(_xlpm.tax&gt;=_xlpm.threshold,_xlpm.tax,0)),-1)</f>
        <v>0</v>
      </c>
      <c r="AP62" s="94">
        <f>ROUNDDOWN(Table2[[#This Row],[소득세]]*10%,-1)</f>
        <v>0</v>
      </c>
      <c r="AQ62" s="94">
        <f>IF(AB62="v",AM62+IF(Y62=8,SUMIFS(Table2[지급총액],Table2[주민등록번호],O62,Table2[월],R62,Table2[월간
근무일],"&lt;="&amp;8)-AM62,0),0)+_xlfn.NUMBERVALUE(AR62)</f>
        <v>0</v>
      </c>
      <c r="AR62" s="95"/>
      <c r="AS62" s="94" cm="1">
        <f t="array" ref="AS62">ROUNDDOWN($AQ62*_xlfn.XLOOKUP(1,(AS$5=Table8[Type])*($D62&lt;=Table8[End]),Table8[요율],0,0),0)</f>
        <v>0</v>
      </c>
      <c r="AT62" s="94" cm="1">
        <f t="array" ref="AT62">ROUNDDOWN(AS62*_xlfn.XLOOKUP(1,(AT$5=Table8[Type])*($D62&lt;=Table8[End]),Table8[요율],0,0),-1)</f>
        <v>0</v>
      </c>
      <c r="AU62" s="94" cm="1">
        <f t="array" ref="AU62">ROUNDDOWN($AQ62*_xlfn.XLOOKUP(1,(AU$5=Table8[Type])*($D62&lt;=Table8[End]),Table8[요율],0,0),-1)</f>
        <v>0</v>
      </c>
      <c r="AV62" s="94" cm="1">
        <f t="array" ref="AV62">ROUNDDOWN(AM62*_xlfn.XLOOKUP(1,(AV$5=Table8[Type])*($D62&lt;=Table8[End]),Table8[요율],0,0),-1)</f>
        <v>0</v>
      </c>
      <c r="AW62" s="94" cm="1">
        <f t="array" ref="AW62">_xlfn.XLOOKUP(1,(O62=Table2[주민등록번호])*(D62&gt;Table2[근무일자]),Table2[청구 Claim 
이월],0,0,-1)</f>
        <v>0</v>
      </c>
      <c r="AX62" s="95"/>
      <c r="AY62" s="94" cm="1">
        <f t="array" ref="AY62">MAX(SUM(AO62:AP62,AS62:AX62)-_xlfn.XLOOKUP(1,(D62&lt;=Table7[End])*(E62=Table7[근무처])*(F62=Table7[업무]),Table7[1일 공제 상한],0,0),0)</f>
        <v>0</v>
      </c>
      <c r="AZ62" s="94">
        <f t="shared" si="7"/>
        <v>0</v>
      </c>
      <c r="BA62" s="94">
        <f t="shared" si="8"/>
        <v>85440</v>
      </c>
      <c r="BB62" s="97">
        <f t="shared" si="9"/>
        <v>0</v>
      </c>
      <c r="BC62" s="98"/>
      <c r="BD62" s="94">
        <f t="shared" si="10"/>
        <v>0</v>
      </c>
      <c r="BE62" s="94">
        <f t="shared" si="11"/>
        <v>0</v>
      </c>
      <c r="BF62" s="94">
        <f t="shared" si="12"/>
        <v>0</v>
      </c>
      <c r="BG62" s="94">
        <f t="shared" si="13"/>
        <v>0</v>
      </c>
      <c r="BH62" s="94" cm="1">
        <f t="array" ref="BH62">ROUNDDOWN(AM62*_xlfn.XLOOKUP(1,(BH$5=Table8[Type])*($D62&lt;=Table8[End]),Table8[요율],0,0),-1)</f>
        <v>680</v>
      </c>
      <c r="BI62" s="93" t="str" cm="1">
        <f t="array" ref="BI62">_xlfn.XLOOKUP(1,(D62&lt;=Table7[End])*(E62=Table7[근무처])*(F62=Table7[업무]),Table7[지급옵션],0,0)</f>
        <v>차주 화</v>
      </c>
      <c r="BJ62" s="83">
        <f>IF(BK62&lt;&gt;"",BK62,IFERROR(D62+_xlfn.NUMBERVALUE(RIGHT(BI62,1)),D62-WEEKDAY(D62)+CHOOSE(MATCH(RIGHT(BI62),{"일","월","화","수","목","금","토"},0),8,9,10,11,12,13,14)))</f>
        <v>45727</v>
      </c>
      <c r="BK62" s="99"/>
    </row>
    <row r="63" spans="2:63" x14ac:dyDescent="0.35">
      <c r="B63" s="20" t="str" cm="1">
        <f t="array" ref="B63">_xlfn.IFS(BB63&lt;&gt;BC63,"Claim확인",N63&lt;&gt;"OK","확인필요",TRUE,"")</f>
        <v/>
      </c>
      <c r="C63" s="21" t="str">
        <f t="shared" si="0"/>
        <v>010-3X4X-X9X7219X02XX284640</v>
      </c>
      <c r="D63" s="26">
        <v>45718</v>
      </c>
      <c r="E63" s="91" t="s">
        <v>253</v>
      </c>
      <c r="F63" s="25" t="s">
        <v>257</v>
      </c>
      <c r="G63" s="27" t="s">
        <v>286</v>
      </c>
      <c r="H63" s="25" t="s">
        <v>299</v>
      </c>
      <c r="I63" s="25"/>
      <c r="J63" s="25" t="s">
        <v>300</v>
      </c>
      <c r="K63" s="28">
        <v>0.45833333333333331</v>
      </c>
      <c r="L63" s="28">
        <v>0.83333333333333337</v>
      </c>
      <c r="M63" s="28">
        <v>4.1666666666666664E-2</v>
      </c>
      <c r="N63" s="25" t="s">
        <v>281</v>
      </c>
      <c r="O63" s="29" t="str">
        <f>_xlfn.XLOOKUP(Table2[[#This Row],[Key]],Table1[Key],Table1[주민등록번호],"",0)</f>
        <v>931XX31XX3X14</v>
      </c>
      <c r="P63" s="29">
        <f>_xlfn.XLOOKUP(Table2[[#This Row],[Key]],Table1[Key],Table1[비자],"",0)</f>
        <v>0</v>
      </c>
      <c r="Q63" s="29">
        <f>IF(P63=0,0,_xlfn.XLOOKUP(Table2[[#This Row],[Key]],Table1[Key],Table1[고용보험 여부],0,0))</f>
        <v>0</v>
      </c>
      <c r="R63" s="29" t="str">
        <f t="shared" si="1"/>
        <v>2503</v>
      </c>
      <c r="S63" s="30" t="str">
        <f>YEAR(Table2[[#This Row],[근무일자]])&amp;TEXT(WEEKNUM(Table2[[#This Row],[근무일자]]),"00")</f>
        <v>202510</v>
      </c>
      <c r="T63" s="31">
        <f>_xlfn.XLOOKUP(Table2[[#This Row],[Key]],Table1[Key],Table1[등록일],"",0)</f>
        <v>45773</v>
      </c>
      <c r="U63" s="32">
        <f t="shared" si="2"/>
        <v>0.33333333333333337</v>
      </c>
      <c r="V63" s="92">
        <f t="shared" si="3"/>
        <v>0</v>
      </c>
      <c r="W63" s="100" t="str">
        <f>_xlfn.XLOOKUP(Table2[[#This Row],[근무일자]],Table3[Date],Table3[Holiday],"",0)</f>
        <v/>
      </c>
      <c r="X63" s="93">
        <f>IF(D63&lt;&gt;"",1,0)+IF(COUNTIFS(Table2[주민등록번호],O63,Table2[월],TEXT(EOMONTH(D63,-1),"YYMM"))&gt;0,1+IF(COUNTIFS(Table2[주민등록번호],O63,Table2[월],TEXT(EOMONTH(D63,-2),"YYMM"))&gt;0,1+IF(COUNTIFS(Table2[주민등록번호],O63,Table2[월],TEXT(EOMONTH(D63,-3),"YYMM"))&gt;0,1,0),0),0)</f>
        <v>2</v>
      </c>
      <c r="Y63" s="29">
        <f>COUNTIFS(Table2[주민등록번호],O63,Table2[월],R63,Table2[근무일자],"&lt;="&amp;D63)</f>
        <v>1</v>
      </c>
      <c r="Z63" s="29">
        <f>COUNTIFS(Table2[주민등록번호],O63,Table2[주간],S63,Table2[근무일자],"&lt;="&amp;D63)</f>
        <v>1</v>
      </c>
      <c r="AA63" s="29">
        <f>SUMIFS(Table2[근로
시간],Table2[주민등록번호],O63,Table2[주간],S63,Table2[근무일자],"&lt;="&amp;D63)*24</f>
        <v>8</v>
      </c>
      <c r="AB63" s="29" t="str">
        <f>IF(AND(Y63&gt;=8,COUNTIFS(Table2[주민등록번호],O63,Table2[근무일자],"&gt;="&amp;EOMONTH(D63,-2)+1,Table2[근무일자],"&lt;="&amp;EOMONTH(D63,-1)+1)&gt;0),"V","")</f>
        <v/>
      </c>
      <c r="AC63" s="94" cm="1">
        <f t="array" ref="AC63">IF(AD63&lt;&gt;"",AD63,_xlfn.XLOOKUP(1,(D63&lt;=Table7[End])*(E63=Table7[근무처])*(F63=Table7[업무]),Table7[시급],0,0))</f>
        <v>10030</v>
      </c>
      <c r="AD63" s="95"/>
      <c r="AE63" s="94">
        <f t="shared" si="4"/>
        <v>80240</v>
      </c>
      <c r="AF63" s="96" cm="1">
        <f t="array" ref="AF63">IF(AND(AA63&gt;=15,(AA63-U63*24)&lt;=40),IF(Z63&gt;=_xlfn.XLOOKUP(1,(D63&lt;=Table7[End])*(E63=Table7[근무처])*(F63=Table7[업무]),Table7[주휴적용일],0,0),1,0)+_xlfn.XLOOKUP(1,(Table2[주간]=Table2[[#This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63" s="96" cm="1">
        <f t="array" ref="AG63">MAX((_xlfn.IFS(AF63=0,0,AF63=1,AA63,AF63&gt;1,U63*24)-IF(AA63&gt;40,AA63-40,0))/5,0)</f>
        <v>0</v>
      </c>
      <c r="AH63" s="94">
        <f t="shared" si="5"/>
        <v>0</v>
      </c>
      <c r="AI63" s="33" cm="1">
        <f t="array" ref="AI63">IF(W63="",0,ROUND(AC63*U63*24*_xlfn.XLOOKUP(1,(D63&lt;=Table7[End])*(E63=Table7[근무처])*(F63=Table7[업무]),Table7[휴일인센티브],0,0),0))</f>
        <v>0</v>
      </c>
      <c r="AJ63" s="94" cm="1">
        <f t="array" ref="AJ63">ROUND(AC63*IF(U63&gt;=8/24,U63-8/24,0)*24*_xlfn.XLOOKUP(1,(D63&lt;=Table7[End])*(E63=Table7[근무처])*(F63=Table7[업무]),Table7[야간인센티브],0,0),0)</f>
        <v>0</v>
      </c>
      <c r="AK63" s="94" cm="1">
        <f t="array" ref="AK63">IF(V63=0,0,ROUND(AC63*V63*24*_xlfn.XLOOKUP(1,(D63&lt;=Table7[End])*(E63=Table7[근무처])*(F63=Table7[업무]),Table7[야간인센티브],0,0),0))</f>
        <v>0</v>
      </c>
      <c r="AL63" s="95"/>
      <c r="AM63" s="94">
        <f t="shared" si="6"/>
        <v>80240</v>
      </c>
      <c r="AN63" s="94" cm="1">
        <f t="array" ref="AN63">IF(AM63&gt;=_xlfn.XLOOKUP(TRUE,D63&lt;=Table5[End],Table5[비과세소득기준],0,0),AM63-_xlfn.XLOOKUP(TRUE,D63&lt;=Table5[End],Table5[비과세소득기준],0,0),0)</f>
        <v>0</v>
      </c>
      <c r="AO63" s="94" cm="1">
        <f t="array" ref="AO63">ROUNDDOWN(_xlfn.LET(_xlpm.setvalue,_xlfn.XLOOKUP(TRUE,D63&lt;=Table5[End],Table5[[요율]:[근로소득세액공제]],0,0),_xlpm.tax,AN63*PRODUCT((_xlpm.setvalue-{0,1})*{1,-1}),_xlpm.threshold,_xlfn.XLOOKUP(TRUE,D63&lt;=Table5[End],Table5[소액부징수기준],0,0),IF(_xlpm.tax&gt;=_xlpm.threshold,_xlpm.tax,0)),-1)</f>
        <v>0</v>
      </c>
      <c r="AP63" s="94">
        <f>ROUNDDOWN(Table2[[#This Row],[소득세]]*10%,-1)</f>
        <v>0</v>
      </c>
      <c r="AQ63" s="94">
        <f>IF(AB63="v",AM63+IF(Y63=8,SUMIFS(Table2[지급총액],Table2[주민등록번호],O63,Table2[월],R63,Table2[월간
근무일],"&lt;="&amp;8)-AM63,0),0)+_xlfn.NUMBERVALUE(AR63)</f>
        <v>0</v>
      </c>
      <c r="AR63" s="95"/>
      <c r="AS63" s="94" cm="1">
        <f t="array" ref="AS63">ROUNDDOWN($AQ63*_xlfn.XLOOKUP(1,(AS$5=Table8[Type])*($D63&lt;=Table8[End]),Table8[요율],0,0),0)</f>
        <v>0</v>
      </c>
      <c r="AT63" s="94" cm="1">
        <f t="array" ref="AT63">ROUNDDOWN(AS63*_xlfn.XLOOKUP(1,(AT$5=Table8[Type])*($D63&lt;=Table8[End]),Table8[요율],0,0),-1)</f>
        <v>0</v>
      </c>
      <c r="AU63" s="94" cm="1">
        <f t="array" ref="AU63">ROUNDDOWN($AQ63*_xlfn.XLOOKUP(1,(AU$5=Table8[Type])*($D63&lt;=Table8[End]),Table8[요율],0,0),-1)</f>
        <v>0</v>
      </c>
      <c r="AV63" s="94" cm="1">
        <f t="array" ref="AV63">ROUNDDOWN(AM63*_xlfn.XLOOKUP(1,(AV$5=Table8[Type])*($D63&lt;=Table8[End]),Table8[요율],0,0),-1)</f>
        <v>0</v>
      </c>
      <c r="AW63" s="94" cm="1">
        <f t="array" ref="AW63">_xlfn.XLOOKUP(1,(O63=Table2[주민등록번호])*(D63&gt;Table2[근무일자]),Table2[청구 Claim 
이월],0,0,-1)</f>
        <v>0</v>
      </c>
      <c r="AX63" s="95"/>
      <c r="AY63" s="94" cm="1">
        <f t="array" ref="AY63">MAX(SUM(AO63:AP63,AS63:AX63)-_xlfn.XLOOKUP(1,(D63&lt;=Table7[End])*(E63=Table7[근무처])*(F63=Table7[업무]),Table7[1일 공제 상한],0,0),0)</f>
        <v>0</v>
      </c>
      <c r="AZ63" s="94">
        <f t="shared" si="7"/>
        <v>0</v>
      </c>
      <c r="BA63" s="94">
        <f t="shared" si="8"/>
        <v>80240</v>
      </c>
      <c r="BB63" s="97">
        <f t="shared" si="9"/>
        <v>0</v>
      </c>
      <c r="BC63" s="98"/>
      <c r="BD63" s="94">
        <f t="shared" si="10"/>
        <v>0</v>
      </c>
      <c r="BE63" s="94">
        <f t="shared" si="11"/>
        <v>0</v>
      </c>
      <c r="BF63" s="94">
        <f t="shared" si="12"/>
        <v>0</v>
      </c>
      <c r="BG63" s="94">
        <f t="shared" si="13"/>
        <v>0</v>
      </c>
      <c r="BH63" s="94" cm="1">
        <f t="array" ref="BH63">ROUNDDOWN(AM63*_xlfn.XLOOKUP(1,(BH$5=Table8[Type])*($D63&lt;=Table8[End]),Table8[요율],0,0),-1)</f>
        <v>640</v>
      </c>
      <c r="BI63" s="93" t="str" cm="1">
        <f t="array" ref="BI63">_xlfn.XLOOKUP(1,(D63&lt;=Table7[End])*(E63=Table7[근무처])*(F63=Table7[업무]),Table7[지급옵션],0,0)</f>
        <v>D+2</v>
      </c>
      <c r="BJ63" s="83">
        <f>IF(BK63&lt;&gt;"",BK63,IFERROR(D63+_xlfn.NUMBERVALUE(RIGHT(BI63,1)),D63-WEEKDAY(D63)+CHOOSE(MATCH(RIGHT(BI63),{"일","월","화","수","목","금","토"},0),8,9,10,11,12,13,14)))</f>
        <v>45720</v>
      </c>
      <c r="BK63" s="99"/>
    </row>
    <row r="64" spans="2:63" x14ac:dyDescent="0.35">
      <c r="B64" s="20" t="str" cm="1">
        <f t="array" ref="B64">_xlfn.IFS(BB64&lt;&gt;BC64,"Claim확인",N64&lt;&gt;"OK","확인필요",TRUE,"")</f>
        <v/>
      </c>
      <c r="C64" s="21" t="str">
        <f t="shared" si="0"/>
        <v>010-5X8X-X4X0920X02XX253123</v>
      </c>
      <c r="D64" s="26">
        <v>45718</v>
      </c>
      <c r="E64" s="91" t="s">
        <v>255</v>
      </c>
      <c r="F64" s="25" t="s">
        <v>257</v>
      </c>
      <c r="G64" s="27" t="s">
        <v>288</v>
      </c>
      <c r="H64" s="25" t="s">
        <v>303</v>
      </c>
      <c r="I64" s="25"/>
      <c r="J64" s="25" t="s">
        <v>304</v>
      </c>
      <c r="K64" s="28">
        <v>0.45833333333333331</v>
      </c>
      <c r="L64" s="28">
        <v>0.83333333333333337</v>
      </c>
      <c r="M64" s="28">
        <v>4.1666666666666664E-2</v>
      </c>
      <c r="N64" s="25" t="s">
        <v>281</v>
      </c>
      <c r="O64" s="29" t="str">
        <f>_xlfn.XLOOKUP(Table2[[#This Row],[Key]],Table1[Key],Table1[주민등록번호],"",0)</f>
        <v>941XX31XX3X14</v>
      </c>
      <c r="P64" s="29">
        <f>_xlfn.XLOOKUP(Table2[[#This Row],[Key]],Table1[Key],Table1[비자],"",0)</f>
        <v>0</v>
      </c>
      <c r="Q64" s="29">
        <f>IF(P64=0,0,_xlfn.XLOOKUP(Table2[[#This Row],[Key]],Table1[Key],Table1[고용보험 여부],0,0))</f>
        <v>0</v>
      </c>
      <c r="R64" s="29" t="str">
        <f t="shared" si="1"/>
        <v>2503</v>
      </c>
      <c r="S64" s="30" t="str">
        <f>YEAR(Table2[[#This Row],[근무일자]])&amp;TEXT(WEEKNUM(Table2[[#This Row],[근무일자]]),"00")</f>
        <v>202510</v>
      </c>
      <c r="T64" s="31">
        <f>_xlfn.XLOOKUP(Table2[[#This Row],[Key]],Table1[Key],Table1[등록일],"",0)</f>
        <v>45846</v>
      </c>
      <c r="U64" s="32">
        <f t="shared" si="2"/>
        <v>0.33333333333333337</v>
      </c>
      <c r="V64" s="92">
        <f t="shared" si="3"/>
        <v>0</v>
      </c>
      <c r="W64" s="100" t="str">
        <f>_xlfn.XLOOKUP(Table2[[#This Row],[근무일자]],Table3[Date],Table3[Holiday],"",0)</f>
        <v/>
      </c>
      <c r="X64" s="93">
        <f>IF(D64&lt;&gt;"",1,0)+IF(COUNTIFS(Table2[주민등록번호],O64,Table2[월],TEXT(EOMONTH(D64,-1),"YYMM"))&gt;0,1+IF(COUNTIFS(Table2[주민등록번호],O64,Table2[월],TEXT(EOMONTH(D64,-2),"YYMM"))&gt;0,1+IF(COUNTIFS(Table2[주민등록번호],O64,Table2[월],TEXT(EOMONTH(D64,-3),"YYMM"))&gt;0,1,0),0),0)</f>
        <v>2</v>
      </c>
      <c r="Y64" s="29">
        <f>COUNTIFS(Table2[주민등록번호],O64,Table2[월],R64,Table2[근무일자],"&lt;="&amp;D64)</f>
        <v>2</v>
      </c>
      <c r="Z64" s="29">
        <f>COUNTIFS(Table2[주민등록번호],O64,Table2[주간],S64,Table2[근무일자],"&lt;="&amp;D64)</f>
        <v>1</v>
      </c>
      <c r="AA64" s="29">
        <f>SUMIFS(Table2[근로
시간],Table2[주민등록번호],O64,Table2[주간],S64,Table2[근무일자],"&lt;="&amp;D64)*24</f>
        <v>8</v>
      </c>
      <c r="AB64" s="29" t="str">
        <f>IF(AND(Y64&gt;=8,COUNTIFS(Table2[주민등록번호],O64,Table2[근무일자],"&gt;="&amp;EOMONTH(D64,-2)+1,Table2[근무일자],"&lt;="&amp;EOMONTH(D64,-1)+1)&gt;0),"V","")</f>
        <v/>
      </c>
      <c r="AC64" s="94" cm="1">
        <f t="array" ref="AC64">IF(AD64&lt;&gt;"",AD64,_xlfn.XLOOKUP(1,(D64&lt;=Table7[End])*(E64=Table7[근무처])*(F64=Table7[업무]),Table7[시급],0,0))</f>
        <v>10030</v>
      </c>
      <c r="AD64" s="95"/>
      <c r="AE64" s="94">
        <f t="shared" si="4"/>
        <v>80240</v>
      </c>
      <c r="AF64" s="96" cm="1">
        <f t="array" ref="AF64">IF(AND(AA64&gt;=15,(AA64-U64*24)&lt;=40),IF(Z64&gt;=_xlfn.XLOOKUP(1,(D64&lt;=Table7[End])*(E64=Table7[근무처])*(F64=Table7[업무]),Table7[주휴적용일],0,0),1,0)+_xlfn.XLOOKUP(1,(Table2[주간]=Table2[[#This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64" s="96" cm="1">
        <f t="array" ref="AG64">MAX((_xlfn.IFS(AF64=0,0,AF64=1,AA64,AF64&gt;1,U64*24)-IF(AA64&gt;40,AA64-40,0))/5,0)</f>
        <v>0</v>
      </c>
      <c r="AH64" s="94">
        <f t="shared" si="5"/>
        <v>0</v>
      </c>
      <c r="AI64" s="33" cm="1">
        <f t="array" ref="AI64">IF(W64="",0,ROUND(AC64*U64*24*_xlfn.XLOOKUP(1,(D64&lt;=Table7[End])*(E64=Table7[근무처])*(F64=Table7[업무]),Table7[휴일인센티브],0,0),0))</f>
        <v>0</v>
      </c>
      <c r="AJ64" s="94" cm="1">
        <f t="array" ref="AJ64">ROUND(AC64*IF(U64&gt;=8/24,U64-8/24,0)*24*_xlfn.XLOOKUP(1,(D64&lt;=Table7[End])*(E64=Table7[근무처])*(F64=Table7[업무]),Table7[야간인센티브],0,0),0)</f>
        <v>0</v>
      </c>
      <c r="AK64" s="94" cm="1">
        <f t="array" ref="AK64">IF(V64=0,0,ROUND(AC64*V64*24*_xlfn.XLOOKUP(1,(D64&lt;=Table7[End])*(E64=Table7[근무처])*(F64=Table7[업무]),Table7[야간인센티브],0,0),0))</f>
        <v>0</v>
      </c>
      <c r="AL64" s="95"/>
      <c r="AM64" s="94">
        <f t="shared" si="6"/>
        <v>80240</v>
      </c>
      <c r="AN64" s="94" cm="1">
        <f t="array" ref="AN64">IF(AM64&gt;=_xlfn.XLOOKUP(TRUE,D64&lt;=Table5[End],Table5[비과세소득기준],0,0),AM64-_xlfn.XLOOKUP(TRUE,D64&lt;=Table5[End],Table5[비과세소득기준],0,0),0)</f>
        <v>0</v>
      </c>
      <c r="AO64" s="94" cm="1">
        <f t="array" ref="AO64">ROUNDDOWN(_xlfn.LET(_xlpm.setvalue,_xlfn.XLOOKUP(TRUE,D64&lt;=Table5[End],Table5[[요율]:[근로소득세액공제]],0,0),_xlpm.tax,AN64*PRODUCT((_xlpm.setvalue-{0,1})*{1,-1}),_xlpm.threshold,_xlfn.XLOOKUP(TRUE,D64&lt;=Table5[End],Table5[소액부징수기준],0,0),IF(_xlpm.tax&gt;=_xlpm.threshold,_xlpm.tax,0)),-1)</f>
        <v>0</v>
      </c>
      <c r="AP64" s="94">
        <f>ROUNDDOWN(Table2[[#This Row],[소득세]]*10%,-1)</f>
        <v>0</v>
      </c>
      <c r="AQ64" s="94">
        <f>IF(AB64="v",AM64+IF(Y64=8,SUMIFS(Table2[지급총액],Table2[주민등록번호],O64,Table2[월],R64,Table2[월간
근무일],"&lt;="&amp;8)-AM64,0),0)+_xlfn.NUMBERVALUE(AR64)</f>
        <v>0</v>
      </c>
      <c r="AR64" s="95"/>
      <c r="AS64" s="94" cm="1">
        <f t="array" ref="AS64">ROUNDDOWN($AQ64*_xlfn.XLOOKUP(1,(AS$5=Table8[Type])*($D64&lt;=Table8[End]),Table8[요율],0,0),0)</f>
        <v>0</v>
      </c>
      <c r="AT64" s="94" cm="1">
        <f t="array" ref="AT64">ROUNDDOWN(AS64*_xlfn.XLOOKUP(1,(AT$5=Table8[Type])*($D64&lt;=Table8[End]),Table8[요율],0,0),-1)</f>
        <v>0</v>
      </c>
      <c r="AU64" s="94" cm="1">
        <f t="array" ref="AU64">ROUNDDOWN($AQ64*_xlfn.XLOOKUP(1,(AU$5=Table8[Type])*($D64&lt;=Table8[End]),Table8[요율],0,0),-1)</f>
        <v>0</v>
      </c>
      <c r="AV64" s="94" cm="1">
        <f t="array" ref="AV64">ROUNDDOWN(AM64*_xlfn.XLOOKUP(1,(AV$5=Table8[Type])*($D64&lt;=Table8[End]),Table8[요율],0,0),-1)</f>
        <v>0</v>
      </c>
      <c r="AW64" s="94" cm="1">
        <f t="array" ref="AW64">_xlfn.XLOOKUP(1,(O64=Table2[주민등록번호])*(D64&gt;Table2[근무일자]),Table2[청구 Claim 
이월],0,0,-1)</f>
        <v>0</v>
      </c>
      <c r="AX64" s="95"/>
      <c r="AY64" s="94" cm="1">
        <f t="array" ref="AY64">MAX(SUM(AO64:AP64,AS64:AX64)-_xlfn.XLOOKUP(1,(D64&lt;=Table7[End])*(E64=Table7[근무처])*(F64=Table7[업무]),Table7[1일 공제 상한],0,0),0)</f>
        <v>0</v>
      </c>
      <c r="AZ64" s="94">
        <f t="shared" si="7"/>
        <v>0</v>
      </c>
      <c r="BA64" s="94">
        <f t="shared" si="8"/>
        <v>80240</v>
      </c>
      <c r="BB64" s="97">
        <f t="shared" si="9"/>
        <v>0</v>
      </c>
      <c r="BC64" s="98"/>
      <c r="BD64" s="94">
        <f t="shared" si="10"/>
        <v>0</v>
      </c>
      <c r="BE64" s="94">
        <f t="shared" si="11"/>
        <v>0</v>
      </c>
      <c r="BF64" s="94">
        <f t="shared" si="12"/>
        <v>0</v>
      </c>
      <c r="BG64" s="94">
        <f t="shared" si="13"/>
        <v>0</v>
      </c>
      <c r="BH64" s="94" cm="1">
        <f t="array" ref="BH64">ROUNDDOWN(AM64*_xlfn.XLOOKUP(1,(BH$5=Table8[Type])*($D64&lt;=Table8[End]),Table8[요율],0,0),-1)</f>
        <v>640</v>
      </c>
      <c r="BI64" s="93" t="str" cm="1">
        <f t="array" ref="BI64">_xlfn.XLOOKUP(1,(D64&lt;=Table7[End])*(E64=Table7[근무처])*(F64=Table7[업무]),Table7[지급옵션],0,0)</f>
        <v>차주 화</v>
      </c>
      <c r="BJ64" s="83">
        <f>IF(BK64&lt;&gt;"",BK64,IFERROR(D64+_xlfn.NUMBERVALUE(RIGHT(BI64,1)),D64-WEEKDAY(D64)+CHOOSE(MATCH(RIGHT(BI64),{"일","월","화","수","목","금","토"},0),8,9,10,11,12,13,14)))</f>
        <v>45727</v>
      </c>
      <c r="BK64" s="99"/>
    </row>
    <row r="65" spans="2:63" x14ac:dyDescent="0.35">
      <c r="B65" s="20" t="str" cm="1">
        <f t="array" ref="B65">_xlfn.IFS(BB65&lt;&gt;BC65,"Claim확인",N65&lt;&gt;"OK","확인필요",TRUE,"")</f>
        <v/>
      </c>
      <c r="C65" s="21" t="str">
        <f t="shared" si="0"/>
        <v>010-7X6X-X9X5110X98XX7530</v>
      </c>
      <c r="D65" s="26">
        <v>45719</v>
      </c>
      <c r="E65" s="91" t="s">
        <v>255</v>
      </c>
      <c r="F65" s="25" t="s">
        <v>258</v>
      </c>
      <c r="G65" s="27" t="s">
        <v>282</v>
      </c>
      <c r="H65" s="25" t="s">
        <v>289</v>
      </c>
      <c r="I65" s="25"/>
      <c r="J65" s="25" t="s">
        <v>290</v>
      </c>
      <c r="K65" s="28">
        <v>0.375</v>
      </c>
      <c r="L65" s="28">
        <v>0.75</v>
      </c>
      <c r="M65" s="28">
        <v>4.1666666666666664E-2</v>
      </c>
      <c r="N65" s="25" t="s">
        <v>281</v>
      </c>
      <c r="O65" s="29" t="str">
        <f>_xlfn.XLOOKUP(Table2[[#This Row],[Key]],Table1[Key],Table1[주민등록번호],"",0)</f>
        <v>990XX62XX3X13</v>
      </c>
      <c r="P65" s="29">
        <f>_xlfn.XLOOKUP(Table2[[#This Row],[Key]],Table1[Key],Table1[비자],"",0)</f>
        <v>0</v>
      </c>
      <c r="Q65" s="29">
        <f>IF(P65=0,0,_xlfn.XLOOKUP(Table2[[#This Row],[Key]],Table1[Key],Table1[고용보험 여부],0,0))</f>
        <v>0</v>
      </c>
      <c r="R65" s="29" t="str">
        <f t="shared" si="1"/>
        <v>2503</v>
      </c>
      <c r="S65" s="30" t="str">
        <f>YEAR(Table2[[#This Row],[근무일자]])&amp;TEXT(WEEKNUM(Table2[[#This Row],[근무일자]]),"00")</f>
        <v>202510</v>
      </c>
      <c r="T65" s="31">
        <f>_xlfn.XLOOKUP(Table2[[#This Row],[Key]],Table1[Key],Table1[등록일],"",0)</f>
        <v>45696</v>
      </c>
      <c r="U65" s="32">
        <f t="shared" si="2"/>
        <v>0.33333333333333331</v>
      </c>
      <c r="V65" s="92">
        <f t="shared" si="3"/>
        <v>0</v>
      </c>
      <c r="W65" s="100" t="str">
        <f>_xlfn.XLOOKUP(Table2[[#This Row],[근무일자]],Table3[Date],Table3[Holiday],"",0)</f>
        <v>대체 휴일</v>
      </c>
      <c r="X65" s="93">
        <f>IF(D65&lt;&gt;"",1,0)+IF(COUNTIFS(Table2[주민등록번호],O65,Table2[월],TEXT(EOMONTH(D65,-1),"YYMM"))&gt;0,1+IF(COUNTIFS(Table2[주민등록번호],O65,Table2[월],TEXT(EOMONTH(D65,-2),"YYMM"))&gt;0,1+IF(COUNTIFS(Table2[주민등록번호],O65,Table2[월],TEXT(EOMONTH(D65,-3),"YYMM"))&gt;0,1,0),0),0)</f>
        <v>2</v>
      </c>
      <c r="Y65" s="29">
        <f>COUNTIFS(Table2[주민등록번호],O65,Table2[월],R65,Table2[근무일자],"&lt;="&amp;D65)</f>
        <v>3</v>
      </c>
      <c r="Z65" s="29">
        <f>COUNTIFS(Table2[주민등록번호],O65,Table2[주간],S65,Table2[근무일자],"&lt;="&amp;D65)</f>
        <v>2</v>
      </c>
      <c r="AA65" s="29">
        <f>SUMIFS(Table2[근로
시간],Table2[주민등록번호],O65,Table2[주간],S65,Table2[근무일자],"&lt;="&amp;D65)*24</f>
        <v>16</v>
      </c>
      <c r="AB65" s="29" t="str">
        <f>IF(AND(Y65&gt;=8,COUNTIFS(Table2[주민등록번호],O65,Table2[근무일자],"&gt;="&amp;EOMONTH(D65,-2)+1,Table2[근무일자],"&lt;="&amp;EOMONTH(D65,-1)+1)&gt;0),"V","")</f>
        <v/>
      </c>
      <c r="AC65" s="94" cm="1">
        <f t="array" ref="AC65">IF(AD65&lt;&gt;"",AD65,_xlfn.XLOOKUP(1,(D65&lt;=Table7[End])*(E65=Table7[근무처])*(F65=Table7[업무]),Table7[시급],0,0))</f>
        <v>10680</v>
      </c>
      <c r="AD65" s="95"/>
      <c r="AE65" s="94">
        <f t="shared" si="4"/>
        <v>85440</v>
      </c>
      <c r="AF65" s="96" cm="1">
        <f t="array" ref="AF65">IF(AND(AA65&gt;=15,(AA65-U65*24)&lt;=40),IF(Z65&gt;=_xlfn.XLOOKUP(1,(D65&lt;=Table7[End])*(E65=Table7[근무처])*(F65=Table7[업무]),Table7[주휴적용일],0,0),1,0)+_xlfn.XLOOKUP(1,(Table2[주간]=Table2[[#This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65" s="96" cm="1">
        <f t="array" ref="AG65">MAX((_xlfn.IFS(AF65=0,0,AF65=1,AA65,AF65&gt;1,U65*24)-IF(AA65&gt;40,AA65-40,0))/5,0)</f>
        <v>3.2</v>
      </c>
      <c r="AH65" s="94">
        <f t="shared" si="5"/>
        <v>34176</v>
      </c>
      <c r="AI65" s="33" cm="1">
        <f t="array" ref="AI65">IF(W65="",0,ROUND(AC65*U65*24*_xlfn.XLOOKUP(1,(D65&lt;=Table7[End])*(E65=Table7[근무처])*(F65=Table7[업무]),Table7[휴일인센티브],0,0),0))</f>
        <v>42720</v>
      </c>
      <c r="AJ65" s="94" cm="1">
        <f t="array" ref="AJ65">ROUND(AC65*IF(U65&gt;=8/24,U65-8/24,0)*24*_xlfn.XLOOKUP(1,(D65&lt;=Table7[End])*(E65=Table7[근무처])*(F65=Table7[업무]),Table7[야간인센티브],0,0),0)</f>
        <v>0</v>
      </c>
      <c r="AK65" s="94" cm="1">
        <f t="array" ref="AK65">IF(V65=0,0,ROUND(AC65*V65*24*_xlfn.XLOOKUP(1,(D65&lt;=Table7[End])*(E65=Table7[근무처])*(F65=Table7[업무]),Table7[야간인센티브],0,0),0))</f>
        <v>0</v>
      </c>
      <c r="AL65" s="95"/>
      <c r="AM65" s="94">
        <f t="shared" si="6"/>
        <v>162336</v>
      </c>
      <c r="AN65" s="94" cm="1">
        <f t="array" ref="AN65">IF(AM65&gt;=_xlfn.XLOOKUP(TRUE,D65&lt;=Table5[End],Table5[비과세소득기준],0,0),AM65-_xlfn.XLOOKUP(TRUE,D65&lt;=Table5[End],Table5[비과세소득기준],0,0),0)</f>
        <v>12336</v>
      </c>
      <c r="AO65" s="94" cm="1">
        <f t="array" ref="AO65">ROUNDDOWN(_xlfn.LET(_xlpm.setvalue,_xlfn.XLOOKUP(TRUE,D65&lt;=Table5[End],Table5[[요율]:[근로소득세액공제]],0,0),_xlpm.tax,AN65*PRODUCT((_xlpm.setvalue-{0,1})*{1,-1}),_xlpm.threshold,_xlfn.XLOOKUP(TRUE,D65&lt;=Table5[End],Table5[소액부징수기준],0,0),IF(_xlpm.tax&gt;=_xlpm.threshold,_xlpm.tax,0)),-1)</f>
        <v>0</v>
      </c>
      <c r="AP65" s="94">
        <f>ROUNDDOWN(Table2[[#This Row],[소득세]]*10%,-1)</f>
        <v>0</v>
      </c>
      <c r="AQ65" s="94">
        <f>IF(AB65="v",AM65+IF(Y65=8,SUMIFS(Table2[지급총액],Table2[주민등록번호],O65,Table2[월],R65,Table2[월간
근무일],"&lt;="&amp;8)-AM65,0),0)+_xlfn.NUMBERVALUE(AR65)</f>
        <v>0</v>
      </c>
      <c r="AR65" s="95"/>
      <c r="AS65" s="94" cm="1">
        <f t="array" ref="AS65">ROUNDDOWN($AQ65*_xlfn.XLOOKUP(1,(AS$5=Table8[Type])*($D65&lt;=Table8[End]),Table8[요율],0,0),0)</f>
        <v>0</v>
      </c>
      <c r="AT65" s="94" cm="1">
        <f t="array" ref="AT65">ROUNDDOWN(AS65*_xlfn.XLOOKUP(1,(AT$5=Table8[Type])*($D65&lt;=Table8[End]),Table8[요율],0,0),-1)</f>
        <v>0</v>
      </c>
      <c r="AU65" s="94" cm="1">
        <f t="array" ref="AU65">ROUNDDOWN($AQ65*_xlfn.XLOOKUP(1,(AU$5=Table8[Type])*($D65&lt;=Table8[End]),Table8[요율],0,0),-1)</f>
        <v>0</v>
      </c>
      <c r="AV65" s="94" cm="1">
        <f t="array" ref="AV65">ROUNDDOWN(AM65*_xlfn.XLOOKUP(1,(AV$5=Table8[Type])*($D65&lt;=Table8[End]),Table8[요율],0,0),-1)</f>
        <v>0</v>
      </c>
      <c r="AW65" s="94" cm="1">
        <f t="array" ref="AW65">_xlfn.XLOOKUP(1,(O65=Table2[주민등록번호])*(D65&gt;Table2[근무일자]),Table2[청구 Claim 
이월],0,0,-1)</f>
        <v>0</v>
      </c>
      <c r="AX65" s="95"/>
      <c r="AY65" s="94" cm="1">
        <f t="array" ref="AY65">MAX(SUM(AO65:AP65,AS65:AX65)-_xlfn.XLOOKUP(1,(D65&lt;=Table7[End])*(E65=Table7[근무처])*(F65=Table7[업무]),Table7[1일 공제 상한],0,0),0)</f>
        <v>0</v>
      </c>
      <c r="AZ65" s="94">
        <f t="shared" si="7"/>
        <v>0</v>
      </c>
      <c r="BA65" s="94">
        <f t="shared" si="8"/>
        <v>162336</v>
      </c>
      <c r="BB65" s="97">
        <f t="shared" si="9"/>
        <v>0</v>
      </c>
      <c r="BC65" s="98"/>
      <c r="BD65" s="94">
        <f t="shared" si="10"/>
        <v>0</v>
      </c>
      <c r="BE65" s="94">
        <f t="shared" si="11"/>
        <v>0</v>
      </c>
      <c r="BF65" s="94">
        <f t="shared" si="12"/>
        <v>0</v>
      </c>
      <c r="BG65" s="94">
        <f t="shared" si="13"/>
        <v>0</v>
      </c>
      <c r="BH65" s="94" cm="1">
        <f t="array" ref="BH65">ROUNDDOWN(AM65*_xlfn.XLOOKUP(1,(BH$5=Table8[Type])*($D65&lt;=Table8[End]),Table8[요율],0,0),-1)</f>
        <v>1290</v>
      </c>
      <c r="BI65" s="93" t="str" cm="1">
        <f t="array" ref="BI65">_xlfn.XLOOKUP(1,(D65&lt;=Table7[End])*(E65=Table7[근무처])*(F65=Table7[업무]),Table7[지급옵션],0,0)</f>
        <v>차주 화</v>
      </c>
      <c r="BJ65" s="83">
        <f>IF(BK65&lt;&gt;"",BK65,IFERROR(D65+_xlfn.NUMBERVALUE(RIGHT(BI65,1)),D65-WEEKDAY(D65)+CHOOSE(MATCH(RIGHT(BI65),{"일","월","화","수","목","금","토"},0),8,9,10,11,12,13,14)))</f>
        <v>45727</v>
      </c>
      <c r="BK65" s="99"/>
    </row>
    <row r="66" spans="2:63" x14ac:dyDescent="0.35">
      <c r="B66" s="20" t="str" cm="1">
        <f t="array" ref="B66">_xlfn.IFS(BB66&lt;&gt;BC66,"Claim확인",N66&lt;&gt;"OK","확인필요",TRUE,"")</f>
        <v/>
      </c>
      <c r="C66" s="21" t="str">
        <f t="shared" si="0"/>
        <v>010-8X0X-X0X9982X03XX901018</v>
      </c>
      <c r="D66" s="26">
        <v>45719</v>
      </c>
      <c r="E66" s="91" t="s">
        <v>255</v>
      </c>
      <c r="F66" s="25" t="s">
        <v>258</v>
      </c>
      <c r="G66" s="27" t="s">
        <v>283</v>
      </c>
      <c r="H66" s="25" t="s">
        <v>291</v>
      </c>
      <c r="I66" s="25"/>
      <c r="J66" s="25" t="s">
        <v>292</v>
      </c>
      <c r="K66" s="28">
        <v>0.375</v>
      </c>
      <c r="L66" s="28">
        <v>0.75</v>
      </c>
      <c r="M66" s="28">
        <v>4.1666666666666664E-2</v>
      </c>
      <c r="N66" s="25" t="s">
        <v>281</v>
      </c>
      <c r="O66" s="29" t="str">
        <f>_xlfn.XLOOKUP(Table2[[#This Row],[Key]],Table1[Key],Table1[주민등록번호],"",0)</f>
        <v>960XX51XX9X15</v>
      </c>
      <c r="P66" s="29">
        <f>_xlfn.XLOOKUP(Table2[[#This Row],[Key]],Table1[Key],Table1[비자],"",0)</f>
        <v>0</v>
      </c>
      <c r="Q66" s="29">
        <f>IF(P66=0,0,_xlfn.XLOOKUP(Table2[[#This Row],[Key]],Table1[Key],Table1[고용보험 여부],0,0))</f>
        <v>0</v>
      </c>
      <c r="R66" s="29" t="str">
        <f t="shared" si="1"/>
        <v>2503</v>
      </c>
      <c r="S66" s="30" t="str">
        <f>YEAR(Table2[[#This Row],[근무일자]])&amp;TEXT(WEEKNUM(Table2[[#This Row],[근무일자]]),"00")</f>
        <v>202510</v>
      </c>
      <c r="T66" s="31">
        <f>_xlfn.XLOOKUP(Table2[[#This Row],[Key]],Table1[Key],Table1[등록일],"",0)</f>
        <v>45698</v>
      </c>
      <c r="U66" s="32">
        <f t="shared" si="2"/>
        <v>0.33333333333333331</v>
      </c>
      <c r="V66" s="92">
        <f t="shared" si="3"/>
        <v>0</v>
      </c>
      <c r="W66" s="100" t="str">
        <f>_xlfn.XLOOKUP(Table2[[#This Row],[근무일자]],Table3[Date],Table3[Holiday],"",0)</f>
        <v>대체 휴일</v>
      </c>
      <c r="X66" s="93">
        <f>IF(D66&lt;&gt;"",1,0)+IF(COUNTIFS(Table2[주민등록번호],O66,Table2[월],TEXT(EOMONTH(D66,-1),"YYMM"))&gt;0,1+IF(COUNTIFS(Table2[주민등록번호],O66,Table2[월],TEXT(EOMONTH(D66,-2),"YYMM"))&gt;0,1+IF(COUNTIFS(Table2[주민등록번호],O66,Table2[월],TEXT(EOMONTH(D66,-3),"YYMM"))&gt;0,1,0),0),0)</f>
        <v>2</v>
      </c>
      <c r="Y66" s="29">
        <f>COUNTIFS(Table2[주민등록번호],O66,Table2[월],R66,Table2[근무일자],"&lt;="&amp;D66)</f>
        <v>3</v>
      </c>
      <c r="Z66" s="29">
        <f>COUNTIFS(Table2[주민등록번호],O66,Table2[주간],S66,Table2[근무일자],"&lt;="&amp;D66)</f>
        <v>2</v>
      </c>
      <c r="AA66" s="29">
        <f>SUMIFS(Table2[근로
시간],Table2[주민등록번호],O66,Table2[주간],S66,Table2[근무일자],"&lt;="&amp;D66)*24</f>
        <v>16</v>
      </c>
      <c r="AB66" s="29" t="str">
        <f>IF(AND(Y66&gt;=8,COUNTIFS(Table2[주민등록번호],O66,Table2[근무일자],"&gt;="&amp;EOMONTH(D66,-2)+1,Table2[근무일자],"&lt;="&amp;EOMONTH(D66,-1)+1)&gt;0),"V","")</f>
        <v/>
      </c>
      <c r="AC66" s="94" cm="1">
        <f t="array" ref="AC66">IF(AD66&lt;&gt;"",AD66,_xlfn.XLOOKUP(1,(D66&lt;=Table7[End])*(E66=Table7[근무처])*(F66=Table7[업무]),Table7[시급],0,0))</f>
        <v>10680</v>
      </c>
      <c r="AD66" s="95"/>
      <c r="AE66" s="94">
        <f t="shared" si="4"/>
        <v>85440</v>
      </c>
      <c r="AF66" s="96" cm="1">
        <f t="array" ref="AF66">IF(AND(AA66&gt;=15,(AA66-U66*24)&lt;=40),IF(Z66&gt;=_xlfn.XLOOKUP(1,(D66&lt;=Table7[End])*(E66=Table7[근무처])*(F66=Table7[업무]),Table7[주휴적용일],0,0),1,0)+_xlfn.XLOOKUP(1,(Table2[주간]=Table2[[#This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66" s="96" cm="1">
        <f t="array" ref="AG66">MAX((_xlfn.IFS(AF66=0,0,AF66=1,AA66,AF66&gt;1,U66*24)-IF(AA66&gt;40,AA66-40,0))/5,0)</f>
        <v>3.2</v>
      </c>
      <c r="AH66" s="94">
        <f t="shared" si="5"/>
        <v>34176</v>
      </c>
      <c r="AI66" s="33" cm="1">
        <f t="array" ref="AI66">IF(W66="",0,ROUND(AC66*U66*24*_xlfn.XLOOKUP(1,(D66&lt;=Table7[End])*(E66=Table7[근무처])*(F66=Table7[업무]),Table7[휴일인센티브],0,0),0))</f>
        <v>42720</v>
      </c>
      <c r="AJ66" s="94" cm="1">
        <f t="array" ref="AJ66">ROUND(AC66*IF(U66&gt;=8/24,U66-8/24,0)*24*_xlfn.XLOOKUP(1,(D66&lt;=Table7[End])*(E66=Table7[근무처])*(F66=Table7[업무]),Table7[야간인센티브],0,0),0)</f>
        <v>0</v>
      </c>
      <c r="AK66" s="94" cm="1">
        <f t="array" ref="AK66">IF(V66=0,0,ROUND(AC66*V66*24*_xlfn.XLOOKUP(1,(D66&lt;=Table7[End])*(E66=Table7[근무처])*(F66=Table7[업무]),Table7[야간인센티브],0,0),0))</f>
        <v>0</v>
      </c>
      <c r="AL66" s="95"/>
      <c r="AM66" s="94">
        <f t="shared" si="6"/>
        <v>162336</v>
      </c>
      <c r="AN66" s="94" cm="1">
        <f t="array" ref="AN66">IF(AM66&gt;=_xlfn.XLOOKUP(TRUE,D66&lt;=Table5[End],Table5[비과세소득기준],0,0),AM66-_xlfn.XLOOKUP(TRUE,D66&lt;=Table5[End],Table5[비과세소득기준],0,0),0)</f>
        <v>12336</v>
      </c>
      <c r="AO66" s="94" cm="1">
        <f t="array" ref="AO66">ROUNDDOWN(_xlfn.LET(_xlpm.setvalue,_xlfn.XLOOKUP(TRUE,D66&lt;=Table5[End],Table5[[요율]:[근로소득세액공제]],0,0),_xlpm.tax,AN66*PRODUCT((_xlpm.setvalue-{0,1})*{1,-1}),_xlpm.threshold,_xlfn.XLOOKUP(TRUE,D66&lt;=Table5[End],Table5[소액부징수기준],0,0),IF(_xlpm.tax&gt;=_xlpm.threshold,_xlpm.tax,0)),-1)</f>
        <v>0</v>
      </c>
      <c r="AP66" s="94">
        <f>ROUNDDOWN(Table2[[#This Row],[소득세]]*10%,-1)</f>
        <v>0</v>
      </c>
      <c r="AQ66" s="94">
        <f>IF(AB66="v",AM66+IF(Y66=8,SUMIFS(Table2[지급총액],Table2[주민등록번호],O66,Table2[월],R66,Table2[월간
근무일],"&lt;="&amp;8)-AM66,0),0)+_xlfn.NUMBERVALUE(AR66)</f>
        <v>0</v>
      </c>
      <c r="AR66" s="95"/>
      <c r="AS66" s="94" cm="1">
        <f t="array" ref="AS66">ROUNDDOWN($AQ66*_xlfn.XLOOKUP(1,(AS$5=Table8[Type])*($D66&lt;=Table8[End]),Table8[요율],0,0),0)</f>
        <v>0</v>
      </c>
      <c r="AT66" s="94" cm="1">
        <f t="array" ref="AT66">ROUNDDOWN(AS66*_xlfn.XLOOKUP(1,(AT$5=Table8[Type])*($D66&lt;=Table8[End]),Table8[요율],0,0),-1)</f>
        <v>0</v>
      </c>
      <c r="AU66" s="94" cm="1">
        <f t="array" ref="AU66">ROUNDDOWN($AQ66*_xlfn.XLOOKUP(1,(AU$5=Table8[Type])*($D66&lt;=Table8[End]),Table8[요율],0,0),-1)</f>
        <v>0</v>
      </c>
      <c r="AV66" s="94" cm="1">
        <f t="array" ref="AV66">ROUNDDOWN(AM66*_xlfn.XLOOKUP(1,(AV$5=Table8[Type])*($D66&lt;=Table8[End]),Table8[요율],0,0),-1)</f>
        <v>0</v>
      </c>
      <c r="AW66" s="94" cm="1">
        <f t="array" ref="AW66">_xlfn.XLOOKUP(1,(O66=Table2[주민등록번호])*(D66&gt;Table2[근무일자]),Table2[청구 Claim 
이월],0,0,-1)</f>
        <v>0</v>
      </c>
      <c r="AX66" s="95"/>
      <c r="AY66" s="94" cm="1">
        <f t="array" ref="AY66">MAX(SUM(AO66:AP66,AS66:AX66)-_xlfn.XLOOKUP(1,(D66&lt;=Table7[End])*(E66=Table7[근무처])*(F66=Table7[업무]),Table7[1일 공제 상한],0,0),0)</f>
        <v>0</v>
      </c>
      <c r="AZ66" s="94">
        <f t="shared" si="7"/>
        <v>0</v>
      </c>
      <c r="BA66" s="94">
        <f t="shared" si="8"/>
        <v>162336</v>
      </c>
      <c r="BB66" s="97">
        <f t="shared" si="9"/>
        <v>0</v>
      </c>
      <c r="BC66" s="98"/>
      <c r="BD66" s="94">
        <f t="shared" si="10"/>
        <v>0</v>
      </c>
      <c r="BE66" s="94">
        <f t="shared" si="11"/>
        <v>0</v>
      </c>
      <c r="BF66" s="94">
        <f t="shared" si="12"/>
        <v>0</v>
      </c>
      <c r="BG66" s="94">
        <f t="shared" si="13"/>
        <v>0</v>
      </c>
      <c r="BH66" s="94" cm="1">
        <f t="array" ref="BH66">ROUNDDOWN(AM66*_xlfn.XLOOKUP(1,(BH$5=Table8[Type])*($D66&lt;=Table8[End]),Table8[요율],0,0),-1)</f>
        <v>1290</v>
      </c>
      <c r="BI66" s="93" t="str" cm="1">
        <f t="array" ref="BI66">_xlfn.XLOOKUP(1,(D66&lt;=Table7[End])*(E66=Table7[근무처])*(F66=Table7[업무]),Table7[지급옵션],0,0)</f>
        <v>차주 화</v>
      </c>
      <c r="BJ66" s="83">
        <f>IF(BK66&lt;&gt;"",BK66,IFERROR(D66+_xlfn.NUMBERVALUE(RIGHT(BI66,1)),D66-WEEKDAY(D66)+CHOOSE(MATCH(RIGHT(BI66),{"일","월","화","수","목","금","토"},0),8,9,10,11,12,13,14)))</f>
        <v>45727</v>
      </c>
      <c r="BK66" s="99"/>
    </row>
    <row r="67" spans="2:63" x14ac:dyDescent="0.35">
      <c r="B67" s="20" t="str" cm="1">
        <f t="array" ref="B67">_xlfn.IFS(BB67&lt;&gt;BC67,"Claim확인",N67&lt;&gt;"OK","확인필요",TRUE,"")</f>
        <v/>
      </c>
      <c r="C67" s="21" t="str">
        <f t="shared" si="0"/>
        <v>010-5X8X-X4X0920X02XX253123</v>
      </c>
      <c r="D67" s="26">
        <v>45719</v>
      </c>
      <c r="E67" s="91" t="s">
        <v>255</v>
      </c>
      <c r="F67" s="25" t="s">
        <v>257</v>
      </c>
      <c r="G67" s="27" t="s">
        <v>288</v>
      </c>
      <c r="H67" s="25" t="s">
        <v>303</v>
      </c>
      <c r="I67" s="25"/>
      <c r="J67" s="25" t="s">
        <v>304</v>
      </c>
      <c r="K67" s="28">
        <v>0.45833333333333331</v>
      </c>
      <c r="L67" s="28">
        <v>0.83333333333333337</v>
      </c>
      <c r="M67" s="28">
        <v>4.1666666666666664E-2</v>
      </c>
      <c r="N67" s="25" t="s">
        <v>281</v>
      </c>
      <c r="O67" s="29" t="str">
        <f>_xlfn.XLOOKUP(Table2[[#This Row],[Key]],Table1[Key],Table1[주민등록번호],"",0)</f>
        <v>941XX31XX3X14</v>
      </c>
      <c r="P67" s="29">
        <f>_xlfn.XLOOKUP(Table2[[#This Row],[Key]],Table1[Key],Table1[비자],"",0)</f>
        <v>0</v>
      </c>
      <c r="Q67" s="29">
        <f>IF(P67=0,0,_xlfn.XLOOKUP(Table2[[#This Row],[Key]],Table1[Key],Table1[고용보험 여부],0,0))</f>
        <v>0</v>
      </c>
      <c r="R67" s="29" t="str">
        <f t="shared" si="1"/>
        <v>2503</v>
      </c>
      <c r="S67" s="30" t="str">
        <f>YEAR(Table2[[#This Row],[근무일자]])&amp;TEXT(WEEKNUM(Table2[[#This Row],[근무일자]]),"00")</f>
        <v>202510</v>
      </c>
      <c r="T67" s="31">
        <f>_xlfn.XLOOKUP(Table2[[#This Row],[Key]],Table1[Key],Table1[등록일],"",0)</f>
        <v>45846</v>
      </c>
      <c r="U67" s="32">
        <f t="shared" si="2"/>
        <v>0.33333333333333337</v>
      </c>
      <c r="V67" s="92">
        <f t="shared" si="3"/>
        <v>0</v>
      </c>
      <c r="W67" s="100" t="str">
        <f>_xlfn.XLOOKUP(Table2[[#This Row],[근무일자]],Table3[Date],Table3[Holiday],"",0)</f>
        <v>대체 휴일</v>
      </c>
      <c r="X67" s="93">
        <f>IF(D67&lt;&gt;"",1,0)+IF(COUNTIFS(Table2[주민등록번호],O67,Table2[월],TEXT(EOMONTH(D67,-1),"YYMM"))&gt;0,1+IF(COUNTIFS(Table2[주민등록번호],O67,Table2[월],TEXT(EOMONTH(D67,-2),"YYMM"))&gt;0,1+IF(COUNTIFS(Table2[주민등록번호],O67,Table2[월],TEXT(EOMONTH(D67,-3),"YYMM"))&gt;0,1,0),0),0)</f>
        <v>2</v>
      </c>
      <c r="Y67" s="29">
        <f>COUNTIFS(Table2[주민등록번호],O67,Table2[월],R67,Table2[근무일자],"&lt;="&amp;D67)</f>
        <v>3</v>
      </c>
      <c r="Z67" s="29">
        <f>COUNTIFS(Table2[주민등록번호],O67,Table2[주간],S67,Table2[근무일자],"&lt;="&amp;D67)</f>
        <v>2</v>
      </c>
      <c r="AA67" s="29">
        <f>SUMIFS(Table2[근로
시간],Table2[주민등록번호],O67,Table2[주간],S67,Table2[근무일자],"&lt;="&amp;D67)*24</f>
        <v>16</v>
      </c>
      <c r="AB67" s="29" t="str">
        <f>IF(AND(Y67&gt;=8,COUNTIFS(Table2[주민등록번호],O67,Table2[근무일자],"&gt;="&amp;EOMONTH(D67,-2)+1,Table2[근무일자],"&lt;="&amp;EOMONTH(D67,-1)+1)&gt;0),"V","")</f>
        <v/>
      </c>
      <c r="AC67" s="94" cm="1">
        <f t="array" ref="AC67">IF(AD67&lt;&gt;"",AD67,_xlfn.XLOOKUP(1,(D67&lt;=Table7[End])*(E67=Table7[근무처])*(F67=Table7[업무]),Table7[시급],0,0))</f>
        <v>10030</v>
      </c>
      <c r="AD67" s="95"/>
      <c r="AE67" s="94">
        <f t="shared" si="4"/>
        <v>80240</v>
      </c>
      <c r="AF67" s="96" cm="1">
        <f t="array" ref="AF67">IF(AND(AA67&gt;=15,(AA67-U67*24)&lt;=40),IF(Z67&gt;=_xlfn.XLOOKUP(1,(D67&lt;=Table7[End])*(E67=Table7[근무처])*(F67=Table7[업무]),Table7[주휴적용일],0,0),1,0)+_xlfn.XLOOKUP(1,(Table2[주간]=Table2[[#This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67" s="96" cm="1">
        <f t="array" ref="AG67">MAX((_xlfn.IFS(AF67=0,0,AF67=1,AA67,AF67&gt;1,U67*24)-IF(AA67&gt;40,AA67-40,0))/5,0)</f>
        <v>3.2</v>
      </c>
      <c r="AH67" s="94">
        <f t="shared" si="5"/>
        <v>32096</v>
      </c>
      <c r="AI67" s="33" cm="1">
        <f t="array" ref="AI67">IF(W67="",0,ROUND(AC67*U67*24*_xlfn.XLOOKUP(1,(D67&lt;=Table7[End])*(E67=Table7[근무처])*(F67=Table7[업무]),Table7[휴일인센티브],0,0),0))</f>
        <v>40120</v>
      </c>
      <c r="AJ67" s="94" cm="1">
        <f t="array" ref="AJ67">ROUND(AC67*IF(U67&gt;=8/24,U67-8/24,0)*24*_xlfn.XLOOKUP(1,(D67&lt;=Table7[End])*(E67=Table7[근무처])*(F67=Table7[업무]),Table7[야간인센티브],0,0),0)</f>
        <v>0</v>
      </c>
      <c r="AK67" s="94" cm="1">
        <f t="array" ref="AK67">IF(V67=0,0,ROUND(AC67*V67*24*_xlfn.XLOOKUP(1,(D67&lt;=Table7[End])*(E67=Table7[근무처])*(F67=Table7[업무]),Table7[야간인센티브],0,0),0))</f>
        <v>0</v>
      </c>
      <c r="AL67" s="95"/>
      <c r="AM67" s="94">
        <f t="shared" si="6"/>
        <v>152456</v>
      </c>
      <c r="AN67" s="94" cm="1">
        <f t="array" ref="AN67">IF(AM67&gt;=_xlfn.XLOOKUP(TRUE,D67&lt;=Table5[End],Table5[비과세소득기준],0,0),AM67-_xlfn.XLOOKUP(TRUE,D67&lt;=Table5[End],Table5[비과세소득기준],0,0),0)</f>
        <v>2456</v>
      </c>
      <c r="AO67" s="94" cm="1">
        <f t="array" ref="AO67">ROUNDDOWN(_xlfn.LET(_xlpm.setvalue,_xlfn.XLOOKUP(TRUE,D67&lt;=Table5[End],Table5[[요율]:[근로소득세액공제]],0,0),_xlpm.tax,AN67*PRODUCT((_xlpm.setvalue-{0,1})*{1,-1}),_xlpm.threshold,_xlfn.XLOOKUP(TRUE,D67&lt;=Table5[End],Table5[소액부징수기준],0,0),IF(_xlpm.tax&gt;=_xlpm.threshold,_xlpm.tax,0)),-1)</f>
        <v>0</v>
      </c>
      <c r="AP67" s="94">
        <f>ROUNDDOWN(Table2[[#This Row],[소득세]]*10%,-1)</f>
        <v>0</v>
      </c>
      <c r="AQ67" s="94">
        <f>IF(AB67="v",AM67+IF(Y67=8,SUMIFS(Table2[지급총액],Table2[주민등록번호],O67,Table2[월],R67,Table2[월간
근무일],"&lt;="&amp;8)-AM67,0),0)+_xlfn.NUMBERVALUE(AR67)</f>
        <v>0</v>
      </c>
      <c r="AR67" s="95"/>
      <c r="AS67" s="94" cm="1">
        <f t="array" ref="AS67">ROUNDDOWN($AQ67*_xlfn.XLOOKUP(1,(AS$5=Table8[Type])*($D67&lt;=Table8[End]),Table8[요율],0,0),0)</f>
        <v>0</v>
      </c>
      <c r="AT67" s="94" cm="1">
        <f t="array" ref="AT67">ROUNDDOWN(AS67*_xlfn.XLOOKUP(1,(AT$5=Table8[Type])*($D67&lt;=Table8[End]),Table8[요율],0,0),-1)</f>
        <v>0</v>
      </c>
      <c r="AU67" s="94" cm="1">
        <f t="array" ref="AU67">ROUNDDOWN($AQ67*_xlfn.XLOOKUP(1,(AU$5=Table8[Type])*($D67&lt;=Table8[End]),Table8[요율],0,0),-1)</f>
        <v>0</v>
      </c>
      <c r="AV67" s="94" cm="1">
        <f t="array" ref="AV67">ROUNDDOWN(AM67*_xlfn.XLOOKUP(1,(AV$5=Table8[Type])*($D67&lt;=Table8[End]),Table8[요율],0,0),-1)</f>
        <v>0</v>
      </c>
      <c r="AW67" s="94" cm="1">
        <f t="array" ref="AW67">_xlfn.XLOOKUP(1,(O67=Table2[주민등록번호])*(D67&gt;Table2[근무일자]),Table2[청구 Claim 
이월],0,0,-1)</f>
        <v>0</v>
      </c>
      <c r="AX67" s="95"/>
      <c r="AY67" s="94" cm="1">
        <f t="array" ref="AY67">MAX(SUM(AO67:AP67,AS67:AX67)-_xlfn.XLOOKUP(1,(D67&lt;=Table7[End])*(E67=Table7[근무처])*(F67=Table7[업무]),Table7[1일 공제 상한],0,0),0)</f>
        <v>0</v>
      </c>
      <c r="AZ67" s="94">
        <f t="shared" si="7"/>
        <v>0</v>
      </c>
      <c r="BA67" s="94">
        <f t="shared" si="8"/>
        <v>152456</v>
      </c>
      <c r="BB67" s="97">
        <f t="shared" si="9"/>
        <v>0</v>
      </c>
      <c r="BC67" s="98"/>
      <c r="BD67" s="94">
        <f t="shared" si="10"/>
        <v>0</v>
      </c>
      <c r="BE67" s="94">
        <f t="shared" si="11"/>
        <v>0</v>
      </c>
      <c r="BF67" s="94">
        <f t="shared" si="12"/>
        <v>0</v>
      </c>
      <c r="BG67" s="94">
        <f t="shared" si="13"/>
        <v>0</v>
      </c>
      <c r="BH67" s="94" cm="1">
        <f t="array" ref="BH67">ROUNDDOWN(AM67*_xlfn.XLOOKUP(1,(BH$5=Table8[Type])*($D67&lt;=Table8[End]),Table8[요율],0,0),-1)</f>
        <v>1210</v>
      </c>
      <c r="BI67" s="93" t="str" cm="1">
        <f t="array" ref="BI67">_xlfn.XLOOKUP(1,(D67&lt;=Table7[End])*(E67=Table7[근무처])*(F67=Table7[업무]),Table7[지급옵션],0,0)</f>
        <v>차주 화</v>
      </c>
      <c r="BJ67" s="83">
        <f>IF(BK67&lt;&gt;"",BK67,IFERROR(D67+_xlfn.NUMBERVALUE(RIGHT(BI67,1)),D67-WEEKDAY(D67)+CHOOSE(MATCH(RIGHT(BI67),{"일","월","화","수","목","금","토"},0),8,9,10,11,12,13,14)))</f>
        <v>45727</v>
      </c>
      <c r="BK67" s="99"/>
    </row>
    <row r="68" spans="2:63" x14ac:dyDescent="0.35">
      <c r="B68" s="20" t="str" cm="1">
        <f t="array" ref="B68">_xlfn.IFS(BB68&lt;&gt;BC68,"Claim확인",N68&lt;&gt;"OK","확인필요",TRUE,"")</f>
        <v/>
      </c>
      <c r="C68" s="21" t="str">
        <f t="shared" si="0"/>
        <v>010-8X0X-X0X9982X03XX901018</v>
      </c>
      <c r="D68" s="26">
        <v>45720</v>
      </c>
      <c r="E68" s="91" t="s">
        <v>255</v>
      </c>
      <c r="F68" s="25" t="s">
        <v>258</v>
      </c>
      <c r="G68" s="27" t="s">
        <v>283</v>
      </c>
      <c r="H68" s="25" t="s">
        <v>291</v>
      </c>
      <c r="I68" s="25"/>
      <c r="J68" s="25" t="s">
        <v>292</v>
      </c>
      <c r="K68" s="28">
        <v>0.375</v>
      </c>
      <c r="L68" s="28">
        <v>0.75</v>
      </c>
      <c r="M68" s="28">
        <v>4.1666666666666664E-2</v>
      </c>
      <c r="N68" s="25" t="s">
        <v>281</v>
      </c>
      <c r="O68" s="29" t="str">
        <f>_xlfn.XLOOKUP(Table2[[#This Row],[Key]],Table1[Key],Table1[주민등록번호],"",0)</f>
        <v>960XX51XX9X15</v>
      </c>
      <c r="P68" s="29">
        <f>_xlfn.XLOOKUP(Table2[[#This Row],[Key]],Table1[Key],Table1[비자],"",0)</f>
        <v>0</v>
      </c>
      <c r="Q68" s="29">
        <f>IF(P68=0,0,_xlfn.XLOOKUP(Table2[[#This Row],[Key]],Table1[Key],Table1[고용보험 여부],0,0))</f>
        <v>0</v>
      </c>
      <c r="R68" s="29" t="str">
        <f t="shared" si="1"/>
        <v>2503</v>
      </c>
      <c r="S68" s="30" t="str">
        <f>YEAR(Table2[[#This Row],[근무일자]])&amp;TEXT(WEEKNUM(Table2[[#This Row],[근무일자]]),"00")</f>
        <v>202510</v>
      </c>
      <c r="T68" s="31">
        <f>_xlfn.XLOOKUP(Table2[[#This Row],[Key]],Table1[Key],Table1[등록일],"",0)</f>
        <v>45698</v>
      </c>
      <c r="U68" s="32">
        <f t="shared" si="2"/>
        <v>0.33333333333333331</v>
      </c>
      <c r="V68" s="92">
        <f t="shared" si="3"/>
        <v>0</v>
      </c>
      <c r="W68" s="100" t="str">
        <f>_xlfn.XLOOKUP(Table2[[#This Row],[근무일자]],Table3[Date],Table3[Holiday],"",0)</f>
        <v/>
      </c>
      <c r="X68" s="93">
        <f>IF(D68&lt;&gt;"",1,0)+IF(COUNTIFS(Table2[주민등록번호],O68,Table2[월],TEXT(EOMONTH(D68,-1),"YYMM"))&gt;0,1+IF(COUNTIFS(Table2[주민등록번호],O68,Table2[월],TEXT(EOMONTH(D68,-2),"YYMM"))&gt;0,1+IF(COUNTIFS(Table2[주민등록번호],O68,Table2[월],TEXT(EOMONTH(D68,-3),"YYMM"))&gt;0,1,0),0),0)</f>
        <v>2</v>
      </c>
      <c r="Y68" s="29">
        <f>COUNTIFS(Table2[주민등록번호],O68,Table2[월],R68,Table2[근무일자],"&lt;="&amp;D68)</f>
        <v>4</v>
      </c>
      <c r="Z68" s="29">
        <f>COUNTIFS(Table2[주민등록번호],O68,Table2[주간],S68,Table2[근무일자],"&lt;="&amp;D68)</f>
        <v>3</v>
      </c>
      <c r="AA68" s="29">
        <f>SUMIFS(Table2[근로
시간],Table2[주민등록번호],O68,Table2[주간],S68,Table2[근무일자],"&lt;="&amp;D68)*24</f>
        <v>24</v>
      </c>
      <c r="AB68" s="29" t="str">
        <f>IF(AND(Y68&gt;=8,COUNTIFS(Table2[주민등록번호],O68,Table2[근무일자],"&gt;="&amp;EOMONTH(D68,-2)+1,Table2[근무일자],"&lt;="&amp;EOMONTH(D68,-1)+1)&gt;0),"V","")</f>
        <v/>
      </c>
      <c r="AC68" s="94" cm="1">
        <f t="array" ref="AC68">IF(AD68&lt;&gt;"",AD68,_xlfn.XLOOKUP(1,(D68&lt;=Table7[End])*(E68=Table7[근무처])*(F68=Table7[업무]),Table7[시급],0,0))</f>
        <v>10680</v>
      </c>
      <c r="AD68" s="95"/>
      <c r="AE68" s="94">
        <f t="shared" si="4"/>
        <v>85440</v>
      </c>
      <c r="AF68" s="96" cm="1">
        <f t="array" ref="AF68">IF(AND(AA68&gt;=15,(AA68-U68*24)&lt;=40),IF(Z68&gt;=_xlfn.XLOOKUP(1,(D68&lt;=Table7[End])*(E68=Table7[근무처])*(F68=Table7[업무]),Table7[주휴적용일],0,0),1,0)+_xlfn.XLOOKUP(1,(Table2[주간]=Table2[[#This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68" s="96" cm="1">
        <f t="array" ref="AG68">MAX((_xlfn.IFS(AF68=0,0,AF68=1,AA68,AF68&gt;1,U68*24)-IF(AA68&gt;40,AA68-40,0))/5,0)</f>
        <v>1.6</v>
      </c>
      <c r="AH68" s="94">
        <f t="shared" si="5"/>
        <v>17088</v>
      </c>
      <c r="AI68" s="33" cm="1">
        <f t="array" ref="AI68">IF(W68="",0,ROUND(AC68*U68*24*_xlfn.XLOOKUP(1,(D68&lt;=Table7[End])*(E68=Table7[근무처])*(F68=Table7[업무]),Table7[휴일인센티브],0,0),0))</f>
        <v>0</v>
      </c>
      <c r="AJ68" s="94" cm="1">
        <f t="array" ref="AJ68">ROUND(AC68*IF(U68&gt;=8/24,U68-8/24,0)*24*_xlfn.XLOOKUP(1,(D68&lt;=Table7[End])*(E68=Table7[근무처])*(F68=Table7[업무]),Table7[야간인센티브],0,0),0)</f>
        <v>0</v>
      </c>
      <c r="AK68" s="94" cm="1">
        <f t="array" ref="AK68">IF(V68=0,0,ROUND(AC68*V68*24*_xlfn.XLOOKUP(1,(D68&lt;=Table7[End])*(E68=Table7[근무처])*(F68=Table7[업무]),Table7[야간인센티브],0,0),0))</f>
        <v>0</v>
      </c>
      <c r="AL68" s="95"/>
      <c r="AM68" s="94">
        <f t="shared" si="6"/>
        <v>102528</v>
      </c>
      <c r="AN68" s="94" cm="1">
        <f t="array" ref="AN68">IF(AM68&gt;=_xlfn.XLOOKUP(TRUE,D68&lt;=Table5[End],Table5[비과세소득기준],0,0),AM68-_xlfn.XLOOKUP(TRUE,D68&lt;=Table5[End],Table5[비과세소득기준],0,0),0)</f>
        <v>0</v>
      </c>
      <c r="AO68" s="94" cm="1">
        <f t="array" ref="AO68">ROUNDDOWN(_xlfn.LET(_xlpm.setvalue,_xlfn.XLOOKUP(TRUE,D68&lt;=Table5[End],Table5[[요율]:[근로소득세액공제]],0,0),_xlpm.tax,AN68*PRODUCT((_xlpm.setvalue-{0,1})*{1,-1}),_xlpm.threshold,_xlfn.XLOOKUP(TRUE,D68&lt;=Table5[End],Table5[소액부징수기준],0,0),IF(_xlpm.tax&gt;=_xlpm.threshold,_xlpm.tax,0)),-1)</f>
        <v>0</v>
      </c>
      <c r="AP68" s="94">
        <f>ROUNDDOWN(Table2[[#This Row],[소득세]]*10%,-1)</f>
        <v>0</v>
      </c>
      <c r="AQ68" s="94">
        <f>IF(AB68="v",AM68+IF(Y68=8,SUMIFS(Table2[지급총액],Table2[주민등록번호],O68,Table2[월],R68,Table2[월간
근무일],"&lt;="&amp;8)-AM68,0),0)+_xlfn.NUMBERVALUE(AR68)</f>
        <v>0</v>
      </c>
      <c r="AR68" s="95"/>
      <c r="AS68" s="94" cm="1">
        <f t="array" ref="AS68">ROUNDDOWN($AQ68*_xlfn.XLOOKUP(1,(AS$5=Table8[Type])*($D68&lt;=Table8[End]),Table8[요율],0,0),0)</f>
        <v>0</v>
      </c>
      <c r="AT68" s="94" cm="1">
        <f t="array" ref="AT68">ROUNDDOWN(AS68*_xlfn.XLOOKUP(1,(AT$5=Table8[Type])*($D68&lt;=Table8[End]),Table8[요율],0,0),-1)</f>
        <v>0</v>
      </c>
      <c r="AU68" s="94" cm="1">
        <f t="array" ref="AU68">ROUNDDOWN($AQ68*_xlfn.XLOOKUP(1,(AU$5=Table8[Type])*($D68&lt;=Table8[End]),Table8[요율],0,0),-1)</f>
        <v>0</v>
      </c>
      <c r="AV68" s="94" cm="1">
        <f t="array" ref="AV68">ROUNDDOWN(AM68*_xlfn.XLOOKUP(1,(AV$5=Table8[Type])*($D68&lt;=Table8[End]),Table8[요율],0,0),-1)</f>
        <v>0</v>
      </c>
      <c r="AW68" s="94" cm="1">
        <f t="array" ref="AW68">_xlfn.XLOOKUP(1,(O68=Table2[주민등록번호])*(D68&gt;Table2[근무일자]),Table2[청구 Claim 
이월],0,0,-1)</f>
        <v>0</v>
      </c>
      <c r="AX68" s="95"/>
      <c r="AY68" s="94" cm="1">
        <f t="array" ref="AY68">MAX(SUM(AO68:AP68,AS68:AX68)-_xlfn.XLOOKUP(1,(D68&lt;=Table7[End])*(E68=Table7[근무처])*(F68=Table7[업무]),Table7[1일 공제 상한],0,0),0)</f>
        <v>0</v>
      </c>
      <c r="AZ68" s="94">
        <f t="shared" si="7"/>
        <v>0</v>
      </c>
      <c r="BA68" s="94">
        <f t="shared" si="8"/>
        <v>102528</v>
      </c>
      <c r="BB68" s="97">
        <f t="shared" si="9"/>
        <v>0</v>
      </c>
      <c r="BC68" s="98"/>
      <c r="BD68" s="94">
        <f t="shared" si="10"/>
        <v>0</v>
      </c>
      <c r="BE68" s="94">
        <f t="shared" si="11"/>
        <v>0</v>
      </c>
      <c r="BF68" s="94">
        <f t="shared" si="12"/>
        <v>0</v>
      </c>
      <c r="BG68" s="94">
        <f t="shared" si="13"/>
        <v>0</v>
      </c>
      <c r="BH68" s="94" cm="1">
        <f t="array" ref="BH68">ROUNDDOWN(AM68*_xlfn.XLOOKUP(1,(BH$5=Table8[Type])*($D68&lt;=Table8[End]),Table8[요율],0,0),-1)</f>
        <v>820</v>
      </c>
      <c r="BI68" s="93" t="str" cm="1">
        <f t="array" ref="BI68">_xlfn.XLOOKUP(1,(D68&lt;=Table7[End])*(E68=Table7[근무처])*(F68=Table7[업무]),Table7[지급옵션],0,0)</f>
        <v>차주 화</v>
      </c>
      <c r="BJ68" s="83">
        <f>IF(BK68&lt;&gt;"",BK68,IFERROR(D68+_xlfn.NUMBERVALUE(RIGHT(BI68,1)),D68-WEEKDAY(D68)+CHOOSE(MATCH(RIGHT(BI68),{"일","월","화","수","목","금","토"},0),8,9,10,11,12,13,14)))</f>
        <v>45727</v>
      </c>
      <c r="BK68" s="99"/>
    </row>
    <row r="69" spans="2:63" x14ac:dyDescent="0.35">
      <c r="B69" s="20" t="str" cm="1">
        <f t="array" ref="B69">_xlfn.IFS(BB69&lt;&gt;BC69,"Claim확인",N69&lt;&gt;"OK","확인필요",TRUE,"")</f>
        <v/>
      </c>
      <c r="C69" s="21" t="str">
        <f t="shared" si="0"/>
        <v>010-6X1X-X3X0333X04XX46879</v>
      </c>
      <c r="D69" s="26">
        <v>45721</v>
      </c>
      <c r="E69" s="91" t="s">
        <v>255</v>
      </c>
      <c r="F69" s="25" t="s">
        <v>258</v>
      </c>
      <c r="G69" s="27" t="s">
        <v>284</v>
      </c>
      <c r="H69" s="25" t="s">
        <v>293</v>
      </c>
      <c r="I69" s="25"/>
      <c r="J69" s="25" t="s">
        <v>294</v>
      </c>
      <c r="K69" s="28">
        <v>0.29166666666666669</v>
      </c>
      <c r="L69" s="28">
        <v>0.66666666666666663</v>
      </c>
      <c r="M69" s="28">
        <v>4.1666666666666664E-2</v>
      </c>
      <c r="N69" s="25" t="s">
        <v>281</v>
      </c>
      <c r="O69" s="29" t="str">
        <f>_xlfn.XLOOKUP(Table2[[#This Row],[Key]],Table1[Key],Table1[주민등록번호],"",0)</f>
        <v>971XX61XX9X25</v>
      </c>
      <c r="P69" s="29">
        <f>_xlfn.XLOOKUP(Table2[[#This Row],[Key]],Table1[Key],Table1[비자],"",0)</f>
        <v>0</v>
      </c>
      <c r="Q69" s="29">
        <f>IF(P69=0,0,_xlfn.XLOOKUP(Table2[[#This Row],[Key]],Table1[Key],Table1[고용보험 여부],0,0))</f>
        <v>0</v>
      </c>
      <c r="R69" s="29" t="str">
        <f t="shared" si="1"/>
        <v>2503</v>
      </c>
      <c r="S69" s="30" t="str">
        <f>YEAR(Table2[[#This Row],[근무일자]])&amp;TEXT(WEEKNUM(Table2[[#This Row],[근무일자]]),"00")</f>
        <v>202510</v>
      </c>
      <c r="T69" s="31">
        <f>_xlfn.XLOOKUP(Table2[[#This Row],[Key]],Table1[Key],Table1[등록일],"",0)</f>
        <v>45721</v>
      </c>
      <c r="U69" s="32">
        <f t="shared" si="2"/>
        <v>0.33333333333333326</v>
      </c>
      <c r="V69" s="92">
        <f t="shared" si="3"/>
        <v>0</v>
      </c>
      <c r="W69" s="100" t="str">
        <f>_xlfn.XLOOKUP(Table2[[#This Row],[근무일자]],Table3[Date],Table3[Holiday],"",0)</f>
        <v/>
      </c>
      <c r="X69" s="93">
        <f>IF(D69&lt;&gt;"",1,0)+IF(COUNTIFS(Table2[주민등록번호],O69,Table2[월],TEXT(EOMONTH(D69,-1),"YYMM"))&gt;0,1+IF(COUNTIFS(Table2[주민등록번호],O69,Table2[월],TEXT(EOMONTH(D69,-2),"YYMM"))&gt;0,1+IF(COUNTIFS(Table2[주민등록번호],O69,Table2[월],TEXT(EOMONTH(D69,-3),"YYMM"))&gt;0,1,0),0),0)</f>
        <v>1</v>
      </c>
      <c r="Y69" s="29">
        <f>COUNTIFS(Table2[주민등록번호],O69,Table2[월],R69,Table2[근무일자],"&lt;="&amp;D69)</f>
        <v>1</v>
      </c>
      <c r="Z69" s="29">
        <f>COUNTIFS(Table2[주민등록번호],O69,Table2[주간],S69,Table2[근무일자],"&lt;="&amp;D69)</f>
        <v>1</v>
      </c>
      <c r="AA69" s="29">
        <f>SUMIFS(Table2[근로
시간],Table2[주민등록번호],O69,Table2[주간],S69,Table2[근무일자],"&lt;="&amp;D69)*24</f>
        <v>7.9999999999999982</v>
      </c>
      <c r="AB69" s="29" t="str">
        <f>IF(AND(Y69&gt;=8,COUNTIFS(Table2[주민등록번호],O69,Table2[근무일자],"&gt;="&amp;EOMONTH(D69,-2)+1,Table2[근무일자],"&lt;="&amp;EOMONTH(D69,-1)+1)&gt;0),"V","")</f>
        <v/>
      </c>
      <c r="AC69" s="94" cm="1">
        <f t="array" ref="AC69">IF(AD69&lt;&gt;"",AD69,_xlfn.XLOOKUP(1,(D69&lt;=Table7[End])*(E69=Table7[근무처])*(F69=Table7[업무]),Table7[시급],0,0))</f>
        <v>10680</v>
      </c>
      <c r="AD69" s="95"/>
      <c r="AE69" s="94">
        <f t="shared" si="4"/>
        <v>85440</v>
      </c>
      <c r="AF69" s="96" cm="1">
        <f t="array" ref="AF69">IF(AND(AA69&gt;=15,(AA69-U69*24)&lt;=40),IF(Z69&gt;=_xlfn.XLOOKUP(1,(D69&lt;=Table7[End])*(E69=Table7[근무처])*(F69=Table7[업무]),Table7[주휴적용일],0,0),1,0)+_xlfn.XLOOKUP(1,(Table2[주간]=Table2[[#This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69" s="96" cm="1">
        <f t="array" ref="AG69">MAX((_xlfn.IFS(AF69=0,0,AF69=1,AA69,AF69&gt;1,U69*24)-IF(AA69&gt;40,AA69-40,0))/5,0)</f>
        <v>0</v>
      </c>
      <c r="AH69" s="94">
        <f t="shared" si="5"/>
        <v>0</v>
      </c>
      <c r="AI69" s="33" cm="1">
        <f t="array" ref="AI69">IF(W69="",0,ROUND(AC69*U69*24*_xlfn.XLOOKUP(1,(D69&lt;=Table7[End])*(E69=Table7[근무처])*(F69=Table7[업무]),Table7[휴일인센티브],0,0),0))</f>
        <v>0</v>
      </c>
      <c r="AJ69" s="94" cm="1">
        <f t="array" ref="AJ69">ROUND(AC69*IF(U69&gt;=8/24,U69-8/24,0)*24*_xlfn.XLOOKUP(1,(D69&lt;=Table7[End])*(E69=Table7[근무처])*(F69=Table7[업무]),Table7[야간인센티브],0,0),0)</f>
        <v>0</v>
      </c>
      <c r="AK69" s="94" cm="1">
        <f t="array" ref="AK69">IF(V69=0,0,ROUND(AC69*V69*24*_xlfn.XLOOKUP(1,(D69&lt;=Table7[End])*(E69=Table7[근무처])*(F69=Table7[업무]),Table7[야간인센티브],0,0),0))</f>
        <v>0</v>
      </c>
      <c r="AL69" s="95"/>
      <c r="AM69" s="94">
        <f t="shared" si="6"/>
        <v>85440</v>
      </c>
      <c r="AN69" s="94" cm="1">
        <f t="array" ref="AN69">IF(AM69&gt;=_xlfn.XLOOKUP(TRUE,D69&lt;=Table5[End],Table5[비과세소득기준],0,0),AM69-_xlfn.XLOOKUP(TRUE,D69&lt;=Table5[End],Table5[비과세소득기준],0,0),0)</f>
        <v>0</v>
      </c>
      <c r="AO69" s="94" cm="1">
        <f t="array" ref="AO69">ROUNDDOWN(_xlfn.LET(_xlpm.setvalue,_xlfn.XLOOKUP(TRUE,D69&lt;=Table5[End],Table5[[요율]:[근로소득세액공제]],0,0),_xlpm.tax,AN69*PRODUCT((_xlpm.setvalue-{0,1})*{1,-1}),_xlpm.threshold,_xlfn.XLOOKUP(TRUE,D69&lt;=Table5[End],Table5[소액부징수기준],0,0),IF(_xlpm.tax&gt;=_xlpm.threshold,_xlpm.tax,0)),-1)</f>
        <v>0</v>
      </c>
      <c r="AP69" s="94">
        <f>ROUNDDOWN(Table2[[#This Row],[소득세]]*10%,-1)</f>
        <v>0</v>
      </c>
      <c r="AQ69" s="94">
        <f>IF(AB69="v",AM69+IF(Y69=8,SUMIFS(Table2[지급총액],Table2[주민등록번호],O69,Table2[월],R69,Table2[월간
근무일],"&lt;="&amp;8)-AM69,0),0)+_xlfn.NUMBERVALUE(AR69)</f>
        <v>0</v>
      </c>
      <c r="AR69" s="95"/>
      <c r="AS69" s="94" cm="1">
        <f t="array" ref="AS69">ROUNDDOWN($AQ69*_xlfn.XLOOKUP(1,(AS$5=Table8[Type])*($D69&lt;=Table8[End]),Table8[요율],0,0),0)</f>
        <v>0</v>
      </c>
      <c r="AT69" s="94" cm="1">
        <f t="array" ref="AT69">ROUNDDOWN(AS69*_xlfn.XLOOKUP(1,(AT$5=Table8[Type])*($D69&lt;=Table8[End]),Table8[요율],0,0),-1)</f>
        <v>0</v>
      </c>
      <c r="AU69" s="94" cm="1">
        <f t="array" ref="AU69">ROUNDDOWN($AQ69*_xlfn.XLOOKUP(1,(AU$5=Table8[Type])*($D69&lt;=Table8[End]),Table8[요율],0,0),-1)</f>
        <v>0</v>
      </c>
      <c r="AV69" s="94" cm="1">
        <f t="array" ref="AV69">ROUNDDOWN(AM69*_xlfn.XLOOKUP(1,(AV$5=Table8[Type])*($D69&lt;=Table8[End]),Table8[요율],0,0),-1)</f>
        <v>0</v>
      </c>
      <c r="AW69" s="94" cm="1">
        <f t="array" ref="AW69">_xlfn.XLOOKUP(1,(O69=Table2[주민등록번호])*(D69&gt;Table2[근무일자]),Table2[청구 Claim 
이월],0,0,-1)</f>
        <v>0</v>
      </c>
      <c r="AX69" s="95"/>
      <c r="AY69" s="94" cm="1">
        <f t="array" ref="AY69">MAX(SUM(AO69:AP69,AS69:AX69)-_xlfn.XLOOKUP(1,(D69&lt;=Table7[End])*(E69=Table7[근무처])*(F69=Table7[업무]),Table7[1일 공제 상한],0,0),0)</f>
        <v>0</v>
      </c>
      <c r="AZ69" s="94">
        <f t="shared" si="7"/>
        <v>0</v>
      </c>
      <c r="BA69" s="94">
        <f t="shared" si="8"/>
        <v>85440</v>
      </c>
      <c r="BB69" s="97">
        <f t="shared" si="9"/>
        <v>0</v>
      </c>
      <c r="BC69" s="98"/>
      <c r="BD69" s="94">
        <f t="shared" si="10"/>
        <v>0</v>
      </c>
      <c r="BE69" s="94">
        <f t="shared" si="11"/>
        <v>0</v>
      </c>
      <c r="BF69" s="94">
        <f t="shared" si="12"/>
        <v>0</v>
      </c>
      <c r="BG69" s="94">
        <f t="shared" si="13"/>
        <v>0</v>
      </c>
      <c r="BH69" s="94" cm="1">
        <f t="array" ref="BH69">ROUNDDOWN(AM69*_xlfn.XLOOKUP(1,(BH$5=Table8[Type])*($D69&lt;=Table8[End]),Table8[요율],0,0),-1)</f>
        <v>680</v>
      </c>
      <c r="BI69" s="93" t="str" cm="1">
        <f t="array" ref="BI69">_xlfn.XLOOKUP(1,(D69&lt;=Table7[End])*(E69=Table7[근무처])*(F69=Table7[업무]),Table7[지급옵션],0,0)</f>
        <v>차주 화</v>
      </c>
      <c r="BJ69" s="83">
        <f>IF(BK69&lt;&gt;"",BK69,IFERROR(D69+_xlfn.NUMBERVALUE(RIGHT(BI69,1)),D69-WEEKDAY(D69)+CHOOSE(MATCH(RIGHT(BI69),{"일","월","화","수","목","금","토"},0),8,9,10,11,12,13,14)))</f>
        <v>45727</v>
      </c>
      <c r="BK69" s="99"/>
    </row>
    <row r="70" spans="2:63" x14ac:dyDescent="0.35">
      <c r="B70" s="20" t="str" cm="1">
        <f t="array" ref="B70">_xlfn.IFS(BB70&lt;&gt;BC70,"Claim확인",N70&lt;&gt;"OK","확인필요",TRUE,"")</f>
        <v/>
      </c>
      <c r="C70" s="21" t="str">
        <f t="shared" ref="C70:C133" si="14">H70&amp;J70</f>
        <v>010-6X1X-X3X0333X04XX46879</v>
      </c>
      <c r="D70" s="26">
        <v>45722</v>
      </c>
      <c r="E70" s="91" t="s">
        <v>255</v>
      </c>
      <c r="F70" s="25" t="s">
        <v>258</v>
      </c>
      <c r="G70" s="27" t="s">
        <v>284</v>
      </c>
      <c r="H70" s="25" t="s">
        <v>293</v>
      </c>
      <c r="I70" s="25"/>
      <c r="J70" s="25" t="s">
        <v>294</v>
      </c>
      <c r="K70" s="28">
        <v>0.29166666666666669</v>
      </c>
      <c r="L70" s="28">
        <v>0.66666666666666663</v>
      </c>
      <c r="M70" s="28">
        <v>4.1666666666666664E-2</v>
      </c>
      <c r="N70" s="25" t="s">
        <v>281</v>
      </c>
      <c r="O70" s="29" t="str">
        <f>_xlfn.XLOOKUP(Table2[[#This Row],[Key]],Table1[Key],Table1[주민등록번호],"",0)</f>
        <v>971XX61XX9X25</v>
      </c>
      <c r="P70" s="29">
        <f>_xlfn.XLOOKUP(Table2[[#This Row],[Key]],Table1[Key],Table1[비자],"",0)</f>
        <v>0</v>
      </c>
      <c r="Q70" s="29">
        <f>IF(P70=0,0,_xlfn.XLOOKUP(Table2[[#This Row],[Key]],Table1[Key],Table1[고용보험 여부],0,0))</f>
        <v>0</v>
      </c>
      <c r="R70" s="29" t="str">
        <f t="shared" ref="R70:R133" si="15">TEXT(D70,"YYMM")</f>
        <v>2503</v>
      </c>
      <c r="S70" s="30" t="str">
        <f>YEAR(Table2[[#This Row],[근무일자]])&amp;TEXT(WEEKNUM(Table2[[#This Row],[근무일자]]),"00")</f>
        <v>202510</v>
      </c>
      <c r="T70" s="31">
        <f>_xlfn.XLOOKUP(Table2[[#This Row],[Key]],Table1[Key],Table1[등록일],"",0)</f>
        <v>45721</v>
      </c>
      <c r="U70" s="32">
        <f t="shared" ref="U70:U133" si="16">IF(AND(K70&lt;&gt;"",L70&lt;&gt;""),IF(AND(K70&lt;&gt;L70,L70&lt;=6/24),1+L70,L70)-K70-M70,0)</f>
        <v>0.33333333333333326</v>
      </c>
      <c r="V70" s="92">
        <f t="shared" ref="V70:V133" si="17">MIN(IF(U70&gt;0,_xlfn.IFS(K70&lt;6/24,6/24-K70,L70&gt;22/24,L70-22/24,AND(K70&lt;=22/24,L70&lt;=6/24),2/24+L70,TRUE,0),0),U70)</f>
        <v>0</v>
      </c>
      <c r="W70" s="100" t="str">
        <f>_xlfn.XLOOKUP(Table2[[#This Row],[근무일자]],Table3[Date],Table3[Holiday],"",0)</f>
        <v/>
      </c>
      <c r="X70" s="93">
        <f>IF(D70&lt;&gt;"",1,0)+IF(COUNTIFS(Table2[주민등록번호],O70,Table2[월],TEXT(EOMONTH(D70,-1),"YYMM"))&gt;0,1+IF(COUNTIFS(Table2[주민등록번호],O70,Table2[월],TEXT(EOMONTH(D70,-2),"YYMM"))&gt;0,1+IF(COUNTIFS(Table2[주민등록번호],O70,Table2[월],TEXT(EOMONTH(D70,-3),"YYMM"))&gt;0,1,0),0),0)</f>
        <v>1</v>
      </c>
      <c r="Y70" s="29">
        <f>COUNTIFS(Table2[주민등록번호],O70,Table2[월],R70,Table2[근무일자],"&lt;="&amp;D70)</f>
        <v>2</v>
      </c>
      <c r="Z70" s="29">
        <f>COUNTIFS(Table2[주민등록번호],O70,Table2[주간],S70,Table2[근무일자],"&lt;="&amp;D70)</f>
        <v>2</v>
      </c>
      <c r="AA70" s="29">
        <f>SUMIFS(Table2[근로
시간],Table2[주민등록번호],O70,Table2[주간],S70,Table2[근무일자],"&lt;="&amp;D70)*24</f>
        <v>15.999999999999996</v>
      </c>
      <c r="AB70" s="29" t="str">
        <f>IF(AND(Y70&gt;=8,COUNTIFS(Table2[주민등록번호],O70,Table2[근무일자],"&gt;="&amp;EOMONTH(D70,-2)+1,Table2[근무일자],"&lt;="&amp;EOMONTH(D70,-1)+1)&gt;0),"V","")</f>
        <v/>
      </c>
      <c r="AC70" s="94" cm="1">
        <f t="array" ref="AC70">IF(AD70&lt;&gt;"",AD70,_xlfn.XLOOKUP(1,(D70&lt;=Table7[End])*(E70=Table7[근무처])*(F70=Table7[업무]),Table7[시급],0,0))</f>
        <v>10680</v>
      </c>
      <c r="AD70" s="95"/>
      <c r="AE70" s="94">
        <f t="shared" ref="AE70:AE133" si="18">ROUND(U70*24*AC70,0)</f>
        <v>85440</v>
      </c>
      <c r="AF70" s="96" cm="1">
        <f t="array" ref="AF70">IF(AND(AA70&gt;=15,(AA70-U70*24)&lt;=40),IF(Z70&gt;=_xlfn.XLOOKUP(1,(D70&lt;=Table7[End])*(E70=Table7[근무처])*(F70=Table7[업무]),Table7[주휴적용일],0,0),1,0)+_xlfn.XLOOKUP(1,(Table2[주간]=Table2[[#This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70" s="96" cm="1">
        <f t="array" ref="AG70">MAX((_xlfn.IFS(AF70=0,0,AF70=1,AA70,AF70&gt;1,U70*24)-IF(AA70&gt;40,AA70-40,0))/5,0)</f>
        <v>3.1999999999999993</v>
      </c>
      <c r="AH70" s="94">
        <f t="shared" ref="AH70:AH133" si="19">ROUND(AG70*AC70,0)</f>
        <v>34176</v>
      </c>
      <c r="AI70" s="33" cm="1">
        <f t="array" ref="AI70">IF(W70="",0,ROUND(AC70*U70*24*_xlfn.XLOOKUP(1,(D70&lt;=Table7[End])*(E70=Table7[근무처])*(F70=Table7[업무]),Table7[휴일인센티브],0,0),0))</f>
        <v>0</v>
      </c>
      <c r="AJ70" s="94" cm="1">
        <f t="array" ref="AJ70">ROUND(AC70*IF(U70&gt;=8/24,U70-8/24,0)*24*_xlfn.XLOOKUP(1,(D70&lt;=Table7[End])*(E70=Table7[근무처])*(F70=Table7[업무]),Table7[야간인센티브],0,0),0)</f>
        <v>0</v>
      </c>
      <c r="AK70" s="94" cm="1">
        <f t="array" ref="AK70">IF(V70=0,0,ROUND(AC70*V70*24*_xlfn.XLOOKUP(1,(D70&lt;=Table7[End])*(E70=Table7[근무처])*(F70=Table7[업무]),Table7[야간인센티브],0,0),0))</f>
        <v>0</v>
      </c>
      <c r="AL70" s="95"/>
      <c r="AM70" s="94">
        <f t="shared" ref="AM70:AM133" si="20">SUM(AE70,AH70:AL70)</f>
        <v>119616</v>
      </c>
      <c r="AN70" s="94" cm="1">
        <f t="array" ref="AN70">IF(AM70&gt;=_xlfn.XLOOKUP(TRUE,D70&lt;=Table5[End],Table5[비과세소득기준],0,0),AM70-_xlfn.XLOOKUP(TRUE,D70&lt;=Table5[End],Table5[비과세소득기준],0,0),0)</f>
        <v>0</v>
      </c>
      <c r="AO70" s="94" cm="1">
        <f t="array" ref="AO70">ROUNDDOWN(_xlfn.LET(_xlpm.setvalue,_xlfn.XLOOKUP(TRUE,D70&lt;=Table5[End],Table5[[요율]:[근로소득세액공제]],0,0),_xlpm.tax,AN70*PRODUCT((_xlpm.setvalue-{0,1})*{1,-1}),_xlpm.threshold,_xlfn.XLOOKUP(TRUE,D70&lt;=Table5[End],Table5[소액부징수기준],0,0),IF(_xlpm.tax&gt;=_xlpm.threshold,_xlpm.tax,0)),-1)</f>
        <v>0</v>
      </c>
      <c r="AP70" s="94">
        <f>ROUNDDOWN(Table2[[#This Row],[소득세]]*10%,-1)</f>
        <v>0</v>
      </c>
      <c r="AQ70" s="94">
        <f>IF(AB70="v",AM70+IF(Y70=8,SUMIFS(Table2[지급총액],Table2[주민등록번호],O70,Table2[월],R70,Table2[월간
근무일],"&lt;="&amp;8)-AM70,0),0)+_xlfn.NUMBERVALUE(AR70)</f>
        <v>0</v>
      </c>
      <c r="AR70" s="95"/>
      <c r="AS70" s="94" cm="1">
        <f t="array" ref="AS70">ROUNDDOWN($AQ70*_xlfn.XLOOKUP(1,(AS$5=Table8[Type])*($D70&lt;=Table8[End]),Table8[요율],0,0),0)</f>
        <v>0</v>
      </c>
      <c r="AT70" s="94" cm="1">
        <f t="array" ref="AT70">ROUNDDOWN(AS70*_xlfn.XLOOKUP(1,(AT$5=Table8[Type])*($D70&lt;=Table8[End]),Table8[요율],0,0),-1)</f>
        <v>0</v>
      </c>
      <c r="AU70" s="94" cm="1">
        <f t="array" ref="AU70">ROUNDDOWN($AQ70*_xlfn.XLOOKUP(1,(AU$5=Table8[Type])*($D70&lt;=Table8[End]),Table8[요율],0,0),-1)</f>
        <v>0</v>
      </c>
      <c r="AV70" s="94" cm="1">
        <f t="array" ref="AV70">ROUNDDOWN(AM70*_xlfn.XLOOKUP(1,(AV$5=Table8[Type])*($D70&lt;=Table8[End]),Table8[요율],0,0),-1)</f>
        <v>0</v>
      </c>
      <c r="AW70" s="94" cm="1">
        <f t="array" ref="AW70">_xlfn.XLOOKUP(1,(O70=Table2[주민등록번호])*(D70&gt;Table2[근무일자]),Table2[청구 Claim 
이월],0,0,-1)</f>
        <v>0</v>
      </c>
      <c r="AX70" s="95"/>
      <c r="AY70" s="94" cm="1">
        <f t="array" ref="AY70">MAX(SUM(AO70:AP70,AS70:AX70)-_xlfn.XLOOKUP(1,(D70&lt;=Table7[End])*(E70=Table7[근무처])*(F70=Table7[업무]),Table7[1일 공제 상한],0,0),0)</f>
        <v>0</v>
      </c>
      <c r="AZ70" s="94">
        <f t="shared" ref="AZ70:AZ133" si="21">SUM(AO70:AP70,AS70:AX70)-AY70</f>
        <v>0</v>
      </c>
      <c r="BA70" s="94">
        <f t="shared" ref="BA70:BA133" si="22">MAX(AM70-AZ70,0)</f>
        <v>119616</v>
      </c>
      <c r="BB70" s="97">
        <f t="shared" ref="BB70:BB133" si="23">-(MIN(AM70-AZ70,0)-AY70)</f>
        <v>0</v>
      </c>
      <c r="BC70" s="98"/>
      <c r="BD70" s="94">
        <f t="shared" ref="BD70:BD133" si="24">AS70</f>
        <v>0</v>
      </c>
      <c r="BE70" s="94">
        <f t="shared" ref="BE70:BE133" si="25">AT70</f>
        <v>0</v>
      </c>
      <c r="BF70" s="94">
        <f t="shared" ref="BF70:BF133" si="26">AU70</f>
        <v>0</v>
      </c>
      <c r="BG70" s="94">
        <f t="shared" ref="BG70:BG133" si="27">AV70</f>
        <v>0</v>
      </c>
      <c r="BH70" s="94" cm="1">
        <f t="array" ref="BH70">ROUNDDOWN(AM70*_xlfn.XLOOKUP(1,(BH$5=Table8[Type])*($D70&lt;=Table8[End]),Table8[요율],0,0),-1)</f>
        <v>950</v>
      </c>
      <c r="BI70" s="93" t="str" cm="1">
        <f t="array" ref="BI70">_xlfn.XLOOKUP(1,(D70&lt;=Table7[End])*(E70=Table7[근무처])*(F70=Table7[업무]),Table7[지급옵션],0,0)</f>
        <v>차주 화</v>
      </c>
      <c r="BJ70" s="83">
        <f>IF(BK70&lt;&gt;"",BK70,IFERROR(D70+_xlfn.NUMBERVALUE(RIGHT(BI70,1)),D70-WEEKDAY(D70)+CHOOSE(MATCH(RIGHT(BI70),{"일","월","화","수","목","금","토"},0),8,9,10,11,12,13,14)))</f>
        <v>45727</v>
      </c>
      <c r="BK70" s="99"/>
    </row>
    <row r="71" spans="2:63" x14ac:dyDescent="0.35">
      <c r="B71" s="20" t="str" cm="1">
        <f t="array" ref="B71">_xlfn.IFS(BB71&lt;&gt;BC71,"Claim확인",N71&lt;&gt;"OK","확인필요",TRUE,"")</f>
        <v/>
      </c>
      <c r="C71" s="21" t="str">
        <f t="shared" si="14"/>
        <v>010-3X4X-X9X7219X02XX284640</v>
      </c>
      <c r="D71" s="26">
        <v>45722</v>
      </c>
      <c r="E71" s="91" t="s">
        <v>253</v>
      </c>
      <c r="F71" s="25" t="s">
        <v>257</v>
      </c>
      <c r="G71" s="27" t="s">
        <v>286</v>
      </c>
      <c r="H71" s="25" t="s">
        <v>299</v>
      </c>
      <c r="I71" s="25"/>
      <c r="J71" s="25" t="s">
        <v>300</v>
      </c>
      <c r="K71" s="28">
        <v>0.54166666666666663</v>
      </c>
      <c r="L71" s="28">
        <v>0.91666666666666663</v>
      </c>
      <c r="M71" s="28">
        <v>4.1666666666666664E-2</v>
      </c>
      <c r="N71" s="25" t="s">
        <v>281</v>
      </c>
      <c r="O71" s="29" t="str">
        <f>_xlfn.XLOOKUP(Table2[[#This Row],[Key]],Table1[Key],Table1[주민등록번호],"",0)</f>
        <v>931XX31XX3X14</v>
      </c>
      <c r="P71" s="29">
        <f>_xlfn.XLOOKUP(Table2[[#This Row],[Key]],Table1[Key],Table1[비자],"",0)</f>
        <v>0</v>
      </c>
      <c r="Q71" s="29">
        <f>IF(P71=0,0,_xlfn.XLOOKUP(Table2[[#This Row],[Key]],Table1[Key],Table1[고용보험 여부],0,0))</f>
        <v>0</v>
      </c>
      <c r="R71" s="29" t="str">
        <f t="shared" si="15"/>
        <v>2503</v>
      </c>
      <c r="S71" s="30" t="str">
        <f>YEAR(Table2[[#This Row],[근무일자]])&amp;TEXT(WEEKNUM(Table2[[#This Row],[근무일자]]),"00")</f>
        <v>202510</v>
      </c>
      <c r="T71" s="31">
        <f>_xlfn.XLOOKUP(Table2[[#This Row],[Key]],Table1[Key],Table1[등록일],"",0)</f>
        <v>45773</v>
      </c>
      <c r="U71" s="32">
        <f t="shared" si="16"/>
        <v>0.33333333333333331</v>
      </c>
      <c r="V71" s="92">
        <f t="shared" si="17"/>
        <v>0</v>
      </c>
      <c r="W71" s="100" t="str">
        <f>_xlfn.XLOOKUP(Table2[[#This Row],[근무일자]],Table3[Date],Table3[Holiday],"",0)</f>
        <v/>
      </c>
      <c r="X71" s="93">
        <f>IF(D71&lt;&gt;"",1,0)+IF(COUNTIFS(Table2[주민등록번호],O71,Table2[월],TEXT(EOMONTH(D71,-1),"YYMM"))&gt;0,1+IF(COUNTIFS(Table2[주민등록번호],O71,Table2[월],TEXT(EOMONTH(D71,-2),"YYMM"))&gt;0,1+IF(COUNTIFS(Table2[주민등록번호],O71,Table2[월],TEXT(EOMONTH(D71,-3),"YYMM"))&gt;0,1,0),0),0)</f>
        <v>2</v>
      </c>
      <c r="Y71" s="29">
        <f>COUNTIFS(Table2[주민등록번호],O71,Table2[월],R71,Table2[근무일자],"&lt;="&amp;D71)</f>
        <v>2</v>
      </c>
      <c r="Z71" s="29">
        <f>COUNTIFS(Table2[주민등록번호],O71,Table2[주간],S71,Table2[근무일자],"&lt;="&amp;D71)</f>
        <v>2</v>
      </c>
      <c r="AA71" s="29">
        <f>SUMIFS(Table2[근로
시간],Table2[주민등록번호],O71,Table2[주간],S71,Table2[근무일자],"&lt;="&amp;D71)*24</f>
        <v>16</v>
      </c>
      <c r="AB71" s="29" t="str">
        <f>IF(AND(Y71&gt;=8,COUNTIFS(Table2[주민등록번호],O71,Table2[근무일자],"&gt;="&amp;EOMONTH(D71,-2)+1,Table2[근무일자],"&lt;="&amp;EOMONTH(D71,-1)+1)&gt;0),"V","")</f>
        <v/>
      </c>
      <c r="AC71" s="94" cm="1">
        <f t="array" ref="AC71">IF(AD71&lt;&gt;"",AD71,_xlfn.XLOOKUP(1,(D71&lt;=Table7[End])*(E71=Table7[근무처])*(F71=Table7[업무]),Table7[시급],0,0))</f>
        <v>10030</v>
      </c>
      <c r="AD71" s="95"/>
      <c r="AE71" s="94">
        <f t="shared" si="18"/>
        <v>80240</v>
      </c>
      <c r="AF71" s="96" cm="1">
        <f t="array" ref="AF71">IF(AND(AA71&gt;=15,(AA71-U71*24)&lt;=40),IF(Z71&gt;=_xlfn.XLOOKUP(1,(D71&lt;=Table7[End])*(E71=Table7[근무처])*(F71=Table7[업무]),Table7[주휴적용일],0,0),1,0)+_xlfn.XLOOKUP(1,(Table2[주간]=Table2[[#This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71" s="96" cm="1">
        <f t="array" ref="AG71">MAX((_xlfn.IFS(AF71=0,0,AF71=1,AA71,AF71&gt;1,U71*24)-IF(AA71&gt;40,AA71-40,0))/5,0)</f>
        <v>0</v>
      </c>
      <c r="AH71" s="94">
        <f t="shared" si="19"/>
        <v>0</v>
      </c>
      <c r="AI71" s="33" cm="1">
        <f t="array" ref="AI71">IF(W71="",0,ROUND(AC71*U71*24*_xlfn.XLOOKUP(1,(D71&lt;=Table7[End])*(E71=Table7[근무처])*(F71=Table7[업무]),Table7[휴일인센티브],0,0),0))</f>
        <v>0</v>
      </c>
      <c r="AJ71" s="94" cm="1">
        <f t="array" ref="AJ71">ROUND(AC71*IF(U71&gt;=8/24,U71-8/24,0)*24*_xlfn.XLOOKUP(1,(D71&lt;=Table7[End])*(E71=Table7[근무처])*(F71=Table7[업무]),Table7[야간인센티브],0,0),0)</f>
        <v>0</v>
      </c>
      <c r="AK71" s="94" cm="1">
        <f t="array" ref="AK71">IF(V71=0,0,ROUND(AC71*V71*24*_xlfn.XLOOKUP(1,(D71&lt;=Table7[End])*(E71=Table7[근무처])*(F71=Table7[업무]),Table7[야간인센티브],0,0),0))</f>
        <v>0</v>
      </c>
      <c r="AL71" s="95"/>
      <c r="AM71" s="94">
        <f t="shared" si="20"/>
        <v>80240</v>
      </c>
      <c r="AN71" s="94" cm="1">
        <f t="array" ref="AN71">IF(AM71&gt;=_xlfn.XLOOKUP(TRUE,D71&lt;=Table5[End],Table5[비과세소득기준],0,0),AM71-_xlfn.XLOOKUP(TRUE,D71&lt;=Table5[End],Table5[비과세소득기준],0,0),0)</f>
        <v>0</v>
      </c>
      <c r="AO71" s="94" cm="1">
        <f t="array" ref="AO71">ROUNDDOWN(_xlfn.LET(_xlpm.setvalue,_xlfn.XLOOKUP(TRUE,D71&lt;=Table5[End],Table5[[요율]:[근로소득세액공제]],0,0),_xlpm.tax,AN71*PRODUCT((_xlpm.setvalue-{0,1})*{1,-1}),_xlpm.threshold,_xlfn.XLOOKUP(TRUE,D71&lt;=Table5[End],Table5[소액부징수기준],0,0),IF(_xlpm.tax&gt;=_xlpm.threshold,_xlpm.tax,0)),-1)</f>
        <v>0</v>
      </c>
      <c r="AP71" s="94">
        <f>ROUNDDOWN(Table2[[#This Row],[소득세]]*10%,-1)</f>
        <v>0</v>
      </c>
      <c r="AQ71" s="94">
        <f>IF(AB71="v",AM71+IF(Y71=8,SUMIFS(Table2[지급총액],Table2[주민등록번호],O71,Table2[월],R71,Table2[월간
근무일],"&lt;="&amp;8)-AM71,0),0)+_xlfn.NUMBERVALUE(AR71)</f>
        <v>0</v>
      </c>
      <c r="AR71" s="95"/>
      <c r="AS71" s="94" cm="1">
        <f t="array" ref="AS71">ROUNDDOWN($AQ71*_xlfn.XLOOKUP(1,(AS$5=Table8[Type])*($D71&lt;=Table8[End]),Table8[요율],0,0),0)</f>
        <v>0</v>
      </c>
      <c r="AT71" s="94" cm="1">
        <f t="array" ref="AT71">ROUNDDOWN(AS71*_xlfn.XLOOKUP(1,(AT$5=Table8[Type])*($D71&lt;=Table8[End]),Table8[요율],0,0),-1)</f>
        <v>0</v>
      </c>
      <c r="AU71" s="94" cm="1">
        <f t="array" ref="AU71">ROUNDDOWN($AQ71*_xlfn.XLOOKUP(1,(AU$5=Table8[Type])*($D71&lt;=Table8[End]),Table8[요율],0,0),-1)</f>
        <v>0</v>
      </c>
      <c r="AV71" s="94" cm="1">
        <f t="array" ref="AV71">ROUNDDOWN(AM71*_xlfn.XLOOKUP(1,(AV$5=Table8[Type])*($D71&lt;=Table8[End]),Table8[요율],0,0),-1)</f>
        <v>0</v>
      </c>
      <c r="AW71" s="94" cm="1">
        <f t="array" ref="AW71">_xlfn.XLOOKUP(1,(O71=Table2[주민등록번호])*(D71&gt;Table2[근무일자]),Table2[청구 Claim 
이월],0,0,-1)</f>
        <v>0</v>
      </c>
      <c r="AX71" s="95"/>
      <c r="AY71" s="94" cm="1">
        <f t="array" ref="AY71">MAX(SUM(AO71:AP71,AS71:AX71)-_xlfn.XLOOKUP(1,(D71&lt;=Table7[End])*(E71=Table7[근무처])*(F71=Table7[업무]),Table7[1일 공제 상한],0,0),0)</f>
        <v>0</v>
      </c>
      <c r="AZ71" s="94">
        <f t="shared" si="21"/>
        <v>0</v>
      </c>
      <c r="BA71" s="94">
        <f t="shared" si="22"/>
        <v>80240</v>
      </c>
      <c r="BB71" s="97">
        <f t="shared" si="23"/>
        <v>0</v>
      </c>
      <c r="BC71" s="98"/>
      <c r="BD71" s="94">
        <f t="shared" si="24"/>
        <v>0</v>
      </c>
      <c r="BE71" s="94">
        <f t="shared" si="25"/>
        <v>0</v>
      </c>
      <c r="BF71" s="94">
        <f t="shared" si="26"/>
        <v>0</v>
      </c>
      <c r="BG71" s="94">
        <f t="shared" si="27"/>
        <v>0</v>
      </c>
      <c r="BH71" s="94" cm="1">
        <f t="array" ref="BH71">ROUNDDOWN(AM71*_xlfn.XLOOKUP(1,(BH$5=Table8[Type])*($D71&lt;=Table8[End]),Table8[요율],0,0),-1)</f>
        <v>640</v>
      </c>
      <c r="BI71" s="93" t="str" cm="1">
        <f t="array" ref="BI71">_xlfn.XLOOKUP(1,(D71&lt;=Table7[End])*(E71=Table7[근무처])*(F71=Table7[업무]),Table7[지급옵션],0,0)</f>
        <v>D+2</v>
      </c>
      <c r="BJ71" s="83">
        <f>IF(BK71&lt;&gt;"",BK71,IFERROR(D71+_xlfn.NUMBERVALUE(RIGHT(BI71,1)),D71-WEEKDAY(D71)+CHOOSE(MATCH(RIGHT(BI71),{"일","월","화","수","목","금","토"},0),8,9,10,11,12,13,14)))</f>
        <v>45724</v>
      </c>
      <c r="BK71" s="99"/>
    </row>
    <row r="72" spans="2:63" x14ac:dyDescent="0.35">
      <c r="B72" s="20" t="str" cm="1">
        <f t="array" ref="B72">_xlfn.IFS(BB72&lt;&gt;BC72,"Claim확인",N72&lt;&gt;"OK","확인필요",TRUE,"")</f>
        <v/>
      </c>
      <c r="C72" s="21" t="str">
        <f t="shared" si="14"/>
        <v>010-8X0X-X0X9982X03XX901018</v>
      </c>
      <c r="D72" s="26">
        <v>45723</v>
      </c>
      <c r="E72" s="91" t="s">
        <v>255</v>
      </c>
      <c r="F72" s="25" t="s">
        <v>258</v>
      </c>
      <c r="G72" s="27" t="s">
        <v>283</v>
      </c>
      <c r="H72" s="25" t="s">
        <v>291</v>
      </c>
      <c r="I72" s="25"/>
      <c r="J72" s="25" t="s">
        <v>292</v>
      </c>
      <c r="K72" s="28">
        <v>0.375</v>
      </c>
      <c r="L72" s="28">
        <v>0.75</v>
      </c>
      <c r="M72" s="28">
        <v>4.1666666666666664E-2</v>
      </c>
      <c r="N72" s="25" t="s">
        <v>281</v>
      </c>
      <c r="O72" s="29" t="str">
        <f>_xlfn.XLOOKUP(Table2[[#This Row],[Key]],Table1[Key],Table1[주민등록번호],"",0)</f>
        <v>960XX51XX9X15</v>
      </c>
      <c r="P72" s="29">
        <f>_xlfn.XLOOKUP(Table2[[#This Row],[Key]],Table1[Key],Table1[비자],"",0)</f>
        <v>0</v>
      </c>
      <c r="Q72" s="29">
        <f>IF(P72=0,0,_xlfn.XLOOKUP(Table2[[#This Row],[Key]],Table1[Key],Table1[고용보험 여부],0,0))</f>
        <v>0</v>
      </c>
      <c r="R72" s="29" t="str">
        <f t="shared" si="15"/>
        <v>2503</v>
      </c>
      <c r="S72" s="30" t="str">
        <f>YEAR(Table2[[#This Row],[근무일자]])&amp;TEXT(WEEKNUM(Table2[[#This Row],[근무일자]]),"00")</f>
        <v>202510</v>
      </c>
      <c r="T72" s="31">
        <f>_xlfn.XLOOKUP(Table2[[#This Row],[Key]],Table1[Key],Table1[등록일],"",0)</f>
        <v>45698</v>
      </c>
      <c r="U72" s="32">
        <f t="shared" si="16"/>
        <v>0.33333333333333331</v>
      </c>
      <c r="V72" s="92">
        <f t="shared" si="17"/>
        <v>0</v>
      </c>
      <c r="W72" s="100" t="str">
        <f>_xlfn.XLOOKUP(Table2[[#This Row],[근무일자]],Table3[Date],Table3[Holiday],"",0)</f>
        <v/>
      </c>
      <c r="X72" s="93">
        <f>IF(D72&lt;&gt;"",1,0)+IF(COUNTIFS(Table2[주민등록번호],O72,Table2[월],TEXT(EOMONTH(D72,-1),"YYMM"))&gt;0,1+IF(COUNTIFS(Table2[주민등록번호],O72,Table2[월],TEXT(EOMONTH(D72,-2),"YYMM"))&gt;0,1+IF(COUNTIFS(Table2[주민등록번호],O72,Table2[월],TEXT(EOMONTH(D72,-3),"YYMM"))&gt;0,1,0),0),0)</f>
        <v>2</v>
      </c>
      <c r="Y72" s="29">
        <f>COUNTIFS(Table2[주민등록번호],O72,Table2[월],R72,Table2[근무일자],"&lt;="&amp;D72)</f>
        <v>5</v>
      </c>
      <c r="Z72" s="29">
        <f>COUNTIFS(Table2[주민등록번호],O72,Table2[주간],S72,Table2[근무일자],"&lt;="&amp;D72)</f>
        <v>4</v>
      </c>
      <c r="AA72" s="29">
        <f>SUMIFS(Table2[근로
시간],Table2[주민등록번호],O72,Table2[주간],S72,Table2[근무일자],"&lt;="&amp;D72)*24</f>
        <v>32</v>
      </c>
      <c r="AB72" s="29" t="str">
        <f>IF(AND(Y72&gt;=8,COUNTIFS(Table2[주민등록번호],O72,Table2[근무일자],"&gt;="&amp;EOMONTH(D72,-2)+1,Table2[근무일자],"&lt;="&amp;EOMONTH(D72,-1)+1)&gt;0),"V","")</f>
        <v/>
      </c>
      <c r="AC72" s="94" cm="1">
        <f t="array" ref="AC72">IF(AD72&lt;&gt;"",AD72,_xlfn.XLOOKUP(1,(D72&lt;=Table7[End])*(E72=Table7[근무처])*(F72=Table7[업무]),Table7[시급],0,0))</f>
        <v>10680</v>
      </c>
      <c r="AD72" s="95"/>
      <c r="AE72" s="94">
        <f t="shared" si="18"/>
        <v>85440</v>
      </c>
      <c r="AF72" s="96" cm="1">
        <f t="array" ref="AF72">IF(AND(AA72&gt;=15,(AA72-U72*24)&lt;=40),IF(Z72&gt;=_xlfn.XLOOKUP(1,(D72&lt;=Table7[End])*(E72=Table7[근무처])*(F72=Table7[업무]),Table7[주휴적용일],0,0),1,0)+_xlfn.XLOOKUP(1,(Table2[주간]=Table2[[#This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72" s="96" cm="1">
        <f t="array" ref="AG72">MAX((_xlfn.IFS(AF72=0,0,AF72=1,AA72,AF72&gt;1,U72*24)-IF(AA72&gt;40,AA72-40,0))/5,0)</f>
        <v>1.6</v>
      </c>
      <c r="AH72" s="94">
        <f t="shared" si="19"/>
        <v>17088</v>
      </c>
      <c r="AI72" s="33" cm="1">
        <f t="array" ref="AI72">IF(W72="",0,ROUND(AC72*U72*24*_xlfn.XLOOKUP(1,(D72&lt;=Table7[End])*(E72=Table7[근무처])*(F72=Table7[업무]),Table7[휴일인센티브],0,0),0))</f>
        <v>0</v>
      </c>
      <c r="AJ72" s="94" cm="1">
        <f t="array" ref="AJ72">ROUND(AC72*IF(U72&gt;=8/24,U72-8/24,0)*24*_xlfn.XLOOKUP(1,(D72&lt;=Table7[End])*(E72=Table7[근무처])*(F72=Table7[업무]),Table7[야간인센티브],0,0),0)</f>
        <v>0</v>
      </c>
      <c r="AK72" s="94" cm="1">
        <f t="array" ref="AK72">IF(V72=0,0,ROUND(AC72*V72*24*_xlfn.XLOOKUP(1,(D72&lt;=Table7[End])*(E72=Table7[근무처])*(F72=Table7[업무]),Table7[야간인센티브],0,0),0))</f>
        <v>0</v>
      </c>
      <c r="AL72" s="95"/>
      <c r="AM72" s="94">
        <f t="shared" si="20"/>
        <v>102528</v>
      </c>
      <c r="AN72" s="94" cm="1">
        <f t="array" ref="AN72">IF(AM72&gt;=_xlfn.XLOOKUP(TRUE,D72&lt;=Table5[End],Table5[비과세소득기준],0,0),AM72-_xlfn.XLOOKUP(TRUE,D72&lt;=Table5[End],Table5[비과세소득기준],0,0),0)</f>
        <v>0</v>
      </c>
      <c r="AO72" s="94" cm="1">
        <f t="array" ref="AO72">ROUNDDOWN(_xlfn.LET(_xlpm.setvalue,_xlfn.XLOOKUP(TRUE,D72&lt;=Table5[End],Table5[[요율]:[근로소득세액공제]],0,0),_xlpm.tax,AN72*PRODUCT((_xlpm.setvalue-{0,1})*{1,-1}),_xlpm.threshold,_xlfn.XLOOKUP(TRUE,D72&lt;=Table5[End],Table5[소액부징수기준],0,0),IF(_xlpm.tax&gt;=_xlpm.threshold,_xlpm.tax,0)),-1)</f>
        <v>0</v>
      </c>
      <c r="AP72" s="94">
        <f>ROUNDDOWN(Table2[[#This Row],[소득세]]*10%,-1)</f>
        <v>0</v>
      </c>
      <c r="AQ72" s="94">
        <f>IF(AB72="v",AM72+IF(Y72=8,SUMIFS(Table2[지급총액],Table2[주민등록번호],O72,Table2[월],R72,Table2[월간
근무일],"&lt;="&amp;8)-AM72,0),0)+_xlfn.NUMBERVALUE(AR72)</f>
        <v>0</v>
      </c>
      <c r="AR72" s="95"/>
      <c r="AS72" s="94" cm="1">
        <f t="array" ref="AS72">ROUNDDOWN($AQ72*_xlfn.XLOOKUP(1,(AS$5=Table8[Type])*($D72&lt;=Table8[End]),Table8[요율],0,0),0)</f>
        <v>0</v>
      </c>
      <c r="AT72" s="94" cm="1">
        <f t="array" ref="AT72">ROUNDDOWN(AS72*_xlfn.XLOOKUP(1,(AT$5=Table8[Type])*($D72&lt;=Table8[End]),Table8[요율],0,0),-1)</f>
        <v>0</v>
      </c>
      <c r="AU72" s="94" cm="1">
        <f t="array" ref="AU72">ROUNDDOWN($AQ72*_xlfn.XLOOKUP(1,(AU$5=Table8[Type])*($D72&lt;=Table8[End]),Table8[요율],0,0),-1)</f>
        <v>0</v>
      </c>
      <c r="AV72" s="94" cm="1">
        <f t="array" ref="AV72">ROUNDDOWN(AM72*_xlfn.XLOOKUP(1,(AV$5=Table8[Type])*($D72&lt;=Table8[End]),Table8[요율],0,0),-1)</f>
        <v>0</v>
      </c>
      <c r="AW72" s="94" cm="1">
        <f t="array" ref="AW72">_xlfn.XLOOKUP(1,(O72=Table2[주민등록번호])*(D72&gt;Table2[근무일자]),Table2[청구 Claim 
이월],0,0,-1)</f>
        <v>0</v>
      </c>
      <c r="AX72" s="95"/>
      <c r="AY72" s="94" cm="1">
        <f t="array" ref="AY72">MAX(SUM(AO72:AP72,AS72:AX72)-_xlfn.XLOOKUP(1,(D72&lt;=Table7[End])*(E72=Table7[근무처])*(F72=Table7[업무]),Table7[1일 공제 상한],0,0),0)</f>
        <v>0</v>
      </c>
      <c r="AZ72" s="94">
        <f t="shared" si="21"/>
        <v>0</v>
      </c>
      <c r="BA72" s="94">
        <f t="shared" si="22"/>
        <v>102528</v>
      </c>
      <c r="BB72" s="97">
        <f t="shared" si="23"/>
        <v>0</v>
      </c>
      <c r="BC72" s="98"/>
      <c r="BD72" s="94">
        <f t="shared" si="24"/>
        <v>0</v>
      </c>
      <c r="BE72" s="94">
        <f t="shared" si="25"/>
        <v>0</v>
      </c>
      <c r="BF72" s="94">
        <f t="shared" si="26"/>
        <v>0</v>
      </c>
      <c r="BG72" s="94">
        <f t="shared" si="27"/>
        <v>0</v>
      </c>
      <c r="BH72" s="94" cm="1">
        <f t="array" ref="BH72">ROUNDDOWN(AM72*_xlfn.XLOOKUP(1,(BH$5=Table8[Type])*($D72&lt;=Table8[End]),Table8[요율],0,0),-1)</f>
        <v>820</v>
      </c>
      <c r="BI72" s="93" t="str" cm="1">
        <f t="array" ref="BI72">_xlfn.XLOOKUP(1,(D72&lt;=Table7[End])*(E72=Table7[근무처])*(F72=Table7[업무]),Table7[지급옵션],0,0)</f>
        <v>차주 화</v>
      </c>
      <c r="BJ72" s="83">
        <f>IF(BK72&lt;&gt;"",BK72,IFERROR(D72+_xlfn.NUMBERVALUE(RIGHT(BI72,1)),D72-WEEKDAY(D72)+CHOOSE(MATCH(RIGHT(BI72),{"일","월","화","수","목","금","토"},0),8,9,10,11,12,13,14)))</f>
        <v>45727</v>
      </c>
      <c r="BK72" s="99"/>
    </row>
    <row r="73" spans="2:63" x14ac:dyDescent="0.35">
      <c r="B73" s="20" t="str" cm="1">
        <f t="array" ref="B73">_xlfn.IFS(BB73&lt;&gt;BC73,"Claim확인",N73&lt;&gt;"OK","확인필요",TRUE,"")</f>
        <v/>
      </c>
      <c r="C73" s="21" t="str">
        <f t="shared" si="14"/>
        <v>010-6X1X-X3X0333X04XX46879</v>
      </c>
      <c r="D73" s="26">
        <v>45723</v>
      </c>
      <c r="E73" s="91" t="s">
        <v>255</v>
      </c>
      <c r="F73" s="25" t="s">
        <v>258</v>
      </c>
      <c r="G73" s="27" t="s">
        <v>284</v>
      </c>
      <c r="H73" s="25" t="s">
        <v>293</v>
      </c>
      <c r="I73" s="25"/>
      <c r="J73" s="25" t="s">
        <v>294</v>
      </c>
      <c r="K73" s="28">
        <v>0.29166666666666669</v>
      </c>
      <c r="L73" s="28">
        <v>0.66666666666666663</v>
      </c>
      <c r="M73" s="28">
        <v>4.1666666666666664E-2</v>
      </c>
      <c r="N73" s="25" t="s">
        <v>281</v>
      </c>
      <c r="O73" s="29" t="str">
        <f>_xlfn.XLOOKUP(Table2[[#This Row],[Key]],Table1[Key],Table1[주민등록번호],"",0)</f>
        <v>971XX61XX9X25</v>
      </c>
      <c r="P73" s="29">
        <f>_xlfn.XLOOKUP(Table2[[#This Row],[Key]],Table1[Key],Table1[비자],"",0)</f>
        <v>0</v>
      </c>
      <c r="Q73" s="29">
        <f>IF(P73=0,0,_xlfn.XLOOKUP(Table2[[#This Row],[Key]],Table1[Key],Table1[고용보험 여부],0,0))</f>
        <v>0</v>
      </c>
      <c r="R73" s="29" t="str">
        <f t="shared" si="15"/>
        <v>2503</v>
      </c>
      <c r="S73" s="30" t="str">
        <f>YEAR(Table2[[#This Row],[근무일자]])&amp;TEXT(WEEKNUM(Table2[[#This Row],[근무일자]]),"00")</f>
        <v>202510</v>
      </c>
      <c r="T73" s="31">
        <f>_xlfn.XLOOKUP(Table2[[#This Row],[Key]],Table1[Key],Table1[등록일],"",0)</f>
        <v>45721</v>
      </c>
      <c r="U73" s="32">
        <f t="shared" si="16"/>
        <v>0.33333333333333326</v>
      </c>
      <c r="V73" s="92">
        <f t="shared" si="17"/>
        <v>0</v>
      </c>
      <c r="W73" s="100" t="str">
        <f>_xlfn.XLOOKUP(Table2[[#This Row],[근무일자]],Table3[Date],Table3[Holiday],"",0)</f>
        <v/>
      </c>
      <c r="X73" s="93">
        <f>IF(D73&lt;&gt;"",1,0)+IF(COUNTIFS(Table2[주민등록번호],O73,Table2[월],TEXT(EOMONTH(D73,-1),"YYMM"))&gt;0,1+IF(COUNTIFS(Table2[주민등록번호],O73,Table2[월],TEXT(EOMONTH(D73,-2),"YYMM"))&gt;0,1+IF(COUNTIFS(Table2[주민등록번호],O73,Table2[월],TEXT(EOMONTH(D73,-3),"YYMM"))&gt;0,1,0),0),0)</f>
        <v>1</v>
      </c>
      <c r="Y73" s="29">
        <f>COUNTIFS(Table2[주민등록번호],O73,Table2[월],R73,Table2[근무일자],"&lt;="&amp;D73)</f>
        <v>3</v>
      </c>
      <c r="Z73" s="29">
        <f>COUNTIFS(Table2[주민등록번호],O73,Table2[주간],S73,Table2[근무일자],"&lt;="&amp;D73)</f>
        <v>3</v>
      </c>
      <c r="AA73" s="29">
        <f>SUMIFS(Table2[근로
시간],Table2[주민등록번호],O73,Table2[주간],S73,Table2[근무일자],"&lt;="&amp;D73)*24</f>
        <v>23.999999999999993</v>
      </c>
      <c r="AB73" s="29" t="str">
        <f>IF(AND(Y73&gt;=8,COUNTIFS(Table2[주민등록번호],O73,Table2[근무일자],"&gt;="&amp;EOMONTH(D73,-2)+1,Table2[근무일자],"&lt;="&amp;EOMONTH(D73,-1)+1)&gt;0),"V","")</f>
        <v/>
      </c>
      <c r="AC73" s="94" cm="1">
        <f t="array" ref="AC73">IF(AD73&lt;&gt;"",AD73,_xlfn.XLOOKUP(1,(D73&lt;=Table7[End])*(E73=Table7[근무처])*(F73=Table7[업무]),Table7[시급],0,0))</f>
        <v>10680</v>
      </c>
      <c r="AD73" s="95"/>
      <c r="AE73" s="94">
        <f t="shared" si="18"/>
        <v>85440</v>
      </c>
      <c r="AF73" s="96" cm="1">
        <f t="array" ref="AF73">IF(AND(AA73&gt;=15,(AA73-U73*24)&lt;=40),IF(Z73&gt;=_xlfn.XLOOKUP(1,(D73&lt;=Table7[End])*(E73=Table7[근무처])*(F73=Table7[업무]),Table7[주휴적용일],0,0),1,0)+_xlfn.XLOOKUP(1,(Table2[주간]=Table2[[#This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73" s="96" cm="1">
        <f t="array" ref="AG73">MAX((_xlfn.IFS(AF73=0,0,AF73=1,AA73,AF73&gt;1,U73*24)-IF(AA73&gt;40,AA73-40,0))/5,0)</f>
        <v>1.5999999999999996</v>
      </c>
      <c r="AH73" s="94">
        <f t="shared" si="19"/>
        <v>17088</v>
      </c>
      <c r="AI73" s="33" cm="1">
        <f t="array" ref="AI73">IF(W73="",0,ROUND(AC73*U73*24*_xlfn.XLOOKUP(1,(D73&lt;=Table7[End])*(E73=Table7[근무처])*(F73=Table7[업무]),Table7[휴일인센티브],0,0),0))</f>
        <v>0</v>
      </c>
      <c r="AJ73" s="94" cm="1">
        <f t="array" ref="AJ73">ROUND(AC73*IF(U73&gt;=8/24,U73-8/24,0)*24*_xlfn.XLOOKUP(1,(D73&lt;=Table7[End])*(E73=Table7[근무처])*(F73=Table7[업무]),Table7[야간인센티브],0,0),0)</f>
        <v>0</v>
      </c>
      <c r="AK73" s="94" cm="1">
        <f t="array" ref="AK73">IF(V73=0,0,ROUND(AC73*V73*24*_xlfn.XLOOKUP(1,(D73&lt;=Table7[End])*(E73=Table7[근무처])*(F73=Table7[업무]),Table7[야간인센티브],0,0),0))</f>
        <v>0</v>
      </c>
      <c r="AL73" s="95"/>
      <c r="AM73" s="94">
        <f t="shared" si="20"/>
        <v>102528</v>
      </c>
      <c r="AN73" s="94" cm="1">
        <f t="array" ref="AN73">IF(AM73&gt;=_xlfn.XLOOKUP(TRUE,D73&lt;=Table5[End],Table5[비과세소득기준],0,0),AM73-_xlfn.XLOOKUP(TRUE,D73&lt;=Table5[End],Table5[비과세소득기준],0,0),0)</f>
        <v>0</v>
      </c>
      <c r="AO73" s="94" cm="1">
        <f t="array" ref="AO73">ROUNDDOWN(_xlfn.LET(_xlpm.setvalue,_xlfn.XLOOKUP(TRUE,D73&lt;=Table5[End],Table5[[요율]:[근로소득세액공제]],0,0),_xlpm.tax,AN73*PRODUCT((_xlpm.setvalue-{0,1})*{1,-1}),_xlpm.threshold,_xlfn.XLOOKUP(TRUE,D73&lt;=Table5[End],Table5[소액부징수기준],0,0),IF(_xlpm.tax&gt;=_xlpm.threshold,_xlpm.tax,0)),-1)</f>
        <v>0</v>
      </c>
      <c r="AP73" s="94">
        <f>ROUNDDOWN(Table2[[#This Row],[소득세]]*10%,-1)</f>
        <v>0</v>
      </c>
      <c r="AQ73" s="94">
        <f>IF(AB73="v",AM73+IF(Y73=8,SUMIFS(Table2[지급총액],Table2[주민등록번호],O73,Table2[월],R73,Table2[월간
근무일],"&lt;="&amp;8)-AM73,0),0)+_xlfn.NUMBERVALUE(AR73)</f>
        <v>0</v>
      </c>
      <c r="AR73" s="95"/>
      <c r="AS73" s="94" cm="1">
        <f t="array" ref="AS73">ROUNDDOWN($AQ73*_xlfn.XLOOKUP(1,(AS$5=Table8[Type])*($D73&lt;=Table8[End]),Table8[요율],0,0),0)</f>
        <v>0</v>
      </c>
      <c r="AT73" s="94" cm="1">
        <f t="array" ref="AT73">ROUNDDOWN(AS73*_xlfn.XLOOKUP(1,(AT$5=Table8[Type])*($D73&lt;=Table8[End]),Table8[요율],0,0),-1)</f>
        <v>0</v>
      </c>
      <c r="AU73" s="94" cm="1">
        <f t="array" ref="AU73">ROUNDDOWN($AQ73*_xlfn.XLOOKUP(1,(AU$5=Table8[Type])*($D73&lt;=Table8[End]),Table8[요율],0,0),-1)</f>
        <v>0</v>
      </c>
      <c r="AV73" s="94" cm="1">
        <f t="array" ref="AV73">ROUNDDOWN(AM73*_xlfn.XLOOKUP(1,(AV$5=Table8[Type])*($D73&lt;=Table8[End]),Table8[요율],0,0),-1)</f>
        <v>0</v>
      </c>
      <c r="AW73" s="94" cm="1">
        <f t="array" ref="AW73">_xlfn.XLOOKUP(1,(O73=Table2[주민등록번호])*(D73&gt;Table2[근무일자]),Table2[청구 Claim 
이월],0,0,-1)</f>
        <v>0</v>
      </c>
      <c r="AX73" s="95"/>
      <c r="AY73" s="94" cm="1">
        <f t="array" ref="AY73">MAX(SUM(AO73:AP73,AS73:AX73)-_xlfn.XLOOKUP(1,(D73&lt;=Table7[End])*(E73=Table7[근무처])*(F73=Table7[업무]),Table7[1일 공제 상한],0,0),0)</f>
        <v>0</v>
      </c>
      <c r="AZ73" s="94">
        <f t="shared" si="21"/>
        <v>0</v>
      </c>
      <c r="BA73" s="94">
        <f t="shared" si="22"/>
        <v>102528</v>
      </c>
      <c r="BB73" s="97">
        <f t="shared" si="23"/>
        <v>0</v>
      </c>
      <c r="BC73" s="98"/>
      <c r="BD73" s="94">
        <f t="shared" si="24"/>
        <v>0</v>
      </c>
      <c r="BE73" s="94">
        <f t="shared" si="25"/>
        <v>0</v>
      </c>
      <c r="BF73" s="94">
        <f t="shared" si="26"/>
        <v>0</v>
      </c>
      <c r="BG73" s="94">
        <f t="shared" si="27"/>
        <v>0</v>
      </c>
      <c r="BH73" s="94" cm="1">
        <f t="array" ref="BH73">ROUNDDOWN(AM73*_xlfn.XLOOKUP(1,(BH$5=Table8[Type])*($D73&lt;=Table8[End]),Table8[요율],0,0),-1)</f>
        <v>820</v>
      </c>
      <c r="BI73" s="93" t="str" cm="1">
        <f t="array" ref="BI73">_xlfn.XLOOKUP(1,(D73&lt;=Table7[End])*(E73=Table7[근무처])*(F73=Table7[업무]),Table7[지급옵션],0,0)</f>
        <v>차주 화</v>
      </c>
      <c r="BJ73" s="83">
        <f>IF(BK73&lt;&gt;"",BK73,IFERROR(D73+_xlfn.NUMBERVALUE(RIGHT(BI73,1)),D73-WEEKDAY(D73)+CHOOSE(MATCH(RIGHT(BI73),{"일","월","화","수","목","금","토"},0),8,9,10,11,12,13,14)))</f>
        <v>45727</v>
      </c>
      <c r="BK73" s="99"/>
    </row>
    <row r="74" spans="2:63" x14ac:dyDescent="0.35">
      <c r="B74" s="20" t="str" cm="1">
        <f t="array" ref="B74">_xlfn.IFS(BB74&lt;&gt;BC74,"Claim확인",N74&lt;&gt;"OK","확인필요",TRUE,"")</f>
        <v/>
      </c>
      <c r="C74" s="21" t="str">
        <f t="shared" si="14"/>
        <v>010-5X8X-X4X0920X02XX253123</v>
      </c>
      <c r="D74" s="26">
        <v>45723</v>
      </c>
      <c r="E74" s="91" t="s">
        <v>255</v>
      </c>
      <c r="F74" s="25" t="s">
        <v>257</v>
      </c>
      <c r="G74" s="27" t="s">
        <v>288</v>
      </c>
      <c r="H74" s="25" t="s">
        <v>303</v>
      </c>
      <c r="I74" s="25"/>
      <c r="J74" s="25" t="s">
        <v>304</v>
      </c>
      <c r="K74" s="28">
        <v>0.4375</v>
      </c>
      <c r="L74" s="28">
        <v>0.8125</v>
      </c>
      <c r="M74" s="28">
        <v>4.1666666666666664E-2</v>
      </c>
      <c r="N74" s="25" t="s">
        <v>281</v>
      </c>
      <c r="O74" s="29" t="str">
        <f>_xlfn.XLOOKUP(Table2[[#This Row],[Key]],Table1[Key],Table1[주민등록번호],"",0)</f>
        <v>941XX31XX3X14</v>
      </c>
      <c r="P74" s="29">
        <f>_xlfn.XLOOKUP(Table2[[#This Row],[Key]],Table1[Key],Table1[비자],"",0)</f>
        <v>0</v>
      </c>
      <c r="Q74" s="29">
        <f>IF(P74=0,0,_xlfn.XLOOKUP(Table2[[#This Row],[Key]],Table1[Key],Table1[고용보험 여부],0,0))</f>
        <v>0</v>
      </c>
      <c r="R74" s="29" t="str">
        <f t="shared" si="15"/>
        <v>2503</v>
      </c>
      <c r="S74" s="30" t="str">
        <f>YEAR(Table2[[#This Row],[근무일자]])&amp;TEXT(WEEKNUM(Table2[[#This Row],[근무일자]]),"00")</f>
        <v>202510</v>
      </c>
      <c r="T74" s="31">
        <f>_xlfn.XLOOKUP(Table2[[#This Row],[Key]],Table1[Key],Table1[등록일],"",0)</f>
        <v>45846</v>
      </c>
      <c r="U74" s="32">
        <f t="shared" si="16"/>
        <v>0.33333333333333331</v>
      </c>
      <c r="V74" s="92">
        <f t="shared" si="17"/>
        <v>0</v>
      </c>
      <c r="W74" s="100" t="str">
        <f>_xlfn.XLOOKUP(Table2[[#This Row],[근무일자]],Table3[Date],Table3[Holiday],"",0)</f>
        <v/>
      </c>
      <c r="X74" s="93">
        <f>IF(D74&lt;&gt;"",1,0)+IF(COUNTIFS(Table2[주민등록번호],O74,Table2[월],TEXT(EOMONTH(D74,-1),"YYMM"))&gt;0,1+IF(COUNTIFS(Table2[주민등록번호],O74,Table2[월],TEXT(EOMONTH(D74,-2),"YYMM"))&gt;0,1+IF(COUNTIFS(Table2[주민등록번호],O74,Table2[월],TEXT(EOMONTH(D74,-3),"YYMM"))&gt;0,1,0),0),0)</f>
        <v>2</v>
      </c>
      <c r="Y74" s="29">
        <f>COUNTIFS(Table2[주민등록번호],O74,Table2[월],R74,Table2[근무일자],"&lt;="&amp;D74)</f>
        <v>4</v>
      </c>
      <c r="Z74" s="29">
        <f>COUNTIFS(Table2[주민등록번호],O74,Table2[주간],S74,Table2[근무일자],"&lt;="&amp;D74)</f>
        <v>3</v>
      </c>
      <c r="AA74" s="29">
        <f>SUMIFS(Table2[근로
시간],Table2[주민등록번호],O74,Table2[주간],S74,Table2[근무일자],"&lt;="&amp;D74)*24</f>
        <v>24</v>
      </c>
      <c r="AB74" s="29" t="str">
        <f>IF(AND(Y74&gt;=8,COUNTIFS(Table2[주민등록번호],O74,Table2[근무일자],"&gt;="&amp;EOMONTH(D74,-2)+1,Table2[근무일자],"&lt;="&amp;EOMONTH(D74,-1)+1)&gt;0),"V","")</f>
        <v/>
      </c>
      <c r="AC74" s="94" cm="1">
        <f t="array" ref="AC74">IF(AD74&lt;&gt;"",AD74,_xlfn.XLOOKUP(1,(D74&lt;=Table7[End])*(E74=Table7[근무처])*(F74=Table7[업무]),Table7[시급],0,0))</f>
        <v>10030</v>
      </c>
      <c r="AD74" s="95"/>
      <c r="AE74" s="94">
        <f t="shared" si="18"/>
        <v>80240</v>
      </c>
      <c r="AF74" s="96" cm="1">
        <f t="array" ref="AF74">IF(AND(AA74&gt;=15,(AA74-U74*24)&lt;=40),IF(Z74&gt;=_xlfn.XLOOKUP(1,(D74&lt;=Table7[End])*(E74=Table7[근무처])*(F74=Table7[업무]),Table7[주휴적용일],0,0),1,0)+_xlfn.XLOOKUP(1,(Table2[주간]=Table2[[#This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74" s="96" cm="1">
        <f t="array" ref="AG74">MAX((_xlfn.IFS(AF74=0,0,AF74=1,AA74,AF74&gt;1,U74*24)-IF(AA74&gt;40,AA74-40,0))/5,0)</f>
        <v>1.6</v>
      </c>
      <c r="AH74" s="94">
        <f t="shared" si="19"/>
        <v>16048</v>
      </c>
      <c r="AI74" s="33" cm="1">
        <f t="array" ref="AI74">IF(W74="",0,ROUND(AC74*U74*24*_xlfn.XLOOKUP(1,(D74&lt;=Table7[End])*(E74=Table7[근무처])*(F74=Table7[업무]),Table7[휴일인센티브],0,0),0))</f>
        <v>0</v>
      </c>
      <c r="AJ74" s="94" cm="1">
        <f t="array" ref="AJ74">ROUND(AC74*IF(U74&gt;=8/24,U74-8/24,0)*24*_xlfn.XLOOKUP(1,(D74&lt;=Table7[End])*(E74=Table7[근무처])*(F74=Table7[업무]),Table7[야간인센티브],0,0),0)</f>
        <v>0</v>
      </c>
      <c r="AK74" s="94" cm="1">
        <f t="array" ref="AK74">IF(V74=0,0,ROUND(AC74*V74*24*_xlfn.XLOOKUP(1,(D74&lt;=Table7[End])*(E74=Table7[근무처])*(F74=Table7[업무]),Table7[야간인센티브],0,0),0))</f>
        <v>0</v>
      </c>
      <c r="AL74" s="95"/>
      <c r="AM74" s="94">
        <f t="shared" si="20"/>
        <v>96288</v>
      </c>
      <c r="AN74" s="94" cm="1">
        <f t="array" ref="AN74">IF(AM74&gt;=_xlfn.XLOOKUP(TRUE,D74&lt;=Table5[End],Table5[비과세소득기준],0,0),AM74-_xlfn.XLOOKUP(TRUE,D74&lt;=Table5[End],Table5[비과세소득기준],0,0),0)</f>
        <v>0</v>
      </c>
      <c r="AO74" s="94" cm="1">
        <f t="array" ref="AO74">ROUNDDOWN(_xlfn.LET(_xlpm.setvalue,_xlfn.XLOOKUP(TRUE,D74&lt;=Table5[End],Table5[[요율]:[근로소득세액공제]],0,0),_xlpm.tax,AN74*PRODUCT((_xlpm.setvalue-{0,1})*{1,-1}),_xlpm.threshold,_xlfn.XLOOKUP(TRUE,D74&lt;=Table5[End],Table5[소액부징수기준],0,0),IF(_xlpm.tax&gt;=_xlpm.threshold,_xlpm.tax,0)),-1)</f>
        <v>0</v>
      </c>
      <c r="AP74" s="94">
        <f>ROUNDDOWN(Table2[[#This Row],[소득세]]*10%,-1)</f>
        <v>0</v>
      </c>
      <c r="AQ74" s="94">
        <f>IF(AB74="v",AM74+IF(Y74=8,SUMIFS(Table2[지급총액],Table2[주민등록번호],O74,Table2[월],R74,Table2[월간
근무일],"&lt;="&amp;8)-AM74,0),0)+_xlfn.NUMBERVALUE(AR74)</f>
        <v>0</v>
      </c>
      <c r="AR74" s="95"/>
      <c r="AS74" s="94" cm="1">
        <f t="array" ref="AS74">ROUNDDOWN($AQ74*_xlfn.XLOOKUP(1,(AS$5=Table8[Type])*($D74&lt;=Table8[End]),Table8[요율],0,0),0)</f>
        <v>0</v>
      </c>
      <c r="AT74" s="94" cm="1">
        <f t="array" ref="AT74">ROUNDDOWN(AS74*_xlfn.XLOOKUP(1,(AT$5=Table8[Type])*($D74&lt;=Table8[End]),Table8[요율],0,0),-1)</f>
        <v>0</v>
      </c>
      <c r="AU74" s="94" cm="1">
        <f t="array" ref="AU74">ROUNDDOWN($AQ74*_xlfn.XLOOKUP(1,(AU$5=Table8[Type])*($D74&lt;=Table8[End]),Table8[요율],0,0),-1)</f>
        <v>0</v>
      </c>
      <c r="AV74" s="94" cm="1">
        <f t="array" ref="AV74">ROUNDDOWN(AM74*_xlfn.XLOOKUP(1,(AV$5=Table8[Type])*($D74&lt;=Table8[End]),Table8[요율],0,0),-1)</f>
        <v>0</v>
      </c>
      <c r="AW74" s="94" cm="1">
        <f t="array" ref="AW74">_xlfn.XLOOKUP(1,(O74=Table2[주민등록번호])*(D74&gt;Table2[근무일자]),Table2[청구 Claim 
이월],0,0,-1)</f>
        <v>0</v>
      </c>
      <c r="AX74" s="95"/>
      <c r="AY74" s="94" cm="1">
        <f t="array" ref="AY74">MAX(SUM(AO74:AP74,AS74:AX74)-_xlfn.XLOOKUP(1,(D74&lt;=Table7[End])*(E74=Table7[근무처])*(F74=Table7[업무]),Table7[1일 공제 상한],0,0),0)</f>
        <v>0</v>
      </c>
      <c r="AZ74" s="94">
        <f t="shared" si="21"/>
        <v>0</v>
      </c>
      <c r="BA74" s="94">
        <f t="shared" si="22"/>
        <v>96288</v>
      </c>
      <c r="BB74" s="97">
        <f t="shared" si="23"/>
        <v>0</v>
      </c>
      <c r="BC74" s="98"/>
      <c r="BD74" s="94">
        <f t="shared" si="24"/>
        <v>0</v>
      </c>
      <c r="BE74" s="94">
        <f t="shared" si="25"/>
        <v>0</v>
      </c>
      <c r="BF74" s="94">
        <f t="shared" si="26"/>
        <v>0</v>
      </c>
      <c r="BG74" s="94">
        <f t="shared" si="27"/>
        <v>0</v>
      </c>
      <c r="BH74" s="94" cm="1">
        <f t="array" ref="BH74">ROUNDDOWN(AM74*_xlfn.XLOOKUP(1,(BH$5=Table8[Type])*($D74&lt;=Table8[End]),Table8[요율],0,0),-1)</f>
        <v>770</v>
      </c>
      <c r="BI74" s="93" t="str" cm="1">
        <f t="array" ref="BI74">_xlfn.XLOOKUP(1,(D74&lt;=Table7[End])*(E74=Table7[근무처])*(F74=Table7[업무]),Table7[지급옵션],0,0)</f>
        <v>차주 화</v>
      </c>
      <c r="BJ74" s="83">
        <f>IF(BK74&lt;&gt;"",BK74,IFERROR(D74+_xlfn.NUMBERVALUE(RIGHT(BI74,1)),D74-WEEKDAY(D74)+CHOOSE(MATCH(RIGHT(BI74),{"일","월","화","수","목","금","토"},0),8,9,10,11,12,13,14)))</f>
        <v>45727</v>
      </c>
      <c r="BK74" s="99"/>
    </row>
    <row r="75" spans="2:63" x14ac:dyDescent="0.35">
      <c r="B75" s="20" t="str" cm="1">
        <f t="array" ref="B75">_xlfn.IFS(BB75&lt;&gt;BC75,"Claim확인",N75&lt;&gt;"OK","확인필요",TRUE,"")</f>
        <v/>
      </c>
      <c r="C75" s="21" t="str">
        <f t="shared" si="14"/>
        <v>010-7X6X-X9X5110X98XX7530</v>
      </c>
      <c r="D75" s="26">
        <v>45724</v>
      </c>
      <c r="E75" s="91" t="s">
        <v>255</v>
      </c>
      <c r="F75" s="25" t="s">
        <v>258</v>
      </c>
      <c r="G75" s="27" t="s">
        <v>282</v>
      </c>
      <c r="H75" s="25" t="s">
        <v>289</v>
      </c>
      <c r="I75" s="25"/>
      <c r="J75" s="25" t="s">
        <v>290</v>
      </c>
      <c r="K75" s="28">
        <v>0.375</v>
      </c>
      <c r="L75" s="28">
        <v>0.75</v>
      </c>
      <c r="M75" s="28">
        <v>4.1666666666666664E-2</v>
      </c>
      <c r="N75" s="25" t="s">
        <v>281</v>
      </c>
      <c r="O75" s="29" t="str">
        <f>_xlfn.XLOOKUP(Table2[[#This Row],[Key]],Table1[Key],Table1[주민등록번호],"",0)</f>
        <v>990XX62XX3X13</v>
      </c>
      <c r="P75" s="29">
        <f>_xlfn.XLOOKUP(Table2[[#This Row],[Key]],Table1[Key],Table1[비자],"",0)</f>
        <v>0</v>
      </c>
      <c r="Q75" s="29">
        <f>IF(P75=0,0,_xlfn.XLOOKUP(Table2[[#This Row],[Key]],Table1[Key],Table1[고용보험 여부],0,0))</f>
        <v>0</v>
      </c>
      <c r="R75" s="29" t="str">
        <f t="shared" si="15"/>
        <v>2503</v>
      </c>
      <c r="S75" s="30" t="str">
        <f>YEAR(Table2[[#This Row],[근무일자]])&amp;TEXT(WEEKNUM(Table2[[#This Row],[근무일자]]),"00")</f>
        <v>202510</v>
      </c>
      <c r="T75" s="31">
        <f>_xlfn.XLOOKUP(Table2[[#This Row],[Key]],Table1[Key],Table1[등록일],"",0)</f>
        <v>45696</v>
      </c>
      <c r="U75" s="32">
        <f t="shared" si="16"/>
        <v>0.33333333333333331</v>
      </c>
      <c r="V75" s="92">
        <f t="shared" si="17"/>
        <v>0</v>
      </c>
      <c r="W75" s="100" t="str">
        <f>_xlfn.XLOOKUP(Table2[[#This Row],[근무일자]],Table3[Date],Table3[Holiday],"",0)</f>
        <v/>
      </c>
      <c r="X75" s="93">
        <f>IF(D75&lt;&gt;"",1,0)+IF(COUNTIFS(Table2[주민등록번호],O75,Table2[월],TEXT(EOMONTH(D75,-1),"YYMM"))&gt;0,1+IF(COUNTIFS(Table2[주민등록번호],O75,Table2[월],TEXT(EOMONTH(D75,-2),"YYMM"))&gt;0,1+IF(COUNTIFS(Table2[주민등록번호],O75,Table2[월],TEXT(EOMONTH(D75,-3),"YYMM"))&gt;0,1,0),0),0)</f>
        <v>2</v>
      </c>
      <c r="Y75" s="29">
        <f>COUNTIFS(Table2[주민등록번호],O75,Table2[월],R75,Table2[근무일자],"&lt;="&amp;D75)</f>
        <v>4</v>
      </c>
      <c r="Z75" s="29">
        <f>COUNTIFS(Table2[주민등록번호],O75,Table2[주간],S75,Table2[근무일자],"&lt;="&amp;D75)</f>
        <v>3</v>
      </c>
      <c r="AA75" s="29">
        <f>SUMIFS(Table2[근로
시간],Table2[주민등록번호],O75,Table2[주간],S75,Table2[근무일자],"&lt;="&amp;D75)*24</f>
        <v>24</v>
      </c>
      <c r="AB75" s="29" t="str">
        <f>IF(AND(Y75&gt;=8,COUNTIFS(Table2[주민등록번호],O75,Table2[근무일자],"&gt;="&amp;EOMONTH(D75,-2)+1,Table2[근무일자],"&lt;="&amp;EOMONTH(D75,-1)+1)&gt;0),"V","")</f>
        <v/>
      </c>
      <c r="AC75" s="94" cm="1">
        <f t="array" ref="AC75">IF(AD75&lt;&gt;"",AD75,_xlfn.XLOOKUP(1,(D75&lt;=Table7[End])*(E75=Table7[근무처])*(F75=Table7[업무]),Table7[시급],0,0))</f>
        <v>10680</v>
      </c>
      <c r="AD75" s="95"/>
      <c r="AE75" s="94">
        <f t="shared" si="18"/>
        <v>85440</v>
      </c>
      <c r="AF75" s="96" cm="1">
        <f t="array" ref="AF75">IF(AND(AA75&gt;=15,(AA75-U75*24)&lt;=40),IF(Z75&gt;=_xlfn.XLOOKUP(1,(D75&lt;=Table7[End])*(E75=Table7[근무처])*(F75=Table7[업무]),Table7[주휴적용일],0,0),1,0)+_xlfn.XLOOKUP(1,(Table2[주간]=Table2[[#This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75" s="96" cm="1">
        <f t="array" ref="AG75">MAX((_xlfn.IFS(AF75=0,0,AF75=1,AA75,AF75&gt;1,U75*24)-IF(AA75&gt;40,AA75-40,0))/5,0)</f>
        <v>1.6</v>
      </c>
      <c r="AH75" s="94">
        <f t="shared" si="19"/>
        <v>17088</v>
      </c>
      <c r="AI75" s="33" cm="1">
        <f t="array" ref="AI75">IF(W75="",0,ROUND(AC75*U75*24*_xlfn.XLOOKUP(1,(D75&lt;=Table7[End])*(E75=Table7[근무처])*(F75=Table7[업무]),Table7[휴일인센티브],0,0),0))</f>
        <v>0</v>
      </c>
      <c r="AJ75" s="94" cm="1">
        <f t="array" ref="AJ75">ROUND(AC75*IF(U75&gt;=8/24,U75-8/24,0)*24*_xlfn.XLOOKUP(1,(D75&lt;=Table7[End])*(E75=Table7[근무처])*(F75=Table7[업무]),Table7[야간인센티브],0,0),0)</f>
        <v>0</v>
      </c>
      <c r="AK75" s="94" cm="1">
        <f t="array" ref="AK75">IF(V75=0,0,ROUND(AC75*V75*24*_xlfn.XLOOKUP(1,(D75&lt;=Table7[End])*(E75=Table7[근무처])*(F75=Table7[업무]),Table7[야간인센티브],0,0),0))</f>
        <v>0</v>
      </c>
      <c r="AL75" s="95"/>
      <c r="AM75" s="94">
        <f t="shared" si="20"/>
        <v>102528</v>
      </c>
      <c r="AN75" s="94" cm="1">
        <f t="array" ref="AN75">IF(AM75&gt;=_xlfn.XLOOKUP(TRUE,D75&lt;=Table5[End],Table5[비과세소득기준],0,0),AM75-_xlfn.XLOOKUP(TRUE,D75&lt;=Table5[End],Table5[비과세소득기준],0,0),0)</f>
        <v>0</v>
      </c>
      <c r="AO75" s="94" cm="1">
        <f t="array" ref="AO75">ROUNDDOWN(_xlfn.LET(_xlpm.setvalue,_xlfn.XLOOKUP(TRUE,D75&lt;=Table5[End],Table5[[요율]:[근로소득세액공제]],0,0),_xlpm.tax,AN75*PRODUCT((_xlpm.setvalue-{0,1})*{1,-1}),_xlpm.threshold,_xlfn.XLOOKUP(TRUE,D75&lt;=Table5[End],Table5[소액부징수기준],0,0),IF(_xlpm.tax&gt;=_xlpm.threshold,_xlpm.tax,0)),-1)</f>
        <v>0</v>
      </c>
      <c r="AP75" s="94">
        <f>ROUNDDOWN(Table2[[#This Row],[소득세]]*10%,-1)</f>
        <v>0</v>
      </c>
      <c r="AQ75" s="94">
        <f>IF(AB75="v",AM75+IF(Y75=8,SUMIFS(Table2[지급총액],Table2[주민등록번호],O75,Table2[월],R75,Table2[월간
근무일],"&lt;="&amp;8)-AM75,0),0)+_xlfn.NUMBERVALUE(AR75)</f>
        <v>0</v>
      </c>
      <c r="AR75" s="95"/>
      <c r="AS75" s="94" cm="1">
        <f t="array" ref="AS75">ROUNDDOWN($AQ75*_xlfn.XLOOKUP(1,(AS$5=Table8[Type])*($D75&lt;=Table8[End]),Table8[요율],0,0),0)</f>
        <v>0</v>
      </c>
      <c r="AT75" s="94" cm="1">
        <f t="array" ref="AT75">ROUNDDOWN(AS75*_xlfn.XLOOKUP(1,(AT$5=Table8[Type])*($D75&lt;=Table8[End]),Table8[요율],0,0),-1)</f>
        <v>0</v>
      </c>
      <c r="AU75" s="94" cm="1">
        <f t="array" ref="AU75">ROUNDDOWN($AQ75*_xlfn.XLOOKUP(1,(AU$5=Table8[Type])*($D75&lt;=Table8[End]),Table8[요율],0,0),-1)</f>
        <v>0</v>
      </c>
      <c r="AV75" s="94" cm="1">
        <f t="array" ref="AV75">ROUNDDOWN(AM75*_xlfn.XLOOKUP(1,(AV$5=Table8[Type])*($D75&lt;=Table8[End]),Table8[요율],0,0),-1)</f>
        <v>0</v>
      </c>
      <c r="AW75" s="94" cm="1">
        <f t="array" ref="AW75">_xlfn.XLOOKUP(1,(O75=Table2[주민등록번호])*(D75&gt;Table2[근무일자]),Table2[청구 Claim 
이월],0,0,-1)</f>
        <v>0</v>
      </c>
      <c r="AX75" s="95"/>
      <c r="AY75" s="94" cm="1">
        <f t="array" ref="AY75">MAX(SUM(AO75:AP75,AS75:AX75)-_xlfn.XLOOKUP(1,(D75&lt;=Table7[End])*(E75=Table7[근무처])*(F75=Table7[업무]),Table7[1일 공제 상한],0,0),0)</f>
        <v>0</v>
      </c>
      <c r="AZ75" s="94">
        <f t="shared" si="21"/>
        <v>0</v>
      </c>
      <c r="BA75" s="94">
        <f t="shared" si="22"/>
        <v>102528</v>
      </c>
      <c r="BB75" s="97">
        <f t="shared" si="23"/>
        <v>0</v>
      </c>
      <c r="BC75" s="98"/>
      <c r="BD75" s="94">
        <f t="shared" si="24"/>
        <v>0</v>
      </c>
      <c r="BE75" s="94">
        <f t="shared" si="25"/>
        <v>0</v>
      </c>
      <c r="BF75" s="94">
        <f t="shared" si="26"/>
        <v>0</v>
      </c>
      <c r="BG75" s="94">
        <f t="shared" si="27"/>
        <v>0</v>
      </c>
      <c r="BH75" s="94" cm="1">
        <f t="array" ref="BH75">ROUNDDOWN(AM75*_xlfn.XLOOKUP(1,(BH$5=Table8[Type])*($D75&lt;=Table8[End]),Table8[요율],0,0),-1)</f>
        <v>820</v>
      </c>
      <c r="BI75" s="93" t="str" cm="1">
        <f t="array" ref="BI75">_xlfn.XLOOKUP(1,(D75&lt;=Table7[End])*(E75=Table7[근무처])*(F75=Table7[업무]),Table7[지급옵션],0,0)</f>
        <v>차주 화</v>
      </c>
      <c r="BJ75" s="83">
        <f>IF(BK75&lt;&gt;"",BK75,IFERROR(D75+_xlfn.NUMBERVALUE(RIGHT(BI75,1)),D75-WEEKDAY(D75)+CHOOSE(MATCH(RIGHT(BI75),{"일","월","화","수","목","금","토"},0),8,9,10,11,12,13,14)))</f>
        <v>45727</v>
      </c>
      <c r="BK75" s="99"/>
    </row>
    <row r="76" spans="2:63" x14ac:dyDescent="0.35">
      <c r="B76" s="20" t="str" cm="1">
        <f t="array" ref="B76">_xlfn.IFS(BB76&lt;&gt;BC76,"Claim확인",N76&lt;&gt;"OK","확인필요",TRUE,"")</f>
        <v/>
      </c>
      <c r="C76" s="21" t="str">
        <f t="shared" si="14"/>
        <v>010-8X0X-X0X9982X03XX901018</v>
      </c>
      <c r="D76" s="26">
        <v>45724</v>
      </c>
      <c r="E76" s="91" t="s">
        <v>255</v>
      </c>
      <c r="F76" s="25" t="s">
        <v>258</v>
      </c>
      <c r="G76" s="27" t="s">
        <v>283</v>
      </c>
      <c r="H76" s="25" t="s">
        <v>291</v>
      </c>
      <c r="I76" s="25"/>
      <c r="J76" s="25" t="s">
        <v>292</v>
      </c>
      <c r="K76" s="28">
        <v>0.375</v>
      </c>
      <c r="L76" s="28">
        <v>0.75</v>
      </c>
      <c r="M76" s="28">
        <v>4.1666666666666664E-2</v>
      </c>
      <c r="N76" s="25" t="s">
        <v>281</v>
      </c>
      <c r="O76" s="29" t="str">
        <f>_xlfn.XLOOKUP(Table2[[#This Row],[Key]],Table1[Key],Table1[주민등록번호],"",0)</f>
        <v>960XX51XX9X15</v>
      </c>
      <c r="P76" s="29">
        <f>_xlfn.XLOOKUP(Table2[[#This Row],[Key]],Table1[Key],Table1[비자],"",0)</f>
        <v>0</v>
      </c>
      <c r="Q76" s="29">
        <f>IF(P76=0,0,_xlfn.XLOOKUP(Table2[[#This Row],[Key]],Table1[Key],Table1[고용보험 여부],0,0))</f>
        <v>0</v>
      </c>
      <c r="R76" s="29" t="str">
        <f t="shared" si="15"/>
        <v>2503</v>
      </c>
      <c r="S76" s="30" t="str">
        <f>YEAR(Table2[[#This Row],[근무일자]])&amp;TEXT(WEEKNUM(Table2[[#This Row],[근무일자]]),"00")</f>
        <v>202510</v>
      </c>
      <c r="T76" s="31">
        <f>_xlfn.XLOOKUP(Table2[[#This Row],[Key]],Table1[Key],Table1[등록일],"",0)</f>
        <v>45698</v>
      </c>
      <c r="U76" s="32">
        <f t="shared" si="16"/>
        <v>0.33333333333333331</v>
      </c>
      <c r="V76" s="92">
        <f t="shared" si="17"/>
        <v>0</v>
      </c>
      <c r="W76" s="100" t="str">
        <f>_xlfn.XLOOKUP(Table2[[#This Row],[근무일자]],Table3[Date],Table3[Holiday],"",0)</f>
        <v/>
      </c>
      <c r="X76" s="93">
        <f>IF(D76&lt;&gt;"",1,0)+IF(COUNTIFS(Table2[주민등록번호],O76,Table2[월],TEXT(EOMONTH(D76,-1),"YYMM"))&gt;0,1+IF(COUNTIFS(Table2[주민등록번호],O76,Table2[월],TEXT(EOMONTH(D76,-2),"YYMM"))&gt;0,1+IF(COUNTIFS(Table2[주민등록번호],O76,Table2[월],TEXT(EOMONTH(D76,-3),"YYMM"))&gt;0,1,0),0),0)</f>
        <v>2</v>
      </c>
      <c r="Y76" s="29">
        <f>COUNTIFS(Table2[주민등록번호],O76,Table2[월],R76,Table2[근무일자],"&lt;="&amp;D76)</f>
        <v>6</v>
      </c>
      <c r="Z76" s="29">
        <f>COUNTIFS(Table2[주민등록번호],O76,Table2[주간],S76,Table2[근무일자],"&lt;="&amp;D76)</f>
        <v>5</v>
      </c>
      <c r="AA76" s="29">
        <f>SUMIFS(Table2[근로
시간],Table2[주민등록번호],O76,Table2[주간],S76,Table2[근무일자],"&lt;="&amp;D76)*24</f>
        <v>40</v>
      </c>
      <c r="AB76" s="29" t="str">
        <f>IF(AND(Y76&gt;=8,COUNTIFS(Table2[주민등록번호],O76,Table2[근무일자],"&gt;="&amp;EOMONTH(D76,-2)+1,Table2[근무일자],"&lt;="&amp;EOMONTH(D76,-1)+1)&gt;0),"V","")</f>
        <v/>
      </c>
      <c r="AC76" s="94" cm="1">
        <f t="array" ref="AC76">IF(AD76&lt;&gt;"",AD76,_xlfn.XLOOKUP(1,(D76&lt;=Table7[End])*(E76=Table7[근무처])*(F76=Table7[업무]),Table7[시급],0,0))</f>
        <v>10680</v>
      </c>
      <c r="AD76" s="95"/>
      <c r="AE76" s="94">
        <f t="shared" si="18"/>
        <v>85440</v>
      </c>
      <c r="AF76" s="96" cm="1">
        <f t="array" ref="AF76">IF(AND(AA76&gt;=15,(AA76-U76*24)&lt;=40),IF(Z76&gt;=_xlfn.XLOOKUP(1,(D76&lt;=Table7[End])*(E76=Table7[근무처])*(F76=Table7[업무]),Table7[주휴적용일],0,0),1,0)+_xlfn.XLOOKUP(1,(Table2[주간]=Table2[[#This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76" s="96" cm="1">
        <f t="array" ref="AG76">MAX((_xlfn.IFS(AF76=0,0,AF76=1,AA76,AF76&gt;1,U76*24)-IF(AA76&gt;40,AA76-40,0))/5,0)</f>
        <v>1.6</v>
      </c>
      <c r="AH76" s="94">
        <f t="shared" si="19"/>
        <v>17088</v>
      </c>
      <c r="AI76" s="33" cm="1">
        <f t="array" ref="AI76">IF(W76="",0,ROUND(AC76*U76*24*_xlfn.XLOOKUP(1,(D76&lt;=Table7[End])*(E76=Table7[근무처])*(F76=Table7[업무]),Table7[휴일인센티브],0,0),0))</f>
        <v>0</v>
      </c>
      <c r="AJ76" s="94" cm="1">
        <f t="array" ref="AJ76">ROUND(AC76*IF(U76&gt;=8/24,U76-8/24,0)*24*_xlfn.XLOOKUP(1,(D76&lt;=Table7[End])*(E76=Table7[근무처])*(F76=Table7[업무]),Table7[야간인센티브],0,0),0)</f>
        <v>0</v>
      </c>
      <c r="AK76" s="94" cm="1">
        <f t="array" ref="AK76">IF(V76=0,0,ROUND(AC76*V76*24*_xlfn.XLOOKUP(1,(D76&lt;=Table7[End])*(E76=Table7[근무처])*(F76=Table7[업무]),Table7[야간인센티브],0,0),0))</f>
        <v>0</v>
      </c>
      <c r="AL76" s="95"/>
      <c r="AM76" s="94">
        <f t="shared" si="20"/>
        <v>102528</v>
      </c>
      <c r="AN76" s="94" cm="1">
        <f t="array" ref="AN76">IF(AM76&gt;=_xlfn.XLOOKUP(TRUE,D76&lt;=Table5[End],Table5[비과세소득기준],0,0),AM76-_xlfn.XLOOKUP(TRUE,D76&lt;=Table5[End],Table5[비과세소득기준],0,0),0)</f>
        <v>0</v>
      </c>
      <c r="AO76" s="94" cm="1">
        <f t="array" ref="AO76">ROUNDDOWN(_xlfn.LET(_xlpm.setvalue,_xlfn.XLOOKUP(TRUE,D76&lt;=Table5[End],Table5[[요율]:[근로소득세액공제]],0,0),_xlpm.tax,AN76*PRODUCT((_xlpm.setvalue-{0,1})*{1,-1}),_xlpm.threshold,_xlfn.XLOOKUP(TRUE,D76&lt;=Table5[End],Table5[소액부징수기준],0,0),IF(_xlpm.tax&gt;=_xlpm.threshold,_xlpm.tax,0)),-1)</f>
        <v>0</v>
      </c>
      <c r="AP76" s="94">
        <f>ROUNDDOWN(Table2[[#This Row],[소득세]]*10%,-1)</f>
        <v>0</v>
      </c>
      <c r="AQ76" s="94">
        <f>IF(AB76="v",AM76+IF(Y76=8,SUMIFS(Table2[지급총액],Table2[주민등록번호],O76,Table2[월],R76,Table2[월간
근무일],"&lt;="&amp;8)-AM76,0),0)+_xlfn.NUMBERVALUE(AR76)</f>
        <v>0</v>
      </c>
      <c r="AR76" s="95"/>
      <c r="AS76" s="94" cm="1">
        <f t="array" ref="AS76">ROUNDDOWN($AQ76*_xlfn.XLOOKUP(1,(AS$5=Table8[Type])*($D76&lt;=Table8[End]),Table8[요율],0,0),0)</f>
        <v>0</v>
      </c>
      <c r="AT76" s="94" cm="1">
        <f t="array" ref="AT76">ROUNDDOWN(AS76*_xlfn.XLOOKUP(1,(AT$5=Table8[Type])*($D76&lt;=Table8[End]),Table8[요율],0,0),-1)</f>
        <v>0</v>
      </c>
      <c r="AU76" s="94" cm="1">
        <f t="array" ref="AU76">ROUNDDOWN($AQ76*_xlfn.XLOOKUP(1,(AU$5=Table8[Type])*($D76&lt;=Table8[End]),Table8[요율],0,0),-1)</f>
        <v>0</v>
      </c>
      <c r="AV76" s="94" cm="1">
        <f t="array" ref="AV76">ROUNDDOWN(AM76*_xlfn.XLOOKUP(1,(AV$5=Table8[Type])*($D76&lt;=Table8[End]),Table8[요율],0,0),-1)</f>
        <v>0</v>
      </c>
      <c r="AW76" s="94" cm="1">
        <f t="array" ref="AW76">_xlfn.XLOOKUP(1,(O76=Table2[주민등록번호])*(D76&gt;Table2[근무일자]),Table2[청구 Claim 
이월],0,0,-1)</f>
        <v>0</v>
      </c>
      <c r="AX76" s="95"/>
      <c r="AY76" s="94" cm="1">
        <f t="array" ref="AY76">MAX(SUM(AO76:AP76,AS76:AX76)-_xlfn.XLOOKUP(1,(D76&lt;=Table7[End])*(E76=Table7[근무처])*(F76=Table7[업무]),Table7[1일 공제 상한],0,0),0)</f>
        <v>0</v>
      </c>
      <c r="AZ76" s="94">
        <f t="shared" si="21"/>
        <v>0</v>
      </c>
      <c r="BA76" s="94">
        <f t="shared" si="22"/>
        <v>102528</v>
      </c>
      <c r="BB76" s="97">
        <f t="shared" si="23"/>
        <v>0</v>
      </c>
      <c r="BC76" s="98"/>
      <c r="BD76" s="94">
        <f t="shared" si="24"/>
        <v>0</v>
      </c>
      <c r="BE76" s="94">
        <f t="shared" si="25"/>
        <v>0</v>
      </c>
      <c r="BF76" s="94">
        <f t="shared" si="26"/>
        <v>0</v>
      </c>
      <c r="BG76" s="94">
        <f t="shared" si="27"/>
        <v>0</v>
      </c>
      <c r="BH76" s="94" cm="1">
        <f t="array" ref="BH76">ROUNDDOWN(AM76*_xlfn.XLOOKUP(1,(BH$5=Table8[Type])*($D76&lt;=Table8[End]),Table8[요율],0,0),-1)</f>
        <v>820</v>
      </c>
      <c r="BI76" s="93" t="str" cm="1">
        <f t="array" ref="BI76">_xlfn.XLOOKUP(1,(D76&lt;=Table7[End])*(E76=Table7[근무처])*(F76=Table7[업무]),Table7[지급옵션],0,0)</f>
        <v>차주 화</v>
      </c>
      <c r="BJ76" s="83">
        <f>IF(BK76&lt;&gt;"",BK76,IFERROR(D76+_xlfn.NUMBERVALUE(RIGHT(BI76,1)),D76-WEEKDAY(D76)+CHOOSE(MATCH(RIGHT(BI76),{"일","월","화","수","목","금","토"},0),8,9,10,11,12,13,14)))</f>
        <v>45727</v>
      </c>
      <c r="BK76" s="99"/>
    </row>
    <row r="77" spans="2:63" x14ac:dyDescent="0.35">
      <c r="B77" s="20" t="str" cm="1">
        <f t="array" ref="B77">_xlfn.IFS(BB77&lt;&gt;BC77,"Claim확인",N77&lt;&gt;"OK","확인필요",TRUE,"")</f>
        <v/>
      </c>
      <c r="C77" s="21" t="str">
        <f t="shared" si="14"/>
        <v>010-5X8X-X4X0920X02XX253123</v>
      </c>
      <c r="D77" s="26">
        <v>45724</v>
      </c>
      <c r="E77" s="91" t="s">
        <v>255</v>
      </c>
      <c r="F77" s="25" t="s">
        <v>257</v>
      </c>
      <c r="G77" s="27" t="s">
        <v>288</v>
      </c>
      <c r="H77" s="25" t="s">
        <v>303</v>
      </c>
      <c r="I77" s="25"/>
      <c r="J77" s="25" t="s">
        <v>304</v>
      </c>
      <c r="K77" s="28">
        <v>0.4375</v>
      </c>
      <c r="L77" s="28">
        <v>0.8125</v>
      </c>
      <c r="M77" s="28">
        <v>4.1666666666666664E-2</v>
      </c>
      <c r="N77" s="25" t="s">
        <v>281</v>
      </c>
      <c r="O77" s="29" t="str">
        <f>_xlfn.XLOOKUP(Table2[[#This Row],[Key]],Table1[Key],Table1[주민등록번호],"",0)</f>
        <v>941XX31XX3X14</v>
      </c>
      <c r="P77" s="29">
        <f>_xlfn.XLOOKUP(Table2[[#This Row],[Key]],Table1[Key],Table1[비자],"",0)</f>
        <v>0</v>
      </c>
      <c r="Q77" s="29">
        <f>IF(P77=0,0,_xlfn.XLOOKUP(Table2[[#This Row],[Key]],Table1[Key],Table1[고용보험 여부],0,0))</f>
        <v>0</v>
      </c>
      <c r="R77" s="29" t="str">
        <f t="shared" si="15"/>
        <v>2503</v>
      </c>
      <c r="S77" s="30" t="str">
        <f>YEAR(Table2[[#This Row],[근무일자]])&amp;TEXT(WEEKNUM(Table2[[#This Row],[근무일자]]),"00")</f>
        <v>202510</v>
      </c>
      <c r="T77" s="31">
        <f>_xlfn.XLOOKUP(Table2[[#This Row],[Key]],Table1[Key],Table1[등록일],"",0)</f>
        <v>45846</v>
      </c>
      <c r="U77" s="32">
        <f t="shared" si="16"/>
        <v>0.33333333333333331</v>
      </c>
      <c r="V77" s="92">
        <f t="shared" si="17"/>
        <v>0</v>
      </c>
      <c r="W77" s="100" t="str">
        <f>_xlfn.XLOOKUP(Table2[[#This Row],[근무일자]],Table3[Date],Table3[Holiday],"",0)</f>
        <v/>
      </c>
      <c r="X77" s="93">
        <f>IF(D77&lt;&gt;"",1,0)+IF(COUNTIFS(Table2[주민등록번호],O77,Table2[월],TEXT(EOMONTH(D77,-1),"YYMM"))&gt;0,1+IF(COUNTIFS(Table2[주민등록번호],O77,Table2[월],TEXT(EOMONTH(D77,-2),"YYMM"))&gt;0,1+IF(COUNTIFS(Table2[주민등록번호],O77,Table2[월],TEXT(EOMONTH(D77,-3),"YYMM"))&gt;0,1,0),0),0)</f>
        <v>2</v>
      </c>
      <c r="Y77" s="29">
        <f>COUNTIFS(Table2[주민등록번호],O77,Table2[월],R77,Table2[근무일자],"&lt;="&amp;D77)</f>
        <v>5</v>
      </c>
      <c r="Z77" s="29">
        <f>COUNTIFS(Table2[주민등록번호],O77,Table2[주간],S77,Table2[근무일자],"&lt;="&amp;D77)</f>
        <v>4</v>
      </c>
      <c r="AA77" s="29">
        <f>SUMIFS(Table2[근로
시간],Table2[주민등록번호],O77,Table2[주간],S77,Table2[근무일자],"&lt;="&amp;D77)*24</f>
        <v>32</v>
      </c>
      <c r="AB77" s="29" t="str">
        <f>IF(AND(Y77&gt;=8,COUNTIFS(Table2[주민등록번호],O77,Table2[근무일자],"&gt;="&amp;EOMONTH(D77,-2)+1,Table2[근무일자],"&lt;="&amp;EOMONTH(D77,-1)+1)&gt;0),"V","")</f>
        <v/>
      </c>
      <c r="AC77" s="94" cm="1">
        <f t="array" ref="AC77">IF(AD77&lt;&gt;"",AD77,_xlfn.XLOOKUP(1,(D77&lt;=Table7[End])*(E77=Table7[근무처])*(F77=Table7[업무]),Table7[시급],0,0))</f>
        <v>10030</v>
      </c>
      <c r="AD77" s="95"/>
      <c r="AE77" s="94">
        <f t="shared" si="18"/>
        <v>80240</v>
      </c>
      <c r="AF77" s="96" cm="1">
        <f t="array" ref="AF77">IF(AND(AA77&gt;=15,(AA77-U77*24)&lt;=40),IF(Z77&gt;=_xlfn.XLOOKUP(1,(D77&lt;=Table7[End])*(E77=Table7[근무처])*(F77=Table7[업무]),Table7[주휴적용일],0,0),1,0)+_xlfn.XLOOKUP(1,(Table2[주간]=Table2[[#This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77" s="96" cm="1">
        <f t="array" ref="AG77">MAX((_xlfn.IFS(AF77=0,0,AF77=1,AA77,AF77&gt;1,U77*24)-IF(AA77&gt;40,AA77-40,0))/5,0)</f>
        <v>1.6</v>
      </c>
      <c r="AH77" s="94">
        <f t="shared" si="19"/>
        <v>16048</v>
      </c>
      <c r="AI77" s="33" cm="1">
        <f t="array" ref="AI77">IF(W77="",0,ROUND(AC77*U77*24*_xlfn.XLOOKUP(1,(D77&lt;=Table7[End])*(E77=Table7[근무처])*(F77=Table7[업무]),Table7[휴일인센티브],0,0),0))</f>
        <v>0</v>
      </c>
      <c r="AJ77" s="94" cm="1">
        <f t="array" ref="AJ77">ROUND(AC77*IF(U77&gt;=8/24,U77-8/24,0)*24*_xlfn.XLOOKUP(1,(D77&lt;=Table7[End])*(E77=Table7[근무처])*(F77=Table7[업무]),Table7[야간인센티브],0,0),0)</f>
        <v>0</v>
      </c>
      <c r="AK77" s="94" cm="1">
        <f t="array" ref="AK77">IF(V77=0,0,ROUND(AC77*V77*24*_xlfn.XLOOKUP(1,(D77&lt;=Table7[End])*(E77=Table7[근무처])*(F77=Table7[업무]),Table7[야간인센티브],0,0),0))</f>
        <v>0</v>
      </c>
      <c r="AL77" s="95"/>
      <c r="AM77" s="94">
        <f t="shared" si="20"/>
        <v>96288</v>
      </c>
      <c r="AN77" s="94" cm="1">
        <f t="array" ref="AN77">IF(AM77&gt;=_xlfn.XLOOKUP(TRUE,D77&lt;=Table5[End],Table5[비과세소득기준],0,0),AM77-_xlfn.XLOOKUP(TRUE,D77&lt;=Table5[End],Table5[비과세소득기준],0,0),0)</f>
        <v>0</v>
      </c>
      <c r="AO77" s="94" cm="1">
        <f t="array" ref="AO77">ROUNDDOWN(_xlfn.LET(_xlpm.setvalue,_xlfn.XLOOKUP(TRUE,D77&lt;=Table5[End],Table5[[요율]:[근로소득세액공제]],0,0),_xlpm.tax,AN77*PRODUCT((_xlpm.setvalue-{0,1})*{1,-1}),_xlpm.threshold,_xlfn.XLOOKUP(TRUE,D77&lt;=Table5[End],Table5[소액부징수기준],0,0),IF(_xlpm.tax&gt;=_xlpm.threshold,_xlpm.tax,0)),-1)</f>
        <v>0</v>
      </c>
      <c r="AP77" s="94">
        <f>ROUNDDOWN(Table2[[#This Row],[소득세]]*10%,-1)</f>
        <v>0</v>
      </c>
      <c r="AQ77" s="94">
        <f>IF(AB77="v",AM77+IF(Y77=8,SUMIFS(Table2[지급총액],Table2[주민등록번호],O77,Table2[월],R77,Table2[월간
근무일],"&lt;="&amp;8)-AM77,0),0)+_xlfn.NUMBERVALUE(AR77)</f>
        <v>0</v>
      </c>
      <c r="AR77" s="95"/>
      <c r="AS77" s="94" cm="1">
        <f t="array" ref="AS77">ROUNDDOWN($AQ77*_xlfn.XLOOKUP(1,(AS$5=Table8[Type])*($D77&lt;=Table8[End]),Table8[요율],0,0),0)</f>
        <v>0</v>
      </c>
      <c r="AT77" s="94" cm="1">
        <f t="array" ref="AT77">ROUNDDOWN(AS77*_xlfn.XLOOKUP(1,(AT$5=Table8[Type])*($D77&lt;=Table8[End]),Table8[요율],0,0),-1)</f>
        <v>0</v>
      </c>
      <c r="AU77" s="94" cm="1">
        <f t="array" ref="AU77">ROUNDDOWN($AQ77*_xlfn.XLOOKUP(1,(AU$5=Table8[Type])*($D77&lt;=Table8[End]),Table8[요율],0,0),-1)</f>
        <v>0</v>
      </c>
      <c r="AV77" s="94" cm="1">
        <f t="array" ref="AV77">ROUNDDOWN(AM77*_xlfn.XLOOKUP(1,(AV$5=Table8[Type])*($D77&lt;=Table8[End]),Table8[요율],0,0),-1)</f>
        <v>0</v>
      </c>
      <c r="AW77" s="94" cm="1">
        <f t="array" ref="AW77">_xlfn.XLOOKUP(1,(O77=Table2[주민등록번호])*(D77&gt;Table2[근무일자]),Table2[청구 Claim 
이월],0,0,-1)</f>
        <v>0</v>
      </c>
      <c r="AX77" s="95"/>
      <c r="AY77" s="94" cm="1">
        <f t="array" ref="AY77">MAX(SUM(AO77:AP77,AS77:AX77)-_xlfn.XLOOKUP(1,(D77&lt;=Table7[End])*(E77=Table7[근무처])*(F77=Table7[업무]),Table7[1일 공제 상한],0,0),0)</f>
        <v>0</v>
      </c>
      <c r="AZ77" s="94">
        <f t="shared" si="21"/>
        <v>0</v>
      </c>
      <c r="BA77" s="94">
        <f t="shared" si="22"/>
        <v>96288</v>
      </c>
      <c r="BB77" s="97">
        <f t="shared" si="23"/>
        <v>0</v>
      </c>
      <c r="BC77" s="98"/>
      <c r="BD77" s="94">
        <f t="shared" si="24"/>
        <v>0</v>
      </c>
      <c r="BE77" s="94">
        <f t="shared" si="25"/>
        <v>0</v>
      </c>
      <c r="BF77" s="94">
        <f t="shared" si="26"/>
        <v>0</v>
      </c>
      <c r="BG77" s="94">
        <f t="shared" si="27"/>
        <v>0</v>
      </c>
      <c r="BH77" s="94" cm="1">
        <f t="array" ref="BH77">ROUNDDOWN(AM77*_xlfn.XLOOKUP(1,(BH$5=Table8[Type])*($D77&lt;=Table8[End]),Table8[요율],0,0),-1)</f>
        <v>770</v>
      </c>
      <c r="BI77" s="93" t="str" cm="1">
        <f t="array" ref="BI77">_xlfn.XLOOKUP(1,(D77&lt;=Table7[End])*(E77=Table7[근무처])*(F77=Table7[업무]),Table7[지급옵션],0,0)</f>
        <v>차주 화</v>
      </c>
      <c r="BJ77" s="83">
        <f>IF(BK77&lt;&gt;"",BK77,IFERROR(D77+_xlfn.NUMBERVALUE(RIGHT(BI77,1)),D77-WEEKDAY(D77)+CHOOSE(MATCH(RIGHT(BI77),{"일","월","화","수","목","금","토"},0),8,9,10,11,12,13,14)))</f>
        <v>45727</v>
      </c>
      <c r="BK77" s="99"/>
    </row>
    <row r="78" spans="2:63" x14ac:dyDescent="0.35">
      <c r="B78" s="20" t="str" cm="1">
        <f t="array" ref="B78">_xlfn.IFS(BB78&lt;&gt;BC78,"Claim확인",N78&lt;&gt;"OK","확인필요",TRUE,"")</f>
        <v/>
      </c>
      <c r="C78" s="21" t="str">
        <f t="shared" si="14"/>
        <v>010-7X6X-X9X5110X98XX7530</v>
      </c>
      <c r="D78" s="26">
        <v>45725</v>
      </c>
      <c r="E78" s="91" t="s">
        <v>255</v>
      </c>
      <c r="F78" s="25" t="s">
        <v>258</v>
      </c>
      <c r="G78" s="27" t="s">
        <v>282</v>
      </c>
      <c r="H78" s="25" t="s">
        <v>289</v>
      </c>
      <c r="I78" s="25"/>
      <c r="J78" s="25" t="s">
        <v>290</v>
      </c>
      <c r="K78" s="28">
        <v>0.375</v>
      </c>
      <c r="L78" s="28">
        <v>0.75</v>
      </c>
      <c r="M78" s="28">
        <v>4.1666666666666664E-2</v>
      </c>
      <c r="N78" s="25" t="s">
        <v>281</v>
      </c>
      <c r="O78" s="29" t="str">
        <f>_xlfn.XLOOKUP(Table2[[#This Row],[Key]],Table1[Key],Table1[주민등록번호],"",0)</f>
        <v>990XX62XX3X13</v>
      </c>
      <c r="P78" s="29">
        <f>_xlfn.XLOOKUP(Table2[[#This Row],[Key]],Table1[Key],Table1[비자],"",0)</f>
        <v>0</v>
      </c>
      <c r="Q78" s="29">
        <f>IF(P78=0,0,_xlfn.XLOOKUP(Table2[[#This Row],[Key]],Table1[Key],Table1[고용보험 여부],0,0))</f>
        <v>0</v>
      </c>
      <c r="R78" s="29" t="str">
        <f t="shared" si="15"/>
        <v>2503</v>
      </c>
      <c r="S78" s="30" t="str">
        <f>YEAR(Table2[[#This Row],[근무일자]])&amp;TEXT(WEEKNUM(Table2[[#This Row],[근무일자]]),"00")</f>
        <v>202511</v>
      </c>
      <c r="T78" s="31">
        <f>_xlfn.XLOOKUP(Table2[[#This Row],[Key]],Table1[Key],Table1[등록일],"",0)</f>
        <v>45696</v>
      </c>
      <c r="U78" s="32">
        <f t="shared" si="16"/>
        <v>0.33333333333333331</v>
      </c>
      <c r="V78" s="92">
        <f t="shared" si="17"/>
        <v>0</v>
      </c>
      <c r="W78" s="100" t="str">
        <f>_xlfn.XLOOKUP(Table2[[#This Row],[근무일자]],Table3[Date],Table3[Holiday],"",0)</f>
        <v/>
      </c>
      <c r="X78" s="93">
        <f>IF(D78&lt;&gt;"",1,0)+IF(COUNTIFS(Table2[주민등록번호],O78,Table2[월],TEXT(EOMONTH(D78,-1),"YYMM"))&gt;0,1+IF(COUNTIFS(Table2[주민등록번호],O78,Table2[월],TEXT(EOMONTH(D78,-2),"YYMM"))&gt;0,1+IF(COUNTIFS(Table2[주민등록번호],O78,Table2[월],TEXT(EOMONTH(D78,-3),"YYMM"))&gt;0,1,0),0),0)</f>
        <v>2</v>
      </c>
      <c r="Y78" s="29">
        <f>COUNTIFS(Table2[주민등록번호],O78,Table2[월],R78,Table2[근무일자],"&lt;="&amp;D78)</f>
        <v>5</v>
      </c>
      <c r="Z78" s="29">
        <f>COUNTIFS(Table2[주민등록번호],O78,Table2[주간],S78,Table2[근무일자],"&lt;="&amp;D78)</f>
        <v>1</v>
      </c>
      <c r="AA78" s="29">
        <f>SUMIFS(Table2[근로
시간],Table2[주민등록번호],O78,Table2[주간],S78,Table2[근무일자],"&lt;="&amp;D78)*24</f>
        <v>8</v>
      </c>
      <c r="AB78" s="29" t="str">
        <f>IF(AND(Y78&gt;=8,COUNTIFS(Table2[주민등록번호],O78,Table2[근무일자],"&gt;="&amp;EOMONTH(D78,-2)+1,Table2[근무일자],"&lt;="&amp;EOMONTH(D78,-1)+1)&gt;0),"V","")</f>
        <v/>
      </c>
      <c r="AC78" s="94" cm="1">
        <f t="array" ref="AC78">IF(AD78&lt;&gt;"",AD78,_xlfn.XLOOKUP(1,(D78&lt;=Table7[End])*(E78=Table7[근무처])*(F78=Table7[업무]),Table7[시급],0,0))</f>
        <v>10680</v>
      </c>
      <c r="AD78" s="95"/>
      <c r="AE78" s="94">
        <f t="shared" si="18"/>
        <v>85440</v>
      </c>
      <c r="AF78" s="96" cm="1">
        <f t="array" ref="AF78">IF(AND(AA78&gt;=15,(AA78-U78*24)&lt;=40),IF(Z78&gt;=_xlfn.XLOOKUP(1,(D78&lt;=Table7[End])*(E78=Table7[근무처])*(F78=Table7[업무]),Table7[주휴적용일],0,0),1,0)+_xlfn.XLOOKUP(1,(Table2[주간]=Table2[[#This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78" s="96" cm="1">
        <f t="array" ref="AG78">MAX((_xlfn.IFS(AF78=0,0,AF78=1,AA78,AF78&gt;1,U78*24)-IF(AA78&gt;40,AA78-40,0))/5,0)</f>
        <v>0</v>
      </c>
      <c r="AH78" s="94">
        <f t="shared" si="19"/>
        <v>0</v>
      </c>
      <c r="AI78" s="33" cm="1">
        <f t="array" ref="AI78">IF(W78="",0,ROUND(AC78*U78*24*_xlfn.XLOOKUP(1,(D78&lt;=Table7[End])*(E78=Table7[근무처])*(F78=Table7[업무]),Table7[휴일인센티브],0,0),0))</f>
        <v>0</v>
      </c>
      <c r="AJ78" s="94" cm="1">
        <f t="array" ref="AJ78">ROUND(AC78*IF(U78&gt;=8/24,U78-8/24,0)*24*_xlfn.XLOOKUP(1,(D78&lt;=Table7[End])*(E78=Table7[근무처])*(F78=Table7[업무]),Table7[야간인센티브],0,0),0)</f>
        <v>0</v>
      </c>
      <c r="AK78" s="94" cm="1">
        <f t="array" ref="AK78">IF(V78=0,0,ROUND(AC78*V78*24*_xlfn.XLOOKUP(1,(D78&lt;=Table7[End])*(E78=Table7[근무처])*(F78=Table7[업무]),Table7[야간인센티브],0,0),0))</f>
        <v>0</v>
      </c>
      <c r="AL78" s="95"/>
      <c r="AM78" s="94">
        <f t="shared" si="20"/>
        <v>85440</v>
      </c>
      <c r="AN78" s="94" cm="1">
        <f t="array" ref="AN78">IF(AM78&gt;=_xlfn.XLOOKUP(TRUE,D78&lt;=Table5[End],Table5[비과세소득기준],0,0),AM78-_xlfn.XLOOKUP(TRUE,D78&lt;=Table5[End],Table5[비과세소득기준],0,0),0)</f>
        <v>0</v>
      </c>
      <c r="AO78" s="94" cm="1">
        <f t="array" ref="AO78">ROUNDDOWN(_xlfn.LET(_xlpm.setvalue,_xlfn.XLOOKUP(TRUE,D78&lt;=Table5[End],Table5[[요율]:[근로소득세액공제]],0,0),_xlpm.tax,AN78*PRODUCT((_xlpm.setvalue-{0,1})*{1,-1}),_xlpm.threshold,_xlfn.XLOOKUP(TRUE,D78&lt;=Table5[End],Table5[소액부징수기준],0,0),IF(_xlpm.tax&gt;=_xlpm.threshold,_xlpm.tax,0)),-1)</f>
        <v>0</v>
      </c>
      <c r="AP78" s="94">
        <f>ROUNDDOWN(Table2[[#This Row],[소득세]]*10%,-1)</f>
        <v>0</v>
      </c>
      <c r="AQ78" s="94">
        <f>IF(AB78="v",AM78+IF(Y78=8,SUMIFS(Table2[지급총액],Table2[주민등록번호],O78,Table2[월],R78,Table2[월간
근무일],"&lt;="&amp;8)-AM78,0),0)+_xlfn.NUMBERVALUE(AR78)</f>
        <v>0</v>
      </c>
      <c r="AR78" s="95"/>
      <c r="AS78" s="94" cm="1">
        <f t="array" ref="AS78">ROUNDDOWN($AQ78*_xlfn.XLOOKUP(1,(AS$5=Table8[Type])*($D78&lt;=Table8[End]),Table8[요율],0,0),0)</f>
        <v>0</v>
      </c>
      <c r="AT78" s="94" cm="1">
        <f t="array" ref="AT78">ROUNDDOWN(AS78*_xlfn.XLOOKUP(1,(AT$5=Table8[Type])*($D78&lt;=Table8[End]),Table8[요율],0,0),-1)</f>
        <v>0</v>
      </c>
      <c r="AU78" s="94" cm="1">
        <f t="array" ref="AU78">ROUNDDOWN($AQ78*_xlfn.XLOOKUP(1,(AU$5=Table8[Type])*($D78&lt;=Table8[End]),Table8[요율],0,0),-1)</f>
        <v>0</v>
      </c>
      <c r="AV78" s="94" cm="1">
        <f t="array" ref="AV78">ROUNDDOWN(AM78*_xlfn.XLOOKUP(1,(AV$5=Table8[Type])*($D78&lt;=Table8[End]),Table8[요율],0,0),-1)</f>
        <v>0</v>
      </c>
      <c r="AW78" s="94" cm="1">
        <f t="array" ref="AW78">_xlfn.XLOOKUP(1,(O78=Table2[주민등록번호])*(D78&gt;Table2[근무일자]),Table2[청구 Claim 
이월],0,0,-1)</f>
        <v>0</v>
      </c>
      <c r="AX78" s="95"/>
      <c r="AY78" s="94" cm="1">
        <f t="array" ref="AY78">MAX(SUM(AO78:AP78,AS78:AX78)-_xlfn.XLOOKUP(1,(D78&lt;=Table7[End])*(E78=Table7[근무처])*(F78=Table7[업무]),Table7[1일 공제 상한],0,0),0)</f>
        <v>0</v>
      </c>
      <c r="AZ78" s="94">
        <f t="shared" si="21"/>
        <v>0</v>
      </c>
      <c r="BA78" s="94">
        <f t="shared" si="22"/>
        <v>85440</v>
      </c>
      <c r="BB78" s="97">
        <f t="shared" si="23"/>
        <v>0</v>
      </c>
      <c r="BC78" s="98"/>
      <c r="BD78" s="94">
        <f t="shared" si="24"/>
        <v>0</v>
      </c>
      <c r="BE78" s="94">
        <f t="shared" si="25"/>
        <v>0</v>
      </c>
      <c r="BF78" s="94">
        <f t="shared" si="26"/>
        <v>0</v>
      </c>
      <c r="BG78" s="94">
        <f t="shared" si="27"/>
        <v>0</v>
      </c>
      <c r="BH78" s="94" cm="1">
        <f t="array" ref="BH78">ROUNDDOWN(AM78*_xlfn.XLOOKUP(1,(BH$5=Table8[Type])*($D78&lt;=Table8[End]),Table8[요율],0,0),-1)</f>
        <v>680</v>
      </c>
      <c r="BI78" s="93" t="str" cm="1">
        <f t="array" ref="BI78">_xlfn.XLOOKUP(1,(D78&lt;=Table7[End])*(E78=Table7[근무처])*(F78=Table7[업무]),Table7[지급옵션],0,0)</f>
        <v>차주 화</v>
      </c>
      <c r="BJ78" s="83">
        <f>IF(BK78&lt;&gt;"",BK78,IFERROR(D78+_xlfn.NUMBERVALUE(RIGHT(BI78,1)),D78-WEEKDAY(D78)+CHOOSE(MATCH(RIGHT(BI78),{"일","월","화","수","목","금","토"},0),8,9,10,11,12,13,14)))</f>
        <v>45734</v>
      </c>
      <c r="BK78" s="99"/>
    </row>
    <row r="79" spans="2:63" x14ac:dyDescent="0.35">
      <c r="B79" s="20" t="str" cm="1">
        <f t="array" ref="B79">_xlfn.IFS(BB79&lt;&gt;BC79,"Claim확인",N79&lt;&gt;"OK","확인필요",TRUE,"")</f>
        <v/>
      </c>
      <c r="C79" s="21" t="str">
        <f t="shared" si="14"/>
        <v>010-8X0X-X0X9982X03XX901018</v>
      </c>
      <c r="D79" s="26">
        <v>45725</v>
      </c>
      <c r="E79" s="91" t="s">
        <v>255</v>
      </c>
      <c r="F79" s="25" t="s">
        <v>258</v>
      </c>
      <c r="G79" s="27" t="s">
        <v>283</v>
      </c>
      <c r="H79" s="25" t="s">
        <v>291</v>
      </c>
      <c r="I79" s="25"/>
      <c r="J79" s="25" t="s">
        <v>292</v>
      </c>
      <c r="K79" s="28">
        <v>0.375</v>
      </c>
      <c r="L79" s="28">
        <v>0.75</v>
      </c>
      <c r="M79" s="28">
        <v>4.1666666666666664E-2</v>
      </c>
      <c r="N79" s="25" t="s">
        <v>281</v>
      </c>
      <c r="O79" s="29" t="str">
        <f>_xlfn.XLOOKUP(Table2[[#This Row],[Key]],Table1[Key],Table1[주민등록번호],"",0)</f>
        <v>960XX51XX9X15</v>
      </c>
      <c r="P79" s="29">
        <f>_xlfn.XLOOKUP(Table2[[#This Row],[Key]],Table1[Key],Table1[비자],"",0)</f>
        <v>0</v>
      </c>
      <c r="Q79" s="29">
        <f>IF(P79=0,0,_xlfn.XLOOKUP(Table2[[#This Row],[Key]],Table1[Key],Table1[고용보험 여부],0,0))</f>
        <v>0</v>
      </c>
      <c r="R79" s="29" t="str">
        <f t="shared" si="15"/>
        <v>2503</v>
      </c>
      <c r="S79" s="30" t="str">
        <f>YEAR(Table2[[#This Row],[근무일자]])&amp;TEXT(WEEKNUM(Table2[[#This Row],[근무일자]]),"00")</f>
        <v>202511</v>
      </c>
      <c r="T79" s="31">
        <f>_xlfn.XLOOKUP(Table2[[#This Row],[Key]],Table1[Key],Table1[등록일],"",0)</f>
        <v>45698</v>
      </c>
      <c r="U79" s="32">
        <f t="shared" si="16"/>
        <v>0.33333333333333331</v>
      </c>
      <c r="V79" s="92">
        <f t="shared" si="17"/>
        <v>0</v>
      </c>
      <c r="W79" s="100" t="str">
        <f>_xlfn.XLOOKUP(Table2[[#This Row],[근무일자]],Table3[Date],Table3[Holiday],"",0)</f>
        <v/>
      </c>
      <c r="X79" s="93">
        <f>IF(D79&lt;&gt;"",1,0)+IF(COUNTIFS(Table2[주민등록번호],O79,Table2[월],TEXT(EOMONTH(D79,-1),"YYMM"))&gt;0,1+IF(COUNTIFS(Table2[주민등록번호],O79,Table2[월],TEXT(EOMONTH(D79,-2),"YYMM"))&gt;0,1+IF(COUNTIFS(Table2[주민등록번호],O79,Table2[월],TEXT(EOMONTH(D79,-3),"YYMM"))&gt;0,1,0),0),0)</f>
        <v>2</v>
      </c>
      <c r="Y79" s="29">
        <f>COUNTIFS(Table2[주민등록번호],O79,Table2[월],R79,Table2[근무일자],"&lt;="&amp;D79)</f>
        <v>7</v>
      </c>
      <c r="Z79" s="29">
        <f>COUNTIFS(Table2[주민등록번호],O79,Table2[주간],S79,Table2[근무일자],"&lt;="&amp;D79)</f>
        <v>1</v>
      </c>
      <c r="AA79" s="29">
        <f>SUMIFS(Table2[근로
시간],Table2[주민등록번호],O79,Table2[주간],S79,Table2[근무일자],"&lt;="&amp;D79)*24</f>
        <v>8</v>
      </c>
      <c r="AB79" s="29" t="str">
        <f>IF(AND(Y79&gt;=8,COUNTIFS(Table2[주민등록번호],O79,Table2[근무일자],"&gt;="&amp;EOMONTH(D79,-2)+1,Table2[근무일자],"&lt;="&amp;EOMONTH(D79,-1)+1)&gt;0),"V","")</f>
        <v/>
      </c>
      <c r="AC79" s="94" cm="1">
        <f t="array" ref="AC79">IF(AD79&lt;&gt;"",AD79,_xlfn.XLOOKUP(1,(D79&lt;=Table7[End])*(E79=Table7[근무처])*(F79=Table7[업무]),Table7[시급],0,0))</f>
        <v>10680</v>
      </c>
      <c r="AD79" s="95"/>
      <c r="AE79" s="94">
        <f t="shared" si="18"/>
        <v>85440</v>
      </c>
      <c r="AF79" s="96" cm="1">
        <f t="array" ref="AF79">IF(AND(AA79&gt;=15,(AA79-U79*24)&lt;=40),IF(Z79&gt;=_xlfn.XLOOKUP(1,(D79&lt;=Table7[End])*(E79=Table7[근무처])*(F79=Table7[업무]),Table7[주휴적용일],0,0),1,0)+_xlfn.XLOOKUP(1,(Table2[주간]=Table2[[#This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79" s="96" cm="1">
        <f t="array" ref="AG79">MAX((_xlfn.IFS(AF79=0,0,AF79=1,AA79,AF79&gt;1,U79*24)-IF(AA79&gt;40,AA79-40,0))/5,0)</f>
        <v>0</v>
      </c>
      <c r="AH79" s="94">
        <f t="shared" si="19"/>
        <v>0</v>
      </c>
      <c r="AI79" s="33" cm="1">
        <f t="array" ref="AI79">IF(W79="",0,ROUND(AC79*U79*24*_xlfn.XLOOKUP(1,(D79&lt;=Table7[End])*(E79=Table7[근무처])*(F79=Table7[업무]),Table7[휴일인센티브],0,0),0))</f>
        <v>0</v>
      </c>
      <c r="AJ79" s="94" cm="1">
        <f t="array" ref="AJ79">ROUND(AC79*IF(U79&gt;=8/24,U79-8/24,0)*24*_xlfn.XLOOKUP(1,(D79&lt;=Table7[End])*(E79=Table7[근무처])*(F79=Table7[업무]),Table7[야간인센티브],0,0),0)</f>
        <v>0</v>
      </c>
      <c r="AK79" s="94" cm="1">
        <f t="array" ref="AK79">IF(V79=0,0,ROUND(AC79*V79*24*_xlfn.XLOOKUP(1,(D79&lt;=Table7[End])*(E79=Table7[근무처])*(F79=Table7[업무]),Table7[야간인센티브],0,0),0))</f>
        <v>0</v>
      </c>
      <c r="AL79" s="95"/>
      <c r="AM79" s="94">
        <f t="shared" si="20"/>
        <v>85440</v>
      </c>
      <c r="AN79" s="94" cm="1">
        <f t="array" ref="AN79">IF(AM79&gt;=_xlfn.XLOOKUP(TRUE,D79&lt;=Table5[End],Table5[비과세소득기준],0,0),AM79-_xlfn.XLOOKUP(TRUE,D79&lt;=Table5[End],Table5[비과세소득기준],0,0),0)</f>
        <v>0</v>
      </c>
      <c r="AO79" s="94" cm="1">
        <f t="array" ref="AO79">ROUNDDOWN(_xlfn.LET(_xlpm.setvalue,_xlfn.XLOOKUP(TRUE,D79&lt;=Table5[End],Table5[[요율]:[근로소득세액공제]],0,0),_xlpm.tax,AN79*PRODUCT((_xlpm.setvalue-{0,1})*{1,-1}),_xlpm.threshold,_xlfn.XLOOKUP(TRUE,D79&lt;=Table5[End],Table5[소액부징수기준],0,0),IF(_xlpm.tax&gt;=_xlpm.threshold,_xlpm.tax,0)),-1)</f>
        <v>0</v>
      </c>
      <c r="AP79" s="94">
        <f>ROUNDDOWN(Table2[[#This Row],[소득세]]*10%,-1)</f>
        <v>0</v>
      </c>
      <c r="AQ79" s="94">
        <f>IF(AB79="v",AM79+IF(Y79=8,SUMIFS(Table2[지급총액],Table2[주민등록번호],O79,Table2[월],R79,Table2[월간
근무일],"&lt;="&amp;8)-AM79,0),0)+_xlfn.NUMBERVALUE(AR79)</f>
        <v>0</v>
      </c>
      <c r="AR79" s="95"/>
      <c r="AS79" s="94" cm="1">
        <f t="array" ref="AS79">ROUNDDOWN($AQ79*_xlfn.XLOOKUP(1,(AS$5=Table8[Type])*($D79&lt;=Table8[End]),Table8[요율],0,0),0)</f>
        <v>0</v>
      </c>
      <c r="AT79" s="94" cm="1">
        <f t="array" ref="AT79">ROUNDDOWN(AS79*_xlfn.XLOOKUP(1,(AT$5=Table8[Type])*($D79&lt;=Table8[End]),Table8[요율],0,0),-1)</f>
        <v>0</v>
      </c>
      <c r="AU79" s="94" cm="1">
        <f t="array" ref="AU79">ROUNDDOWN($AQ79*_xlfn.XLOOKUP(1,(AU$5=Table8[Type])*($D79&lt;=Table8[End]),Table8[요율],0,0),-1)</f>
        <v>0</v>
      </c>
      <c r="AV79" s="94" cm="1">
        <f t="array" ref="AV79">ROUNDDOWN(AM79*_xlfn.XLOOKUP(1,(AV$5=Table8[Type])*($D79&lt;=Table8[End]),Table8[요율],0,0),-1)</f>
        <v>0</v>
      </c>
      <c r="AW79" s="94" cm="1">
        <f t="array" ref="AW79">_xlfn.XLOOKUP(1,(O79=Table2[주민등록번호])*(D79&gt;Table2[근무일자]),Table2[청구 Claim 
이월],0,0,-1)</f>
        <v>0</v>
      </c>
      <c r="AX79" s="95"/>
      <c r="AY79" s="94" cm="1">
        <f t="array" ref="AY79">MAX(SUM(AO79:AP79,AS79:AX79)-_xlfn.XLOOKUP(1,(D79&lt;=Table7[End])*(E79=Table7[근무처])*(F79=Table7[업무]),Table7[1일 공제 상한],0,0),0)</f>
        <v>0</v>
      </c>
      <c r="AZ79" s="94">
        <f t="shared" si="21"/>
        <v>0</v>
      </c>
      <c r="BA79" s="94">
        <f t="shared" si="22"/>
        <v>85440</v>
      </c>
      <c r="BB79" s="97">
        <f t="shared" si="23"/>
        <v>0</v>
      </c>
      <c r="BC79" s="98"/>
      <c r="BD79" s="94">
        <f t="shared" si="24"/>
        <v>0</v>
      </c>
      <c r="BE79" s="94">
        <f t="shared" si="25"/>
        <v>0</v>
      </c>
      <c r="BF79" s="94">
        <f t="shared" si="26"/>
        <v>0</v>
      </c>
      <c r="BG79" s="94">
        <f t="shared" si="27"/>
        <v>0</v>
      </c>
      <c r="BH79" s="94" cm="1">
        <f t="array" ref="BH79">ROUNDDOWN(AM79*_xlfn.XLOOKUP(1,(BH$5=Table8[Type])*($D79&lt;=Table8[End]),Table8[요율],0,0),-1)</f>
        <v>680</v>
      </c>
      <c r="BI79" s="93" t="str" cm="1">
        <f t="array" ref="BI79">_xlfn.XLOOKUP(1,(D79&lt;=Table7[End])*(E79=Table7[근무처])*(F79=Table7[업무]),Table7[지급옵션],0,0)</f>
        <v>차주 화</v>
      </c>
      <c r="BJ79" s="83">
        <f>IF(BK79&lt;&gt;"",BK79,IFERROR(D79+_xlfn.NUMBERVALUE(RIGHT(BI79,1)),D79-WEEKDAY(D79)+CHOOSE(MATCH(RIGHT(BI79),{"일","월","화","수","목","금","토"},0),8,9,10,11,12,13,14)))</f>
        <v>45734</v>
      </c>
      <c r="BK79" s="99"/>
    </row>
    <row r="80" spans="2:63" x14ac:dyDescent="0.35">
      <c r="B80" s="20" t="str" cm="1">
        <f t="array" ref="B80">_xlfn.IFS(BB80&lt;&gt;BC80,"Claim확인",N80&lt;&gt;"OK","확인필요",TRUE,"")</f>
        <v/>
      </c>
      <c r="C80" s="21" t="str">
        <f t="shared" si="14"/>
        <v>010-5X8X-X4X0920X02XX253123</v>
      </c>
      <c r="D80" s="26">
        <v>45725</v>
      </c>
      <c r="E80" s="91" t="s">
        <v>255</v>
      </c>
      <c r="F80" s="25" t="s">
        <v>257</v>
      </c>
      <c r="G80" s="27" t="s">
        <v>288</v>
      </c>
      <c r="H80" s="25" t="s">
        <v>303</v>
      </c>
      <c r="I80" s="25"/>
      <c r="J80" s="25" t="s">
        <v>304</v>
      </c>
      <c r="K80" s="28">
        <v>0.45833333333333331</v>
      </c>
      <c r="L80" s="28">
        <v>0.83333333333333337</v>
      </c>
      <c r="M80" s="28">
        <v>4.1666666666666664E-2</v>
      </c>
      <c r="N80" s="25" t="s">
        <v>281</v>
      </c>
      <c r="O80" s="29" t="str">
        <f>_xlfn.XLOOKUP(Table2[[#This Row],[Key]],Table1[Key],Table1[주민등록번호],"",0)</f>
        <v>941XX31XX3X14</v>
      </c>
      <c r="P80" s="29">
        <f>_xlfn.XLOOKUP(Table2[[#This Row],[Key]],Table1[Key],Table1[비자],"",0)</f>
        <v>0</v>
      </c>
      <c r="Q80" s="29">
        <f>IF(P80=0,0,_xlfn.XLOOKUP(Table2[[#This Row],[Key]],Table1[Key],Table1[고용보험 여부],0,0))</f>
        <v>0</v>
      </c>
      <c r="R80" s="29" t="str">
        <f t="shared" si="15"/>
        <v>2503</v>
      </c>
      <c r="S80" s="30" t="str">
        <f>YEAR(Table2[[#This Row],[근무일자]])&amp;TEXT(WEEKNUM(Table2[[#This Row],[근무일자]]),"00")</f>
        <v>202511</v>
      </c>
      <c r="T80" s="31">
        <f>_xlfn.XLOOKUP(Table2[[#This Row],[Key]],Table1[Key],Table1[등록일],"",0)</f>
        <v>45846</v>
      </c>
      <c r="U80" s="32">
        <f t="shared" si="16"/>
        <v>0.33333333333333337</v>
      </c>
      <c r="V80" s="92">
        <f t="shared" si="17"/>
        <v>0</v>
      </c>
      <c r="W80" s="100" t="str">
        <f>_xlfn.XLOOKUP(Table2[[#This Row],[근무일자]],Table3[Date],Table3[Holiday],"",0)</f>
        <v/>
      </c>
      <c r="X80" s="93">
        <f>IF(D80&lt;&gt;"",1,0)+IF(COUNTIFS(Table2[주민등록번호],O80,Table2[월],TEXT(EOMONTH(D80,-1),"YYMM"))&gt;0,1+IF(COUNTIFS(Table2[주민등록번호],O80,Table2[월],TEXT(EOMONTH(D80,-2),"YYMM"))&gt;0,1+IF(COUNTIFS(Table2[주민등록번호],O80,Table2[월],TEXT(EOMONTH(D80,-3),"YYMM"))&gt;0,1,0),0),0)</f>
        <v>2</v>
      </c>
      <c r="Y80" s="29">
        <f>COUNTIFS(Table2[주민등록번호],O80,Table2[월],R80,Table2[근무일자],"&lt;="&amp;D80)</f>
        <v>6</v>
      </c>
      <c r="Z80" s="29">
        <f>COUNTIFS(Table2[주민등록번호],O80,Table2[주간],S80,Table2[근무일자],"&lt;="&amp;D80)</f>
        <v>1</v>
      </c>
      <c r="AA80" s="29">
        <f>SUMIFS(Table2[근로
시간],Table2[주민등록번호],O80,Table2[주간],S80,Table2[근무일자],"&lt;="&amp;D80)*24</f>
        <v>8</v>
      </c>
      <c r="AB80" s="29" t="str">
        <f>IF(AND(Y80&gt;=8,COUNTIFS(Table2[주민등록번호],O80,Table2[근무일자],"&gt;="&amp;EOMONTH(D80,-2)+1,Table2[근무일자],"&lt;="&amp;EOMONTH(D80,-1)+1)&gt;0),"V","")</f>
        <v/>
      </c>
      <c r="AC80" s="94" cm="1">
        <f t="array" ref="AC80">IF(AD80&lt;&gt;"",AD80,_xlfn.XLOOKUP(1,(D80&lt;=Table7[End])*(E80=Table7[근무처])*(F80=Table7[업무]),Table7[시급],0,0))</f>
        <v>10030</v>
      </c>
      <c r="AD80" s="95"/>
      <c r="AE80" s="94">
        <f t="shared" si="18"/>
        <v>80240</v>
      </c>
      <c r="AF80" s="96" cm="1">
        <f t="array" ref="AF80">IF(AND(AA80&gt;=15,(AA80-U80*24)&lt;=40),IF(Z80&gt;=_xlfn.XLOOKUP(1,(D80&lt;=Table7[End])*(E80=Table7[근무처])*(F80=Table7[업무]),Table7[주휴적용일],0,0),1,0)+_xlfn.XLOOKUP(1,(Table2[주간]=Table2[[#This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80" s="96" cm="1">
        <f t="array" ref="AG80">MAX((_xlfn.IFS(AF80=0,0,AF80=1,AA80,AF80&gt;1,U80*24)-IF(AA80&gt;40,AA80-40,0))/5,0)</f>
        <v>0</v>
      </c>
      <c r="AH80" s="94">
        <f t="shared" si="19"/>
        <v>0</v>
      </c>
      <c r="AI80" s="33" cm="1">
        <f t="array" ref="AI80">IF(W80="",0,ROUND(AC80*U80*24*_xlfn.XLOOKUP(1,(D80&lt;=Table7[End])*(E80=Table7[근무처])*(F80=Table7[업무]),Table7[휴일인센티브],0,0),0))</f>
        <v>0</v>
      </c>
      <c r="AJ80" s="94" cm="1">
        <f t="array" ref="AJ80">ROUND(AC80*IF(U80&gt;=8/24,U80-8/24,0)*24*_xlfn.XLOOKUP(1,(D80&lt;=Table7[End])*(E80=Table7[근무처])*(F80=Table7[업무]),Table7[야간인센티브],0,0),0)</f>
        <v>0</v>
      </c>
      <c r="AK80" s="94" cm="1">
        <f t="array" ref="AK80">IF(V80=0,0,ROUND(AC80*V80*24*_xlfn.XLOOKUP(1,(D80&lt;=Table7[End])*(E80=Table7[근무처])*(F80=Table7[업무]),Table7[야간인센티브],0,0),0))</f>
        <v>0</v>
      </c>
      <c r="AL80" s="95"/>
      <c r="AM80" s="94">
        <f t="shared" si="20"/>
        <v>80240</v>
      </c>
      <c r="AN80" s="94" cm="1">
        <f t="array" ref="AN80">IF(AM80&gt;=_xlfn.XLOOKUP(TRUE,D80&lt;=Table5[End],Table5[비과세소득기준],0,0),AM80-_xlfn.XLOOKUP(TRUE,D80&lt;=Table5[End],Table5[비과세소득기준],0,0),0)</f>
        <v>0</v>
      </c>
      <c r="AO80" s="94" cm="1">
        <f t="array" ref="AO80">ROUNDDOWN(_xlfn.LET(_xlpm.setvalue,_xlfn.XLOOKUP(TRUE,D80&lt;=Table5[End],Table5[[요율]:[근로소득세액공제]],0,0),_xlpm.tax,AN80*PRODUCT((_xlpm.setvalue-{0,1})*{1,-1}),_xlpm.threshold,_xlfn.XLOOKUP(TRUE,D80&lt;=Table5[End],Table5[소액부징수기준],0,0),IF(_xlpm.tax&gt;=_xlpm.threshold,_xlpm.tax,0)),-1)</f>
        <v>0</v>
      </c>
      <c r="AP80" s="94">
        <f>ROUNDDOWN(Table2[[#This Row],[소득세]]*10%,-1)</f>
        <v>0</v>
      </c>
      <c r="AQ80" s="94">
        <f>IF(AB80="v",AM80+IF(Y80=8,SUMIFS(Table2[지급총액],Table2[주민등록번호],O80,Table2[월],R80,Table2[월간
근무일],"&lt;="&amp;8)-AM80,0),0)+_xlfn.NUMBERVALUE(AR80)</f>
        <v>0</v>
      </c>
      <c r="AR80" s="95"/>
      <c r="AS80" s="94" cm="1">
        <f t="array" ref="AS80">ROUNDDOWN($AQ80*_xlfn.XLOOKUP(1,(AS$5=Table8[Type])*($D80&lt;=Table8[End]),Table8[요율],0,0),0)</f>
        <v>0</v>
      </c>
      <c r="AT80" s="94" cm="1">
        <f t="array" ref="AT80">ROUNDDOWN(AS80*_xlfn.XLOOKUP(1,(AT$5=Table8[Type])*($D80&lt;=Table8[End]),Table8[요율],0,0),-1)</f>
        <v>0</v>
      </c>
      <c r="AU80" s="94" cm="1">
        <f t="array" ref="AU80">ROUNDDOWN($AQ80*_xlfn.XLOOKUP(1,(AU$5=Table8[Type])*($D80&lt;=Table8[End]),Table8[요율],0,0),-1)</f>
        <v>0</v>
      </c>
      <c r="AV80" s="94" cm="1">
        <f t="array" ref="AV80">ROUNDDOWN(AM80*_xlfn.XLOOKUP(1,(AV$5=Table8[Type])*($D80&lt;=Table8[End]),Table8[요율],0,0),-1)</f>
        <v>0</v>
      </c>
      <c r="AW80" s="94" cm="1">
        <f t="array" ref="AW80">_xlfn.XLOOKUP(1,(O80=Table2[주민등록번호])*(D80&gt;Table2[근무일자]),Table2[청구 Claim 
이월],0,0,-1)</f>
        <v>0</v>
      </c>
      <c r="AX80" s="95"/>
      <c r="AY80" s="94" cm="1">
        <f t="array" ref="AY80">MAX(SUM(AO80:AP80,AS80:AX80)-_xlfn.XLOOKUP(1,(D80&lt;=Table7[End])*(E80=Table7[근무처])*(F80=Table7[업무]),Table7[1일 공제 상한],0,0),0)</f>
        <v>0</v>
      </c>
      <c r="AZ80" s="94">
        <f t="shared" si="21"/>
        <v>0</v>
      </c>
      <c r="BA80" s="94">
        <f t="shared" si="22"/>
        <v>80240</v>
      </c>
      <c r="BB80" s="97">
        <f t="shared" si="23"/>
        <v>0</v>
      </c>
      <c r="BC80" s="98"/>
      <c r="BD80" s="94">
        <f t="shared" si="24"/>
        <v>0</v>
      </c>
      <c r="BE80" s="94">
        <f t="shared" si="25"/>
        <v>0</v>
      </c>
      <c r="BF80" s="94">
        <f t="shared" si="26"/>
        <v>0</v>
      </c>
      <c r="BG80" s="94">
        <f t="shared" si="27"/>
        <v>0</v>
      </c>
      <c r="BH80" s="94" cm="1">
        <f t="array" ref="BH80">ROUNDDOWN(AM80*_xlfn.XLOOKUP(1,(BH$5=Table8[Type])*($D80&lt;=Table8[End]),Table8[요율],0,0),-1)</f>
        <v>640</v>
      </c>
      <c r="BI80" s="93" t="str" cm="1">
        <f t="array" ref="BI80">_xlfn.XLOOKUP(1,(D80&lt;=Table7[End])*(E80=Table7[근무처])*(F80=Table7[업무]),Table7[지급옵션],0,0)</f>
        <v>차주 화</v>
      </c>
      <c r="BJ80" s="83">
        <f>IF(BK80&lt;&gt;"",BK80,IFERROR(D80+_xlfn.NUMBERVALUE(RIGHT(BI80,1)),D80-WEEKDAY(D80)+CHOOSE(MATCH(RIGHT(BI80),{"일","월","화","수","목","금","토"},0),8,9,10,11,12,13,14)))</f>
        <v>45734</v>
      </c>
      <c r="BK80" s="99"/>
    </row>
    <row r="81" spans="2:63" x14ac:dyDescent="0.35">
      <c r="B81" s="20" t="str" cm="1">
        <f t="array" ref="B81">_xlfn.IFS(BB81&lt;&gt;BC81,"Claim확인",N81&lt;&gt;"OK","확인필요",TRUE,"")</f>
        <v/>
      </c>
      <c r="C81" s="21" t="str">
        <f t="shared" si="14"/>
        <v>010-8X0X-X0X9982X03XX901018</v>
      </c>
      <c r="D81" s="26">
        <v>45726</v>
      </c>
      <c r="E81" s="91" t="s">
        <v>255</v>
      </c>
      <c r="F81" s="25" t="s">
        <v>258</v>
      </c>
      <c r="G81" s="27" t="s">
        <v>283</v>
      </c>
      <c r="H81" s="25" t="s">
        <v>291</v>
      </c>
      <c r="I81" s="25"/>
      <c r="J81" s="25" t="s">
        <v>292</v>
      </c>
      <c r="K81" s="28">
        <v>0.375</v>
      </c>
      <c r="L81" s="28">
        <v>0.75</v>
      </c>
      <c r="M81" s="28">
        <v>4.1666666666666664E-2</v>
      </c>
      <c r="N81" s="25" t="s">
        <v>281</v>
      </c>
      <c r="O81" s="29" t="str">
        <f>_xlfn.XLOOKUP(Table2[[#This Row],[Key]],Table1[Key],Table1[주민등록번호],"",0)</f>
        <v>960XX51XX9X15</v>
      </c>
      <c r="P81" s="29">
        <f>_xlfn.XLOOKUP(Table2[[#This Row],[Key]],Table1[Key],Table1[비자],"",0)</f>
        <v>0</v>
      </c>
      <c r="Q81" s="29">
        <f>IF(P81=0,0,_xlfn.XLOOKUP(Table2[[#This Row],[Key]],Table1[Key],Table1[고용보험 여부],0,0))</f>
        <v>0</v>
      </c>
      <c r="R81" s="29" t="str">
        <f t="shared" si="15"/>
        <v>2503</v>
      </c>
      <c r="S81" s="30" t="str">
        <f>YEAR(Table2[[#This Row],[근무일자]])&amp;TEXT(WEEKNUM(Table2[[#This Row],[근무일자]]),"00")</f>
        <v>202511</v>
      </c>
      <c r="T81" s="31">
        <f>_xlfn.XLOOKUP(Table2[[#This Row],[Key]],Table1[Key],Table1[등록일],"",0)</f>
        <v>45698</v>
      </c>
      <c r="U81" s="32">
        <f t="shared" si="16"/>
        <v>0.33333333333333331</v>
      </c>
      <c r="V81" s="92">
        <f t="shared" si="17"/>
        <v>0</v>
      </c>
      <c r="W81" s="100" t="str">
        <f>_xlfn.XLOOKUP(Table2[[#This Row],[근무일자]],Table3[Date],Table3[Holiday],"",0)</f>
        <v/>
      </c>
      <c r="X81" s="93">
        <f>IF(D81&lt;&gt;"",1,0)+IF(COUNTIFS(Table2[주민등록번호],O81,Table2[월],TEXT(EOMONTH(D81,-1),"YYMM"))&gt;0,1+IF(COUNTIFS(Table2[주민등록번호],O81,Table2[월],TEXT(EOMONTH(D81,-2),"YYMM"))&gt;0,1+IF(COUNTIFS(Table2[주민등록번호],O81,Table2[월],TEXT(EOMONTH(D81,-3),"YYMM"))&gt;0,1,0),0),0)</f>
        <v>2</v>
      </c>
      <c r="Y81" s="29">
        <f>COUNTIFS(Table2[주민등록번호],O81,Table2[월],R81,Table2[근무일자],"&lt;="&amp;D81)</f>
        <v>8</v>
      </c>
      <c r="Z81" s="29">
        <f>COUNTIFS(Table2[주민등록번호],O81,Table2[주간],S81,Table2[근무일자],"&lt;="&amp;D81)</f>
        <v>2</v>
      </c>
      <c r="AA81" s="29">
        <f>SUMIFS(Table2[근로
시간],Table2[주민등록번호],O81,Table2[주간],S81,Table2[근무일자],"&lt;="&amp;D81)*24</f>
        <v>16</v>
      </c>
      <c r="AB81" s="29" t="str">
        <f>IF(AND(Y81&gt;=8,COUNTIFS(Table2[주민등록번호],O81,Table2[근무일자],"&gt;="&amp;EOMONTH(D81,-2)+1,Table2[근무일자],"&lt;="&amp;EOMONTH(D81,-1)+1)&gt;0),"V","")</f>
        <v>V</v>
      </c>
      <c r="AC81" s="94" cm="1">
        <f t="array" ref="AC81">IF(AD81&lt;&gt;"",AD81,_xlfn.XLOOKUP(1,(D81&lt;=Table7[End])*(E81=Table7[근무처])*(F81=Table7[업무]),Table7[시급],0,0))</f>
        <v>10680</v>
      </c>
      <c r="AD81" s="95"/>
      <c r="AE81" s="94">
        <f t="shared" si="18"/>
        <v>85440</v>
      </c>
      <c r="AF81" s="96" cm="1">
        <f t="array" ref="AF81">IF(AND(AA81&gt;=15,(AA81-U81*24)&lt;=40),IF(Z81&gt;=_xlfn.XLOOKUP(1,(D81&lt;=Table7[End])*(E81=Table7[근무처])*(F81=Table7[업무]),Table7[주휴적용일],0,0),1,0)+_xlfn.XLOOKUP(1,(Table2[주간]=Table2[[#This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81" s="96" cm="1">
        <f t="array" ref="AG81">MAX((_xlfn.IFS(AF81=0,0,AF81=1,AA81,AF81&gt;1,U81*24)-IF(AA81&gt;40,AA81-40,0))/5,0)</f>
        <v>3.2</v>
      </c>
      <c r="AH81" s="94">
        <f t="shared" si="19"/>
        <v>34176</v>
      </c>
      <c r="AI81" s="33" cm="1">
        <f t="array" ref="AI81">IF(W81="",0,ROUND(AC81*U81*24*_xlfn.XLOOKUP(1,(D81&lt;=Table7[End])*(E81=Table7[근무처])*(F81=Table7[업무]),Table7[휴일인센티브],0,0),0))</f>
        <v>0</v>
      </c>
      <c r="AJ81" s="94" cm="1">
        <f t="array" ref="AJ81">ROUND(AC81*IF(U81&gt;=8/24,U81-8/24,0)*24*_xlfn.XLOOKUP(1,(D81&lt;=Table7[End])*(E81=Table7[근무처])*(F81=Table7[업무]),Table7[야간인센티브],0,0),0)</f>
        <v>0</v>
      </c>
      <c r="AK81" s="94" cm="1">
        <f t="array" ref="AK81">IF(V81=0,0,ROUND(AC81*V81*24*_xlfn.XLOOKUP(1,(D81&lt;=Table7[End])*(E81=Table7[근무처])*(F81=Table7[업무]),Table7[야간인센티브],0,0),0))</f>
        <v>0</v>
      </c>
      <c r="AL81" s="95"/>
      <c r="AM81" s="94">
        <f t="shared" si="20"/>
        <v>119616</v>
      </c>
      <c r="AN81" s="94" cm="1">
        <f t="array" ref="AN81">IF(AM81&gt;=_xlfn.XLOOKUP(TRUE,D81&lt;=Table5[End],Table5[비과세소득기준],0,0),AM81-_xlfn.XLOOKUP(TRUE,D81&lt;=Table5[End],Table5[비과세소득기준],0,0),0)</f>
        <v>0</v>
      </c>
      <c r="AO81" s="94" cm="1">
        <f t="array" ref="AO81">ROUNDDOWN(_xlfn.LET(_xlpm.setvalue,_xlfn.XLOOKUP(TRUE,D81&lt;=Table5[End],Table5[[요율]:[근로소득세액공제]],0,0),_xlpm.tax,AN81*PRODUCT((_xlpm.setvalue-{0,1})*{1,-1}),_xlpm.threshold,_xlfn.XLOOKUP(TRUE,D81&lt;=Table5[End],Table5[소액부징수기준],0,0),IF(_xlpm.tax&gt;=_xlpm.threshold,_xlpm.tax,0)),-1)</f>
        <v>0</v>
      </c>
      <c r="AP81" s="94">
        <f>ROUNDDOWN(Table2[[#This Row],[소득세]]*10%,-1)</f>
        <v>0</v>
      </c>
      <c r="AQ81" s="94">
        <f>IF(AB81="v",AM81+IF(Y81=8,SUMIFS(Table2[지급총액],Table2[주민등록번호],O81,Table2[월],R81,Table2[월간
근무일],"&lt;="&amp;8)-AM81,0),0)+_xlfn.NUMBERVALUE(AR81)</f>
        <v>905664</v>
      </c>
      <c r="AR81" s="95"/>
      <c r="AS81" s="94" cm="1">
        <f t="array" ref="AS81">ROUNDDOWN($AQ81*_xlfn.XLOOKUP(1,(AS$5=Table8[Type])*($D81&lt;=Table8[End]),Table8[요율],0,0),0)</f>
        <v>32105</v>
      </c>
      <c r="AT81" s="94" cm="1">
        <f t="array" ref="AT81">ROUNDDOWN(AS81*_xlfn.XLOOKUP(1,(AT$5=Table8[Type])*($D81&lt;=Table8[End]),Table8[요율],0,0),-1)</f>
        <v>4160</v>
      </c>
      <c r="AU81" s="94" cm="1">
        <f t="array" ref="AU81">ROUNDDOWN($AQ81*_xlfn.XLOOKUP(1,(AU$5=Table8[Type])*($D81&lt;=Table8[End]),Table8[요율],0,0),-1)</f>
        <v>40750</v>
      </c>
      <c r="AV81" s="94" cm="1">
        <f t="array" ref="AV81">ROUNDDOWN(AM81*_xlfn.XLOOKUP(1,(AV$5=Table8[Type])*($D81&lt;=Table8[End]),Table8[요율],0,0),-1)</f>
        <v>0</v>
      </c>
      <c r="AW81" s="94" cm="1">
        <f t="array" ref="AW81">_xlfn.XLOOKUP(1,(O81=Table2[주민등록번호])*(D81&gt;Table2[근무일자]),Table2[청구 Claim 
이월],0,0,-1)</f>
        <v>0</v>
      </c>
      <c r="AX81" s="95"/>
      <c r="AY81" s="94" cm="1">
        <f t="array" ref="AY81">MAX(SUM(AO81:AP81,AS81:AX81)-_xlfn.XLOOKUP(1,(D81&lt;=Table7[End])*(E81=Table7[근무처])*(F81=Table7[업무]),Table7[1일 공제 상한],0,0),0)</f>
        <v>0</v>
      </c>
      <c r="AZ81" s="94">
        <f t="shared" si="21"/>
        <v>77015</v>
      </c>
      <c r="BA81" s="94">
        <f t="shared" si="22"/>
        <v>42601</v>
      </c>
      <c r="BB81" s="97">
        <f t="shared" si="23"/>
        <v>0</v>
      </c>
      <c r="BC81" s="98"/>
      <c r="BD81" s="94">
        <f t="shared" si="24"/>
        <v>32105</v>
      </c>
      <c r="BE81" s="94">
        <f t="shared" si="25"/>
        <v>4160</v>
      </c>
      <c r="BF81" s="94">
        <f t="shared" si="26"/>
        <v>40750</v>
      </c>
      <c r="BG81" s="94">
        <f t="shared" si="27"/>
        <v>0</v>
      </c>
      <c r="BH81" s="94" cm="1">
        <f t="array" ref="BH81">ROUNDDOWN(AM81*_xlfn.XLOOKUP(1,(BH$5=Table8[Type])*($D81&lt;=Table8[End]),Table8[요율],0,0),-1)</f>
        <v>950</v>
      </c>
      <c r="BI81" s="93" t="str" cm="1">
        <f t="array" ref="BI81">_xlfn.XLOOKUP(1,(D81&lt;=Table7[End])*(E81=Table7[근무처])*(F81=Table7[업무]),Table7[지급옵션],0,0)</f>
        <v>차주 화</v>
      </c>
      <c r="BJ81" s="83">
        <f>IF(BK81&lt;&gt;"",BK81,IFERROR(D81+_xlfn.NUMBERVALUE(RIGHT(BI81,1)),D81-WEEKDAY(D81)+CHOOSE(MATCH(RIGHT(BI81),{"일","월","화","수","목","금","토"},0),8,9,10,11,12,13,14)))</f>
        <v>45734</v>
      </c>
      <c r="BK81" s="99"/>
    </row>
    <row r="82" spans="2:63" x14ac:dyDescent="0.35">
      <c r="B82" s="20" t="str" cm="1">
        <f t="array" ref="B82">_xlfn.IFS(BB82&lt;&gt;BC82,"Claim확인",N82&lt;&gt;"OK","확인필요",TRUE,"")</f>
        <v/>
      </c>
      <c r="C82" s="21" t="str">
        <f t="shared" si="14"/>
        <v>010-5X8X-X4X0920X02XX253123</v>
      </c>
      <c r="D82" s="26">
        <v>45726</v>
      </c>
      <c r="E82" s="91" t="s">
        <v>255</v>
      </c>
      <c r="F82" s="25" t="s">
        <v>257</v>
      </c>
      <c r="G82" s="27" t="s">
        <v>288</v>
      </c>
      <c r="H82" s="25" t="s">
        <v>303</v>
      </c>
      <c r="I82" s="25"/>
      <c r="J82" s="25" t="s">
        <v>304</v>
      </c>
      <c r="K82" s="28">
        <v>0.45833333333333331</v>
      </c>
      <c r="L82" s="28">
        <v>0.83333333333333337</v>
      </c>
      <c r="M82" s="28">
        <v>4.1666666666666664E-2</v>
      </c>
      <c r="N82" s="25" t="s">
        <v>281</v>
      </c>
      <c r="O82" s="29" t="str">
        <f>_xlfn.XLOOKUP(Table2[[#This Row],[Key]],Table1[Key],Table1[주민등록번호],"",0)</f>
        <v>941XX31XX3X14</v>
      </c>
      <c r="P82" s="29">
        <f>_xlfn.XLOOKUP(Table2[[#This Row],[Key]],Table1[Key],Table1[비자],"",0)</f>
        <v>0</v>
      </c>
      <c r="Q82" s="29">
        <f>IF(P82=0,0,_xlfn.XLOOKUP(Table2[[#This Row],[Key]],Table1[Key],Table1[고용보험 여부],0,0))</f>
        <v>0</v>
      </c>
      <c r="R82" s="29" t="str">
        <f t="shared" si="15"/>
        <v>2503</v>
      </c>
      <c r="S82" s="30" t="str">
        <f>YEAR(Table2[[#This Row],[근무일자]])&amp;TEXT(WEEKNUM(Table2[[#This Row],[근무일자]]),"00")</f>
        <v>202511</v>
      </c>
      <c r="T82" s="31">
        <f>_xlfn.XLOOKUP(Table2[[#This Row],[Key]],Table1[Key],Table1[등록일],"",0)</f>
        <v>45846</v>
      </c>
      <c r="U82" s="32">
        <f t="shared" si="16"/>
        <v>0.33333333333333337</v>
      </c>
      <c r="V82" s="92">
        <f t="shared" si="17"/>
        <v>0</v>
      </c>
      <c r="W82" s="100" t="str">
        <f>_xlfn.XLOOKUP(Table2[[#This Row],[근무일자]],Table3[Date],Table3[Holiday],"",0)</f>
        <v/>
      </c>
      <c r="X82" s="93">
        <f>IF(D82&lt;&gt;"",1,0)+IF(COUNTIFS(Table2[주민등록번호],O82,Table2[월],TEXT(EOMONTH(D82,-1),"YYMM"))&gt;0,1+IF(COUNTIFS(Table2[주민등록번호],O82,Table2[월],TEXT(EOMONTH(D82,-2),"YYMM"))&gt;0,1+IF(COUNTIFS(Table2[주민등록번호],O82,Table2[월],TEXT(EOMONTH(D82,-3),"YYMM"))&gt;0,1,0),0),0)</f>
        <v>2</v>
      </c>
      <c r="Y82" s="29">
        <f>COUNTIFS(Table2[주민등록번호],O82,Table2[월],R82,Table2[근무일자],"&lt;="&amp;D82)</f>
        <v>7</v>
      </c>
      <c r="Z82" s="29">
        <f>COUNTIFS(Table2[주민등록번호],O82,Table2[주간],S82,Table2[근무일자],"&lt;="&amp;D82)</f>
        <v>2</v>
      </c>
      <c r="AA82" s="29">
        <f>SUMIFS(Table2[근로
시간],Table2[주민등록번호],O82,Table2[주간],S82,Table2[근무일자],"&lt;="&amp;D82)*24</f>
        <v>16</v>
      </c>
      <c r="AB82" s="29" t="str">
        <f>IF(AND(Y82&gt;=8,COUNTIFS(Table2[주민등록번호],O82,Table2[근무일자],"&gt;="&amp;EOMONTH(D82,-2)+1,Table2[근무일자],"&lt;="&amp;EOMONTH(D82,-1)+1)&gt;0),"V","")</f>
        <v/>
      </c>
      <c r="AC82" s="94" cm="1">
        <f t="array" ref="AC82">IF(AD82&lt;&gt;"",AD82,_xlfn.XLOOKUP(1,(D82&lt;=Table7[End])*(E82=Table7[근무처])*(F82=Table7[업무]),Table7[시급],0,0))</f>
        <v>10030</v>
      </c>
      <c r="AD82" s="95"/>
      <c r="AE82" s="94">
        <f t="shared" si="18"/>
        <v>80240</v>
      </c>
      <c r="AF82" s="96" cm="1">
        <f t="array" ref="AF82">IF(AND(AA82&gt;=15,(AA82-U82*24)&lt;=40),IF(Z82&gt;=_xlfn.XLOOKUP(1,(D82&lt;=Table7[End])*(E82=Table7[근무처])*(F82=Table7[업무]),Table7[주휴적용일],0,0),1,0)+_xlfn.XLOOKUP(1,(Table2[주간]=Table2[[#This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82" s="96" cm="1">
        <f t="array" ref="AG82">MAX((_xlfn.IFS(AF82=0,0,AF82=1,AA82,AF82&gt;1,U82*24)-IF(AA82&gt;40,AA82-40,0))/5,0)</f>
        <v>3.2</v>
      </c>
      <c r="AH82" s="94">
        <f t="shared" si="19"/>
        <v>32096</v>
      </c>
      <c r="AI82" s="33" cm="1">
        <f t="array" ref="AI82">IF(W82="",0,ROUND(AC82*U82*24*_xlfn.XLOOKUP(1,(D82&lt;=Table7[End])*(E82=Table7[근무처])*(F82=Table7[업무]),Table7[휴일인센티브],0,0),0))</f>
        <v>0</v>
      </c>
      <c r="AJ82" s="94" cm="1">
        <f t="array" ref="AJ82">ROUND(AC82*IF(U82&gt;=8/24,U82-8/24,0)*24*_xlfn.XLOOKUP(1,(D82&lt;=Table7[End])*(E82=Table7[근무처])*(F82=Table7[업무]),Table7[야간인센티브],0,0),0)</f>
        <v>0</v>
      </c>
      <c r="AK82" s="94" cm="1">
        <f t="array" ref="AK82">IF(V82=0,0,ROUND(AC82*V82*24*_xlfn.XLOOKUP(1,(D82&lt;=Table7[End])*(E82=Table7[근무처])*(F82=Table7[업무]),Table7[야간인센티브],0,0),0))</f>
        <v>0</v>
      </c>
      <c r="AL82" s="95"/>
      <c r="AM82" s="94">
        <f t="shared" si="20"/>
        <v>112336</v>
      </c>
      <c r="AN82" s="94" cm="1">
        <f t="array" ref="AN82">IF(AM82&gt;=_xlfn.XLOOKUP(TRUE,D82&lt;=Table5[End],Table5[비과세소득기준],0,0),AM82-_xlfn.XLOOKUP(TRUE,D82&lt;=Table5[End],Table5[비과세소득기준],0,0),0)</f>
        <v>0</v>
      </c>
      <c r="AO82" s="94" cm="1">
        <f t="array" ref="AO82">ROUNDDOWN(_xlfn.LET(_xlpm.setvalue,_xlfn.XLOOKUP(TRUE,D82&lt;=Table5[End],Table5[[요율]:[근로소득세액공제]],0,0),_xlpm.tax,AN82*PRODUCT((_xlpm.setvalue-{0,1})*{1,-1}),_xlpm.threshold,_xlfn.XLOOKUP(TRUE,D82&lt;=Table5[End],Table5[소액부징수기준],0,0),IF(_xlpm.tax&gt;=_xlpm.threshold,_xlpm.tax,0)),-1)</f>
        <v>0</v>
      </c>
      <c r="AP82" s="94">
        <f>ROUNDDOWN(Table2[[#This Row],[소득세]]*10%,-1)</f>
        <v>0</v>
      </c>
      <c r="AQ82" s="94">
        <f>IF(AB82="v",AM82+IF(Y82=8,SUMIFS(Table2[지급총액],Table2[주민등록번호],O82,Table2[월],R82,Table2[월간
근무일],"&lt;="&amp;8)-AM82,0),0)+_xlfn.NUMBERVALUE(AR82)</f>
        <v>0</v>
      </c>
      <c r="AR82" s="95"/>
      <c r="AS82" s="94" cm="1">
        <f t="array" ref="AS82">ROUNDDOWN($AQ82*_xlfn.XLOOKUP(1,(AS$5=Table8[Type])*($D82&lt;=Table8[End]),Table8[요율],0,0),0)</f>
        <v>0</v>
      </c>
      <c r="AT82" s="94" cm="1">
        <f t="array" ref="AT82">ROUNDDOWN(AS82*_xlfn.XLOOKUP(1,(AT$5=Table8[Type])*($D82&lt;=Table8[End]),Table8[요율],0,0),-1)</f>
        <v>0</v>
      </c>
      <c r="AU82" s="94" cm="1">
        <f t="array" ref="AU82">ROUNDDOWN($AQ82*_xlfn.XLOOKUP(1,(AU$5=Table8[Type])*($D82&lt;=Table8[End]),Table8[요율],0,0),-1)</f>
        <v>0</v>
      </c>
      <c r="AV82" s="94" cm="1">
        <f t="array" ref="AV82">ROUNDDOWN(AM82*_xlfn.XLOOKUP(1,(AV$5=Table8[Type])*($D82&lt;=Table8[End]),Table8[요율],0,0),-1)</f>
        <v>0</v>
      </c>
      <c r="AW82" s="94" cm="1">
        <f t="array" ref="AW82">_xlfn.XLOOKUP(1,(O82=Table2[주민등록번호])*(D82&gt;Table2[근무일자]),Table2[청구 Claim 
이월],0,0,-1)</f>
        <v>0</v>
      </c>
      <c r="AX82" s="95"/>
      <c r="AY82" s="94" cm="1">
        <f t="array" ref="AY82">MAX(SUM(AO82:AP82,AS82:AX82)-_xlfn.XLOOKUP(1,(D82&lt;=Table7[End])*(E82=Table7[근무처])*(F82=Table7[업무]),Table7[1일 공제 상한],0,0),0)</f>
        <v>0</v>
      </c>
      <c r="AZ82" s="94">
        <f t="shared" si="21"/>
        <v>0</v>
      </c>
      <c r="BA82" s="94">
        <f t="shared" si="22"/>
        <v>112336</v>
      </c>
      <c r="BB82" s="97">
        <f t="shared" si="23"/>
        <v>0</v>
      </c>
      <c r="BC82" s="98"/>
      <c r="BD82" s="94">
        <f t="shared" si="24"/>
        <v>0</v>
      </c>
      <c r="BE82" s="94">
        <f t="shared" si="25"/>
        <v>0</v>
      </c>
      <c r="BF82" s="94">
        <f t="shared" si="26"/>
        <v>0</v>
      </c>
      <c r="BG82" s="94">
        <f t="shared" si="27"/>
        <v>0</v>
      </c>
      <c r="BH82" s="94" cm="1">
        <f t="array" ref="BH82">ROUNDDOWN(AM82*_xlfn.XLOOKUP(1,(BH$5=Table8[Type])*($D82&lt;=Table8[End]),Table8[요율],0,0),-1)</f>
        <v>890</v>
      </c>
      <c r="BI82" s="93" t="str" cm="1">
        <f t="array" ref="BI82">_xlfn.XLOOKUP(1,(D82&lt;=Table7[End])*(E82=Table7[근무처])*(F82=Table7[업무]),Table7[지급옵션],0,0)</f>
        <v>차주 화</v>
      </c>
      <c r="BJ82" s="83">
        <f>IF(BK82&lt;&gt;"",BK82,IFERROR(D82+_xlfn.NUMBERVALUE(RIGHT(BI82,1)),D82-WEEKDAY(D82)+CHOOSE(MATCH(RIGHT(BI82),{"일","월","화","수","목","금","토"},0),8,9,10,11,12,13,14)))</f>
        <v>45734</v>
      </c>
      <c r="BK82" s="99"/>
    </row>
    <row r="83" spans="2:63" x14ac:dyDescent="0.35">
      <c r="B83" s="20" t="str" cm="1">
        <f t="array" ref="B83">_xlfn.IFS(BB83&lt;&gt;BC83,"Claim확인",N83&lt;&gt;"OK","확인필요",TRUE,"")</f>
        <v/>
      </c>
      <c r="C83" s="21" t="str">
        <f t="shared" si="14"/>
        <v>010-8X0X-X0X9982X03XX901018</v>
      </c>
      <c r="D83" s="26">
        <v>45727</v>
      </c>
      <c r="E83" s="91" t="s">
        <v>255</v>
      </c>
      <c r="F83" s="25" t="s">
        <v>258</v>
      </c>
      <c r="G83" s="27" t="s">
        <v>283</v>
      </c>
      <c r="H83" s="25" t="s">
        <v>291</v>
      </c>
      <c r="I83" s="25"/>
      <c r="J83" s="25" t="s">
        <v>292</v>
      </c>
      <c r="K83" s="28">
        <v>0.375</v>
      </c>
      <c r="L83" s="28">
        <v>0.75</v>
      </c>
      <c r="M83" s="28">
        <v>4.1666666666666664E-2</v>
      </c>
      <c r="N83" s="25" t="s">
        <v>281</v>
      </c>
      <c r="O83" s="29" t="str">
        <f>_xlfn.XLOOKUP(Table2[[#This Row],[Key]],Table1[Key],Table1[주민등록번호],"",0)</f>
        <v>960XX51XX9X15</v>
      </c>
      <c r="P83" s="29">
        <f>_xlfn.XLOOKUP(Table2[[#This Row],[Key]],Table1[Key],Table1[비자],"",0)</f>
        <v>0</v>
      </c>
      <c r="Q83" s="29">
        <f>IF(P83=0,0,_xlfn.XLOOKUP(Table2[[#This Row],[Key]],Table1[Key],Table1[고용보험 여부],0,0))</f>
        <v>0</v>
      </c>
      <c r="R83" s="29" t="str">
        <f t="shared" si="15"/>
        <v>2503</v>
      </c>
      <c r="S83" s="30" t="str">
        <f>YEAR(Table2[[#This Row],[근무일자]])&amp;TEXT(WEEKNUM(Table2[[#This Row],[근무일자]]),"00")</f>
        <v>202511</v>
      </c>
      <c r="T83" s="31">
        <f>_xlfn.XLOOKUP(Table2[[#This Row],[Key]],Table1[Key],Table1[등록일],"",0)</f>
        <v>45698</v>
      </c>
      <c r="U83" s="32">
        <f t="shared" si="16"/>
        <v>0.33333333333333331</v>
      </c>
      <c r="V83" s="92">
        <f t="shared" si="17"/>
        <v>0</v>
      </c>
      <c r="W83" s="100" t="str">
        <f>_xlfn.XLOOKUP(Table2[[#This Row],[근무일자]],Table3[Date],Table3[Holiday],"",0)</f>
        <v/>
      </c>
      <c r="X83" s="93">
        <f>IF(D83&lt;&gt;"",1,0)+IF(COUNTIFS(Table2[주민등록번호],O83,Table2[월],TEXT(EOMONTH(D83,-1),"YYMM"))&gt;0,1+IF(COUNTIFS(Table2[주민등록번호],O83,Table2[월],TEXT(EOMONTH(D83,-2),"YYMM"))&gt;0,1+IF(COUNTIFS(Table2[주민등록번호],O83,Table2[월],TEXT(EOMONTH(D83,-3),"YYMM"))&gt;0,1,0),0),0)</f>
        <v>2</v>
      </c>
      <c r="Y83" s="29">
        <f>COUNTIFS(Table2[주민등록번호],O83,Table2[월],R83,Table2[근무일자],"&lt;="&amp;D83)</f>
        <v>9</v>
      </c>
      <c r="Z83" s="29">
        <f>COUNTIFS(Table2[주민등록번호],O83,Table2[주간],S83,Table2[근무일자],"&lt;="&amp;D83)</f>
        <v>3</v>
      </c>
      <c r="AA83" s="29">
        <f>SUMIFS(Table2[근로
시간],Table2[주민등록번호],O83,Table2[주간],S83,Table2[근무일자],"&lt;="&amp;D83)*24</f>
        <v>24</v>
      </c>
      <c r="AB83" s="29" t="str">
        <f>IF(AND(Y83&gt;=8,COUNTIFS(Table2[주민등록번호],O83,Table2[근무일자],"&gt;="&amp;EOMONTH(D83,-2)+1,Table2[근무일자],"&lt;="&amp;EOMONTH(D83,-1)+1)&gt;0),"V","")</f>
        <v>V</v>
      </c>
      <c r="AC83" s="94" cm="1">
        <f t="array" ref="AC83">IF(AD83&lt;&gt;"",AD83,_xlfn.XLOOKUP(1,(D83&lt;=Table7[End])*(E83=Table7[근무처])*(F83=Table7[업무]),Table7[시급],0,0))</f>
        <v>10680</v>
      </c>
      <c r="AD83" s="95"/>
      <c r="AE83" s="94">
        <f t="shared" si="18"/>
        <v>85440</v>
      </c>
      <c r="AF83" s="96" cm="1">
        <f t="array" ref="AF83">IF(AND(AA83&gt;=15,(AA83-U83*24)&lt;=40),IF(Z83&gt;=_xlfn.XLOOKUP(1,(D83&lt;=Table7[End])*(E83=Table7[근무처])*(F83=Table7[업무]),Table7[주휴적용일],0,0),1,0)+_xlfn.XLOOKUP(1,(Table2[주간]=Table2[[#This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83" s="96" cm="1">
        <f t="array" ref="AG83">MAX((_xlfn.IFS(AF83=0,0,AF83=1,AA83,AF83&gt;1,U83*24)-IF(AA83&gt;40,AA83-40,0))/5,0)</f>
        <v>1.6</v>
      </c>
      <c r="AH83" s="94">
        <f t="shared" si="19"/>
        <v>17088</v>
      </c>
      <c r="AI83" s="33" cm="1">
        <f t="array" ref="AI83">IF(W83="",0,ROUND(AC83*U83*24*_xlfn.XLOOKUP(1,(D83&lt;=Table7[End])*(E83=Table7[근무처])*(F83=Table7[업무]),Table7[휴일인센티브],0,0),0))</f>
        <v>0</v>
      </c>
      <c r="AJ83" s="94" cm="1">
        <f t="array" ref="AJ83">ROUND(AC83*IF(U83&gt;=8/24,U83-8/24,0)*24*_xlfn.XLOOKUP(1,(D83&lt;=Table7[End])*(E83=Table7[근무처])*(F83=Table7[업무]),Table7[야간인센티브],0,0),0)</f>
        <v>0</v>
      </c>
      <c r="AK83" s="94" cm="1">
        <f t="array" ref="AK83">IF(V83=0,0,ROUND(AC83*V83*24*_xlfn.XLOOKUP(1,(D83&lt;=Table7[End])*(E83=Table7[근무처])*(F83=Table7[업무]),Table7[야간인센티브],0,0),0))</f>
        <v>0</v>
      </c>
      <c r="AL83" s="95"/>
      <c r="AM83" s="94">
        <f t="shared" si="20"/>
        <v>102528</v>
      </c>
      <c r="AN83" s="94" cm="1">
        <f t="array" ref="AN83">IF(AM83&gt;=_xlfn.XLOOKUP(TRUE,D83&lt;=Table5[End],Table5[비과세소득기준],0,0),AM83-_xlfn.XLOOKUP(TRUE,D83&lt;=Table5[End],Table5[비과세소득기준],0,0),0)</f>
        <v>0</v>
      </c>
      <c r="AO83" s="94" cm="1">
        <f t="array" ref="AO83">ROUNDDOWN(_xlfn.LET(_xlpm.setvalue,_xlfn.XLOOKUP(TRUE,D83&lt;=Table5[End],Table5[[요율]:[근로소득세액공제]],0,0),_xlpm.tax,AN83*PRODUCT((_xlpm.setvalue-{0,1})*{1,-1}),_xlpm.threshold,_xlfn.XLOOKUP(TRUE,D83&lt;=Table5[End],Table5[소액부징수기준],0,0),IF(_xlpm.tax&gt;=_xlpm.threshold,_xlpm.tax,0)),-1)</f>
        <v>0</v>
      </c>
      <c r="AP83" s="94">
        <f>ROUNDDOWN(Table2[[#This Row],[소득세]]*10%,-1)</f>
        <v>0</v>
      </c>
      <c r="AQ83" s="94">
        <f>IF(AB83="v",AM83+IF(Y83=8,SUMIFS(Table2[지급총액],Table2[주민등록번호],O83,Table2[월],R83,Table2[월간
근무일],"&lt;="&amp;8)-AM83,0),0)+_xlfn.NUMBERVALUE(AR83)</f>
        <v>102528</v>
      </c>
      <c r="AR83" s="95"/>
      <c r="AS83" s="94" cm="1">
        <f t="array" ref="AS83">ROUNDDOWN($AQ83*_xlfn.XLOOKUP(1,(AS$5=Table8[Type])*($D83&lt;=Table8[End]),Table8[요율],0,0),0)</f>
        <v>3634</v>
      </c>
      <c r="AT83" s="94" cm="1">
        <f t="array" ref="AT83">ROUNDDOWN(AS83*_xlfn.XLOOKUP(1,(AT$5=Table8[Type])*($D83&lt;=Table8[End]),Table8[요율],0,0),-1)</f>
        <v>470</v>
      </c>
      <c r="AU83" s="94" cm="1">
        <f t="array" ref="AU83">ROUNDDOWN($AQ83*_xlfn.XLOOKUP(1,(AU$5=Table8[Type])*($D83&lt;=Table8[End]),Table8[요율],0,0),-1)</f>
        <v>4610</v>
      </c>
      <c r="AV83" s="94" cm="1">
        <f t="array" ref="AV83">ROUNDDOWN(AM83*_xlfn.XLOOKUP(1,(AV$5=Table8[Type])*($D83&lt;=Table8[End]),Table8[요율],0,0),-1)</f>
        <v>0</v>
      </c>
      <c r="AW83" s="94" cm="1">
        <f t="array" ref="AW83">_xlfn.XLOOKUP(1,(O83=Table2[주민등록번호])*(D83&gt;Table2[근무일자]),Table2[청구 Claim 
이월],0,0,-1)</f>
        <v>0</v>
      </c>
      <c r="AX83" s="95"/>
      <c r="AY83" s="94" cm="1">
        <f t="array" ref="AY83">MAX(SUM(AO83:AP83,AS83:AX83)-_xlfn.XLOOKUP(1,(D83&lt;=Table7[End])*(E83=Table7[근무처])*(F83=Table7[업무]),Table7[1일 공제 상한],0,0),0)</f>
        <v>0</v>
      </c>
      <c r="AZ83" s="94">
        <f t="shared" si="21"/>
        <v>8714</v>
      </c>
      <c r="BA83" s="94">
        <f t="shared" si="22"/>
        <v>93814</v>
      </c>
      <c r="BB83" s="97">
        <f t="shared" si="23"/>
        <v>0</v>
      </c>
      <c r="BC83" s="98"/>
      <c r="BD83" s="94">
        <f t="shared" si="24"/>
        <v>3634</v>
      </c>
      <c r="BE83" s="94">
        <f t="shared" si="25"/>
        <v>470</v>
      </c>
      <c r="BF83" s="94">
        <f t="shared" si="26"/>
        <v>4610</v>
      </c>
      <c r="BG83" s="94">
        <f t="shared" si="27"/>
        <v>0</v>
      </c>
      <c r="BH83" s="94" cm="1">
        <f t="array" ref="BH83">ROUNDDOWN(AM83*_xlfn.XLOOKUP(1,(BH$5=Table8[Type])*($D83&lt;=Table8[End]),Table8[요율],0,0),-1)</f>
        <v>820</v>
      </c>
      <c r="BI83" s="93" t="str" cm="1">
        <f t="array" ref="BI83">_xlfn.XLOOKUP(1,(D83&lt;=Table7[End])*(E83=Table7[근무처])*(F83=Table7[업무]),Table7[지급옵션],0,0)</f>
        <v>차주 화</v>
      </c>
      <c r="BJ83" s="83">
        <f>IF(BK83&lt;&gt;"",BK83,IFERROR(D83+_xlfn.NUMBERVALUE(RIGHT(BI83,1)),D83-WEEKDAY(D83)+CHOOSE(MATCH(RIGHT(BI83),{"일","월","화","수","목","금","토"},0),8,9,10,11,12,13,14)))</f>
        <v>45734</v>
      </c>
      <c r="BK83" s="99"/>
    </row>
    <row r="84" spans="2:63" x14ac:dyDescent="0.35">
      <c r="B84" s="20" t="str" cm="1">
        <f t="array" ref="B84">_xlfn.IFS(BB84&lt;&gt;BC84,"Claim확인",N84&lt;&gt;"OK","확인필요",TRUE,"")</f>
        <v/>
      </c>
      <c r="C84" s="21" t="str">
        <f t="shared" si="14"/>
        <v>010-5X8X-X4X0920X02XX253123</v>
      </c>
      <c r="D84" s="26">
        <v>45727</v>
      </c>
      <c r="E84" s="91" t="s">
        <v>255</v>
      </c>
      <c r="F84" s="25" t="s">
        <v>257</v>
      </c>
      <c r="G84" s="27" t="s">
        <v>288</v>
      </c>
      <c r="H84" s="25" t="s">
        <v>303</v>
      </c>
      <c r="I84" s="25"/>
      <c r="J84" s="25" t="s">
        <v>304</v>
      </c>
      <c r="K84" s="28">
        <v>0.4375</v>
      </c>
      <c r="L84" s="28">
        <v>0.8125</v>
      </c>
      <c r="M84" s="28">
        <v>4.1666666666666664E-2</v>
      </c>
      <c r="N84" s="25" t="s">
        <v>281</v>
      </c>
      <c r="O84" s="29" t="str">
        <f>_xlfn.XLOOKUP(Table2[[#This Row],[Key]],Table1[Key],Table1[주민등록번호],"",0)</f>
        <v>941XX31XX3X14</v>
      </c>
      <c r="P84" s="29">
        <f>_xlfn.XLOOKUP(Table2[[#This Row],[Key]],Table1[Key],Table1[비자],"",0)</f>
        <v>0</v>
      </c>
      <c r="Q84" s="29">
        <f>IF(P84=0,0,_xlfn.XLOOKUP(Table2[[#This Row],[Key]],Table1[Key],Table1[고용보험 여부],0,0))</f>
        <v>0</v>
      </c>
      <c r="R84" s="29" t="str">
        <f t="shared" si="15"/>
        <v>2503</v>
      </c>
      <c r="S84" s="30" t="str">
        <f>YEAR(Table2[[#This Row],[근무일자]])&amp;TEXT(WEEKNUM(Table2[[#This Row],[근무일자]]),"00")</f>
        <v>202511</v>
      </c>
      <c r="T84" s="31">
        <f>_xlfn.XLOOKUP(Table2[[#This Row],[Key]],Table1[Key],Table1[등록일],"",0)</f>
        <v>45846</v>
      </c>
      <c r="U84" s="32">
        <f t="shared" si="16"/>
        <v>0.33333333333333331</v>
      </c>
      <c r="V84" s="92">
        <f t="shared" si="17"/>
        <v>0</v>
      </c>
      <c r="W84" s="100" t="str">
        <f>_xlfn.XLOOKUP(Table2[[#This Row],[근무일자]],Table3[Date],Table3[Holiday],"",0)</f>
        <v/>
      </c>
      <c r="X84" s="93">
        <f>IF(D84&lt;&gt;"",1,0)+IF(COUNTIFS(Table2[주민등록번호],O84,Table2[월],TEXT(EOMONTH(D84,-1),"YYMM"))&gt;0,1+IF(COUNTIFS(Table2[주민등록번호],O84,Table2[월],TEXT(EOMONTH(D84,-2),"YYMM"))&gt;0,1+IF(COUNTIFS(Table2[주민등록번호],O84,Table2[월],TEXT(EOMONTH(D84,-3),"YYMM"))&gt;0,1,0),0),0)</f>
        <v>2</v>
      </c>
      <c r="Y84" s="29">
        <f>COUNTIFS(Table2[주민등록번호],O84,Table2[월],R84,Table2[근무일자],"&lt;="&amp;D84)</f>
        <v>8</v>
      </c>
      <c r="Z84" s="29">
        <f>COUNTIFS(Table2[주민등록번호],O84,Table2[주간],S84,Table2[근무일자],"&lt;="&amp;D84)</f>
        <v>3</v>
      </c>
      <c r="AA84" s="29">
        <f>SUMIFS(Table2[근로
시간],Table2[주민등록번호],O84,Table2[주간],S84,Table2[근무일자],"&lt;="&amp;D84)*24</f>
        <v>24</v>
      </c>
      <c r="AB84" s="29" t="str">
        <f>IF(AND(Y84&gt;=8,COUNTIFS(Table2[주민등록번호],O84,Table2[근무일자],"&gt;="&amp;EOMONTH(D84,-2)+1,Table2[근무일자],"&lt;="&amp;EOMONTH(D84,-1)+1)&gt;0),"V","")</f>
        <v>V</v>
      </c>
      <c r="AC84" s="94" cm="1">
        <f t="array" ref="AC84">IF(AD84&lt;&gt;"",AD84,_xlfn.XLOOKUP(1,(D84&lt;=Table7[End])*(E84=Table7[근무처])*(F84=Table7[업무]),Table7[시급],0,0))</f>
        <v>10030</v>
      </c>
      <c r="AD84" s="95"/>
      <c r="AE84" s="94">
        <f t="shared" si="18"/>
        <v>80240</v>
      </c>
      <c r="AF84" s="96" cm="1">
        <f t="array" ref="AF84">IF(AND(AA84&gt;=15,(AA84-U84*24)&lt;=40),IF(Z84&gt;=_xlfn.XLOOKUP(1,(D84&lt;=Table7[End])*(E84=Table7[근무처])*(F84=Table7[업무]),Table7[주휴적용일],0,0),1,0)+_xlfn.XLOOKUP(1,(Table2[주간]=Table2[[#This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84" s="96" cm="1">
        <f t="array" ref="AG84">MAX((_xlfn.IFS(AF84=0,0,AF84=1,AA84,AF84&gt;1,U84*24)-IF(AA84&gt;40,AA84-40,0))/5,0)</f>
        <v>1.6</v>
      </c>
      <c r="AH84" s="94">
        <f t="shared" si="19"/>
        <v>16048</v>
      </c>
      <c r="AI84" s="33" cm="1">
        <f t="array" ref="AI84">IF(W84="",0,ROUND(AC84*U84*24*_xlfn.XLOOKUP(1,(D84&lt;=Table7[End])*(E84=Table7[근무처])*(F84=Table7[업무]),Table7[휴일인센티브],0,0),0))</f>
        <v>0</v>
      </c>
      <c r="AJ84" s="94" cm="1">
        <f t="array" ref="AJ84">ROUND(AC84*IF(U84&gt;=8/24,U84-8/24,0)*24*_xlfn.XLOOKUP(1,(D84&lt;=Table7[End])*(E84=Table7[근무처])*(F84=Table7[업무]),Table7[야간인센티브],0,0),0)</f>
        <v>0</v>
      </c>
      <c r="AK84" s="94" cm="1">
        <f t="array" ref="AK84">IF(V84=0,0,ROUND(AC84*V84*24*_xlfn.XLOOKUP(1,(D84&lt;=Table7[End])*(E84=Table7[근무처])*(F84=Table7[업무]),Table7[야간인센티브],0,0),0))</f>
        <v>0</v>
      </c>
      <c r="AL84" s="95"/>
      <c r="AM84" s="94">
        <f t="shared" si="20"/>
        <v>96288</v>
      </c>
      <c r="AN84" s="94" cm="1">
        <f t="array" ref="AN84">IF(AM84&gt;=_xlfn.XLOOKUP(TRUE,D84&lt;=Table5[End],Table5[비과세소득기준],0,0),AM84-_xlfn.XLOOKUP(TRUE,D84&lt;=Table5[End],Table5[비과세소득기준],0,0),0)</f>
        <v>0</v>
      </c>
      <c r="AO84" s="94" cm="1">
        <f t="array" ref="AO84">ROUNDDOWN(_xlfn.LET(_xlpm.setvalue,_xlfn.XLOOKUP(TRUE,D84&lt;=Table5[End],Table5[[요율]:[근로소득세액공제]],0,0),_xlpm.tax,AN84*PRODUCT((_xlpm.setvalue-{0,1})*{1,-1}),_xlpm.threshold,_xlfn.XLOOKUP(TRUE,D84&lt;=Table5[End],Table5[소액부징수기준],0,0),IF(_xlpm.tax&gt;=_xlpm.threshold,_xlpm.tax,0)),-1)</f>
        <v>0</v>
      </c>
      <c r="AP84" s="94">
        <f>ROUNDDOWN(Table2[[#This Row],[소득세]]*10%,-1)</f>
        <v>0</v>
      </c>
      <c r="AQ84" s="94">
        <f>IF(AB84="v",AM84+IF(Y84=8,SUMIFS(Table2[지급총액],Table2[주민등록번호],O84,Table2[월],R84,Table2[월간
근무일],"&lt;="&amp;8)-AM84,0),0)+_xlfn.NUMBERVALUE(AR84)</f>
        <v>850544</v>
      </c>
      <c r="AR84" s="95"/>
      <c r="AS84" s="94" cm="1">
        <f t="array" ref="AS84">ROUNDDOWN($AQ84*_xlfn.XLOOKUP(1,(AS$5=Table8[Type])*($D84&lt;=Table8[End]),Table8[요율],0,0),0)</f>
        <v>30151</v>
      </c>
      <c r="AT84" s="94" cm="1">
        <f t="array" ref="AT84">ROUNDDOWN(AS84*_xlfn.XLOOKUP(1,(AT$5=Table8[Type])*($D84&lt;=Table8[End]),Table8[요율],0,0),-1)</f>
        <v>3900</v>
      </c>
      <c r="AU84" s="94" cm="1">
        <f t="array" ref="AU84">ROUNDDOWN($AQ84*_xlfn.XLOOKUP(1,(AU$5=Table8[Type])*($D84&lt;=Table8[End]),Table8[요율],0,0),-1)</f>
        <v>38270</v>
      </c>
      <c r="AV84" s="94" cm="1">
        <f t="array" ref="AV84">ROUNDDOWN(AM84*_xlfn.XLOOKUP(1,(AV$5=Table8[Type])*($D84&lt;=Table8[End]),Table8[요율],0,0),-1)</f>
        <v>0</v>
      </c>
      <c r="AW84" s="94" cm="1">
        <f t="array" ref="AW84">_xlfn.XLOOKUP(1,(O84=Table2[주민등록번호])*(D84&gt;Table2[근무일자]),Table2[청구 Claim 
이월],0,0,-1)</f>
        <v>0</v>
      </c>
      <c r="AX84" s="95"/>
      <c r="AY84" s="94" cm="1">
        <f t="array" ref="AY84">MAX(SUM(AO84:AP84,AS84:AX84)-_xlfn.XLOOKUP(1,(D84&lt;=Table7[End])*(E84=Table7[근무처])*(F84=Table7[업무]),Table7[1일 공제 상한],0,0),0)</f>
        <v>0</v>
      </c>
      <c r="AZ84" s="94">
        <f t="shared" si="21"/>
        <v>72321</v>
      </c>
      <c r="BA84" s="94">
        <f t="shared" si="22"/>
        <v>23967</v>
      </c>
      <c r="BB84" s="97">
        <f t="shared" si="23"/>
        <v>0</v>
      </c>
      <c r="BC84" s="98"/>
      <c r="BD84" s="94">
        <f t="shared" si="24"/>
        <v>30151</v>
      </c>
      <c r="BE84" s="94">
        <f t="shared" si="25"/>
        <v>3900</v>
      </c>
      <c r="BF84" s="94">
        <f t="shared" si="26"/>
        <v>38270</v>
      </c>
      <c r="BG84" s="94">
        <f t="shared" si="27"/>
        <v>0</v>
      </c>
      <c r="BH84" s="94" cm="1">
        <f t="array" ref="BH84">ROUNDDOWN(AM84*_xlfn.XLOOKUP(1,(BH$5=Table8[Type])*($D84&lt;=Table8[End]),Table8[요율],0,0),-1)</f>
        <v>770</v>
      </c>
      <c r="BI84" s="93" t="str" cm="1">
        <f t="array" ref="BI84">_xlfn.XLOOKUP(1,(D84&lt;=Table7[End])*(E84=Table7[근무처])*(F84=Table7[업무]),Table7[지급옵션],0,0)</f>
        <v>차주 화</v>
      </c>
      <c r="BJ84" s="83">
        <f>IF(BK84&lt;&gt;"",BK84,IFERROR(D84+_xlfn.NUMBERVALUE(RIGHT(BI84,1)),D84-WEEKDAY(D84)+CHOOSE(MATCH(RIGHT(BI84),{"일","월","화","수","목","금","토"},0),8,9,10,11,12,13,14)))</f>
        <v>45734</v>
      </c>
      <c r="BK84" s="99"/>
    </row>
    <row r="85" spans="2:63" x14ac:dyDescent="0.35">
      <c r="B85" s="20" t="str" cm="1">
        <f t="array" ref="B85">_xlfn.IFS(BB85&lt;&gt;BC85,"Claim확인",N85&lt;&gt;"OK","확인필요",TRUE,"")</f>
        <v/>
      </c>
      <c r="C85" s="21" t="str">
        <f t="shared" si="14"/>
        <v>010-3X4X-X9X7219X02XX284640</v>
      </c>
      <c r="D85" s="26">
        <v>45728</v>
      </c>
      <c r="E85" s="91" t="s">
        <v>253</v>
      </c>
      <c r="F85" s="25" t="s">
        <v>257</v>
      </c>
      <c r="G85" s="27" t="s">
        <v>286</v>
      </c>
      <c r="H85" s="25" t="s">
        <v>299</v>
      </c>
      <c r="I85" s="25"/>
      <c r="J85" s="25" t="s">
        <v>300</v>
      </c>
      <c r="K85" s="28">
        <v>0.375</v>
      </c>
      <c r="L85" s="28">
        <v>0.75</v>
      </c>
      <c r="M85" s="28">
        <v>4.1666666666666664E-2</v>
      </c>
      <c r="N85" s="25" t="s">
        <v>281</v>
      </c>
      <c r="O85" s="29" t="str">
        <f>_xlfn.XLOOKUP(Table2[[#This Row],[Key]],Table1[Key],Table1[주민등록번호],"",0)</f>
        <v>931XX31XX3X14</v>
      </c>
      <c r="P85" s="29">
        <f>_xlfn.XLOOKUP(Table2[[#This Row],[Key]],Table1[Key],Table1[비자],"",0)</f>
        <v>0</v>
      </c>
      <c r="Q85" s="29">
        <f>IF(P85=0,0,_xlfn.XLOOKUP(Table2[[#This Row],[Key]],Table1[Key],Table1[고용보험 여부],0,0))</f>
        <v>0</v>
      </c>
      <c r="R85" s="29" t="str">
        <f t="shared" si="15"/>
        <v>2503</v>
      </c>
      <c r="S85" s="30" t="str">
        <f>YEAR(Table2[[#This Row],[근무일자]])&amp;TEXT(WEEKNUM(Table2[[#This Row],[근무일자]]),"00")</f>
        <v>202511</v>
      </c>
      <c r="T85" s="31">
        <f>_xlfn.XLOOKUP(Table2[[#This Row],[Key]],Table1[Key],Table1[등록일],"",0)</f>
        <v>45773</v>
      </c>
      <c r="U85" s="32">
        <f t="shared" si="16"/>
        <v>0.33333333333333331</v>
      </c>
      <c r="V85" s="92">
        <f t="shared" si="17"/>
        <v>0</v>
      </c>
      <c r="W85" s="100" t="str">
        <f>_xlfn.XLOOKUP(Table2[[#This Row],[근무일자]],Table3[Date],Table3[Holiday],"",0)</f>
        <v/>
      </c>
      <c r="X85" s="93">
        <f>IF(D85&lt;&gt;"",1,0)+IF(COUNTIFS(Table2[주민등록번호],O85,Table2[월],TEXT(EOMONTH(D85,-1),"YYMM"))&gt;0,1+IF(COUNTIFS(Table2[주민등록번호],O85,Table2[월],TEXT(EOMONTH(D85,-2),"YYMM"))&gt;0,1+IF(COUNTIFS(Table2[주민등록번호],O85,Table2[월],TEXT(EOMONTH(D85,-3),"YYMM"))&gt;0,1,0),0),0)</f>
        <v>2</v>
      </c>
      <c r="Y85" s="29">
        <f>COUNTIFS(Table2[주민등록번호],O85,Table2[월],R85,Table2[근무일자],"&lt;="&amp;D85)</f>
        <v>3</v>
      </c>
      <c r="Z85" s="29">
        <f>COUNTIFS(Table2[주민등록번호],O85,Table2[주간],S85,Table2[근무일자],"&lt;="&amp;D85)</f>
        <v>1</v>
      </c>
      <c r="AA85" s="29">
        <f>SUMIFS(Table2[근로
시간],Table2[주민등록번호],O85,Table2[주간],S85,Table2[근무일자],"&lt;="&amp;D85)*24</f>
        <v>8</v>
      </c>
      <c r="AB85" s="29" t="str">
        <f>IF(AND(Y85&gt;=8,COUNTIFS(Table2[주민등록번호],O85,Table2[근무일자],"&gt;="&amp;EOMONTH(D85,-2)+1,Table2[근무일자],"&lt;="&amp;EOMONTH(D85,-1)+1)&gt;0),"V","")</f>
        <v/>
      </c>
      <c r="AC85" s="94" cm="1">
        <f t="array" ref="AC85">IF(AD85&lt;&gt;"",AD85,_xlfn.XLOOKUP(1,(D85&lt;=Table7[End])*(E85=Table7[근무처])*(F85=Table7[업무]),Table7[시급],0,0))</f>
        <v>10030</v>
      </c>
      <c r="AD85" s="95"/>
      <c r="AE85" s="94">
        <f t="shared" si="18"/>
        <v>80240</v>
      </c>
      <c r="AF85" s="96" cm="1">
        <f t="array" ref="AF85">IF(AND(AA85&gt;=15,(AA85-U85*24)&lt;=40),IF(Z85&gt;=_xlfn.XLOOKUP(1,(D85&lt;=Table7[End])*(E85=Table7[근무처])*(F85=Table7[업무]),Table7[주휴적용일],0,0),1,0)+_xlfn.XLOOKUP(1,(Table2[주간]=Table2[[#This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85" s="96" cm="1">
        <f t="array" ref="AG85">MAX((_xlfn.IFS(AF85=0,0,AF85=1,AA85,AF85&gt;1,U85*24)-IF(AA85&gt;40,AA85-40,0))/5,0)</f>
        <v>0</v>
      </c>
      <c r="AH85" s="94">
        <f t="shared" si="19"/>
        <v>0</v>
      </c>
      <c r="AI85" s="33" cm="1">
        <f t="array" ref="AI85">IF(W85="",0,ROUND(AC85*U85*24*_xlfn.XLOOKUP(1,(D85&lt;=Table7[End])*(E85=Table7[근무처])*(F85=Table7[업무]),Table7[휴일인센티브],0,0),0))</f>
        <v>0</v>
      </c>
      <c r="AJ85" s="94" cm="1">
        <f t="array" ref="AJ85">ROUND(AC85*IF(U85&gt;=8/24,U85-8/24,0)*24*_xlfn.XLOOKUP(1,(D85&lt;=Table7[End])*(E85=Table7[근무처])*(F85=Table7[업무]),Table7[야간인센티브],0,0),0)</f>
        <v>0</v>
      </c>
      <c r="AK85" s="94" cm="1">
        <f t="array" ref="AK85">IF(V85=0,0,ROUND(AC85*V85*24*_xlfn.XLOOKUP(1,(D85&lt;=Table7[End])*(E85=Table7[근무처])*(F85=Table7[업무]),Table7[야간인센티브],0,0),0))</f>
        <v>0</v>
      </c>
      <c r="AL85" s="95"/>
      <c r="AM85" s="94">
        <f t="shared" si="20"/>
        <v>80240</v>
      </c>
      <c r="AN85" s="94" cm="1">
        <f t="array" ref="AN85">IF(AM85&gt;=_xlfn.XLOOKUP(TRUE,D85&lt;=Table5[End],Table5[비과세소득기준],0,0),AM85-_xlfn.XLOOKUP(TRUE,D85&lt;=Table5[End],Table5[비과세소득기준],0,0),0)</f>
        <v>0</v>
      </c>
      <c r="AO85" s="94" cm="1">
        <f t="array" ref="AO85">ROUNDDOWN(_xlfn.LET(_xlpm.setvalue,_xlfn.XLOOKUP(TRUE,D85&lt;=Table5[End],Table5[[요율]:[근로소득세액공제]],0,0),_xlpm.tax,AN85*PRODUCT((_xlpm.setvalue-{0,1})*{1,-1}),_xlpm.threshold,_xlfn.XLOOKUP(TRUE,D85&lt;=Table5[End],Table5[소액부징수기준],0,0),IF(_xlpm.tax&gt;=_xlpm.threshold,_xlpm.tax,0)),-1)</f>
        <v>0</v>
      </c>
      <c r="AP85" s="94">
        <f>ROUNDDOWN(Table2[[#This Row],[소득세]]*10%,-1)</f>
        <v>0</v>
      </c>
      <c r="AQ85" s="94">
        <f>IF(AB85="v",AM85+IF(Y85=8,SUMIFS(Table2[지급총액],Table2[주민등록번호],O85,Table2[월],R85,Table2[월간
근무일],"&lt;="&amp;8)-AM85,0),0)+_xlfn.NUMBERVALUE(AR85)</f>
        <v>0</v>
      </c>
      <c r="AR85" s="95"/>
      <c r="AS85" s="94" cm="1">
        <f t="array" ref="AS85">ROUNDDOWN($AQ85*_xlfn.XLOOKUP(1,(AS$5=Table8[Type])*($D85&lt;=Table8[End]),Table8[요율],0,0),0)</f>
        <v>0</v>
      </c>
      <c r="AT85" s="94" cm="1">
        <f t="array" ref="AT85">ROUNDDOWN(AS85*_xlfn.XLOOKUP(1,(AT$5=Table8[Type])*($D85&lt;=Table8[End]),Table8[요율],0,0),-1)</f>
        <v>0</v>
      </c>
      <c r="AU85" s="94" cm="1">
        <f t="array" ref="AU85">ROUNDDOWN($AQ85*_xlfn.XLOOKUP(1,(AU$5=Table8[Type])*($D85&lt;=Table8[End]),Table8[요율],0,0),-1)</f>
        <v>0</v>
      </c>
      <c r="AV85" s="94" cm="1">
        <f t="array" ref="AV85">ROUNDDOWN(AM85*_xlfn.XLOOKUP(1,(AV$5=Table8[Type])*($D85&lt;=Table8[End]),Table8[요율],0,0),-1)</f>
        <v>0</v>
      </c>
      <c r="AW85" s="94" cm="1">
        <f t="array" ref="AW85">_xlfn.XLOOKUP(1,(O85=Table2[주민등록번호])*(D85&gt;Table2[근무일자]),Table2[청구 Claim 
이월],0,0,-1)</f>
        <v>0</v>
      </c>
      <c r="AX85" s="95"/>
      <c r="AY85" s="94" cm="1">
        <f t="array" ref="AY85">MAX(SUM(AO85:AP85,AS85:AX85)-_xlfn.XLOOKUP(1,(D85&lt;=Table7[End])*(E85=Table7[근무처])*(F85=Table7[업무]),Table7[1일 공제 상한],0,0),0)</f>
        <v>0</v>
      </c>
      <c r="AZ85" s="94">
        <f t="shared" si="21"/>
        <v>0</v>
      </c>
      <c r="BA85" s="94">
        <f t="shared" si="22"/>
        <v>80240</v>
      </c>
      <c r="BB85" s="97">
        <f t="shared" si="23"/>
        <v>0</v>
      </c>
      <c r="BC85" s="98"/>
      <c r="BD85" s="94">
        <f t="shared" si="24"/>
        <v>0</v>
      </c>
      <c r="BE85" s="94">
        <f t="shared" si="25"/>
        <v>0</v>
      </c>
      <c r="BF85" s="94">
        <f t="shared" si="26"/>
        <v>0</v>
      </c>
      <c r="BG85" s="94">
        <f t="shared" si="27"/>
        <v>0</v>
      </c>
      <c r="BH85" s="94" cm="1">
        <f t="array" ref="BH85">ROUNDDOWN(AM85*_xlfn.XLOOKUP(1,(BH$5=Table8[Type])*($D85&lt;=Table8[End]),Table8[요율],0,0),-1)</f>
        <v>640</v>
      </c>
      <c r="BI85" s="93" t="str" cm="1">
        <f t="array" ref="BI85">_xlfn.XLOOKUP(1,(D85&lt;=Table7[End])*(E85=Table7[근무처])*(F85=Table7[업무]),Table7[지급옵션],0,0)</f>
        <v>D+2</v>
      </c>
      <c r="BJ85" s="83">
        <f>IF(BK85&lt;&gt;"",BK85,IFERROR(D85+_xlfn.NUMBERVALUE(RIGHT(BI85,1)),D85-WEEKDAY(D85)+CHOOSE(MATCH(RIGHT(BI85),{"일","월","화","수","목","금","토"},0),8,9,10,11,12,13,14)))</f>
        <v>45730</v>
      </c>
      <c r="BK85" s="99"/>
    </row>
    <row r="86" spans="2:63" x14ac:dyDescent="0.35">
      <c r="B86" s="20" t="str" cm="1">
        <f t="array" ref="B86">_xlfn.IFS(BB86&lt;&gt;BC86,"Claim확인",N86&lt;&gt;"OK","확인필요",TRUE,"")</f>
        <v/>
      </c>
      <c r="C86" s="21" t="str">
        <f t="shared" si="14"/>
        <v>010-8X0X-X0X9982X03XX901018</v>
      </c>
      <c r="D86" s="26">
        <v>45729</v>
      </c>
      <c r="E86" s="91" t="s">
        <v>255</v>
      </c>
      <c r="F86" s="25" t="s">
        <v>258</v>
      </c>
      <c r="G86" s="27" t="s">
        <v>283</v>
      </c>
      <c r="H86" s="25" t="s">
        <v>291</v>
      </c>
      <c r="I86" s="25"/>
      <c r="J86" s="25" t="s">
        <v>292</v>
      </c>
      <c r="K86" s="28">
        <v>0.375</v>
      </c>
      <c r="L86" s="28">
        <v>0.75</v>
      </c>
      <c r="M86" s="28">
        <v>4.1666666666666664E-2</v>
      </c>
      <c r="N86" s="25" t="s">
        <v>281</v>
      </c>
      <c r="O86" s="29" t="str">
        <f>_xlfn.XLOOKUP(Table2[[#This Row],[Key]],Table1[Key],Table1[주민등록번호],"",0)</f>
        <v>960XX51XX9X15</v>
      </c>
      <c r="P86" s="29">
        <f>_xlfn.XLOOKUP(Table2[[#This Row],[Key]],Table1[Key],Table1[비자],"",0)</f>
        <v>0</v>
      </c>
      <c r="Q86" s="29">
        <f>IF(P86=0,0,_xlfn.XLOOKUP(Table2[[#This Row],[Key]],Table1[Key],Table1[고용보험 여부],0,0))</f>
        <v>0</v>
      </c>
      <c r="R86" s="29" t="str">
        <f t="shared" si="15"/>
        <v>2503</v>
      </c>
      <c r="S86" s="30" t="str">
        <f>YEAR(Table2[[#This Row],[근무일자]])&amp;TEXT(WEEKNUM(Table2[[#This Row],[근무일자]]),"00")</f>
        <v>202511</v>
      </c>
      <c r="T86" s="31">
        <f>_xlfn.XLOOKUP(Table2[[#This Row],[Key]],Table1[Key],Table1[등록일],"",0)</f>
        <v>45698</v>
      </c>
      <c r="U86" s="32">
        <f t="shared" si="16"/>
        <v>0.33333333333333331</v>
      </c>
      <c r="V86" s="92">
        <f t="shared" si="17"/>
        <v>0</v>
      </c>
      <c r="W86" s="100" t="str">
        <f>_xlfn.XLOOKUP(Table2[[#This Row],[근무일자]],Table3[Date],Table3[Holiday],"",0)</f>
        <v/>
      </c>
      <c r="X86" s="93">
        <f>IF(D86&lt;&gt;"",1,0)+IF(COUNTIFS(Table2[주민등록번호],O86,Table2[월],TEXT(EOMONTH(D86,-1),"YYMM"))&gt;0,1+IF(COUNTIFS(Table2[주민등록번호],O86,Table2[월],TEXT(EOMONTH(D86,-2),"YYMM"))&gt;0,1+IF(COUNTIFS(Table2[주민등록번호],O86,Table2[월],TEXT(EOMONTH(D86,-3),"YYMM"))&gt;0,1,0),0),0)</f>
        <v>2</v>
      </c>
      <c r="Y86" s="29">
        <f>COUNTIFS(Table2[주민등록번호],O86,Table2[월],R86,Table2[근무일자],"&lt;="&amp;D86)</f>
        <v>10</v>
      </c>
      <c r="Z86" s="29">
        <f>COUNTIFS(Table2[주민등록번호],O86,Table2[주간],S86,Table2[근무일자],"&lt;="&amp;D86)</f>
        <v>4</v>
      </c>
      <c r="AA86" s="29">
        <f>SUMIFS(Table2[근로
시간],Table2[주민등록번호],O86,Table2[주간],S86,Table2[근무일자],"&lt;="&amp;D86)*24</f>
        <v>32</v>
      </c>
      <c r="AB86" s="29" t="str">
        <f>IF(AND(Y86&gt;=8,COUNTIFS(Table2[주민등록번호],O86,Table2[근무일자],"&gt;="&amp;EOMONTH(D86,-2)+1,Table2[근무일자],"&lt;="&amp;EOMONTH(D86,-1)+1)&gt;0),"V","")</f>
        <v>V</v>
      </c>
      <c r="AC86" s="94" cm="1">
        <f t="array" ref="AC86">IF(AD86&lt;&gt;"",AD86,_xlfn.XLOOKUP(1,(D86&lt;=Table7[End])*(E86=Table7[근무처])*(F86=Table7[업무]),Table7[시급],0,0))</f>
        <v>10680</v>
      </c>
      <c r="AD86" s="95"/>
      <c r="AE86" s="94">
        <f t="shared" si="18"/>
        <v>85440</v>
      </c>
      <c r="AF86" s="96" cm="1">
        <f t="array" ref="AF86">IF(AND(AA86&gt;=15,(AA86-U86*24)&lt;=40),IF(Z86&gt;=_xlfn.XLOOKUP(1,(D86&lt;=Table7[End])*(E86=Table7[근무처])*(F86=Table7[업무]),Table7[주휴적용일],0,0),1,0)+_xlfn.XLOOKUP(1,(Table2[주간]=Table2[[#This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86" s="96" cm="1">
        <f t="array" ref="AG86">MAX((_xlfn.IFS(AF86=0,0,AF86=1,AA86,AF86&gt;1,U86*24)-IF(AA86&gt;40,AA86-40,0))/5,0)</f>
        <v>1.6</v>
      </c>
      <c r="AH86" s="94">
        <f t="shared" si="19"/>
        <v>17088</v>
      </c>
      <c r="AI86" s="33" cm="1">
        <f t="array" ref="AI86">IF(W86="",0,ROUND(AC86*U86*24*_xlfn.XLOOKUP(1,(D86&lt;=Table7[End])*(E86=Table7[근무처])*(F86=Table7[업무]),Table7[휴일인센티브],0,0),0))</f>
        <v>0</v>
      </c>
      <c r="AJ86" s="94" cm="1">
        <f t="array" ref="AJ86">ROUND(AC86*IF(U86&gt;=8/24,U86-8/24,0)*24*_xlfn.XLOOKUP(1,(D86&lt;=Table7[End])*(E86=Table7[근무처])*(F86=Table7[업무]),Table7[야간인센티브],0,0),0)</f>
        <v>0</v>
      </c>
      <c r="AK86" s="94" cm="1">
        <f t="array" ref="AK86">IF(V86=0,0,ROUND(AC86*V86*24*_xlfn.XLOOKUP(1,(D86&lt;=Table7[End])*(E86=Table7[근무처])*(F86=Table7[업무]),Table7[야간인센티브],0,0),0))</f>
        <v>0</v>
      </c>
      <c r="AL86" s="95"/>
      <c r="AM86" s="94">
        <f t="shared" si="20"/>
        <v>102528</v>
      </c>
      <c r="AN86" s="94" cm="1">
        <f t="array" ref="AN86">IF(AM86&gt;=_xlfn.XLOOKUP(TRUE,D86&lt;=Table5[End],Table5[비과세소득기준],0,0),AM86-_xlfn.XLOOKUP(TRUE,D86&lt;=Table5[End],Table5[비과세소득기준],0,0),0)</f>
        <v>0</v>
      </c>
      <c r="AO86" s="94" cm="1">
        <f t="array" ref="AO86">ROUNDDOWN(_xlfn.LET(_xlpm.setvalue,_xlfn.XLOOKUP(TRUE,D86&lt;=Table5[End],Table5[[요율]:[근로소득세액공제]],0,0),_xlpm.tax,AN86*PRODUCT((_xlpm.setvalue-{0,1})*{1,-1}),_xlpm.threshold,_xlfn.XLOOKUP(TRUE,D86&lt;=Table5[End],Table5[소액부징수기준],0,0),IF(_xlpm.tax&gt;=_xlpm.threshold,_xlpm.tax,0)),-1)</f>
        <v>0</v>
      </c>
      <c r="AP86" s="94">
        <f>ROUNDDOWN(Table2[[#This Row],[소득세]]*10%,-1)</f>
        <v>0</v>
      </c>
      <c r="AQ86" s="94">
        <f>IF(AB86="v",AM86+IF(Y86=8,SUMIFS(Table2[지급총액],Table2[주민등록번호],O86,Table2[월],R86,Table2[월간
근무일],"&lt;="&amp;8)-AM86,0),0)+_xlfn.NUMBERVALUE(AR86)</f>
        <v>102528</v>
      </c>
      <c r="AR86" s="95"/>
      <c r="AS86" s="94" cm="1">
        <f t="array" ref="AS86">ROUNDDOWN($AQ86*_xlfn.XLOOKUP(1,(AS$5=Table8[Type])*($D86&lt;=Table8[End]),Table8[요율],0,0),0)</f>
        <v>3634</v>
      </c>
      <c r="AT86" s="94" cm="1">
        <f t="array" ref="AT86">ROUNDDOWN(AS86*_xlfn.XLOOKUP(1,(AT$5=Table8[Type])*($D86&lt;=Table8[End]),Table8[요율],0,0),-1)</f>
        <v>470</v>
      </c>
      <c r="AU86" s="94" cm="1">
        <f t="array" ref="AU86">ROUNDDOWN($AQ86*_xlfn.XLOOKUP(1,(AU$5=Table8[Type])*($D86&lt;=Table8[End]),Table8[요율],0,0),-1)</f>
        <v>4610</v>
      </c>
      <c r="AV86" s="94" cm="1">
        <f t="array" ref="AV86">ROUNDDOWN(AM86*_xlfn.XLOOKUP(1,(AV$5=Table8[Type])*($D86&lt;=Table8[End]),Table8[요율],0,0),-1)</f>
        <v>0</v>
      </c>
      <c r="AW86" s="94" cm="1">
        <f t="array" ref="AW86">_xlfn.XLOOKUP(1,(O86=Table2[주민등록번호])*(D86&gt;Table2[근무일자]),Table2[청구 Claim 
이월],0,0,-1)</f>
        <v>0</v>
      </c>
      <c r="AX86" s="95"/>
      <c r="AY86" s="94" cm="1">
        <f t="array" ref="AY86">MAX(SUM(AO86:AP86,AS86:AX86)-_xlfn.XLOOKUP(1,(D86&lt;=Table7[End])*(E86=Table7[근무처])*(F86=Table7[업무]),Table7[1일 공제 상한],0,0),0)</f>
        <v>0</v>
      </c>
      <c r="AZ86" s="94">
        <f t="shared" si="21"/>
        <v>8714</v>
      </c>
      <c r="BA86" s="94">
        <f t="shared" si="22"/>
        <v>93814</v>
      </c>
      <c r="BB86" s="97">
        <f t="shared" si="23"/>
        <v>0</v>
      </c>
      <c r="BC86" s="98"/>
      <c r="BD86" s="94">
        <f t="shared" si="24"/>
        <v>3634</v>
      </c>
      <c r="BE86" s="94">
        <f t="shared" si="25"/>
        <v>470</v>
      </c>
      <c r="BF86" s="94">
        <f t="shared" si="26"/>
        <v>4610</v>
      </c>
      <c r="BG86" s="94">
        <f t="shared" si="27"/>
        <v>0</v>
      </c>
      <c r="BH86" s="94" cm="1">
        <f t="array" ref="BH86">ROUNDDOWN(AM86*_xlfn.XLOOKUP(1,(BH$5=Table8[Type])*($D86&lt;=Table8[End]),Table8[요율],0,0),-1)</f>
        <v>820</v>
      </c>
      <c r="BI86" s="93" t="str" cm="1">
        <f t="array" ref="BI86">_xlfn.XLOOKUP(1,(D86&lt;=Table7[End])*(E86=Table7[근무처])*(F86=Table7[업무]),Table7[지급옵션],0,0)</f>
        <v>차주 화</v>
      </c>
      <c r="BJ86" s="83">
        <f>IF(BK86&lt;&gt;"",BK86,IFERROR(D86+_xlfn.NUMBERVALUE(RIGHT(BI86,1)),D86-WEEKDAY(D86)+CHOOSE(MATCH(RIGHT(BI86),{"일","월","화","수","목","금","토"},0),8,9,10,11,12,13,14)))</f>
        <v>45734</v>
      </c>
      <c r="BK86" s="99"/>
    </row>
    <row r="87" spans="2:63" x14ac:dyDescent="0.35">
      <c r="B87" s="20" t="str" cm="1">
        <f t="array" ref="B87">_xlfn.IFS(BB87&lt;&gt;BC87,"Claim확인",N87&lt;&gt;"OK","확인필요",TRUE,"")</f>
        <v/>
      </c>
      <c r="C87" s="21" t="str">
        <f t="shared" si="14"/>
        <v>010-3X4X-X9X7219X02XX284640</v>
      </c>
      <c r="D87" s="26">
        <v>45729</v>
      </c>
      <c r="E87" s="91" t="s">
        <v>253</v>
      </c>
      <c r="F87" s="25" t="s">
        <v>257</v>
      </c>
      <c r="G87" s="27" t="s">
        <v>286</v>
      </c>
      <c r="H87" s="25" t="s">
        <v>299</v>
      </c>
      <c r="I87" s="25"/>
      <c r="J87" s="25" t="s">
        <v>300</v>
      </c>
      <c r="K87" s="28">
        <v>0.375</v>
      </c>
      <c r="L87" s="28">
        <v>0.75</v>
      </c>
      <c r="M87" s="28">
        <v>4.1666666666666664E-2</v>
      </c>
      <c r="N87" s="25" t="s">
        <v>281</v>
      </c>
      <c r="O87" s="29" t="str">
        <f>_xlfn.XLOOKUP(Table2[[#This Row],[Key]],Table1[Key],Table1[주민등록번호],"",0)</f>
        <v>931XX31XX3X14</v>
      </c>
      <c r="P87" s="29">
        <f>_xlfn.XLOOKUP(Table2[[#This Row],[Key]],Table1[Key],Table1[비자],"",0)</f>
        <v>0</v>
      </c>
      <c r="Q87" s="29">
        <f>IF(P87=0,0,_xlfn.XLOOKUP(Table2[[#This Row],[Key]],Table1[Key],Table1[고용보험 여부],0,0))</f>
        <v>0</v>
      </c>
      <c r="R87" s="29" t="str">
        <f t="shared" si="15"/>
        <v>2503</v>
      </c>
      <c r="S87" s="30" t="str">
        <f>YEAR(Table2[[#This Row],[근무일자]])&amp;TEXT(WEEKNUM(Table2[[#This Row],[근무일자]]),"00")</f>
        <v>202511</v>
      </c>
      <c r="T87" s="31">
        <f>_xlfn.XLOOKUP(Table2[[#This Row],[Key]],Table1[Key],Table1[등록일],"",0)</f>
        <v>45773</v>
      </c>
      <c r="U87" s="32">
        <f t="shared" si="16"/>
        <v>0.33333333333333331</v>
      </c>
      <c r="V87" s="92">
        <f t="shared" si="17"/>
        <v>0</v>
      </c>
      <c r="W87" s="100" t="str">
        <f>_xlfn.XLOOKUP(Table2[[#This Row],[근무일자]],Table3[Date],Table3[Holiday],"",0)</f>
        <v/>
      </c>
      <c r="X87" s="93">
        <f>IF(D87&lt;&gt;"",1,0)+IF(COUNTIFS(Table2[주민등록번호],O87,Table2[월],TEXT(EOMONTH(D87,-1),"YYMM"))&gt;0,1+IF(COUNTIFS(Table2[주민등록번호],O87,Table2[월],TEXT(EOMONTH(D87,-2),"YYMM"))&gt;0,1+IF(COUNTIFS(Table2[주민등록번호],O87,Table2[월],TEXT(EOMONTH(D87,-3),"YYMM"))&gt;0,1,0),0),0)</f>
        <v>2</v>
      </c>
      <c r="Y87" s="29">
        <f>COUNTIFS(Table2[주민등록번호],O87,Table2[월],R87,Table2[근무일자],"&lt;="&amp;D87)</f>
        <v>4</v>
      </c>
      <c r="Z87" s="29">
        <f>COUNTIFS(Table2[주민등록번호],O87,Table2[주간],S87,Table2[근무일자],"&lt;="&amp;D87)</f>
        <v>2</v>
      </c>
      <c r="AA87" s="29">
        <f>SUMIFS(Table2[근로
시간],Table2[주민등록번호],O87,Table2[주간],S87,Table2[근무일자],"&lt;="&amp;D87)*24</f>
        <v>16</v>
      </c>
      <c r="AB87" s="29" t="str">
        <f>IF(AND(Y87&gt;=8,COUNTIFS(Table2[주민등록번호],O87,Table2[근무일자],"&gt;="&amp;EOMONTH(D87,-2)+1,Table2[근무일자],"&lt;="&amp;EOMONTH(D87,-1)+1)&gt;0),"V","")</f>
        <v/>
      </c>
      <c r="AC87" s="94" cm="1">
        <f t="array" ref="AC87">IF(AD87&lt;&gt;"",AD87,_xlfn.XLOOKUP(1,(D87&lt;=Table7[End])*(E87=Table7[근무처])*(F87=Table7[업무]),Table7[시급],0,0))</f>
        <v>10030</v>
      </c>
      <c r="AD87" s="95"/>
      <c r="AE87" s="94">
        <f t="shared" si="18"/>
        <v>80240</v>
      </c>
      <c r="AF87" s="96" cm="1">
        <f t="array" ref="AF87">IF(AND(AA87&gt;=15,(AA87-U87*24)&lt;=40),IF(Z87&gt;=_xlfn.XLOOKUP(1,(D87&lt;=Table7[End])*(E87=Table7[근무처])*(F87=Table7[업무]),Table7[주휴적용일],0,0),1,0)+_xlfn.XLOOKUP(1,(Table2[주간]=Table2[[#This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87" s="96" cm="1">
        <f t="array" ref="AG87">MAX((_xlfn.IFS(AF87=0,0,AF87=1,AA87,AF87&gt;1,U87*24)-IF(AA87&gt;40,AA87-40,0))/5,0)</f>
        <v>0</v>
      </c>
      <c r="AH87" s="94">
        <f t="shared" si="19"/>
        <v>0</v>
      </c>
      <c r="AI87" s="33" cm="1">
        <f t="array" ref="AI87">IF(W87="",0,ROUND(AC87*U87*24*_xlfn.XLOOKUP(1,(D87&lt;=Table7[End])*(E87=Table7[근무처])*(F87=Table7[업무]),Table7[휴일인센티브],0,0),0))</f>
        <v>0</v>
      </c>
      <c r="AJ87" s="94" cm="1">
        <f t="array" ref="AJ87">ROUND(AC87*IF(U87&gt;=8/24,U87-8/24,0)*24*_xlfn.XLOOKUP(1,(D87&lt;=Table7[End])*(E87=Table7[근무처])*(F87=Table7[업무]),Table7[야간인센티브],0,0),0)</f>
        <v>0</v>
      </c>
      <c r="AK87" s="94" cm="1">
        <f t="array" ref="AK87">IF(V87=0,0,ROUND(AC87*V87*24*_xlfn.XLOOKUP(1,(D87&lt;=Table7[End])*(E87=Table7[근무처])*(F87=Table7[업무]),Table7[야간인센티브],0,0),0))</f>
        <v>0</v>
      </c>
      <c r="AL87" s="95"/>
      <c r="AM87" s="94">
        <f t="shared" si="20"/>
        <v>80240</v>
      </c>
      <c r="AN87" s="94" cm="1">
        <f t="array" ref="AN87">IF(AM87&gt;=_xlfn.XLOOKUP(TRUE,D87&lt;=Table5[End],Table5[비과세소득기준],0,0),AM87-_xlfn.XLOOKUP(TRUE,D87&lt;=Table5[End],Table5[비과세소득기준],0,0),0)</f>
        <v>0</v>
      </c>
      <c r="AO87" s="94" cm="1">
        <f t="array" ref="AO87">ROUNDDOWN(_xlfn.LET(_xlpm.setvalue,_xlfn.XLOOKUP(TRUE,D87&lt;=Table5[End],Table5[[요율]:[근로소득세액공제]],0,0),_xlpm.tax,AN87*PRODUCT((_xlpm.setvalue-{0,1})*{1,-1}),_xlpm.threshold,_xlfn.XLOOKUP(TRUE,D87&lt;=Table5[End],Table5[소액부징수기준],0,0),IF(_xlpm.tax&gt;=_xlpm.threshold,_xlpm.tax,0)),-1)</f>
        <v>0</v>
      </c>
      <c r="AP87" s="94">
        <f>ROUNDDOWN(Table2[[#This Row],[소득세]]*10%,-1)</f>
        <v>0</v>
      </c>
      <c r="AQ87" s="94">
        <f>IF(AB87="v",AM87+IF(Y87=8,SUMIFS(Table2[지급총액],Table2[주민등록번호],O87,Table2[월],R87,Table2[월간
근무일],"&lt;="&amp;8)-AM87,0),0)+_xlfn.NUMBERVALUE(AR87)</f>
        <v>0</v>
      </c>
      <c r="AR87" s="95"/>
      <c r="AS87" s="94" cm="1">
        <f t="array" ref="AS87">ROUNDDOWN($AQ87*_xlfn.XLOOKUP(1,(AS$5=Table8[Type])*($D87&lt;=Table8[End]),Table8[요율],0,0),0)</f>
        <v>0</v>
      </c>
      <c r="AT87" s="94" cm="1">
        <f t="array" ref="AT87">ROUNDDOWN(AS87*_xlfn.XLOOKUP(1,(AT$5=Table8[Type])*($D87&lt;=Table8[End]),Table8[요율],0,0),-1)</f>
        <v>0</v>
      </c>
      <c r="AU87" s="94" cm="1">
        <f t="array" ref="AU87">ROUNDDOWN($AQ87*_xlfn.XLOOKUP(1,(AU$5=Table8[Type])*($D87&lt;=Table8[End]),Table8[요율],0,0),-1)</f>
        <v>0</v>
      </c>
      <c r="AV87" s="94" cm="1">
        <f t="array" ref="AV87">ROUNDDOWN(AM87*_xlfn.XLOOKUP(1,(AV$5=Table8[Type])*($D87&lt;=Table8[End]),Table8[요율],0,0),-1)</f>
        <v>0</v>
      </c>
      <c r="AW87" s="94" cm="1">
        <f t="array" ref="AW87">_xlfn.XLOOKUP(1,(O87=Table2[주민등록번호])*(D87&gt;Table2[근무일자]),Table2[청구 Claim 
이월],0,0,-1)</f>
        <v>0</v>
      </c>
      <c r="AX87" s="95"/>
      <c r="AY87" s="94" cm="1">
        <f t="array" ref="AY87">MAX(SUM(AO87:AP87,AS87:AX87)-_xlfn.XLOOKUP(1,(D87&lt;=Table7[End])*(E87=Table7[근무처])*(F87=Table7[업무]),Table7[1일 공제 상한],0,0),0)</f>
        <v>0</v>
      </c>
      <c r="AZ87" s="94">
        <f t="shared" si="21"/>
        <v>0</v>
      </c>
      <c r="BA87" s="94">
        <f t="shared" si="22"/>
        <v>80240</v>
      </c>
      <c r="BB87" s="97">
        <f t="shared" si="23"/>
        <v>0</v>
      </c>
      <c r="BC87" s="98"/>
      <c r="BD87" s="94">
        <f t="shared" si="24"/>
        <v>0</v>
      </c>
      <c r="BE87" s="94">
        <f t="shared" si="25"/>
        <v>0</v>
      </c>
      <c r="BF87" s="94">
        <f t="shared" si="26"/>
        <v>0</v>
      </c>
      <c r="BG87" s="94">
        <f t="shared" si="27"/>
        <v>0</v>
      </c>
      <c r="BH87" s="94" cm="1">
        <f t="array" ref="BH87">ROUNDDOWN(AM87*_xlfn.XLOOKUP(1,(BH$5=Table8[Type])*($D87&lt;=Table8[End]),Table8[요율],0,0),-1)</f>
        <v>640</v>
      </c>
      <c r="BI87" s="93" t="str" cm="1">
        <f t="array" ref="BI87">_xlfn.XLOOKUP(1,(D87&lt;=Table7[End])*(E87=Table7[근무처])*(F87=Table7[업무]),Table7[지급옵션],0,0)</f>
        <v>D+2</v>
      </c>
      <c r="BJ87" s="83">
        <f>IF(BK87&lt;&gt;"",BK87,IFERROR(D87+_xlfn.NUMBERVALUE(RIGHT(BI87,1)),D87-WEEKDAY(D87)+CHOOSE(MATCH(RIGHT(BI87),{"일","월","화","수","목","금","토"},0),8,9,10,11,12,13,14)))</f>
        <v>45731</v>
      </c>
      <c r="BK87" s="99"/>
    </row>
    <row r="88" spans="2:63" x14ac:dyDescent="0.35">
      <c r="B88" s="20" t="str" cm="1">
        <f t="array" ref="B88">_xlfn.IFS(BB88&lt;&gt;BC88,"Claim확인",N88&lt;&gt;"OK","확인필요",TRUE,"")</f>
        <v/>
      </c>
      <c r="C88" s="21" t="str">
        <f t="shared" si="14"/>
        <v>010-8X0X-X0X9982X03XX901018</v>
      </c>
      <c r="D88" s="26">
        <v>45730</v>
      </c>
      <c r="E88" s="91" t="s">
        <v>255</v>
      </c>
      <c r="F88" s="25" t="s">
        <v>258</v>
      </c>
      <c r="G88" s="27" t="s">
        <v>283</v>
      </c>
      <c r="H88" s="25" t="s">
        <v>291</v>
      </c>
      <c r="I88" s="25"/>
      <c r="J88" s="25" t="s">
        <v>292</v>
      </c>
      <c r="K88" s="28">
        <v>0.375</v>
      </c>
      <c r="L88" s="28">
        <v>0.75</v>
      </c>
      <c r="M88" s="28">
        <v>4.1666666666666664E-2</v>
      </c>
      <c r="N88" s="25" t="s">
        <v>281</v>
      </c>
      <c r="O88" s="29" t="str">
        <f>_xlfn.XLOOKUP(Table2[[#This Row],[Key]],Table1[Key],Table1[주민등록번호],"",0)</f>
        <v>960XX51XX9X15</v>
      </c>
      <c r="P88" s="29">
        <f>_xlfn.XLOOKUP(Table2[[#This Row],[Key]],Table1[Key],Table1[비자],"",0)</f>
        <v>0</v>
      </c>
      <c r="Q88" s="29">
        <f>IF(P88=0,0,_xlfn.XLOOKUP(Table2[[#This Row],[Key]],Table1[Key],Table1[고용보험 여부],0,0))</f>
        <v>0</v>
      </c>
      <c r="R88" s="29" t="str">
        <f t="shared" si="15"/>
        <v>2503</v>
      </c>
      <c r="S88" s="30" t="str">
        <f>YEAR(Table2[[#This Row],[근무일자]])&amp;TEXT(WEEKNUM(Table2[[#This Row],[근무일자]]),"00")</f>
        <v>202511</v>
      </c>
      <c r="T88" s="31">
        <f>_xlfn.XLOOKUP(Table2[[#This Row],[Key]],Table1[Key],Table1[등록일],"",0)</f>
        <v>45698</v>
      </c>
      <c r="U88" s="32">
        <f t="shared" si="16"/>
        <v>0.33333333333333331</v>
      </c>
      <c r="V88" s="92">
        <f t="shared" si="17"/>
        <v>0</v>
      </c>
      <c r="W88" s="100" t="str">
        <f>_xlfn.XLOOKUP(Table2[[#This Row],[근무일자]],Table3[Date],Table3[Holiday],"",0)</f>
        <v/>
      </c>
      <c r="X88" s="93">
        <f>IF(D88&lt;&gt;"",1,0)+IF(COUNTIFS(Table2[주민등록번호],O88,Table2[월],TEXT(EOMONTH(D88,-1),"YYMM"))&gt;0,1+IF(COUNTIFS(Table2[주민등록번호],O88,Table2[월],TEXT(EOMONTH(D88,-2),"YYMM"))&gt;0,1+IF(COUNTIFS(Table2[주민등록번호],O88,Table2[월],TEXT(EOMONTH(D88,-3),"YYMM"))&gt;0,1,0),0),0)</f>
        <v>2</v>
      </c>
      <c r="Y88" s="29">
        <f>COUNTIFS(Table2[주민등록번호],O88,Table2[월],R88,Table2[근무일자],"&lt;="&amp;D88)</f>
        <v>11</v>
      </c>
      <c r="Z88" s="29">
        <f>COUNTIFS(Table2[주민등록번호],O88,Table2[주간],S88,Table2[근무일자],"&lt;="&amp;D88)</f>
        <v>5</v>
      </c>
      <c r="AA88" s="29">
        <f>SUMIFS(Table2[근로
시간],Table2[주민등록번호],O88,Table2[주간],S88,Table2[근무일자],"&lt;="&amp;D88)*24</f>
        <v>40</v>
      </c>
      <c r="AB88" s="29" t="str">
        <f>IF(AND(Y88&gt;=8,COUNTIFS(Table2[주민등록번호],O88,Table2[근무일자],"&gt;="&amp;EOMONTH(D88,-2)+1,Table2[근무일자],"&lt;="&amp;EOMONTH(D88,-1)+1)&gt;0),"V","")</f>
        <v>V</v>
      </c>
      <c r="AC88" s="94" cm="1">
        <f t="array" ref="AC88">IF(AD88&lt;&gt;"",AD88,_xlfn.XLOOKUP(1,(D88&lt;=Table7[End])*(E88=Table7[근무처])*(F88=Table7[업무]),Table7[시급],0,0))</f>
        <v>10680</v>
      </c>
      <c r="AD88" s="95"/>
      <c r="AE88" s="94">
        <f t="shared" si="18"/>
        <v>85440</v>
      </c>
      <c r="AF88" s="96" cm="1">
        <f t="array" ref="AF88">IF(AND(AA88&gt;=15,(AA88-U88*24)&lt;=40),IF(Z88&gt;=_xlfn.XLOOKUP(1,(D88&lt;=Table7[End])*(E88=Table7[근무처])*(F88=Table7[업무]),Table7[주휴적용일],0,0),1,0)+_xlfn.XLOOKUP(1,(Table2[주간]=Table2[[#This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88" s="96" cm="1">
        <f t="array" ref="AG88">MAX((_xlfn.IFS(AF88=0,0,AF88=1,AA88,AF88&gt;1,U88*24)-IF(AA88&gt;40,AA88-40,0))/5,0)</f>
        <v>1.6</v>
      </c>
      <c r="AH88" s="94">
        <f t="shared" si="19"/>
        <v>17088</v>
      </c>
      <c r="AI88" s="33" cm="1">
        <f t="array" ref="AI88">IF(W88="",0,ROUND(AC88*U88*24*_xlfn.XLOOKUP(1,(D88&lt;=Table7[End])*(E88=Table7[근무처])*(F88=Table7[업무]),Table7[휴일인센티브],0,0),0))</f>
        <v>0</v>
      </c>
      <c r="AJ88" s="94" cm="1">
        <f t="array" ref="AJ88">ROUND(AC88*IF(U88&gt;=8/24,U88-8/24,0)*24*_xlfn.XLOOKUP(1,(D88&lt;=Table7[End])*(E88=Table7[근무처])*(F88=Table7[업무]),Table7[야간인센티브],0,0),0)</f>
        <v>0</v>
      </c>
      <c r="AK88" s="94" cm="1">
        <f t="array" ref="AK88">IF(V88=0,0,ROUND(AC88*V88*24*_xlfn.XLOOKUP(1,(D88&lt;=Table7[End])*(E88=Table7[근무처])*(F88=Table7[업무]),Table7[야간인센티브],0,0),0))</f>
        <v>0</v>
      </c>
      <c r="AL88" s="95"/>
      <c r="AM88" s="94">
        <f t="shared" si="20"/>
        <v>102528</v>
      </c>
      <c r="AN88" s="94" cm="1">
        <f t="array" ref="AN88">IF(AM88&gt;=_xlfn.XLOOKUP(TRUE,D88&lt;=Table5[End],Table5[비과세소득기준],0,0),AM88-_xlfn.XLOOKUP(TRUE,D88&lt;=Table5[End],Table5[비과세소득기준],0,0),0)</f>
        <v>0</v>
      </c>
      <c r="AO88" s="94" cm="1">
        <f t="array" ref="AO88">ROUNDDOWN(_xlfn.LET(_xlpm.setvalue,_xlfn.XLOOKUP(TRUE,D88&lt;=Table5[End],Table5[[요율]:[근로소득세액공제]],0,0),_xlpm.tax,AN88*PRODUCT((_xlpm.setvalue-{0,1})*{1,-1}),_xlpm.threshold,_xlfn.XLOOKUP(TRUE,D88&lt;=Table5[End],Table5[소액부징수기준],0,0),IF(_xlpm.tax&gt;=_xlpm.threshold,_xlpm.tax,0)),-1)</f>
        <v>0</v>
      </c>
      <c r="AP88" s="94">
        <f>ROUNDDOWN(Table2[[#This Row],[소득세]]*10%,-1)</f>
        <v>0</v>
      </c>
      <c r="AQ88" s="94">
        <f>IF(AB88="v",AM88+IF(Y88=8,SUMIFS(Table2[지급총액],Table2[주민등록번호],O88,Table2[월],R88,Table2[월간
근무일],"&lt;="&amp;8)-AM88,0),0)+_xlfn.NUMBERVALUE(AR88)</f>
        <v>102528</v>
      </c>
      <c r="AR88" s="95"/>
      <c r="AS88" s="94" cm="1">
        <f t="array" ref="AS88">ROUNDDOWN($AQ88*_xlfn.XLOOKUP(1,(AS$5=Table8[Type])*($D88&lt;=Table8[End]),Table8[요율],0,0),0)</f>
        <v>3634</v>
      </c>
      <c r="AT88" s="94" cm="1">
        <f t="array" ref="AT88">ROUNDDOWN(AS88*_xlfn.XLOOKUP(1,(AT$5=Table8[Type])*($D88&lt;=Table8[End]),Table8[요율],0,0),-1)</f>
        <v>470</v>
      </c>
      <c r="AU88" s="94" cm="1">
        <f t="array" ref="AU88">ROUNDDOWN($AQ88*_xlfn.XLOOKUP(1,(AU$5=Table8[Type])*($D88&lt;=Table8[End]),Table8[요율],0,0),-1)</f>
        <v>4610</v>
      </c>
      <c r="AV88" s="94" cm="1">
        <f t="array" ref="AV88">ROUNDDOWN(AM88*_xlfn.XLOOKUP(1,(AV$5=Table8[Type])*($D88&lt;=Table8[End]),Table8[요율],0,0),-1)</f>
        <v>0</v>
      </c>
      <c r="AW88" s="94" cm="1">
        <f t="array" ref="AW88">_xlfn.XLOOKUP(1,(O88=Table2[주민등록번호])*(D88&gt;Table2[근무일자]),Table2[청구 Claim 
이월],0,0,-1)</f>
        <v>0</v>
      </c>
      <c r="AX88" s="95"/>
      <c r="AY88" s="94" cm="1">
        <f t="array" ref="AY88">MAX(SUM(AO88:AP88,AS88:AX88)-_xlfn.XLOOKUP(1,(D88&lt;=Table7[End])*(E88=Table7[근무처])*(F88=Table7[업무]),Table7[1일 공제 상한],0,0),0)</f>
        <v>0</v>
      </c>
      <c r="AZ88" s="94">
        <f t="shared" si="21"/>
        <v>8714</v>
      </c>
      <c r="BA88" s="94">
        <f t="shared" si="22"/>
        <v>93814</v>
      </c>
      <c r="BB88" s="97">
        <f t="shared" si="23"/>
        <v>0</v>
      </c>
      <c r="BC88" s="98"/>
      <c r="BD88" s="94">
        <f t="shared" si="24"/>
        <v>3634</v>
      </c>
      <c r="BE88" s="94">
        <f t="shared" si="25"/>
        <v>470</v>
      </c>
      <c r="BF88" s="94">
        <f t="shared" si="26"/>
        <v>4610</v>
      </c>
      <c r="BG88" s="94">
        <f t="shared" si="27"/>
        <v>0</v>
      </c>
      <c r="BH88" s="94" cm="1">
        <f t="array" ref="BH88">ROUNDDOWN(AM88*_xlfn.XLOOKUP(1,(BH$5=Table8[Type])*($D88&lt;=Table8[End]),Table8[요율],0,0),-1)</f>
        <v>820</v>
      </c>
      <c r="BI88" s="93" t="str" cm="1">
        <f t="array" ref="BI88">_xlfn.XLOOKUP(1,(D88&lt;=Table7[End])*(E88=Table7[근무처])*(F88=Table7[업무]),Table7[지급옵션],0,0)</f>
        <v>차주 화</v>
      </c>
      <c r="BJ88" s="83">
        <f>IF(BK88&lt;&gt;"",BK88,IFERROR(D88+_xlfn.NUMBERVALUE(RIGHT(BI88,1)),D88-WEEKDAY(D88)+CHOOSE(MATCH(RIGHT(BI88),{"일","월","화","수","목","금","토"},0),8,9,10,11,12,13,14)))</f>
        <v>45734</v>
      </c>
      <c r="BK88" s="99"/>
    </row>
    <row r="89" spans="2:63" x14ac:dyDescent="0.35">
      <c r="B89" s="20" t="str" cm="1">
        <f t="array" ref="B89">_xlfn.IFS(BB89&lt;&gt;BC89,"Claim확인",N89&lt;&gt;"OK","확인필요",TRUE,"")</f>
        <v/>
      </c>
      <c r="C89" s="21" t="str">
        <f t="shared" si="14"/>
        <v>010-6X1X-X3X0333X04XX46879</v>
      </c>
      <c r="D89" s="26">
        <v>45730</v>
      </c>
      <c r="E89" s="91" t="s">
        <v>255</v>
      </c>
      <c r="F89" s="25" t="s">
        <v>258</v>
      </c>
      <c r="G89" s="27" t="s">
        <v>284</v>
      </c>
      <c r="H89" s="25" t="s">
        <v>293</v>
      </c>
      <c r="I89" s="25"/>
      <c r="J89" s="25" t="s">
        <v>294</v>
      </c>
      <c r="K89" s="28">
        <v>0.3125</v>
      </c>
      <c r="L89" s="28">
        <v>0.6875</v>
      </c>
      <c r="M89" s="28">
        <v>4.1666666666666664E-2</v>
      </c>
      <c r="N89" s="25" t="s">
        <v>281</v>
      </c>
      <c r="O89" s="29" t="str">
        <f>_xlfn.XLOOKUP(Table2[[#This Row],[Key]],Table1[Key],Table1[주민등록번호],"",0)</f>
        <v>971XX61XX9X25</v>
      </c>
      <c r="P89" s="29">
        <f>_xlfn.XLOOKUP(Table2[[#This Row],[Key]],Table1[Key],Table1[비자],"",0)</f>
        <v>0</v>
      </c>
      <c r="Q89" s="29">
        <f>IF(P89=0,0,_xlfn.XLOOKUP(Table2[[#This Row],[Key]],Table1[Key],Table1[고용보험 여부],0,0))</f>
        <v>0</v>
      </c>
      <c r="R89" s="29" t="str">
        <f t="shared" si="15"/>
        <v>2503</v>
      </c>
      <c r="S89" s="30" t="str">
        <f>YEAR(Table2[[#This Row],[근무일자]])&amp;TEXT(WEEKNUM(Table2[[#This Row],[근무일자]]),"00")</f>
        <v>202511</v>
      </c>
      <c r="T89" s="31">
        <f>_xlfn.XLOOKUP(Table2[[#This Row],[Key]],Table1[Key],Table1[등록일],"",0)</f>
        <v>45721</v>
      </c>
      <c r="U89" s="32">
        <f t="shared" si="16"/>
        <v>0.33333333333333331</v>
      </c>
      <c r="V89" s="92">
        <f t="shared" si="17"/>
        <v>0</v>
      </c>
      <c r="W89" s="100" t="str">
        <f>_xlfn.XLOOKUP(Table2[[#This Row],[근무일자]],Table3[Date],Table3[Holiday],"",0)</f>
        <v/>
      </c>
      <c r="X89" s="93">
        <f>IF(D89&lt;&gt;"",1,0)+IF(COUNTIFS(Table2[주민등록번호],O89,Table2[월],TEXT(EOMONTH(D89,-1),"YYMM"))&gt;0,1+IF(COUNTIFS(Table2[주민등록번호],O89,Table2[월],TEXT(EOMONTH(D89,-2),"YYMM"))&gt;0,1+IF(COUNTIFS(Table2[주민등록번호],O89,Table2[월],TEXT(EOMONTH(D89,-3),"YYMM"))&gt;0,1,0),0),0)</f>
        <v>1</v>
      </c>
      <c r="Y89" s="29">
        <f>COUNTIFS(Table2[주민등록번호],O89,Table2[월],R89,Table2[근무일자],"&lt;="&amp;D89)</f>
        <v>4</v>
      </c>
      <c r="Z89" s="29">
        <f>COUNTIFS(Table2[주민등록번호],O89,Table2[주간],S89,Table2[근무일자],"&lt;="&amp;D89)</f>
        <v>1</v>
      </c>
      <c r="AA89" s="29">
        <f>SUMIFS(Table2[근로
시간],Table2[주민등록번호],O89,Table2[주간],S89,Table2[근무일자],"&lt;="&amp;D89)*24</f>
        <v>8</v>
      </c>
      <c r="AB89" s="29" t="str">
        <f>IF(AND(Y89&gt;=8,COUNTIFS(Table2[주민등록번호],O89,Table2[근무일자],"&gt;="&amp;EOMONTH(D89,-2)+1,Table2[근무일자],"&lt;="&amp;EOMONTH(D89,-1)+1)&gt;0),"V","")</f>
        <v/>
      </c>
      <c r="AC89" s="94" cm="1">
        <f t="array" ref="AC89">IF(AD89&lt;&gt;"",AD89,_xlfn.XLOOKUP(1,(D89&lt;=Table7[End])*(E89=Table7[근무처])*(F89=Table7[업무]),Table7[시급],0,0))</f>
        <v>10680</v>
      </c>
      <c r="AD89" s="95"/>
      <c r="AE89" s="94">
        <f t="shared" si="18"/>
        <v>85440</v>
      </c>
      <c r="AF89" s="96" cm="1">
        <f t="array" ref="AF89">IF(AND(AA89&gt;=15,(AA89-U89*24)&lt;=40),IF(Z89&gt;=_xlfn.XLOOKUP(1,(D89&lt;=Table7[End])*(E89=Table7[근무처])*(F89=Table7[업무]),Table7[주휴적용일],0,0),1,0)+_xlfn.XLOOKUP(1,(Table2[주간]=Table2[[#This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89" s="96" cm="1">
        <f t="array" ref="AG89">MAX((_xlfn.IFS(AF89=0,0,AF89=1,AA89,AF89&gt;1,U89*24)-IF(AA89&gt;40,AA89-40,0))/5,0)</f>
        <v>0</v>
      </c>
      <c r="AH89" s="94">
        <f t="shared" si="19"/>
        <v>0</v>
      </c>
      <c r="AI89" s="33" cm="1">
        <f t="array" ref="AI89">IF(W89="",0,ROUND(AC89*U89*24*_xlfn.XLOOKUP(1,(D89&lt;=Table7[End])*(E89=Table7[근무처])*(F89=Table7[업무]),Table7[휴일인센티브],0,0),0))</f>
        <v>0</v>
      </c>
      <c r="AJ89" s="94" cm="1">
        <f t="array" ref="AJ89">ROUND(AC89*IF(U89&gt;=8/24,U89-8/24,0)*24*_xlfn.XLOOKUP(1,(D89&lt;=Table7[End])*(E89=Table7[근무처])*(F89=Table7[업무]),Table7[야간인센티브],0,0),0)</f>
        <v>0</v>
      </c>
      <c r="AK89" s="94" cm="1">
        <f t="array" ref="AK89">IF(V89=0,0,ROUND(AC89*V89*24*_xlfn.XLOOKUP(1,(D89&lt;=Table7[End])*(E89=Table7[근무처])*(F89=Table7[업무]),Table7[야간인센티브],0,0),0))</f>
        <v>0</v>
      </c>
      <c r="AL89" s="95"/>
      <c r="AM89" s="94">
        <f t="shared" si="20"/>
        <v>85440</v>
      </c>
      <c r="AN89" s="94" cm="1">
        <f t="array" ref="AN89">IF(AM89&gt;=_xlfn.XLOOKUP(TRUE,D89&lt;=Table5[End],Table5[비과세소득기준],0,0),AM89-_xlfn.XLOOKUP(TRUE,D89&lt;=Table5[End],Table5[비과세소득기준],0,0),0)</f>
        <v>0</v>
      </c>
      <c r="AO89" s="94" cm="1">
        <f t="array" ref="AO89">ROUNDDOWN(_xlfn.LET(_xlpm.setvalue,_xlfn.XLOOKUP(TRUE,D89&lt;=Table5[End],Table5[[요율]:[근로소득세액공제]],0,0),_xlpm.tax,AN89*PRODUCT((_xlpm.setvalue-{0,1})*{1,-1}),_xlpm.threshold,_xlfn.XLOOKUP(TRUE,D89&lt;=Table5[End],Table5[소액부징수기준],0,0),IF(_xlpm.tax&gt;=_xlpm.threshold,_xlpm.tax,0)),-1)</f>
        <v>0</v>
      </c>
      <c r="AP89" s="94">
        <f>ROUNDDOWN(Table2[[#This Row],[소득세]]*10%,-1)</f>
        <v>0</v>
      </c>
      <c r="AQ89" s="94">
        <f>IF(AB89="v",AM89+IF(Y89=8,SUMIFS(Table2[지급총액],Table2[주민등록번호],O89,Table2[월],R89,Table2[월간
근무일],"&lt;="&amp;8)-AM89,0),0)+_xlfn.NUMBERVALUE(AR89)</f>
        <v>0</v>
      </c>
      <c r="AR89" s="95"/>
      <c r="AS89" s="94" cm="1">
        <f t="array" ref="AS89">ROUNDDOWN($AQ89*_xlfn.XLOOKUP(1,(AS$5=Table8[Type])*($D89&lt;=Table8[End]),Table8[요율],0,0),0)</f>
        <v>0</v>
      </c>
      <c r="AT89" s="94" cm="1">
        <f t="array" ref="AT89">ROUNDDOWN(AS89*_xlfn.XLOOKUP(1,(AT$5=Table8[Type])*($D89&lt;=Table8[End]),Table8[요율],0,0),-1)</f>
        <v>0</v>
      </c>
      <c r="AU89" s="94" cm="1">
        <f t="array" ref="AU89">ROUNDDOWN($AQ89*_xlfn.XLOOKUP(1,(AU$5=Table8[Type])*($D89&lt;=Table8[End]),Table8[요율],0,0),-1)</f>
        <v>0</v>
      </c>
      <c r="AV89" s="94" cm="1">
        <f t="array" ref="AV89">ROUNDDOWN(AM89*_xlfn.XLOOKUP(1,(AV$5=Table8[Type])*($D89&lt;=Table8[End]),Table8[요율],0,0),-1)</f>
        <v>0</v>
      </c>
      <c r="AW89" s="94" cm="1">
        <f t="array" ref="AW89">_xlfn.XLOOKUP(1,(O89=Table2[주민등록번호])*(D89&gt;Table2[근무일자]),Table2[청구 Claim 
이월],0,0,-1)</f>
        <v>0</v>
      </c>
      <c r="AX89" s="95"/>
      <c r="AY89" s="94" cm="1">
        <f t="array" ref="AY89">MAX(SUM(AO89:AP89,AS89:AX89)-_xlfn.XLOOKUP(1,(D89&lt;=Table7[End])*(E89=Table7[근무처])*(F89=Table7[업무]),Table7[1일 공제 상한],0,0),0)</f>
        <v>0</v>
      </c>
      <c r="AZ89" s="94">
        <f t="shared" si="21"/>
        <v>0</v>
      </c>
      <c r="BA89" s="94">
        <f t="shared" si="22"/>
        <v>85440</v>
      </c>
      <c r="BB89" s="97">
        <f t="shared" si="23"/>
        <v>0</v>
      </c>
      <c r="BC89" s="98"/>
      <c r="BD89" s="94">
        <f t="shared" si="24"/>
        <v>0</v>
      </c>
      <c r="BE89" s="94">
        <f t="shared" si="25"/>
        <v>0</v>
      </c>
      <c r="BF89" s="94">
        <f t="shared" si="26"/>
        <v>0</v>
      </c>
      <c r="BG89" s="94">
        <f t="shared" si="27"/>
        <v>0</v>
      </c>
      <c r="BH89" s="94" cm="1">
        <f t="array" ref="BH89">ROUNDDOWN(AM89*_xlfn.XLOOKUP(1,(BH$5=Table8[Type])*($D89&lt;=Table8[End]),Table8[요율],0,0),-1)</f>
        <v>680</v>
      </c>
      <c r="BI89" s="93" t="str" cm="1">
        <f t="array" ref="BI89">_xlfn.XLOOKUP(1,(D89&lt;=Table7[End])*(E89=Table7[근무처])*(F89=Table7[업무]),Table7[지급옵션],0,0)</f>
        <v>차주 화</v>
      </c>
      <c r="BJ89" s="83">
        <f>IF(BK89&lt;&gt;"",BK89,IFERROR(D89+_xlfn.NUMBERVALUE(RIGHT(BI89,1)),D89-WEEKDAY(D89)+CHOOSE(MATCH(RIGHT(BI89),{"일","월","화","수","목","금","토"},0),8,9,10,11,12,13,14)))</f>
        <v>45734</v>
      </c>
      <c r="BK89" s="99"/>
    </row>
    <row r="90" spans="2:63" x14ac:dyDescent="0.35">
      <c r="B90" s="20" t="str" cm="1">
        <f t="array" ref="B90">_xlfn.IFS(BB90&lt;&gt;BC90,"Claim확인",N90&lt;&gt;"OK","확인필요",TRUE,"")</f>
        <v/>
      </c>
      <c r="C90" s="21" t="str">
        <f t="shared" si="14"/>
        <v>010-5X8X-X4X0920X02XX253123</v>
      </c>
      <c r="D90" s="26">
        <v>45731</v>
      </c>
      <c r="E90" s="91" t="s">
        <v>255</v>
      </c>
      <c r="F90" s="25" t="s">
        <v>257</v>
      </c>
      <c r="G90" s="27" t="s">
        <v>288</v>
      </c>
      <c r="H90" s="25" t="s">
        <v>303</v>
      </c>
      <c r="I90" s="25"/>
      <c r="J90" s="25" t="s">
        <v>304</v>
      </c>
      <c r="K90" s="28">
        <v>0.45833333333333331</v>
      </c>
      <c r="L90" s="28">
        <v>0.83333333333333337</v>
      </c>
      <c r="M90" s="28">
        <v>4.1666666666666664E-2</v>
      </c>
      <c r="N90" s="25" t="s">
        <v>281</v>
      </c>
      <c r="O90" s="29" t="str">
        <f>_xlfn.XLOOKUP(Table2[[#This Row],[Key]],Table1[Key],Table1[주민등록번호],"",0)</f>
        <v>941XX31XX3X14</v>
      </c>
      <c r="P90" s="29">
        <f>_xlfn.XLOOKUP(Table2[[#This Row],[Key]],Table1[Key],Table1[비자],"",0)</f>
        <v>0</v>
      </c>
      <c r="Q90" s="29">
        <f>IF(P90=0,0,_xlfn.XLOOKUP(Table2[[#This Row],[Key]],Table1[Key],Table1[고용보험 여부],0,0))</f>
        <v>0</v>
      </c>
      <c r="R90" s="29" t="str">
        <f t="shared" si="15"/>
        <v>2503</v>
      </c>
      <c r="S90" s="30" t="str">
        <f>YEAR(Table2[[#This Row],[근무일자]])&amp;TEXT(WEEKNUM(Table2[[#This Row],[근무일자]]),"00")</f>
        <v>202511</v>
      </c>
      <c r="T90" s="31">
        <f>_xlfn.XLOOKUP(Table2[[#This Row],[Key]],Table1[Key],Table1[등록일],"",0)</f>
        <v>45846</v>
      </c>
      <c r="U90" s="32">
        <f t="shared" si="16"/>
        <v>0.33333333333333337</v>
      </c>
      <c r="V90" s="92">
        <f t="shared" si="17"/>
        <v>0</v>
      </c>
      <c r="W90" s="100" t="str">
        <f>_xlfn.XLOOKUP(Table2[[#This Row],[근무일자]],Table3[Date],Table3[Holiday],"",0)</f>
        <v/>
      </c>
      <c r="X90" s="93">
        <f>IF(D90&lt;&gt;"",1,0)+IF(COUNTIFS(Table2[주민등록번호],O90,Table2[월],TEXT(EOMONTH(D90,-1),"YYMM"))&gt;0,1+IF(COUNTIFS(Table2[주민등록번호],O90,Table2[월],TEXT(EOMONTH(D90,-2),"YYMM"))&gt;0,1+IF(COUNTIFS(Table2[주민등록번호],O90,Table2[월],TEXT(EOMONTH(D90,-3),"YYMM"))&gt;0,1,0),0),0)</f>
        <v>2</v>
      </c>
      <c r="Y90" s="29">
        <f>COUNTIFS(Table2[주민등록번호],O90,Table2[월],R90,Table2[근무일자],"&lt;="&amp;D90)</f>
        <v>9</v>
      </c>
      <c r="Z90" s="29">
        <f>COUNTIFS(Table2[주민등록번호],O90,Table2[주간],S90,Table2[근무일자],"&lt;="&amp;D90)</f>
        <v>4</v>
      </c>
      <c r="AA90" s="29">
        <f>SUMIFS(Table2[근로
시간],Table2[주민등록번호],O90,Table2[주간],S90,Table2[근무일자],"&lt;="&amp;D90)*24</f>
        <v>32</v>
      </c>
      <c r="AB90" s="29" t="str">
        <f>IF(AND(Y90&gt;=8,COUNTIFS(Table2[주민등록번호],O90,Table2[근무일자],"&gt;="&amp;EOMONTH(D90,-2)+1,Table2[근무일자],"&lt;="&amp;EOMONTH(D90,-1)+1)&gt;0),"V","")</f>
        <v>V</v>
      </c>
      <c r="AC90" s="94" cm="1">
        <f t="array" ref="AC90">IF(AD90&lt;&gt;"",AD90,_xlfn.XLOOKUP(1,(D90&lt;=Table7[End])*(E90=Table7[근무처])*(F90=Table7[업무]),Table7[시급],0,0))</f>
        <v>10030</v>
      </c>
      <c r="AD90" s="95"/>
      <c r="AE90" s="94">
        <f t="shared" si="18"/>
        <v>80240</v>
      </c>
      <c r="AF90" s="96" cm="1">
        <f t="array" ref="AF90">IF(AND(AA90&gt;=15,(AA90-U90*24)&lt;=40),IF(Z90&gt;=_xlfn.XLOOKUP(1,(D90&lt;=Table7[End])*(E90=Table7[근무처])*(F90=Table7[업무]),Table7[주휴적용일],0,0),1,0)+_xlfn.XLOOKUP(1,(Table2[주간]=Table2[[#This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90" s="96" cm="1">
        <f t="array" ref="AG90">MAX((_xlfn.IFS(AF90=0,0,AF90=1,AA90,AF90&gt;1,U90*24)-IF(AA90&gt;40,AA90-40,0))/5,0)</f>
        <v>1.6</v>
      </c>
      <c r="AH90" s="94">
        <f t="shared" si="19"/>
        <v>16048</v>
      </c>
      <c r="AI90" s="33" cm="1">
        <f t="array" ref="AI90">IF(W90="",0,ROUND(AC90*U90*24*_xlfn.XLOOKUP(1,(D90&lt;=Table7[End])*(E90=Table7[근무처])*(F90=Table7[업무]),Table7[휴일인센티브],0,0),0))</f>
        <v>0</v>
      </c>
      <c r="AJ90" s="94" cm="1">
        <f t="array" ref="AJ90">ROUND(AC90*IF(U90&gt;=8/24,U90-8/24,0)*24*_xlfn.XLOOKUP(1,(D90&lt;=Table7[End])*(E90=Table7[근무처])*(F90=Table7[업무]),Table7[야간인센티브],0,0),0)</f>
        <v>0</v>
      </c>
      <c r="AK90" s="94" cm="1">
        <f t="array" ref="AK90">IF(V90=0,0,ROUND(AC90*V90*24*_xlfn.XLOOKUP(1,(D90&lt;=Table7[End])*(E90=Table7[근무처])*(F90=Table7[업무]),Table7[야간인센티브],0,0),0))</f>
        <v>0</v>
      </c>
      <c r="AL90" s="95"/>
      <c r="AM90" s="94">
        <f t="shared" si="20"/>
        <v>96288</v>
      </c>
      <c r="AN90" s="94" cm="1">
        <f t="array" ref="AN90">IF(AM90&gt;=_xlfn.XLOOKUP(TRUE,D90&lt;=Table5[End],Table5[비과세소득기준],0,0),AM90-_xlfn.XLOOKUP(TRUE,D90&lt;=Table5[End],Table5[비과세소득기준],0,0),0)</f>
        <v>0</v>
      </c>
      <c r="AO90" s="94" cm="1">
        <f t="array" ref="AO90">ROUNDDOWN(_xlfn.LET(_xlpm.setvalue,_xlfn.XLOOKUP(TRUE,D90&lt;=Table5[End],Table5[[요율]:[근로소득세액공제]],0,0),_xlpm.tax,AN90*PRODUCT((_xlpm.setvalue-{0,1})*{1,-1}),_xlpm.threshold,_xlfn.XLOOKUP(TRUE,D90&lt;=Table5[End],Table5[소액부징수기준],0,0),IF(_xlpm.tax&gt;=_xlpm.threshold,_xlpm.tax,0)),-1)</f>
        <v>0</v>
      </c>
      <c r="AP90" s="94">
        <f>ROUNDDOWN(Table2[[#This Row],[소득세]]*10%,-1)</f>
        <v>0</v>
      </c>
      <c r="AQ90" s="94">
        <f>IF(AB90="v",AM90+IF(Y90=8,SUMIFS(Table2[지급총액],Table2[주민등록번호],O90,Table2[월],R90,Table2[월간
근무일],"&lt;="&amp;8)-AM90,0),0)+_xlfn.NUMBERVALUE(AR90)</f>
        <v>96288</v>
      </c>
      <c r="AR90" s="95"/>
      <c r="AS90" s="94" cm="1">
        <f t="array" ref="AS90">ROUNDDOWN($AQ90*_xlfn.XLOOKUP(1,(AS$5=Table8[Type])*($D90&lt;=Table8[End]),Table8[요율],0,0),0)</f>
        <v>3413</v>
      </c>
      <c r="AT90" s="94" cm="1">
        <f t="array" ref="AT90">ROUNDDOWN(AS90*_xlfn.XLOOKUP(1,(AT$5=Table8[Type])*($D90&lt;=Table8[End]),Table8[요율],0,0),-1)</f>
        <v>440</v>
      </c>
      <c r="AU90" s="94" cm="1">
        <f t="array" ref="AU90">ROUNDDOWN($AQ90*_xlfn.XLOOKUP(1,(AU$5=Table8[Type])*($D90&lt;=Table8[End]),Table8[요율],0,0),-1)</f>
        <v>4330</v>
      </c>
      <c r="AV90" s="94" cm="1">
        <f t="array" ref="AV90">ROUNDDOWN(AM90*_xlfn.XLOOKUP(1,(AV$5=Table8[Type])*($D90&lt;=Table8[End]),Table8[요율],0,0),-1)</f>
        <v>0</v>
      </c>
      <c r="AW90" s="94" cm="1">
        <f t="array" ref="AW90">_xlfn.XLOOKUP(1,(O90=Table2[주민등록번호])*(D90&gt;Table2[근무일자]),Table2[청구 Claim 
이월],0,0,-1)</f>
        <v>0</v>
      </c>
      <c r="AX90" s="95"/>
      <c r="AY90" s="94" cm="1">
        <f t="array" ref="AY90">MAX(SUM(AO90:AP90,AS90:AX90)-_xlfn.XLOOKUP(1,(D90&lt;=Table7[End])*(E90=Table7[근무처])*(F90=Table7[업무]),Table7[1일 공제 상한],0,0),0)</f>
        <v>0</v>
      </c>
      <c r="AZ90" s="94">
        <f t="shared" si="21"/>
        <v>8183</v>
      </c>
      <c r="BA90" s="94">
        <f t="shared" si="22"/>
        <v>88105</v>
      </c>
      <c r="BB90" s="97">
        <f t="shared" si="23"/>
        <v>0</v>
      </c>
      <c r="BC90" s="98"/>
      <c r="BD90" s="94">
        <f t="shared" si="24"/>
        <v>3413</v>
      </c>
      <c r="BE90" s="94">
        <f t="shared" si="25"/>
        <v>440</v>
      </c>
      <c r="BF90" s="94">
        <f t="shared" si="26"/>
        <v>4330</v>
      </c>
      <c r="BG90" s="94">
        <f t="shared" si="27"/>
        <v>0</v>
      </c>
      <c r="BH90" s="94" cm="1">
        <f t="array" ref="BH90">ROUNDDOWN(AM90*_xlfn.XLOOKUP(1,(BH$5=Table8[Type])*($D90&lt;=Table8[End]),Table8[요율],0,0),-1)</f>
        <v>770</v>
      </c>
      <c r="BI90" s="93" t="str" cm="1">
        <f t="array" ref="BI90">_xlfn.XLOOKUP(1,(D90&lt;=Table7[End])*(E90=Table7[근무처])*(F90=Table7[업무]),Table7[지급옵션],0,0)</f>
        <v>차주 화</v>
      </c>
      <c r="BJ90" s="83">
        <f>IF(BK90&lt;&gt;"",BK90,IFERROR(D90+_xlfn.NUMBERVALUE(RIGHT(BI90,1)),D90-WEEKDAY(D90)+CHOOSE(MATCH(RIGHT(BI90),{"일","월","화","수","목","금","토"},0),8,9,10,11,12,13,14)))</f>
        <v>45734</v>
      </c>
      <c r="BK90" s="99"/>
    </row>
    <row r="91" spans="2:63" x14ac:dyDescent="0.35">
      <c r="B91" s="20" t="str" cm="1">
        <f t="array" ref="B91">_xlfn.IFS(BB91&lt;&gt;BC91,"Claim확인",N91&lt;&gt;"OK","확인필요",TRUE,"")</f>
        <v/>
      </c>
      <c r="C91" s="21" t="str">
        <f t="shared" si="14"/>
        <v>010-5X8X-X4X0920X02XX253123</v>
      </c>
      <c r="D91" s="26">
        <v>45732</v>
      </c>
      <c r="E91" s="91" t="s">
        <v>255</v>
      </c>
      <c r="F91" s="25" t="s">
        <v>257</v>
      </c>
      <c r="G91" s="27" t="s">
        <v>288</v>
      </c>
      <c r="H91" s="25" t="s">
        <v>303</v>
      </c>
      <c r="I91" s="25"/>
      <c r="J91" s="25" t="s">
        <v>304</v>
      </c>
      <c r="K91" s="28">
        <v>0.45833333333333331</v>
      </c>
      <c r="L91" s="28">
        <v>0.83333333333333337</v>
      </c>
      <c r="M91" s="28">
        <v>4.1666666666666664E-2</v>
      </c>
      <c r="N91" s="25" t="s">
        <v>281</v>
      </c>
      <c r="O91" s="29" t="str">
        <f>_xlfn.XLOOKUP(Table2[[#This Row],[Key]],Table1[Key],Table1[주민등록번호],"",0)</f>
        <v>941XX31XX3X14</v>
      </c>
      <c r="P91" s="29">
        <f>_xlfn.XLOOKUP(Table2[[#This Row],[Key]],Table1[Key],Table1[비자],"",0)</f>
        <v>0</v>
      </c>
      <c r="Q91" s="29">
        <f>IF(P91=0,0,_xlfn.XLOOKUP(Table2[[#This Row],[Key]],Table1[Key],Table1[고용보험 여부],0,0))</f>
        <v>0</v>
      </c>
      <c r="R91" s="29" t="str">
        <f t="shared" si="15"/>
        <v>2503</v>
      </c>
      <c r="S91" s="30" t="str">
        <f>YEAR(Table2[[#This Row],[근무일자]])&amp;TEXT(WEEKNUM(Table2[[#This Row],[근무일자]]),"00")</f>
        <v>202512</v>
      </c>
      <c r="T91" s="31">
        <f>_xlfn.XLOOKUP(Table2[[#This Row],[Key]],Table1[Key],Table1[등록일],"",0)</f>
        <v>45846</v>
      </c>
      <c r="U91" s="32">
        <f t="shared" si="16"/>
        <v>0.33333333333333337</v>
      </c>
      <c r="V91" s="92">
        <f t="shared" si="17"/>
        <v>0</v>
      </c>
      <c r="W91" s="100" t="str">
        <f>_xlfn.XLOOKUP(Table2[[#This Row],[근무일자]],Table3[Date],Table3[Holiday],"",0)</f>
        <v/>
      </c>
      <c r="X91" s="93">
        <f>IF(D91&lt;&gt;"",1,0)+IF(COUNTIFS(Table2[주민등록번호],O91,Table2[월],TEXT(EOMONTH(D91,-1),"YYMM"))&gt;0,1+IF(COUNTIFS(Table2[주민등록번호],O91,Table2[월],TEXT(EOMONTH(D91,-2),"YYMM"))&gt;0,1+IF(COUNTIFS(Table2[주민등록번호],O91,Table2[월],TEXT(EOMONTH(D91,-3),"YYMM"))&gt;0,1,0),0),0)</f>
        <v>2</v>
      </c>
      <c r="Y91" s="29">
        <f>COUNTIFS(Table2[주민등록번호],O91,Table2[월],R91,Table2[근무일자],"&lt;="&amp;D91)</f>
        <v>10</v>
      </c>
      <c r="Z91" s="29">
        <f>COUNTIFS(Table2[주민등록번호],O91,Table2[주간],S91,Table2[근무일자],"&lt;="&amp;D91)</f>
        <v>1</v>
      </c>
      <c r="AA91" s="29">
        <f>SUMIFS(Table2[근로
시간],Table2[주민등록번호],O91,Table2[주간],S91,Table2[근무일자],"&lt;="&amp;D91)*24</f>
        <v>8</v>
      </c>
      <c r="AB91" s="29" t="str">
        <f>IF(AND(Y91&gt;=8,COUNTIFS(Table2[주민등록번호],O91,Table2[근무일자],"&gt;="&amp;EOMONTH(D91,-2)+1,Table2[근무일자],"&lt;="&amp;EOMONTH(D91,-1)+1)&gt;0),"V","")</f>
        <v>V</v>
      </c>
      <c r="AC91" s="94" cm="1">
        <f t="array" ref="AC91">IF(AD91&lt;&gt;"",AD91,_xlfn.XLOOKUP(1,(D91&lt;=Table7[End])*(E91=Table7[근무처])*(F91=Table7[업무]),Table7[시급],0,0))</f>
        <v>10030</v>
      </c>
      <c r="AD91" s="95"/>
      <c r="AE91" s="94">
        <f t="shared" si="18"/>
        <v>80240</v>
      </c>
      <c r="AF91" s="96" cm="1">
        <f t="array" ref="AF91">IF(AND(AA91&gt;=15,(AA91-U91*24)&lt;=40),IF(Z91&gt;=_xlfn.XLOOKUP(1,(D91&lt;=Table7[End])*(E91=Table7[근무처])*(F91=Table7[업무]),Table7[주휴적용일],0,0),1,0)+_xlfn.XLOOKUP(1,(Table2[주간]=Table2[[#This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91" s="96" cm="1">
        <f t="array" ref="AG91">MAX((_xlfn.IFS(AF91=0,0,AF91=1,AA91,AF91&gt;1,U91*24)-IF(AA91&gt;40,AA91-40,0))/5,0)</f>
        <v>0</v>
      </c>
      <c r="AH91" s="94">
        <f t="shared" si="19"/>
        <v>0</v>
      </c>
      <c r="AI91" s="33" cm="1">
        <f t="array" ref="AI91">IF(W91="",0,ROUND(AC91*U91*24*_xlfn.XLOOKUP(1,(D91&lt;=Table7[End])*(E91=Table7[근무처])*(F91=Table7[업무]),Table7[휴일인센티브],0,0),0))</f>
        <v>0</v>
      </c>
      <c r="AJ91" s="94" cm="1">
        <f t="array" ref="AJ91">ROUND(AC91*IF(U91&gt;=8/24,U91-8/24,0)*24*_xlfn.XLOOKUP(1,(D91&lt;=Table7[End])*(E91=Table7[근무처])*(F91=Table7[업무]),Table7[야간인센티브],0,0),0)</f>
        <v>0</v>
      </c>
      <c r="AK91" s="94" cm="1">
        <f t="array" ref="AK91">IF(V91=0,0,ROUND(AC91*V91*24*_xlfn.XLOOKUP(1,(D91&lt;=Table7[End])*(E91=Table7[근무처])*(F91=Table7[업무]),Table7[야간인센티브],0,0),0))</f>
        <v>0</v>
      </c>
      <c r="AL91" s="95"/>
      <c r="AM91" s="94">
        <f t="shared" si="20"/>
        <v>80240</v>
      </c>
      <c r="AN91" s="94" cm="1">
        <f t="array" ref="AN91">IF(AM91&gt;=_xlfn.XLOOKUP(TRUE,D91&lt;=Table5[End],Table5[비과세소득기준],0,0),AM91-_xlfn.XLOOKUP(TRUE,D91&lt;=Table5[End],Table5[비과세소득기준],0,0),0)</f>
        <v>0</v>
      </c>
      <c r="AO91" s="94" cm="1">
        <f t="array" ref="AO91">ROUNDDOWN(_xlfn.LET(_xlpm.setvalue,_xlfn.XLOOKUP(TRUE,D91&lt;=Table5[End],Table5[[요율]:[근로소득세액공제]],0,0),_xlpm.tax,AN91*PRODUCT((_xlpm.setvalue-{0,1})*{1,-1}),_xlpm.threshold,_xlfn.XLOOKUP(TRUE,D91&lt;=Table5[End],Table5[소액부징수기준],0,0),IF(_xlpm.tax&gt;=_xlpm.threshold,_xlpm.tax,0)),-1)</f>
        <v>0</v>
      </c>
      <c r="AP91" s="94">
        <f>ROUNDDOWN(Table2[[#This Row],[소득세]]*10%,-1)</f>
        <v>0</v>
      </c>
      <c r="AQ91" s="94">
        <f>IF(AB91="v",AM91+IF(Y91=8,SUMIFS(Table2[지급총액],Table2[주민등록번호],O91,Table2[월],R91,Table2[월간
근무일],"&lt;="&amp;8)-AM91,0),0)+_xlfn.NUMBERVALUE(AR91)</f>
        <v>80240</v>
      </c>
      <c r="AR91" s="95"/>
      <c r="AS91" s="94" cm="1">
        <f t="array" ref="AS91">ROUNDDOWN($AQ91*_xlfn.XLOOKUP(1,(AS$5=Table8[Type])*($D91&lt;=Table8[End]),Table8[요율],0,0),0)</f>
        <v>2844</v>
      </c>
      <c r="AT91" s="94" cm="1">
        <f t="array" ref="AT91">ROUNDDOWN(AS91*_xlfn.XLOOKUP(1,(AT$5=Table8[Type])*($D91&lt;=Table8[End]),Table8[요율],0,0),-1)</f>
        <v>360</v>
      </c>
      <c r="AU91" s="94" cm="1">
        <f t="array" ref="AU91">ROUNDDOWN($AQ91*_xlfn.XLOOKUP(1,(AU$5=Table8[Type])*($D91&lt;=Table8[End]),Table8[요율],0,0),-1)</f>
        <v>3610</v>
      </c>
      <c r="AV91" s="94" cm="1">
        <f t="array" ref="AV91">ROUNDDOWN(AM91*_xlfn.XLOOKUP(1,(AV$5=Table8[Type])*($D91&lt;=Table8[End]),Table8[요율],0,0),-1)</f>
        <v>0</v>
      </c>
      <c r="AW91" s="94" cm="1">
        <f t="array" ref="AW91">_xlfn.XLOOKUP(1,(O91=Table2[주민등록번호])*(D91&gt;Table2[근무일자]),Table2[청구 Claim 
이월],0,0,-1)</f>
        <v>0</v>
      </c>
      <c r="AX91" s="95"/>
      <c r="AY91" s="94" cm="1">
        <f t="array" ref="AY91">MAX(SUM(AO91:AP91,AS91:AX91)-_xlfn.XLOOKUP(1,(D91&lt;=Table7[End])*(E91=Table7[근무처])*(F91=Table7[업무]),Table7[1일 공제 상한],0,0),0)</f>
        <v>0</v>
      </c>
      <c r="AZ91" s="94">
        <f t="shared" si="21"/>
        <v>6814</v>
      </c>
      <c r="BA91" s="94">
        <f t="shared" si="22"/>
        <v>73426</v>
      </c>
      <c r="BB91" s="97">
        <f t="shared" si="23"/>
        <v>0</v>
      </c>
      <c r="BC91" s="98"/>
      <c r="BD91" s="94">
        <f t="shared" si="24"/>
        <v>2844</v>
      </c>
      <c r="BE91" s="94">
        <f t="shared" si="25"/>
        <v>360</v>
      </c>
      <c r="BF91" s="94">
        <f t="shared" si="26"/>
        <v>3610</v>
      </c>
      <c r="BG91" s="94">
        <f t="shared" si="27"/>
        <v>0</v>
      </c>
      <c r="BH91" s="94" cm="1">
        <f t="array" ref="BH91">ROUNDDOWN(AM91*_xlfn.XLOOKUP(1,(BH$5=Table8[Type])*($D91&lt;=Table8[End]),Table8[요율],0,0),-1)</f>
        <v>640</v>
      </c>
      <c r="BI91" s="93" t="str" cm="1">
        <f t="array" ref="BI91">_xlfn.XLOOKUP(1,(D91&lt;=Table7[End])*(E91=Table7[근무처])*(F91=Table7[업무]),Table7[지급옵션],0,0)</f>
        <v>차주 화</v>
      </c>
      <c r="BJ91" s="83">
        <f>IF(BK91&lt;&gt;"",BK91,IFERROR(D91+_xlfn.NUMBERVALUE(RIGHT(BI91,1)),D91-WEEKDAY(D91)+CHOOSE(MATCH(RIGHT(BI91),{"일","월","화","수","목","금","토"},0),8,9,10,11,12,13,14)))</f>
        <v>45741</v>
      </c>
      <c r="BK91" s="99"/>
    </row>
    <row r="92" spans="2:63" x14ac:dyDescent="0.35">
      <c r="B92" s="20" t="str" cm="1">
        <f t="array" ref="B92">_xlfn.IFS(BB92&lt;&gt;BC92,"Claim확인",N92&lt;&gt;"OK","확인필요",TRUE,"")</f>
        <v/>
      </c>
      <c r="C92" s="21" t="str">
        <f t="shared" si="14"/>
        <v>010-5X8X-X4X0920X02XX253123</v>
      </c>
      <c r="D92" s="26">
        <v>45733</v>
      </c>
      <c r="E92" s="91" t="s">
        <v>255</v>
      </c>
      <c r="F92" s="25" t="s">
        <v>257</v>
      </c>
      <c r="G92" s="27" t="s">
        <v>288</v>
      </c>
      <c r="H92" s="25" t="s">
        <v>303</v>
      </c>
      <c r="I92" s="25"/>
      <c r="J92" s="25" t="s">
        <v>304</v>
      </c>
      <c r="K92" s="28">
        <v>0.45833333333333331</v>
      </c>
      <c r="L92" s="28">
        <v>0.83333333333333337</v>
      </c>
      <c r="M92" s="28">
        <v>4.1666666666666664E-2</v>
      </c>
      <c r="N92" s="25" t="s">
        <v>281</v>
      </c>
      <c r="O92" s="29" t="str">
        <f>_xlfn.XLOOKUP(Table2[[#This Row],[Key]],Table1[Key],Table1[주민등록번호],"",0)</f>
        <v>941XX31XX3X14</v>
      </c>
      <c r="P92" s="29">
        <f>_xlfn.XLOOKUP(Table2[[#This Row],[Key]],Table1[Key],Table1[비자],"",0)</f>
        <v>0</v>
      </c>
      <c r="Q92" s="29">
        <f>IF(P92=0,0,_xlfn.XLOOKUP(Table2[[#This Row],[Key]],Table1[Key],Table1[고용보험 여부],0,0))</f>
        <v>0</v>
      </c>
      <c r="R92" s="29" t="str">
        <f t="shared" si="15"/>
        <v>2503</v>
      </c>
      <c r="S92" s="30" t="str">
        <f>YEAR(Table2[[#This Row],[근무일자]])&amp;TEXT(WEEKNUM(Table2[[#This Row],[근무일자]]),"00")</f>
        <v>202512</v>
      </c>
      <c r="T92" s="31">
        <f>_xlfn.XLOOKUP(Table2[[#This Row],[Key]],Table1[Key],Table1[등록일],"",0)</f>
        <v>45846</v>
      </c>
      <c r="U92" s="32">
        <f t="shared" si="16"/>
        <v>0.33333333333333337</v>
      </c>
      <c r="V92" s="92">
        <f t="shared" si="17"/>
        <v>0</v>
      </c>
      <c r="W92" s="100" t="str">
        <f>_xlfn.XLOOKUP(Table2[[#This Row],[근무일자]],Table3[Date],Table3[Holiday],"",0)</f>
        <v/>
      </c>
      <c r="X92" s="93">
        <f>IF(D92&lt;&gt;"",1,0)+IF(COUNTIFS(Table2[주민등록번호],O92,Table2[월],TEXT(EOMONTH(D92,-1),"YYMM"))&gt;0,1+IF(COUNTIFS(Table2[주민등록번호],O92,Table2[월],TEXT(EOMONTH(D92,-2),"YYMM"))&gt;0,1+IF(COUNTIFS(Table2[주민등록번호],O92,Table2[월],TEXT(EOMONTH(D92,-3),"YYMM"))&gt;0,1,0),0),0)</f>
        <v>2</v>
      </c>
      <c r="Y92" s="29">
        <f>COUNTIFS(Table2[주민등록번호],O92,Table2[월],R92,Table2[근무일자],"&lt;="&amp;D92)</f>
        <v>11</v>
      </c>
      <c r="Z92" s="29">
        <f>COUNTIFS(Table2[주민등록번호],O92,Table2[주간],S92,Table2[근무일자],"&lt;="&amp;D92)</f>
        <v>2</v>
      </c>
      <c r="AA92" s="29">
        <f>SUMIFS(Table2[근로
시간],Table2[주민등록번호],O92,Table2[주간],S92,Table2[근무일자],"&lt;="&amp;D92)*24</f>
        <v>16</v>
      </c>
      <c r="AB92" s="29" t="str">
        <f>IF(AND(Y92&gt;=8,COUNTIFS(Table2[주민등록번호],O92,Table2[근무일자],"&gt;="&amp;EOMONTH(D92,-2)+1,Table2[근무일자],"&lt;="&amp;EOMONTH(D92,-1)+1)&gt;0),"V","")</f>
        <v>V</v>
      </c>
      <c r="AC92" s="94" cm="1">
        <f t="array" ref="AC92">IF(AD92&lt;&gt;"",AD92,_xlfn.XLOOKUP(1,(D92&lt;=Table7[End])*(E92=Table7[근무처])*(F92=Table7[업무]),Table7[시급],0,0))</f>
        <v>10030</v>
      </c>
      <c r="AD92" s="95"/>
      <c r="AE92" s="94">
        <f t="shared" si="18"/>
        <v>80240</v>
      </c>
      <c r="AF92" s="96" cm="1">
        <f t="array" ref="AF92">IF(AND(AA92&gt;=15,(AA92-U92*24)&lt;=40),IF(Z92&gt;=_xlfn.XLOOKUP(1,(D92&lt;=Table7[End])*(E92=Table7[근무처])*(F92=Table7[업무]),Table7[주휴적용일],0,0),1,0)+_xlfn.XLOOKUP(1,(Table2[주간]=Table2[[#This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92" s="96" cm="1">
        <f t="array" ref="AG92">MAX((_xlfn.IFS(AF92=0,0,AF92=1,AA92,AF92&gt;1,U92*24)-IF(AA92&gt;40,AA92-40,0))/5,0)</f>
        <v>3.2</v>
      </c>
      <c r="AH92" s="94">
        <f t="shared" si="19"/>
        <v>32096</v>
      </c>
      <c r="AI92" s="33" cm="1">
        <f t="array" ref="AI92">IF(W92="",0,ROUND(AC92*U92*24*_xlfn.XLOOKUP(1,(D92&lt;=Table7[End])*(E92=Table7[근무처])*(F92=Table7[업무]),Table7[휴일인센티브],0,0),0))</f>
        <v>0</v>
      </c>
      <c r="AJ92" s="94" cm="1">
        <f t="array" ref="AJ92">ROUND(AC92*IF(U92&gt;=8/24,U92-8/24,0)*24*_xlfn.XLOOKUP(1,(D92&lt;=Table7[End])*(E92=Table7[근무처])*(F92=Table7[업무]),Table7[야간인센티브],0,0),0)</f>
        <v>0</v>
      </c>
      <c r="AK92" s="94" cm="1">
        <f t="array" ref="AK92">IF(V92=0,0,ROUND(AC92*V92*24*_xlfn.XLOOKUP(1,(D92&lt;=Table7[End])*(E92=Table7[근무처])*(F92=Table7[업무]),Table7[야간인센티브],0,0),0))</f>
        <v>0</v>
      </c>
      <c r="AL92" s="95"/>
      <c r="AM92" s="94">
        <f t="shared" si="20"/>
        <v>112336</v>
      </c>
      <c r="AN92" s="94" cm="1">
        <f t="array" ref="AN92">IF(AM92&gt;=_xlfn.XLOOKUP(TRUE,D92&lt;=Table5[End],Table5[비과세소득기준],0,0),AM92-_xlfn.XLOOKUP(TRUE,D92&lt;=Table5[End],Table5[비과세소득기준],0,0),0)</f>
        <v>0</v>
      </c>
      <c r="AO92" s="94" cm="1">
        <f t="array" ref="AO92">ROUNDDOWN(_xlfn.LET(_xlpm.setvalue,_xlfn.XLOOKUP(TRUE,D92&lt;=Table5[End],Table5[[요율]:[근로소득세액공제]],0,0),_xlpm.tax,AN92*PRODUCT((_xlpm.setvalue-{0,1})*{1,-1}),_xlpm.threshold,_xlfn.XLOOKUP(TRUE,D92&lt;=Table5[End],Table5[소액부징수기준],0,0),IF(_xlpm.tax&gt;=_xlpm.threshold,_xlpm.tax,0)),-1)</f>
        <v>0</v>
      </c>
      <c r="AP92" s="94">
        <f>ROUNDDOWN(Table2[[#This Row],[소득세]]*10%,-1)</f>
        <v>0</v>
      </c>
      <c r="AQ92" s="94">
        <f>IF(AB92="v",AM92+IF(Y92=8,SUMIFS(Table2[지급총액],Table2[주민등록번호],O92,Table2[월],R92,Table2[월간
근무일],"&lt;="&amp;8)-AM92,0),0)+_xlfn.NUMBERVALUE(AR92)</f>
        <v>112336</v>
      </c>
      <c r="AR92" s="95"/>
      <c r="AS92" s="94" cm="1">
        <f t="array" ref="AS92">ROUNDDOWN($AQ92*_xlfn.XLOOKUP(1,(AS$5=Table8[Type])*($D92&lt;=Table8[End]),Table8[요율],0,0),0)</f>
        <v>3982</v>
      </c>
      <c r="AT92" s="94" cm="1">
        <f t="array" ref="AT92">ROUNDDOWN(AS92*_xlfn.XLOOKUP(1,(AT$5=Table8[Type])*($D92&lt;=Table8[End]),Table8[요율],0,0),-1)</f>
        <v>510</v>
      </c>
      <c r="AU92" s="94" cm="1">
        <f t="array" ref="AU92">ROUNDDOWN($AQ92*_xlfn.XLOOKUP(1,(AU$5=Table8[Type])*($D92&lt;=Table8[End]),Table8[요율],0,0),-1)</f>
        <v>5050</v>
      </c>
      <c r="AV92" s="94" cm="1">
        <f t="array" ref="AV92">ROUNDDOWN(AM92*_xlfn.XLOOKUP(1,(AV$5=Table8[Type])*($D92&lt;=Table8[End]),Table8[요율],0,0),-1)</f>
        <v>0</v>
      </c>
      <c r="AW92" s="94" cm="1">
        <f t="array" ref="AW92">_xlfn.XLOOKUP(1,(O92=Table2[주민등록번호])*(D92&gt;Table2[근무일자]),Table2[청구 Claim 
이월],0,0,-1)</f>
        <v>0</v>
      </c>
      <c r="AX92" s="95"/>
      <c r="AY92" s="94" cm="1">
        <f t="array" ref="AY92">MAX(SUM(AO92:AP92,AS92:AX92)-_xlfn.XLOOKUP(1,(D92&lt;=Table7[End])*(E92=Table7[근무처])*(F92=Table7[업무]),Table7[1일 공제 상한],0,0),0)</f>
        <v>0</v>
      </c>
      <c r="AZ92" s="94">
        <f t="shared" si="21"/>
        <v>9542</v>
      </c>
      <c r="BA92" s="94">
        <f t="shared" si="22"/>
        <v>102794</v>
      </c>
      <c r="BB92" s="97">
        <f t="shared" si="23"/>
        <v>0</v>
      </c>
      <c r="BC92" s="98"/>
      <c r="BD92" s="94">
        <f t="shared" si="24"/>
        <v>3982</v>
      </c>
      <c r="BE92" s="94">
        <f t="shared" si="25"/>
        <v>510</v>
      </c>
      <c r="BF92" s="94">
        <f t="shared" si="26"/>
        <v>5050</v>
      </c>
      <c r="BG92" s="94">
        <f t="shared" si="27"/>
        <v>0</v>
      </c>
      <c r="BH92" s="94" cm="1">
        <f t="array" ref="BH92">ROUNDDOWN(AM92*_xlfn.XLOOKUP(1,(BH$5=Table8[Type])*($D92&lt;=Table8[End]),Table8[요율],0,0),-1)</f>
        <v>890</v>
      </c>
      <c r="BI92" s="93" t="str" cm="1">
        <f t="array" ref="BI92">_xlfn.XLOOKUP(1,(D92&lt;=Table7[End])*(E92=Table7[근무처])*(F92=Table7[업무]),Table7[지급옵션],0,0)</f>
        <v>차주 화</v>
      </c>
      <c r="BJ92" s="83">
        <f>IF(BK92&lt;&gt;"",BK92,IFERROR(D92+_xlfn.NUMBERVALUE(RIGHT(BI92,1)),D92-WEEKDAY(D92)+CHOOSE(MATCH(RIGHT(BI92),{"일","월","화","수","목","금","토"},0),8,9,10,11,12,13,14)))</f>
        <v>45741</v>
      </c>
      <c r="BK92" s="99"/>
    </row>
    <row r="93" spans="2:63" x14ac:dyDescent="0.35">
      <c r="B93" s="20" t="str" cm="1">
        <f t="array" ref="B93">_xlfn.IFS(BB93&lt;&gt;BC93,"Claim확인",N93&lt;&gt;"OK","확인필요",TRUE,"")</f>
        <v/>
      </c>
      <c r="C93" s="21" t="str">
        <f t="shared" si="14"/>
        <v>010-6X1X-X3X0333X04XX46879</v>
      </c>
      <c r="D93" s="26">
        <v>45734</v>
      </c>
      <c r="E93" s="91" t="s">
        <v>255</v>
      </c>
      <c r="F93" s="25" t="s">
        <v>258</v>
      </c>
      <c r="G93" s="27" t="s">
        <v>284</v>
      </c>
      <c r="H93" s="25" t="s">
        <v>293</v>
      </c>
      <c r="I93" s="25"/>
      <c r="J93" s="25" t="s">
        <v>294</v>
      </c>
      <c r="K93" s="28">
        <v>0.3125</v>
      </c>
      <c r="L93" s="28">
        <v>0.6875</v>
      </c>
      <c r="M93" s="28">
        <v>4.1666666666666664E-2</v>
      </c>
      <c r="N93" s="25" t="s">
        <v>281</v>
      </c>
      <c r="O93" s="29" t="str">
        <f>_xlfn.XLOOKUP(Table2[[#This Row],[Key]],Table1[Key],Table1[주민등록번호],"",0)</f>
        <v>971XX61XX9X25</v>
      </c>
      <c r="P93" s="29">
        <f>_xlfn.XLOOKUP(Table2[[#This Row],[Key]],Table1[Key],Table1[비자],"",0)</f>
        <v>0</v>
      </c>
      <c r="Q93" s="29">
        <f>IF(P93=0,0,_xlfn.XLOOKUP(Table2[[#This Row],[Key]],Table1[Key],Table1[고용보험 여부],0,0))</f>
        <v>0</v>
      </c>
      <c r="R93" s="29" t="str">
        <f t="shared" si="15"/>
        <v>2503</v>
      </c>
      <c r="S93" s="30" t="str">
        <f>YEAR(Table2[[#This Row],[근무일자]])&amp;TEXT(WEEKNUM(Table2[[#This Row],[근무일자]]),"00")</f>
        <v>202512</v>
      </c>
      <c r="T93" s="31">
        <f>_xlfn.XLOOKUP(Table2[[#This Row],[Key]],Table1[Key],Table1[등록일],"",0)</f>
        <v>45721</v>
      </c>
      <c r="U93" s="32">
        <f t="shared" si="16"/>
        <v>0.33333333333333331</v>
      </c>
      <c r="V93" s="92">
        <f t="shared" si="17"/>
        <v>0</v>
      </c>
      <c r="W93" s="100" t="str">
        <f>_xlfn.XLOOKUP(Table2[[#This Row],[근무일자]],Table3[Date],Table3[Holiday],"",0)</f>
        <v/>
      </c>
      <c r="X93" s="93">
        <f>IF(D93&lt;&gt;"",1,0)+IF(COUNTIFS(Table2[주민등록번호],O93,Table2[월],TEXT(EOMONTH(D93,-1),"YYMM"))&gt;0,1+IF(COUNTIFS(Table2[주민등록번호],O93,Table2[월],TEXT(EOMONTH(D93,-2),"YYMM"))&gt;0,1+IF(COUNTIFS(Table2[주민등록번호],O93,Table2[월],TEXT(EOMONTH(D93,-3),"YYMM"))&gt;0,1,0),0),0)</f>
        <v>1</v>
      </c>
      <c r="Y93" s="29">
        <f>COUNTIFS(Table2[주민등록번호],O93,Table2[월],R93,Table2[근무일자],"&lt;="&amp;D93)</f>
        <v>5</v>
      </c>
      <c r="Z93" s="29">
        <f>COUNTIFS(Table2[주민등록번호],O93,Table2[주간],S93,Table2[근무일자],"&lt;="&amp;D93)</f>
        <v>1</v>
      </c>
      <c r="AA93" s="29">
        <f>SUMIFS(Table2[근로
시간],Table2[주민등록번호],O93,Table2[주간],S93,Table2[근무일자],"&lt;="&amp;D93)*24</f>
        <v>8</v>
      </c>
      <c r="AB93" s="29" t="str">
        <f>IF(AND(Y93&gt;=8,COUNTIFS(Table2[주민등록번호],O93,Table2[근무일자],"&gt;="&amp;EOMONTH(D93,-2)+1,Table2[근무일자],"&lt;="&amp;EOMONTH(D93,-1)+1)&gt;0),"V","")</f>
        <v/>
      </c>
      <c r="AC93" s="94" cm="1">
        <f t="array" ref="AC93">IF(AD93&lt;&gt;"",AD93,_xlfn.XLOOKUP(1,(D93&lt;=Table7[End])*(E93=Table7[근무처])*(F93=Table7[업무]),Table7[시급],0,0))</f>
        <v>10680</v>
      </c>
      <c r="AD93" s="95"/>
      <c r="AE93" s="94">
        <f t="shared" si="18"/>
        <v>85440</v>
      </c>
      <c r="AF93" s="96" cm="1">
        <f t="array" ref="AF93">IF(AND(AA93&gt;=15,(AA93-U93*24)&lt;=40),IF(Z93&gt;=_xlfn.XLOOKUP(1,(D93&lt;=Table7[End])*(E93=Table7[근무처])*(F93=Table7[업무]),Table7[주휴적용일],0,0),1,0)+_xlfn.XLOOKUP(1,(Table2[주간]=Table2[[#This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93" s="96" cm="1">
        <f t="array" ref="AG93">MAX((_xlfn.IFS(AF93=0,0,AF93=1,AA93,AF93&gt;1,U93*24)-IF(AA93&gt;40,AA93-40,0))/5,0)</f>
        <v>0</v>
      </c>
      <c r="AH93" s="94">
        <f t="shared" si="19"/>
        <v>0</v>
      </c>
      <c r="AI93" s="33" cm="1">
        <f t="array" ref="AI93">IF(W93="",0,ROUND(AC93*U93*24*_xlfn.XLOOKUP(1,(D93&lt;=Table7[End])*(E93=Table7[근무처])*(F93=Table7[업무]),Table7[휴일인센티브],0,0),0))</f>
        <v>0</v>
      </c>
      <c r="AJ93" s="94" cm="1">
        <f t="array" ref="AJ93">ROUND(AC93*IF(U93&gt;=8/24,U93-8/24,0)*24*_xlfn.XLOOKUP(1,(D93&lt;=Table7[End])*(E93=Table7[근무처])*(F93=Table7[업무]),Table7[야간인센티브],0,0),0)</f>
        <v>0</v>
      </c>
      <c r="AK93" s="94" cm="1">
        <f t="array" ref="AK93">IF(V93=0,0,ROUND(AC93*V93*24*_xlfn.XLOOKUP(1,(D93&lt;=Table7[End])*(E93=Table7[근무처])*(F93=Table7[업무]),Table7[야간인센티브],0,0),0))</f>
        <v>0</v>
      </c>
      <c r="AL93" s="95"/>
      <c r="AM93" s="94">
        <f t="shared" si="20"/>
        <v>85440</v>
      </c>
      <c r="AN93" s="94" cm="1">
        <f t="array" ref="AN93">IF(AM93&gt;=_xlfn.XLOOKUP(TRUE,D93&lt;=Table5[End],Table5[비과세소득기준],0,0),AM93-_xlfn.XLOOKUP(TRUE,D93&lt;=Table5[End],Table5[비과세소득기준],0,0),0)</f>
        <v>0</v>
      </c>
      <c r="AO93" s="94" cm="1">
        <f t="array" ref="AO93">ROUNDDOWN(_xlfn.LET(_xlpm.setvalue,_xlfn.XLOOKUP(TRUE,D93&lt;=Table5[End],Table5[[요율]:[근로소득세액공제]],0,0),_xlpm.tax,AN93*PRODUCT((_xlpm.setvalue-{0,1})*{1,-1}),_xlpm.threshold,_xlfn.XLOOKUP(TRUE,D93&lt;=Table5[End],Table5[소액부징수기준],0,0),IF(_xlpm.tax&gt;=_xlpm.threshold,_xlpm.tax,0)),-1)</f>
        <v>0</v>
      </c>
      <c r="AP93" s="94">
        <f>ROUNDDOWN(Table2[[#This Row],[소득세]]*10%,-1)</f>
        <v>0</v>
      </c>
      <c r="AQ93" s="94">
        <f>IF(AB93="v",AM93+IF(Y93=8,SUMIFS(Table2[지급총액],Table2[주민등록번호],O93,Table2[월],R93,Table2[월간
근무일],"&lt;="&amp;8)-AM93,0),0)+_xlfn.NUMBERVALUE(AR93)</f>
        <v>0</v>
      </c>
      <c r="AR93" s="95"/>
      <c r="AS93" s="94" cm="1">
        <f t="array" ref="AS93">ROUNDDOWN($AQ93*_xlfn.XLOOKUP(1,(AS$5=Table8[Type])*($D93&lt;=Table8[End]),Table8[요율],0,0),0)</f>
        <v>0</v>
      </c>
      <c r="AT93" s="94" cm="1">
        <f t="array" ref="AT93">ROUNDDOWN(AS93*_xlfn.XLOOKUP(1,(AT$5=Table8[Type])*($D93&lt;=Table8[End]),Table8[요율],0,0),-1)</f>
        <v>0</v>
      </c>
      <c r="AU93" s="94" cm="1">
        <f t="array" ref="AU93">ROUNDDOWN($AQ93*_xlfn.XLOOKUP(1,(AU$5=Table8[Type])*($D93&lt;=Table8[End]),Table8[요율],0,0),-1)</f>
        <v>0</v>
      </c>
      <c r="AV93" s="94" cm="1">
        <f t="array" ref="AV93">ROUNDDOWN(AM93*_xlfn.XLOOKUP(1,(AV$5=Table8[Type])*($D93&lt;=Table8[End]),Table8[요율],0,0),-1)</f>
        <v>0</v>
      </c>
      <c r="AW93" s="94" cm="1">
        <f t="array" ref="AW93">_xlfn.XLOOKUP(1,(O93=Table2[주민등록번호])*(D93&gt;Table2[근무일자]),Table2[청구 Claim 
이월],0,0,-1)</f>
        <v>0</v>
      </c>
      <c r="AX93" s="95"/>
      <c r="AY93" s="94" cm="1">
        <f t="array" ref="AY93">MAX(SUM(AO93:AP93,AS93:AX93)-_xlfn.XLOOKUP(1,(D93&lt;=Table7[End])*(E93=Table7[근무처])*(F93=Table7[업무]),Table7[1일 공제 상한],0,0),0)</f>
        <v>0</v>
      </c>
      <c r="AZ93" s="94">
        <f t="shared" si="21"/>
        <v>0</v>
      </c>
      <c r="BA93" s="94">
        <f t="shared" si="22"/>
        <v>85440</v>
      </c>
      <c r="BB93" s="97">
        <f t="shared" si="23"/>
        <v>0</v>
      </c>
      <c r="BC93" s="98"/>
      <c r="BD93" s="94">
        <f t="shared" si="24"/>
        <v>0</v>
      </c>
      <c r="BE93" s="94">
        <f t="shared" si="25"/>
        <v>0</v>
      </c>
      <c r="BF93" s="94">
        <f t="shared" si="26"/>
        <v>0</v>
      </c>
      <c r="BG93" s="94">
        <f t="shared" si="27"/>
        <v>0</v>
      </c>
      <c r="BH93" s="94" cm="1">
        <f t="array" ref="BH93">ROUNDDOWN(AM93*_xlfn.XLOOKUP(1,(BH$5=Table8[Type])*($D93&lt;=Table8[End]),Table8[요율],0,0),-1)</f>
        <v>680</v>
      </c>
      <c r="BI93" s="93" t="str" cm="1">
        <f t="array" ref="BI93">_xlfn.XLOOKUP(1,(D93&lt;=Table7[End])*(E93=Table7[근무처])*(F93=Table7[업무]),Table7[지급옵션],0,0)</f>
        <v>차주 화</v>
      </c>
      <c r="BJ93" s="83">
        <f>IF(BK93&lt;&gt;"",BK93,IFERROR(D93+_xlfn.NUMBERVALUE(RIGHT(BI93,1)),D93-WEEKDAY(D93)+CHOOSE(MATCH(RIGHT(BI93),{"일","월","화","수","목","금","토"},0),8,9,10,11,12,13,14)))</f>
        <v>45741</v>
      </c>
      <c r="BK93" s="99"/>
    </row>
    <row r="94" spans="2:63" x14ac:dyDescent="0.35">
      <c r="B94" s="20" t="str" cm="1">
        <f t="array" ref="B94">_xlfn.IFS(BB94&lt;&gt;BC94,"Claim확인",N94&lt;&gt;"OK","확인필요",TRUE,"")</f>
        <v/>
      </c>
      <c r="C94" s="21" t="str">
        <f t="shared" si="14"/>
        <v>010-6X1X-X3X0333X04XX46879</v>
      </c>
      <c r="D94" s="26">
        <v>45735</v>
      </c>
      <c r="E94" s="91" t="s">
        <v>255</v>
      </c>
      <c r="F94" s="25" t="s">
        <v>258</v>
      </c>
      <c r="G94" s="27" t="s">
        <v>284</v>
      </c>
      <c r="H94" s="25" t="s">
        <v>293</v>
      </c>
      <c r="I94" s="25"/>
      <c r="J94" s="25" t="s">
        <v>294</v>
      </c>
      <c r="K94" s="28">
        <v>0.3125</v>
      </c>
      <c r="L94" s="28">
        <v>0.6875</v>
      </c>
      <c r="M94" s="28">
        <v>4.1666666666666664E-2</v>
      </c>
      <c r="N94" s="25" t="s">
        <v>281</v>
      </c>
      <c r="O94" s="29" t="str">
        <f>_xlfn.XLOOKUP(Table2[[#This Row],[Key]],Table1[Key],Table1[주민등록번호],"",0)</f>
        <v>971XX61XX9X25</v>
      </c>
      <c r="P94" s="29">
        <f>_xlfn.XLOOKUP(Table2[[#This Row],[Key]],Table1[Key],Table1[비자],"",0)</f>
        <v>0</v>
      </c>
      <c r="Q94" s="29">
        <f>IF(P94=0,0,_xlfn.XLOOKUP(Table2[[#This Row],[Key]],Table1[Key],Table1[고용보험 여부],0,0))</f>
        <v>0</v>
      </c>
      <c r="R94" s="29" t="str">
        <f t="shared" si="15"/>
        <v>2503</v>
      </c>
      <c r="S94" s="30" t="str">
        <f>YEAR(Table2[[#This Row],[근무일자]])&amp;TEXT(WEEKNUM(Table2[[#This Row],[근무일자]]),"00")</f>
        <v>202512</v>
      </c>
      <c r="T94" s="31">
        <f>_xlfn.XLOOKUP(Table2[[#This Row],[Key]],Table1[Key],Table1[등록일],"",0)</f>
        <v>45721</v>
      </c>
      <c r="U94" s="32">
        <f t="shared" si="16"/>
        <v>0.33333333333333331</v>
      </c>
      <c r="V94" s="92">
        <f t="shared" si="17"/>
        <v>0</v>
      </c>
      <c r="W94" s="100" t="str">
        <f>_xlfn.XLOOKUP(Table2[[#This Row],[근무일자]],Table3[Date],Table3[Holiday],"",0)</f>
        <v/>
      </c>
      <c r="X94" s="93">
        <f>IF(D94&lt;&gt;"",1,0)+IF(COUNTIFS(Table2[주민등록번호],O94,Table2[월],TEXT(EOMONTH(D94,-1),"YYMM"))&gt;0,1+IF(COUNTIFS(Table2[주민등록번호],O94,Table2[월],TEXT(EOMONTH(D94,-2),"YYMM"))&gt;0,1+IF(COUNTIFS(Table2[주민등록번호],O94,Table2[월],TEXT(EOMONTH(D94,-3),"YYMM"))&gt;0,1,0),0),0)</f>
        <v>1</v>
      </c>
      <c r="Y94" s="29">
        <f>COUNTIFS(Table2[주민등록번호],O94,Table2[월],R94,Table2[근무일자],"&lt;="&amp;D94)</f>
        <v>6</v>
      </c>
      <c r="Z94" s="29">
        <f>COUNTIFS(Table2[주민등록번호],O94,Table2[주간],S94,Table2[근무일자],"&lt;="&amp;D94)</f>
        <v>2</v>
      </c>
      <c r="AA94" s="29">
        <f>SUMIFS(Table2[근로
시간],Table2[주민등록번호],O94,Table2[주간],S94,Table2[근무일자],"&lt;="&amp;D94)*24</f>
        <v>16</v>
      </c>
      <c r="AB94" s="29" t="str">
        <f>IF(AND(Y94&gt;=8,COUNTIFS(Table2[주민등록번호],O94,Table2[근무일자],"&gt;="&amp;EOMONTH(D94,-2)+1,Table2[근무일자],"&lt;="&amp;EOMONTH(D94,-1)+1)&gt;0),"V","")</f>
        <v/>
      </c>
      <c r="AC94" s="94" cm="1">
        <f t="array" ref="AC94">IF(AD94&lt;&gt;"",AD94,_xlfn.XLOOKUP(1,(D94&lt;=Table7[End])*(E94=Table7[근무처])*(F94=Table7[업무]),Table7[시급],0,0))</f>
        <v>10680</v>
      </c>
      <c r="AD94" s="95"/>
      <c r="AE94" s="94">
        <f t="shared" si="18"/>
        <v>85440</v>
      </c>
      <c r="AF94" s="96" cm="1">
        <f t="array" ref="AF94">IF(AND(AA94&gt;=15,(AA94-U94*24)&lt;=40),IF(Z94&gt;=_xlfn.XLOOKUP(1,(D94&lt;=Table7[End])*(E94=Table7[근무처])*(F94=Table7[업무]),Table7[주휴적용일],0,0),1,0)+_xlfn.XLOOKUP(1,(Table2[주간]=Table2[[#This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94" s="96" cm="1">
        <f t="array" ref="AG94">MAX((_xlfn.IFS(AF94=0,0,AF94=1,AA94,AF94&gt;1,U94*24)-IF(AA94&gt;40,AA94-40,0))/5,0)</f>
        <v>3.2</v>
      </c>
      <c r="AH94" s="94">
        <f t="shared" si="19"/>
        <v>34176</v>
      </c>
      <c r="AI94" s="33" cm="1">
        <f t="array" ref="AI94">IF(W94="",0,ROUND(AC94*U94*24*_xlfn.XLOOKUP(1,(D94&lt;=Table7[End])*(E94=Table7[근무처])*(F94=Table7[업무]),Table7[휴일인센티브],0,0),0))</f>
        <v>0</v>
      </c>
      <c r="AJ94" s="94" cm="1">
        <f t="array" ref="AJ94">ROUND(AC94*IF(U94&gt;=8/24,U94-8/24,0)*24*_xlfn.XLOOKUP(1,(D94&lt;=Table7[End])*(E94=Table7[근무처])*(F94=Table7[업무]),Table7[야간인센티브],0,0),0)</f>
        <v>0</v>
      </c>
      <c r="AK94" s="94" cm="1">
        <f t="array" ref="AK94">IF(V94=0,0,ROUND(AC94*V94*24*_xlfn.XLOOKUP(1,(D94&lt;=Table7[End])*(E94=Table7[근무처])*(F94=Table7[업무]),Table7[야간인센티브],0,0),0))</f>
        <v>0</v>
      </c>
      <c r="AL94" s="95"/>
      <c r="AM94" s="94">
        <f t="shared" si="20"/>
        <v>119616</v>
      </c>
      <c r="AN94" s="94" cm="1">
        <f t="array" ref="AN94">IF(AM94&gt;=_xlfn.XLOOKUP(TRUE,D94&lt;=Table5[End],Table5[비과세소득기준],0,0),AM94-_xlfn.XLOOKUP(TRUE,D94&lt;=Table5[End],Table5[비과세소득기준],0,0),0)</f>
        <v>0</v>
      </c>
      <c r="AO94" s="94" cm="1">
        <f t="array" ref="AO94">ROUNDDOWN(_xlfn.LET(_xlpm.setvalue,_xlfn.XLOOKUP(TRUE,D94&lt;=Table5[End],Table5[[요율]:[근로소득세액공제]],0,0),_xlpm.tax,AN94*PRODUCT((_xlpm.setvalue-{0,1})*{1,-1}),_xlpm.threshold,_xlfn.XLOOKUP(TRUE,D94&lt;=Table5[End],Table5[소액부징수기준],0,0),IF(_xlpm.tax&gt;=_xlpm.threshold,_xlpm.tax,0)),-1)</f>
        <v>0</v>
      </c>
      <c r="AP94" s="94">
        <f>ROUNDDOWN(Table2[[#This Row],[소득세]]*10%,-1)</f>
        <v>0</v>
      </c>
      <c r="AQ94" s="94">
        <f>IF(AB94="v",AM94+IF(Y94=8,SUMIFS(Table2[지급총액],Table2[주민등록번호],O94,Table2[월],R94,Table2[월간
근무일],"&lt;="&amp;8)-AM94,0),0)+_xlfn.NUMBERVALUE(AR94)</f>
        <v>0</v>
      </c>
      <c r="AR94" s="95"/>
      <c r="AS94" s="94" cm="1">
        <f t="array" ref="AS94">ROUNDDOWN($AQ94*_xlfn.XLOOKUP(1,(AS$5=Table8[Type])*($D94&lt;=Table8[End]),Table8[요율],0,0),0)</f>
        <v>0</v>
      </c>
      <c r="AT94" s="94" cm="1">
        <f t="array" ref="AT94">ROUNDDOWN(AS94*_xlfn.XLOOKUP(1,(AT$5=Table8[Type])*($D94&lt;=Table8[End]),Table8[요율],0,0),-1)</f>
        <v>0</v>
      </c>
      <c r="AU94" s="94" cm="1">
        <f t="array" ref="AU94">ROUNDDOWN($AQ94*_xlfn.XLOOKUP(1,(AU$5=Table8[Type])*($D94&lt;=Table8[End]),Table8[요율],0,0),-1)</f>
        <v>0</v>
      </c>
      <c r="AV94" s="94" cm="1">
        <f t="array" ref="AV94">ROUNDDOWN(AM94*_xlfn.XLOOKUP(1,(AV$5=Table8[Type])*($D94&lt;=Table8[End]),Table8[요율],0,0),-1)</f>
        <v>0</v>
      </c>
      <c r="AW94" s="94" cm="1">
        <f t="array" ref="AW94">_xlfn.XLOOKUP(1,(O94=Table2[주민등록번호])*(D94&gt;Table2[근무일자]),Table2[청구 Claim 
이월],0,0,-1)</f>
        <v>0</v>
      </c>
      <c r="AX94" s="95"/>
      <c r="AY94" s="94" cm="1">
        <f t="array" ref="AY94">MAX(SUM(AO94:AP94,AS94:AX94)-_xlfn.XLOOKUP(1,(D94&lt;=Table7[End])*(E94=Table7[근무처])*(F94=Table7[업무]),Table7[1일 공제 상한],0,0),0)</f>
        <v>0</v>
      </c>
      <c r="AZ94" s="94">
        <f t="shared" si="21"/>
        <v>0</v>
      </c>
      <c r="BA94" s="94">
        <f t="shared" si="22"/>
        <v>119616</v>
      </c>
      <c r="BB94" s="97">
        <f t="shared" si="23"/>
        <v>0</v>
      </c>
      <c r="BC94" s="98"/>
      <c r="BD94" s="94">
        <f t="shared" si="24"/>
        <v>0</v>
      </c>
      <c r="BE94" s="94">
        <f t="shared" si="25"/>
        <v>0</v>
      </c>
      <c r="BF94" s="94">
        <f t="shared" si="26"/>
        <v>0</v>
      </c>
      <c r="BG94" s="94">
        <f t="shared" si="27"/>
        <v>0</v>
      </c>
      <c r="BH94" s="94" cm="1">
        <f t="array" ref="BH94">ROUNDDOWN(AM94*_xlfn.XLOOKUP(1,(BH$5=Table8[Type])*($D94&lt;=Table8[End]),Table8[요율],0,0),-1)</f>
        <v>950</v>
      </c>
      <c r="BI94" s="93" t="str" cm="1">
        <f t="array" ref="BI94">_xlfn.XLOOKUP(1,(D94&lt;=Table7[End])*(E94=Table7[근무처])*(F94=Table7[업무]),Table7[지급옵션],0,0)</f>
        <v>차주 화</v>
      </c>
      <c r="BJ94" s="83">
        <f>IF(BK94&lt;&gt;"",BK94,IFERROR(D94+_xlfn.NUMBERVALUE(RIGHT(BI94,1)),D94-WEEKDAY(D94)+CHOOSE(MATCH(RIGHT(BI94),{"일","월","화","수","목","금","토"},0),8,9,10,11,12,13,14)))</f>
        <v>45741</v>
      </c>
      <c r="BK94" s="99"/>
    </row>
    <row r="95" spans="2:63" x14ac:dyDescent="0.35">
      <c r="B95" s="20" t="str" cm="1">
        <f t="array" ref="B95">_xlfn.IFS(BB95&lt;&gt;BC95,"Claim확인",N95&lt;&gt;"OK","확인필요",TRUE,"")</f>
        <v/>
      </c>
      <c r="C95" s="21" t="str">
        <f t="shared" si="14"/>
        <v>010-3X4X-X9X7219X02XX284640</v>
      </c>
      <c r="D95" s="26">
        <v>45735</v>
      </c>
      <c r="E95" s="91" t="s">
        <v>253</v>
      </c>
      <c r="F95" s="25" t="s">
        <v>257</v>
      </c>
      <c r="G95" s="27" t="s">
        <v>286</v>
      </c>
      <c r="H95" s="25" t="s">
        <v>299</v>
      </c>
      <c r="I95" s="25"/>
      <c r="J95" s="25" t="s">
        <v>300</v>
      </c>
      <c r="K95" s="28">
        <v>0.33333333333333331</v>
      </c>
      <c r="L95" s="28">
        <v>0.70833333333333337</v>
      </c>
      <c r="M95" s="28">
        <v>4.1666666666666664E-2</v>
      </c>
      <c r="N95" s="25" t="s">
        <v>281</v>
      </c>
      <c r="O95" s="29" t="str">
        <f>_xlfn.XLOOKUP(Table2[[#This Row],[Key]],Table1[Key],Table1[주민등록번호],"",0)</f>
        <v>931XX31XX3X14</v>
      </c>
      <c r="P95" s="29">
        <f>_xlfn.XLOOKUP(Table2[[#This Row],[Key]],Table1[Key],Table1[비자],"",0)</f>
        <v>0</v>
      </c>
      <c r="Q95" s="29">
        <f>IF(P95=0,0,_xlfn.XLOOKUP(Table2[[#This Row],[Key]],Table1[Key],Table1[고용보험 여부],0,0))</f>
        <v>0</v>
      </c>
      <c r="R95" s="29" t="str">
        <f t="shared" si="15"/>
        <v>2503</v>
      </c>
      <c r="S95" s="30" t="str">
        <f>YEAR(Table2[[#This Row],[근무일자]])&amp;TEXT(WEEKNUM(Table2[[#This Row],[근무일자]]),"00")</f>
        <v>202512</v>
      </c>
      <c r="T95" s="31">
        <f>_xlfn.XLOOKUP(Table2[[#This Row],[Key]],Table1[Key],Table1[등록일],"",0)</f>
        <v>45773</v>
      </c>
      <c r="U95" s="32">
        <f t="shared" si="16"/>
        <v>0.33333333333333337</v>
      </c>
      <c r="V95" s="92">
        <f t="shared" si="17"/>
        <v>0</v>
      </c>
      <c r="W95" s="100" t="str">
        <f>_xlfn.XLOOKUP(Table2[[#This Row],[근무일자]],Table3[Date],Table3[Holiday],"",0)</f>
        <v/>
      </c>
      <c r="X95" s="93">
        <f>IF(D95&lt;&gt;"",1,0)+IF(COUNTIFS(Table2[주민등록번호],O95,Table2[월],TEXT(EOMONTH(D95,-1),"YYMM"))&gt;0,1+IF(COUNTIFS(Table2[주민등록번호],O95,Table2[월],TEXT(EOMONTH(D95,-2),"YYMM"))&gt;0,1+IF(COUNTIFS(Table2[주민등록번호],O95,Table2[월],TEXT(EOMONTH(D95,-3),"YYMM"))&gt;0,1,0),0),0)</f>
        <v>2</v>
      </c>
      <c r="Y95" s="29">
        <f>COUNTIFS(Table2[주민등록번호],O95,Table2[월],R95,Table2[근무일자],"&lt;="&amp;D95)</f>
        <v>5</v>
      </c>
      <c r="Z95" s="29">
        <f>COUNTIFS(Table2[주민등록번호],O95,Table2[주간],S95,Table2[근무일자],"&lt;="&amp;D95)</f>
        <v>1</v>
      </c>
      <c r="AA95" s="29">
        <f>SUMIFS(Table2[근로
시간],Table2[주민등록번호],O95,Table2[주간],S95,Table2[근무일자],"&lt;="&amp;D95)*24</f>
        <v>8</v>
      </c>
      <c r="AB95" s="29" t="str">
        <f>IF(AND(Y95&gt;=8,COUNTIFS(Table2[주민등록번호],O95,Table2[근무일자],"&gt;="&amp;EOMONTH(D95,-2)+1,Table2[근무일자],"&lt;="&amp;EOMONTH(D95,-1)+1)&gt;0),"V","")</f>
        <v/>
      </c>
      <c r="AC95" s="94" cm="1">
        <f t="array" ref="AC95">IF(AD95&lt;&gt;"",AD95,_xlfn.XLOOKUP(1,(D95&lt;=Table7[End])*(E95=Table7[근무처])*(F95=Table7[업무]),Table7[시급],0,0))</f>
        <v>10030</v>
      </c>
      <c r="AD95" s="95"/>
      <c r="AE95" s="94">
        <f t="shared" si="18"/>
        <v>80240</v>
      </c>
      <c r="AF95" s="96" cm="1">
        <f t="array" ref="AF95">IF(AND(AA95&gt;=15,(AA95-U95*24)&lt;=40),IF(Z95&gt;=_xlfn.XLOOKUP(1,(D95&lt;=Table7[End])*(E95=Table7[근무처])*(F95=Table7[업무]),Table7[주휴적용일],0,0),1,0)+_xlfn.XLOOKUP(1,(Table2[주간]=Table2[[#This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95" s="96" cm="1">
        <f t="array" ref="AG95">MAX((_xlfn.IFS(AF95=0,0,AF95=1,AA95,AF95&gt;1,U95*24)-IF(AA95&gt;40,AA95-40,0))/5,0)</f>
        <v>0</v>
      </c>
      <c r="AH95" s="94">
        <f t="shared" si="19"/>
        <v>0</v>
      </c>
      <c r="AI95" s="33" cm="1">
        <f t="array" ref="AI95">IF(W95="",0,ROUND(AC95*U95*24*_xlfn.XLOOKUP(1,(D95&lt;=Table7[End])*(E95=Table7[근무처])*(F95=Table7[업무]),Table7[휴일인센티브],0,0),0))</f>
        <v>0</v>
      </c>
      <c r="AJ95" s="94" cm="1">
        <f t="array" ref="AJ95">ROUND(AC95*IF(U95&gt;=8/24,U95-8/24,0)*24*_xlfn.XLOOKUP(1,(D95&lt;=Table7[End])*(E95=Table7[근무처])*(F95=Table7[업무]),Table7[야간인센티브],0,0),0)</f>
        <v>0</v>
      </c>
      <c r="AK95" s="94" cm="1">
        <f t="array" ref="AK95">IF(V95=0,0,ROUND(AC95*V95*24*_xlfn.XLOOKUP(1,(D95&lt;=Table7[End])*(E95=Table7[근무처])*(F95=Table7[업무]),Table7[야간인센티브],0,0),0))</f>
        <v>0</v>
      </c>
      <c r="AL95" s="95"/>
      <c r="AM95" s="94">
        <f t="shared" si="20"/>
        <v>80240</v>
      </c>
      <c r="AN95" s="94" cm="1">
        <f t="array" ref="AN95">IF(AM95&gt;=_xlfn.XLOOKUP(TRUE,D95&lt;=Table5[End],Table5[비과세소득기준],0,0),AM95-_xlfn.XLOOKUP(TRUE,D95&lt;=Table5[End],Table5[비과세소득기준],0,0),0)</f>
        <v>0</v>
      </c>
      <c r="AO95" s="94" cm="1">
        <f t="array" ref="AO95">ROUNDDOWN(_xlfn.LET(_xlpm.setvalue,_xlfn.XLOOKUP(TRUE,D95&lt;=Table5[End],Table5[[요율]:[근로소득세액공제]],0,0),_xlpm.tax,AN95*PRODUCT((_xlpm.setvalue-{0,1})*{1,-1}),_xlpm.threshold,_xlfn.XLOOKUP(TRUE,D95&lt;=Table5[End],Table5[소액부징수기준],0,0),IF(_xlpm.tax&gt;=_xlpm.threshold,_xlpm.tax,0)),-1)</f>
        <v>0</v>
      </c>
      <c r="AP95" s="94">
        <f>ROUNDDOWN(Table2[[#This Row],[소득세]]*10%,-1)</f>
        <v>0</v>
      </c>
      <c r="AQ95" s="94">
        <f>IF(AB95="v",AM95+IF(Y95=8,SUMIFS(Table2[지급총액],Table2[주민등록번호],O95,Table2[월],R95,Table2[월간
근무일],"&lt;="&amp;8)-AM95,0),0)+_xlfn.NUMBERVALUE(AR95)</f>
        <v>0</v>
      </c>
      <c r="AR95" s="95"/>
      <c r="AS95" s="94" cm="1">
        <f t="array" ref="AS95">ROUNDDOWN($AQ95*_xlfn.XLOOKUP(1,(AS$5=Table8[Type])*($D95&lt;=Table8[End]),Table8[요율],0,0),0)</f>
        <v>0</v>
      </c>
      <c r="AT95" s="94" cm="1">
        <f t="array" ref="AT95">ROUNDDOWN(AS95*_xlfn.XLOOKUP(1,(AT$5=Table8[Type])*($D95&lt;=Table8[End]),Table8[요율],0,0),-1)</f>
        <v>0</v>
      </c>
      <c r="AU95" s="94" cm="1">
        <f t="array" ref="AU95">ROUNDDOWN($AQ95*_xlfn.XLOOKUP(1,(AU$5=Table8[Type])*($D95&lt;=Table8[End]),Table8[요율],0,0),-1)</f>
        <v>0</v>
      </c>
      <c r="AV95" s="94" cm="1">
        <f t="array" ref="AV95">ROUNDDOWN(AM95*_xlfn.XLOOKUP(1,(AV$5=Table8[Type])*($D95&lt;=Table8[End]),Table8[요율],0,0),-1)</f>
        <v>0</v>
      </c>
      <c r="AW95" s="94" cm="1">
        <f t="array" ref="AW95">_xlfn.XLOOKUP(1,(O95=Table2[주민등록번호])*(D95&gt;Table2[근무일자]),Table2[청구 Claim 
이월],0,0,-1)</f>
        <v>0</v>
      </c>
      <c r="AX95" s="95"/>
      <c r="AY95" s="94" cm="1">
        <f t="array" ref="AY95">MAX(SUM(AO95:AP95,AS95:AX95)-_xlfn.XLOOKUP(1,(D95&lt;=Table7[End])*(E95=Table7[근무처])*(F95=Table7[업무]),Table7[1일 공제 상한],0,0),0)</f>
        <v>0</v>
      </c>
      <c r="AZ95" s="94">
        <f t="shared" si="21"/>
        <v>0</v>
      </c>
      <c r="BA95" s="94">
        <f t="shared" si="22"/>
        <v>80240</v>
      </c>
      <c r="BB95" s="97">
        <f t="shared" si="23"/>
        <v>0</v>
      </c>
      <c r="BC95" s="98"/>
      <c r="BD95" s="94">
        <f t="shared" si="24"/>
        <v>0</v>
      </c>
      <c r="BE95" s="94">
        <f t="shared" si="25"/>
        <v>0</v>
      </c>
      <c r="BF95" s="94">
        <f t="shared" si="26"/>
        <v>0</v>
      </c>
      <c r="BG95" s="94">
        <f t="shared" si="27"/>
        <v>0</v>
      </c>
      <c r="BH95" s="94" cm="1">
        <f t="array" ref="BH95">ROUNDDOWN(AM95*_xlfn.XLOOKUP(1,(BH$5=Table8[Type])*($D95&lt;=Table8[End]),Table8[요율],0,0),-1)</f>
        <v>640</v>
      </c>
      <c r="BI95" s="93" t="str" cm="1">
        <f t="array" ref="BI95">_xlfn.XLOOKUP(1,(D95&lt;=Table7[End])*(E95=Table7[근무처])*(F95=Table7[업무]),Table7[지급옵션],0,0)</f>
        <v>D+2</v>
      </c>
      <c r="BJ95" s="83">
        <f>IF(BK95&lt;&gt;"",BK95,IFERROR(D95+_xlfn.NUMBERVALUE(RIGHT(BI95,1)),D95-WEEKDAY(D95)+CHOOSE(MATCH(RIGHT(BI95),{"일","월","화","수","목","금","토"},0),8,9,10,11,12,13,14)))</f>
        <v>45737</v>
      </c>
      <c r="BK95" s="99"/>
    </row>
    <row r="96" spans="2:63" x14ac:dyDescent="0.35">
      <c r="B96" s="20" t="str" cm="1">
        <f t="array" ref="B96">_xlfn.IFS(BB96&lt;&gt;BC96,"Claim확인",N96&lt;&gt;"OK","확인필요",TRUE,"")</f>
        <v/>
      </c>
      <c r="C96" s="21" t="str">
        <f t="shared" si="14"/>
        <v>010-6X1X-X3X0333X04XX46879</v>
      </c>
      <c r="D96" s="26">
        <v>45736</v>
      </c>
      <c r="E96" s="91" t="s">
        <v>255</v>
      </c>
      <c r="F96" s="25" t="s">
        <v>258</v>
      </c>
      <c r="G96" s="27" t="s">
        <v>284</v>
      </c>
      <c r="H96" s="25" t="s">
        <v>293</v>
      </c>
      <c r="I96" s="25"/>
      <c r="J96" s="25" t="s">
        <v>294</v>
      </c>
      <c r="K96" s="28">
        <v>0.3125</v>
      </c>
      <c r="L96" s="28">
        <v>0.6875</v>
      </c>
      <c r="M96" s="28">
        <v>4.1666666666666664E-2</v>
      </c>
      <c r="N96" s="25" t="s">
        <v>281</v>
      </c>
      <c r="O96" s="29" t="str">
        <f>_xlfn.XLOOKUP(Table2[[#This Row],[Key]],Table1[Key],Table1[주민등록번호],"",0)</f>
        <v>971XX61XX9X25</v>
      </c>
      <c r="P96" s="29">
        <f>_xlfn.XLOOKUP(Table2[[#This Row],[Key]],Table1[Key],Table1[비자],"",0)</f>
        <v>0</v>
      </c>
      <c r="Q96" s="29">
        <f>IF(P96=0,0,_xlfn.XLOOKUP(Table2[[#This Row],[Key]],Table1[Key],Table1[고용보험 여부],0,0))</f>
        <v>0</v>
      </c>
      <c r="R96" s="29" t="str">
        <f t="shared" si="15"/>
        <v>2503</v>
      </c>
      <c r="S96" s="30" t="str">
        <f>YEAR(Table2[[#This Row],[근무일자]])&amp;TEXT(WEEKNUM(Table2[[#This Row],[근무일자]]),"00")</f>
        <v>202512</v>
      </c>
      <c r="T96" s="31">
        <f>_xlfn.XLOOKUP(Table2[[#This Row],[Key]],Table1[Key],Table1[등록일],"",0)</f>
        <v>45721</v>
      </c>
      <c r="U96" s="32">
        <f t="shared" si="16"/>
        <v>0.33333333333333331</v>
      </c>
      <c r="V96" s="92">
        <f t="shared" si="17"/>
        <v>0</v>
      </c>
      <c r="W96" s="100" t="str">
        <f>_xlfn.XLOOKUP(Table2[[#This Row],[근무일자]],Table3[Date],Table3[Holiday],"",0)</f>
        <v/>
      </c>
      <c r="X96" s="93">
        <f>IF(D96&lt;&gt;"",1,0)+IF(COUNTIFS(Table2[주민등록번호],O96,Table2[월],TEXT(EOMONTH(D96,-1),"YYMM"))&gt;0,1+IF(COUNTIFS(Table2[주민등록번호],O96,Table2[월],TEXT(EOMONTH(D96,-2),"YYMM"))&gt;0,1+IF(COUNTIFS(Table2[주민등록번호],O96,Table2[월],TEXT(EOMONTH(D96,-3),"YYMM"))&gt;0,1,0),0),0)</f>
        <v>1</v>
      </c>
      <c r="Y96" s="29">
        <f>COUNTIFS(Table2[주민등록번호],O96,Table2[월],R96,Table2[근무일자],"&lt;="&amp;D96)</f>
        <v>7</v>
      </c>
      <c r="Z96" s="29">
        <f>COUNTIFS(Table2[주민등록번호],O96,Table2[주간],S96,Table2[근무일자],"&lt;="&amp;D96)</f>
        <v>3</v>
      </c>
      <c r="AA96" s="29">
        <f>SUMIFS(Table2[근로
시간],Table2[주민등록번호],O96,Table2[주간],S96,Table2[근무일자],"&lt;="&amp;D96)*24</f>
        <v>24</v>
      </c>
      <c r="AB96" s="29" t="str">
        <f>IF(AND(Y96&gt;=8,COUNTIFS(Table2[주민등록번호],O96,Table2[근무일자],"&gt;="&amp;EOMONTH(D96,-2)+1,Table2[근무일자],"&lt;="&amp;EOMONTH(D96,-1)+1)&gt;0),"V","")</f>
        <v/>
      </c>
      <c r="AC96" s="94" cm="1">
        <f t="array" ref="AC96">IF(AD96&lt;&gt;"",AD96,_xlfn.XLOOKUP(1,(D96&lt;=Table7[End])*(E96=Table7[근무처])*(F96=Table7[업무]),Table7[시급],0,0))</f>
        <v>10680</v>
      </c>
      <c r="AD96" s="95"/>
      <c r="AE96" s="94">
        <f t="shared" si="18"/>
        <v>85440</v>
      </c>
      <c r="AF96" s="96" cm="1">
        <f t="array" ref="AF96">IF(AND(AA96&gt;=15,(AA96-U96*24)&lt;=40),IF(Z96&gt;=_xlfn.XLOOKUP(1,(D96&lt;=Table7[End])*(E96=Table7[근무처])*(F96=Table7[업무]),Table7[주휴적용일],0,0),1,0)+_xlfn.XLOOKUP(1,(Table2[주간]=Table2[[#This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96" s="96" cm="1">
        <f t="array" ref="AG96">MAX((_xlfn.IFS(AF96=0,0,AF96=1,AA96,AF96&gt;1,U96*24)-IF(AA96&gt;40,AA96-40,0))/5,0)</f>
        <v>1.6</v>
      </c>
      <c r="AH96" s="94">
        <f t="shared" si="19"/>
        <v>17088</v>
      </c>
      <c r="AI96" s="33" cm="1">
        <f t="array" ref="AI96">IF(W96="",0,ROUND(AC96*U96*24*_xlfn.XLOOKUP(1,(D96&lt;=Table7[End])*(E96=Table7[근무처])*(F96=Table7[업무]),Table7[휴일인센티브],0,0),0))</f>
        <v>0</v>
      </c>
      <c r="AJ96" s="94" cm="1">
        <f t="array" ref="AJ96">ROUND(AC96*IF(U96&gt;=8/24,U96-8/24,0)*24*_xlfn.XLOOKUP(1,(D96&lt;=Table7[End])*(E96=Table7[근무처])*(F96=Table7[업무]),Table7[야간인센티브],0,0),0)</f>
        <v>0</v>
      </c>
      <c r="AK96" s="94" cm="1">
        <f t="array" ref="AK96">IF(V96=0,0,ROUND(AC96*V96*24*_xlfn.XLOOKUP(1,(D96&lt;=Table7[End])*(E96=Table7[근무처])*(F96=Table7[업무]),Table7[야간인센티브],0,0),0))</f>
        <v>0</v>
      </c>
      <c r="AL96" s="95"/>
      <c r="AM96" s="94">
        <f t="shared" si="20"/>
        <v>102528</v>
      </c>
      <c r="AN96" s="94" cm="1">
        <f t="array" ref="AN96">IF(AM96&gt;=_xlfn.XLOOKUP(TRUE,D96&lt;=Table5[End],Table5[비과세소득기준],0,0),AM96-_xlfn.XLOOKUP(TRUE,D96&lt;=Table5[End],Table5[비과세소득기준],0,0),0)</f>
        <v>0</v>
      </c>
      <c r="AO96" s="94" cm="1">
        <f t="array" ref="AO96">ROUNDDOWN(_xlfn.LET(_xlpm.setvalue,_xlfn.XLOOKUP(TRUE,D96&lt;=Table5[End],Table5[[요율]:[근로소득세액공제]],0,0),_xlpm.tax,AN96*PRODUCT((_xlpm.setvalue-{0,1})*{1,-1}),_xlpm.threshold,_xlfn.XLOOKUP(TRUE,D96&lt;=Table5[End],Table5[소액부징수기준],0,0),IF(_xlpm.tax&gt;=_xlpm.threshold,_xlpm.tax,0)),-1)</f>
        <v>0</v>
      </c>
      <c r="AP96" s="94">
        <f>ROUNDDOWN(Table2[[#This Row],[소득세]]*10%,-1)</f>
        <v>0</v>
      </c>
      <c r="AQ96" s="94">
        <f>IF(AB96="v",AM96+IF(Y96=8,SUMIFS(Table2[지급총액],Table2[주민등록번호],O96,Table2[월],R96,Table2[월간
근무일],"&lt;="&amp;8)-AM96,0),0)+_xlfn.NUMBERVALUE(AR96)</f>
        <v>0</v>
      </c>
      <c r="AR96" s="95"/>
      <c r="AS96" s="94" cm="1">
        <f t="array" ref="AS96">ROUNDDOWN($AQ96*_xlfn.XLOOKUP(1,(AS$5=Table8[Type])*($D96&lt;=Table8[End]),Table8[요율],0,0),0)</f>
        <v>0</v>
      </c>
      <c r="AT96" s="94" cm="1">
        <f t="array" ref="AT96">ROUNDDOWN(AS96*_xlfn.XLOOKUP(1,(AT$5=Table8[Type])*($D96&lt;=Table8[End]),Table8[요율],0,0),-1)</f>
        <v>0</v>
      </c>
      <c r="AU96" s="94" cm="1">
        <f t="array" ref="AU96">ROUNDDOWN($AQ96*_xlfn.XLOOKUP(1,(AU$5=Table8[Type])*($D96&lt;=Table8[End]),Table8[요율],0,0),-1)</f>
        <v>0</v>
      </c>
      <c r="AV96" s="94" cm="1">
        <f t="array" ref="AV96">ROUNDDOWN(AM96*_xlfn.XLOOKUP(1,(AV$5=Table8[Type])*($D96&lt;=Table8[End]),Table8[요율],0,0),-1)</f>
        <v>0</v>
      </c>
      <c r="AW96" s="94" cm="1">
        <f t="array" ref="AW96">_xlfn.XLOOKUP(1,(O96=Table2[주민등록번호])*(D96&gt;Table2[근무일자]),Table2[청구 Claim 
이월],0,0,-1)</f>
        <v>0</v>
      </c>
      <c r="AX96" s="95"/>
      <c r="AY96" s="94" cm="1">
        <f t="array" ref="AY96">MAX(SUM(AO96:AP96,AS96:AX96)-_xlfn.XLOOKUP(1,(D96&lt;=Table7[End])*(E96=Table7[근무처])*(F96=Table7[업무]),Table7[1일 공제 상한],0,0),0)</f>
        <v>0</v>
      </c>
      <c r="AZ96" s="94">
        <f t="shared" si="21"/>
        <v>0</v>
      </c>
      <c r="BA96" s="94">
        <f t="shared" si="22"/>
        <v>102528</v>
      </c>
      <c r="BB96" s="97">
        <f t="shared" si="23"/>
        <v>0</v>
      </c>
      <c r="BC96" s="98"/>
      <c r="BD96" s="94">
        <f t="shared" si="24"/>
        <v>0</v>
      </c>
      <c r="BE96" s="94">
        <f t="shared" si="25"/>
        <v>0</v>
      </c>
      <c r="BF96" s="94">
        <f t="shared" si="26"/>
        <v>0</v>
      </c>
      <c r="BG96" s="94">
        <f t="shared" si="27"/>
        <v>0</v>
      </c>
      <c r="BH96" s="94" cm="1">
        <f t="array" ref="BH96">ROUNDDOWN(AM96*_xlfn.XLOOKUP(1,(BH$5=Table8[Type])*($D96&lt;=Table8[End]),Table8[요율],0,0),-1)</f>
        <v>820</v>
      </c>
      <c r="BI96" s="93" t="str" cm="1">
        <f t="array" ref="BI96">_xlfn.XLOOKUP(1,(D96&lt;=Table7[End])*(E96=Table7[근무처])*(F96=Table7[업무]),Table7[지급옵션],0,0)</f>
        <v>차주 화</v>
      </c>
      <c r="BJ96" s="83">
        <f>IF(BK96&lt;&gt;"",BK96,IFERROR(D96+_xlfn.NUMBERVALUE(RIGHT(BI96,1)),D96-WEEKDAY(D96)+CHOOSE(MATCH(RIGHT(BI96),{"일","월","화","수","목","금","토"},0),8,9,10,11,12,13,14)))</f>
        <v>45741</v>
      </c>
      <c r="BK96" s="99"/>
    </row>
    <row r="97" spans="2:63" x14ac:dyDescent="0.35">
      <c r="B97" s="20" t="str" cm="1">
        <f t="array" ref="B97">_xlfn.IFS(BB97&lt;&gt;BC97,"Claim확인",N97&lt;&gt;"OK","확인필요",TRUE,"")</f>
        <v/>
      </c>
      <c r="C97" s="21" t="str">
        <f t="shared" si="14"/>
        <v>010-8X0X-X0X9982X03XX901018</v>
      </c>
      <c r="D97" s="26">
        <v>45736</v>
      </c>
      <c r="E97" s="91" t="s">
        <v>255</v>
      </c>
      <c r="F97" s="25" t="s">
        <v>258</v>
      </c>
      <c r="G97" s="27" t="s">
        <v>283</v>
      </c>
      <c r="H97" s="25" t="s">
        <v>291</v>
      </c>
      <c r="I97" s="25"/>
      <c r="J97" s="25" t="s">
        <v>292</v>
      </c>
      <c r="K97" s="28">
        <v>0.375</v>
      </c>
      <c r="L97" s="28">
        <v>0.75</v>
      </c>
      <c r="M97" s="28">
        <v>4.1666666666666664E-2</v>
      </c>
      <c r="N97" s="25" t="s">
        <v>281</v>
      </c>
      <c r="O97" s="29" t="str">
        <f>_xlfn.XLOOKUP(Table2[[#This Row],[Key]],Table1[Key],Table1[주민등록번호],"",0)</f>
        <v>960XX51XX9X15</v>
      </c>
      <c r="P97" s="29">
        <f>_xlfn.XLOOKUP(Table2[[#This Row],[Key]],Table1[Key],Table1[비자],"",0)</f>
        <v>0</v>
      </c>
      <c r="Q97" s="29">
        <f>IF(P97=0,0,_xlfn.XLOOKUP(Table2[[#This Row],[Key]],Table1[Key],Table1[고용보험 여부],0,0))</f>
        <v>0</v>
      </c>
      <c r="R97" s="29" t="str">
        <f t="shared" si="15"/>
        <v>2503</v>
      </c>
      <c r="S97" s="30" t="str">
        <f>YEAR(Table2[[#This Row],[근무일자]])&amp;TEXT(WEEKNUM(Table2[[#This Row],[근무일자]]),"00")</f>
        <v>202512</v>
      </c>
      <c r="T97" s="31">
        <f>_xlfn.XLOOKUP(Table2[[#This Row],[Key]],Table1[Key],Table1[등록일],"",0)</f>
        <v>45698</v>
      </c>
      <c r="U97" s="32">
        <f t="shared" si="16"/>
        <v>0.33333333333333331</v>
      </c>
      <c r="V97" s="92">
        <f t="shared" si="17"/>
        <v>0</v>
      </c>
      <c r="W97" s="100" t="str">
        <f>_xlfn.XLOOKUP(Table2[[#This Row],[근무일자]],Table3[Date],Table3[Holiday],"",0)</f>
        <v/>
      </c>
      <c r="X97" s="93">
        <f>IF(D97&lt;&gt;"",1,0)+IF(COUNTIFS(Table2[주민등록번호],O97,Table2[월],TEXT(EOMONTH(D97,-1),"YYMM"))&gt;0,1+IF(COUNTIFS(Table2[주민등록번호],O97,Table2[월],TEXT(EOMONTH(D97,-2),"YYMM"))&gt;0,1+IF(COUNTIFS(Table2[주민등록번호],O97,Table2[월],TEXT(EOMONTH(D97,-3),"YYMM"))&gt;0,1,0),0),0)</f>
        <v>2</v>
      </c>
      <c r="Y97" s="29">
        <f>COUNTIFS(Table2[주민등록번호],O97,Table2[월],R97,Table2[근무일자],"&lt;="&amp;D97)</f>
        <v>12</v>
      </c>
      <c r="Z97" s="29">
        <f>COUNTIFS(Table2[주민등록번호],O97,Table2[주간],S97,Table2[근무일자],"&lt;="&amp;D97)</f>
        <v>1</v>
      </c>
      <c r="AA97" s="29">
        <f>SUMIFS(Table2[근로
시간],Table2[주민등록번호],O97,Table2[주간],S97,Table2[근무일자],"&lt;="&amp;D97)*24</f>
        <v>8</v>
      </c>
      <c r="AB97" s="29" t="str">
        <f>IF(AND(Y97&gt;=8,COUNTIFS(Table2[주민등록번호],O97,Table2[근무일자],"&gt;="&amp;EOMONTH(D97,-2)+1,Table2[근무일자],"&lt;="&amp;EOMONTH(D97,-1)+1)&gt;0),"V","")</f>
        <v>V</v>
      </c>
      <c r="AC97" s="94" cm="1">
        <f t="array" ref="AC97">IF(AD97&lt;&gt;"",AD97,_xlfn.XLOOKUP(1,(D97&lt;=Table7[End])*(E97=Table7[근무처])*(F97=Table7[업무]),Table7[시급],0,0))</f>
        <v>10680</v>
      </c>
      <c r="AD97" s="95"/>
      <c r="AE97" s="94">
        <f t="shared" si="18"/>
        <v>85440</v>
      </c>
      <c r="AF97" s="96" cm="1">
        <f t="array" ref="AF97">IF(AND(AA97&gt;=15,(AA97-U97*24)&lt;=40),IF(Z97&gt;=_xlfn.XLOOKUP(1,(D97&lt;=Table7[End])*(E97=Table7[근무처])*(F97=Table7[업무]),Table7[주휴적용일],0,0),1,0)+_xlfn.XLOOKUP(1,(Table2[주간]=Table2[[#This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97" s="96" cm="1">
        <f t="array" ref="AG97">MAX((_xlfn.IFS(AF97=0,0,AF97=1,AA97,AF97&gt;1,U97*24)-IF(AA97&gt;40,AA97-40,0))/5,0)</f>
        <v>0</v>
      </c>
      <c r="AH97" s="94">
        <f t="shared" si="19"/>
        <v>0</v>
      </c>
      <c r="AI97" s="33" cm="1">
        <f t="array" ref="AI97">IF(W97="",0,ROUND(AC97*U97*24*_xlfn.XLOOKUP(1,(D97&lt;=Table7[End])*(E97=Table7[근무처])*(F97=Table7[업무]),Table7[휴일인센티브],0,0),0))</f>
        <v>0</v>
      </c>
      <c r="AJ97" s="94" cm="1">
        <f t="array" ref="AJ97">ROUND(AC97*IF(U97&gt;=8/24,U97-8/24,0)*24*_xlfn.XLOOKUP(1,(D97&lt;=Table7[End])*(E97=Table7[근무처])*(F97=Table7[업무]),Table7[야간인센티브],0,0),0)</f>
        <v>0</v>
      </c>
      <c r="AK97" s="94" cm="1">
        <f t="array" ref="AK97">IF(V97=0,0,ROUND(AC97*V97*24*_xlfn.XLOOKUP(1,(D97&lt;=Table7[End])*(E97=Table7[근무처])*(F97=Table7[업무]),Table7[야간인센티브],0,0),0))</f>
        <v>0</v>
      </c>
      <c r="AL97" s="95"/>
      <c r="AM97" s="94">
        <f t="shared" si="20"/>
        <v>85440</v>
      </c>
      <c r="AN97" s="94" cm="1">
        <f t="array" ref="AN97">IF(AM97&gt;=_xlfn.XLOOKUP(TRUE,D97&lt;=Table5[End],Table5[비과세소득기준],0,0),AM97-_xlfn.XLOOKUP(TRUE,D97&lt;=Table5[End],Table5[비과세소득기준],0,0),0)</f>
        <v>0</v>
      </c>
      <c r="AO97" s="94" cm="1">
        <f t="array" ref="AO97">ROUNDDOWN(_xlfn.LET(_xlpm.setvalue,_xlfn.XLOOKUP(TRUE,D97&lt;=Table5[End],Table5[[요율]:[근로소득세액공제]],0,0),_xlpm.tax,AN97*PRODUCT((_xlpm.setvalue-{0,1})*{1,-1}),_xlpm.threshold,_xlfn.XLOOKUP(TRUE,D97&lt;=Table5[End],Table5[소액부징수기준],0,0),IF(_xlpm.tax&gt;=_xlpm.threshold,_xlpm.tax,0)),-1)</f>
        <v>0</v>
      </c>
      <c r="AP97" s="94">
        <f>ROUNDDOWN(Table2[[#This Row],[소득세]]*10%,-1)</f>
        <v>0</v>
      </c>
      <c r="AQ97" s="94">
        <f>IF(AB97="v",AM97+IF(Y97=8,SUMIFS(Table2[지급총액],Table2[주민등록번호],O97,Table2[월],R97,Table2[월간
근무일],"&lt;="&amp;8)-AM97,0),0)+_xlfn.NUMBERVALUE(AR97)</f>
        <v>85440</v>
      </c>
      <c r="AR97" s="95"/>
      <c r="AS97" s="94" cm="1">
        <f t="array" ref="AS97">ROUNDDOWN($AQ97*_xlfn.XLOOKUP(1,(AS$5=Table8[Type])*($D97&lt;=Table8[End]),Table8[요율],0,0),0)</f>
        <v>3028</v>
      </c>
      <c r="AT97" s="94" cm="1">
        <f t="array" ref="AT97">ROUNDDOWN(AS97*_xlfn.XLOOKUP(1,(AT$5=Table8[Type])*($D97&lt;=Table8[End]),Table8[요율],0,0),-1)</f>
        <v>390</v>
      </c>
      <c r="AU97" s="94" cm="1">
        <f t="array" ref="AU97">ROUNDDOWN($AQ97*_xlfn.XLOOKUP(1,(AU$5=Table8[Type])*($D97&lt;=Table8[End]),Table8[요율],0,0),-1)</f>
        <v>3840</v>
      </c>
      <c r="AV97" s="94" cm="1">
        <f t="array" ref="AV97">ROUNDDOWN(AM97*_xlfn.XLOOKUP(1,(AV$5=Table8[Type])*($D97&lt;=Table8[End]),Table8[요율],0,0),-1)</f>
        <v>0</v>
      </c>
      <c r="AW97" s="94" cm="1">
        <f t="array" ref="AW97">_xlfn.XLOOKUP(1,(O97=Table2[주민등록번호])*(D97&gt;Table2[근무일자]),Table2[청구 Claim 
이월],0,0,-1)</f>
        <v>0</v>
      </c>
      <c r="AX97" s="95"/>
      <c r="AY97" s="94" cm="1">
        <f t="array" ref="AY97">MAX(SUM(AO97:AP97,AS97:AX97)-_xlfn.XLOOKUP(1,(D97&lt;=Table7[End])*(E97=Table7[근무처])*(F97=Table7[업무]),Table7[1일 공제 상한],0,0),0)</f>
        <v>0</v>
      </c>
      <c r="AZ97" s="94">
        <f t="shared" si="21"/>
        <v>7258</v>
      </c>
      <c r="BA97" s="94">
        <f t="shared" si="22"/>
        <v>78182</v>
      </c>
      <c r="BB97" s="97">
        <f t="shared" si="23"/>
        <v>0</v>
      </c>
      <c r="BC97" s="98"/>
      <c r="BD97" s="94">
        <f t="shared" si="24"/>
        <v>3028</v>
      </c>
      <c r="BE97" s="94">
        <f t="shared" si="25"/>
        <v>390</v>
      </c>
      <c r="BF97" s="94">
        <f t="shared" si="26"/>
        <v>3840</v>
      </c>
      <c r="BG97" s="94">
        <f t="shared" si="27"/>
        <v>0</v>
      </c>
      <c r="BH97" s="94" cm="1">
        <f t="array" ref="BH97">ROUNDDOWN(AM97*_xlfn.XLOOKUP(1,(BH$5=Table8[Type])*($D97&lt;=Table8[End]),Table8[요율],0,0),-1)</f>
        <v>680</v>
      </c>
      <c r="BI97" s="93" t="str" cm="1">
        <f t="array" ref="BI97">_xlfn.XLOOKUP(1,(D97&lt;=Table7[End])*(E97=Table7[근무처])*(F97=Table7[업무]),Table7[지급옵션],0,0)</f>
        <v>차주 화</v>
      </c>
      <c r="BJ97" s="83">
        <f>IF(BK97&lt;&gt;"",BK97,IFERROR(D97+_xlfn.NUMBERVALUE(RIGHT(BI97,1)),D97-WEEKDAY(D97)+CHOOSE(MATCH(RIGHT(BI97),{"일","월","화","수","목","금","토"},0),8,9,10,11,12,13,14)))</f>
        <v>45741</v>
      </c>
      <c r="BK97" s="99"/>
    </row>
    <row r="98" spans="2:63" x14ac:dyDescent="0.35">
      <c r="B98" s="20" t="str" cm="1">
        <f t="array" ref="B98">_xlfn.IFS(BB98&lt;&gt;BC98,"Claim확인",N98&lt;&gt;"OK","확인필요",TRUE,"")</f>
        <v/>
      </c>
      <c r="C98" s="21" t="str">
        <f t="shared" si="14"/>
        <v>010-3X4X-X9X7219X02XX284640</v>
      </c>
      <c r="D98" s="26">
        <v>45736</v>
      </c>
      <c r="E98" s="91" t="s">
        <v>253</v>
      </c>
      <c r="F98" s="25" t="s">
        <v>257</v>
      </c>
      <c r="G98" s="27" t="s">
        <v>286</v>
      </c>
      <c r="H98" s="25" t="s">
        <v>299</v>
      </c>
      <c r="I98" s="25"/>
      <c r="J98" s="25" t="s">
        <v>300</v>
      </c>
      <c r="K98" s="28">
        <v>0.33333333333333331</v>
      </c>
      <c r="L98" s="28">
        <v>0.70833333333333337</v>
      </c>
      <c r="M98" s="28">
        <v>4.1666666666666664E-2</v>
      </c>
      <c r="N98" s="25" t="s">
        <v>281</v>
      </c>
      <c r="O98" s="29" t="str">
        <f>_xlfn.XLOOKUP(Table2[[#This Row],[Key]],Table1[Key],Table1[주민등록번호],"",0)</f>
        <v>931XX31XX3X14</v>
      </c>
      <c r="P98" s="29">
        <f>_xlfn.XLOOKUP(Table2[[#This Row],[Key]],Table1[Key],Table1[비자],"",0)</f>
        <v>0</v>
      </c>
      <c r="Q98" s="29">
        <f>IF(P98=0,0,_xlfn.XLOOKUP(Table2[[#This Row],[Key]],Table1[Key],Table1[고용보험 여부],0,0))</f>
        <v>0</v>
      </c>
      <c r="R98" s="29" t="str">
        <f t="shared" si="15"/>
        <v>2503</v>
      </c>
      <c r="S98" s="30" t="str">
        <f>YEAR(Table2[[#This Row],[근무일자]])&amp;TEXT(WEEKNUM(Table2[[#This Row],[근무일자]]),"00")</f>
        <v>202512</v>
      </c>
      <c r="T98" s="31">
        <f>_xlfn.XLOOKUP(Table2[[#This Row],[Key]],Table1[Key],Table1[등록일],"",0)</f>
        <v>45773</v>
      </c>
      <c r="U98" s="32">
        <f t="shared" si="16"/>
        <v>0.33333333333333337</v>
      </c>
      <c r="V98" s="92">
        <f t="shared" si="17"/>
        <v>0</v>
      </c>
      <c r="W98" s="100" t="str">
        <f>_xlfn.XLOOKUP(Table2[[#This Row],[근무일자]],Table3[Date],Table3[Holiday],"",0)</f>
        <v/>
      </c>
      <c r="X98" s="93">
        <f>IF(D98&lt;&gt;"",1,0)+IF(COUNTIFS(Table2[주민등록번호],O98,Table2[월],TEXT(EOMONTH(D98,-1),"YYMM"))&gt;0,1+IF(COUNTIFS(Table2[주민등록번호],O98,Table2[월],TEXT(EOMONTH(D98,-2),"YYMM"))&gt;0,1+IF(COUNTIFS(Table2[주민등록번호],O98,Table2[월],TEXT(EOMONTH(D98,-3),"YYMM"))&gt;0,1,0),0),0)</f>
        <v>2</v>
      </c>
      <c r="Y98" s="29">
        <f>COUNTIFS(Table2[주민등록번호],O98,Table2[월],R98,Table2[근무일자],"&lt;="&amp;D98)</f>
        <v>6</v>
      </c>
      <c r="Z98" s="29">
        <f>COUNTIFS(Table2[주민등록번호],O98,Table2[주간],S98,Table2[근무일자],"&lt;="&amp;D98)</f>
        <v>2</v>
      </c>
      <c r="AA98" s="29">
        <f>SUMIFS(Table2[근로
시간],Table2[주민등록번호],O98,Table2[주간],S98,Table2[근무일자],"&lt;="&amp;D98)*24</f>
        <v>16</v>
      </c>
      <c r="AB98" s="29" t="str">
        <f>IF(AND(Y98&gt;=8,COUNTIFS(Table2[주민등록번호],O98,Table2[근무일자],"&gt;="&amp;EOMONTH(D98,-2)+1,Table2[근무일자],"&lt;="&amp;EOMONTH(D98,-1)+1)&gt;0),"V","")</f>
        <v/>
      </c>
      <c r="AC98" s="94" cm="1">
        <f t="array" ref="AC98">IF(AD98&lt;&gt;"",AD98,_xlfn.XLOOKUP(1,(D98&lt;=Table7[End])*(E98=Table7[근무처])*(F98=Table7[업무]),Table7[시급],0,0))</f>
        <v>10030</v>
      </c>
      <c r="AD98" s="95"/>
      <c r="AE98" s="94">
        <f t="shared" si="18"/>
        <v>80240</v>
      </c>
      <c r="AF98" s="96" cm="1">
        <f t="array" ref="AF98">IF(AND(AA98&gt;=15,(AA98-U98*24)&lt;=40),IF(Z98&gt;=_xlfn.XLOOKUP(1,(D98&lt;=Table7[End])*(E98=Table7[근무처])*(F98=Table7[업무]),Table7[주휴적용일],0,0),1,0)+_xlfn.XLOOKUP(1,(Table2[주간]=Table2[[#This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98" s="96" cm="1">
        <f t="array" ref="AG98">MAX((_xlfn.IFS(AF98=0,0,AF98=1,AA98,AF98&gt;1,U98*24)-IF(AA98&gt;40,AA98-40,0))/5,0)</f>
        <v>0</v>
      </c>
      <c r="AH98" s="94">
        <f t="shared" si="19"/>
        <v>0</v>
      </c>
      <c r="AI98" s="33" cm="1">
        <f t="array" ref="AI98">IF(W98="",0,ROUND(AC98*U98*24*_xlfn.XLOOKUP(1,(D98&lt;=Table7[End])*(E98=Table7[근무처])*(F98=Table7[업무]),Table7[휴일인센티브],0,0),0))</f>
        <v>0</v>
      </c>
      <c r="AJ98" s="94" cm="1">
        <f t="array" ref="AJ98">ROUND(AC98*IF(U98&gt;=8/24,U98-8/24,0)*24*_xlfn.XLOOKUP(1,(D98&lt;=Table7[End])*(E98=Table7[근무처])*(F98=Table7[업무]),Table7[야간인센티브],0,0),0)</f>
        <v>0</v>
      </c>
      <c r="AK98" s="94" cm="1">
        <f t="array" ref="AK98">IF(V98=0,0,ROUND(AC98*V98*24*_xlfn.XLOOKUP(1,(D98&lt;=Table7[End])*(E98=Table7[근무처])*(F98=Table7[업무]),Table7[야간인센티브],0,0),0))</f>
        <v>0</v>
      </c>
      <c r="AL98" s="95"/>
      <c r="AM98" s="94">
        <f t="shared" si="20"/>
        <v>80240</v>
      </c>
      <c r="AN98" s="94" cm="1">
        <f t="array" ref="AN98">IF(AM98&gt;=_xlfn.XLOOKUP(TRUE,D98&lt;=Table5[End],Table5[비과세소득기준],0,0),AM98-_xlfn.XLOOKUP(TRUE,D98&lt;=Table5[End],Table5[비과세소득기준],0,0),0)</f>
        <v>0</v>
      </c>
      <c r="AO98" s="94" cm="1">
        <f t="array" ref="AO98">ROUNDDOWN(_xlfn.LET(_xlpm.setvalue,_xlfn.XLOOKUP(TRUE,D98&lt;=Table5[End],Table5[[요율]:[근로소득세액공제]],0,0),_xlpm.tax,AN98*PRODUCT((_xlpm.setvalue-{0,1})*{1,-1}),_xlpm.threshold,_xlfn.XLOOKUP(TRUE,D98&lt;=Table5[End],Table5[소액부징수기준],0,0),IF(_xlpm.tax&gt;=_xlpm.threshold,_xlpm.tax,0)),-1)</f>
        <v>0</v>
      </c>
      <c r="AP98" s="94">
        <f>ROUNDDOWN(Table2[[#This Row],[소득세]]*10%,-1)</f>
        <v>0</v>
      </c>
      <c r="AQ98" s="94">
        <f>IF(AB98="v",AM98+IF(Y98=8,SUMIFS(Table2[지급총액],Table2[주민등록번호],O98,Table2[월],R98,Table2[월간
근무일],"&lt;="&amp;8)-AM98,0),0)+_xlfn.NUMBERVALUE(AR98)</f>
        <v>0</v>
      </c>
      <c r="AR98" s="95"/>
      <c r="AS98" s="94" cm="1">
        <f t="array" ref="AS98">ROUNDDOWN($AQ98*_xlfn.XLOOKUP(1,(AS$5=Table8[Type])*($D98&lt;=Table8[End]),Table8[요율],0,0),0)</f>
        <v>0</v>
      </c>
      <c r="AT98" s="94" cm="1">
        <f t="array" ref="AT98">ROUNDDOWN(AS98*_xlfn.XLOOKUP(1,(AT$5=Table8[Type])*($D98&lt;=Table8[End]),Table8[요율],0,0),-1)</f>
        <v>0</v>
      </c>
      <c r="AU98" s="94" cm="1">
        <f t="array" ref="AU98">ROUNDDOWN($AQ98*_xlfn.XLOOKUP(1,(AU$5=Table8[Type])*($D98&lt;=Table8[End]),Table8[요율],0,0),-1)</f>
        <v>0</v>
      </c>
      <c r="AV98" s="94" cm="1">
        <f t="array" ref="AV98">ROUNDDOWN(AM98*_xlfn.XLOOKUP(1,(AV$5=Table8[Type])*($D98&lt;=Table8[End]),Table8[요율],0,0),-1)</f>
        <v>0</v>
      </c>
      <c r="AW98" s="94" cm="1">
        <f t="array" ref="AW98">_xlfn.XLOOKUP(1,(O98=Table2[주민등록번호])*(D98&gt;Table2[근무일자]),Table2[청구 Claim 
이월],0,0,-1)</f>
        <v>0</v>
      </c>
      <c r="AX98" s="95"/>
      <c r="AY98" s="94" cm="1">
        <f t="array" ref="AY98">MAX(SUM(AO98:AP98,AS98:AX98)-_xlfn.XLOOKUP(1,(D98&lt;=Table7[End])*(E98=Table7[근무처])*(F98=Table7[업무]),Table7[1일 공제 상한],0,0),0)</f>
        <v>0</v>
      </c>
      <c r="AZ98" s="94">
        <f t="shared" si="21"/>
        <v>0</v>
      </c>
      <c r="BA98" s="94">
        <f t="shared" si="22"/>
        <v>80240</v>
      </c>
      <c r="BB98" s="97">
        <f t="shared" si="23"/>
        <v>0</v>
      </c>
      <c r="BC98" s="98"/>
      <c r="BD98" s="94">
        <f t="shared" si="24"/>
        <v>0</v>
      </c>
      <c r="BE98" s="94">
        <f t="shared" si="25"/>
        <v>0</v>
      </c>
      <c r="BF98" s="94">
        <f t="shared" si="26"/>
        <v>0</v>
      </c>
      <c r="BG98" s="94">
        <f t="shared" si="27"/>
        <v>0</v>
      </c>
      <c r="BH98" s="94" cm="1">
        <f t="array" ref="BH98">ROUNDDOWN(AM98*_xlfn.XLOOKUP(1,(BH$5=Table8[Type])*($D98&lt;=Table8[End]),Table8[요율],0,0),-1)</f>
        <v>640</v>
      </c>
      <c r="BI98" s="93" t="str" cm="1">
        <f t="array" ref="BI98">_xlfn.XLOOKUP(1,(D98&lt;=Table7[End])*(E98=Table7[근무처])*(F98=Table7[업무]),Table7[지급옵션],0,0)</f>
        <v>D+2</v>
      </c>
      <c r="BJ98" s="83">
        <f>IF(BK98&lt;&gt;"",BK98,IFERROR(D98+_xlfn.NUMBERVALUE(RIGHT(BI98,1)),D98-WEEKDAY(D98)+CHOOSE(MATCH(RIGHT(BI98),{"일","월","화","수","목","금","토"},0),8,9,10,11,12,13,14)))</f>
        <v>45738</v>
      </c>
      <c r="BK98" s="99"/>
    </row>
    <row r="99" spans="2:63" x14ac:dyDescent="0.35">
      <c r="B99" s="20" t="str" cm="1">
        <f t="array" ref="B99">_xlfn.IFS(BB99&lt;&gt;BC99,"Claim확인",N99&lt;&gt;"OK","확인필요",TRUE,"")</f>
        <v/>
      </c>
      <c r="C99" s="21" t="str">
        <f t="shared" si="14"/>
        <v>010-6X1X-X3X0333X04XX46879</v>
      </c>
      <c r="D99" s="26">
        <v>45737</v>
      </c>
      <c r="E99" s="91" t="s">
        <v>255</v>
      </c>
      <c r="F99" s="25" t="s">
        <v>258</v>
      </c>
      <c r="G99" s="27" t="s">
        <v>284</v>
      </c>
      <c r="H99" s="25" t="s">
        <v>293</v>
      </c>
      <c r="I99" s="25"/>
      <c r="J99" s="25" t="s">
        <v>294</v>
      </c>
      <c r="K99" s="28">
        <v>0.3125</v>
      </c>
      <c r="L99" s="28">
        <v>0.6875</v>
      </c>
      <c r="M99" s="28">
        <v>4.1666666666666664E-2</v>
      </c>
      <c r="N99" s="25" t="s">
        <v>281</v>
      </c>
      <c r="O99" s="29" t="str">
        <f>_xlfn.XLOOKUP(Table2[[#This Row],[Key]],Table1[Key],Table1[주민등록번호],"",0)</f>
        <v>971XX61XX9X25</v>
      </c>
      <c r="P99" s="29">
        <f>_xlfn.XLOOKUP(Table2[[#This Row],[Key]],Table1[Key],Table1[비자],"",0)</f>
        <v>0</v>
      </c>
      <c r="Q99" s="29">
        <f>IF(P99=0,0,_xlfn.XLOOKUP(Table2[[#This Row],[Key]],Table1[Key],Table1[고용보험 여부],0,0))</f>
        <v>0</v>
      </c>
      <c r="R99" s="29" t="str">
        <f t="shared" si="15"/>
        <v>2503</v>
      </c>
      <c r="S99" s="30" t="str">
        <f>YEAR(Table2[[#This Row],[근무일자]])&amp;TEXT(WEEKNUM(Table2[[#This Row],[근무일자]]),"00")</f>
        <v>202512</v>
      </c>
      <c r="T99" s="31">
        <f>_xlfn.XLOOKUP(Table2[[#This Row],[Key]],Table1[Key],Table1[등록일],"",0)</f>
        <v>45721</v>
      </c>
      <c r="U99" s="32">
        <f t="shared" si="16"/>
        <v>0.33333333333333331</v>
      </c>
      <c r="V99" s="92">
        <f t="shared" si="17"/>
        <v>0</v>
      </c>
      <c r="W99" s="100" t="str">
        <f>_xlfn.XLOOKUP(Table2[[#This Row],[근무일자]],Table3[Date],Table3[Holiday],"",0)</f>
        <v/>
      </c>
      <c r="X99" s="93">
        <f>IF(D99&lt;&gt;"",1,0)+IF(COUNTIFS(Table2[주민등록번호],O99,Table2[월],TEXT(EOMONTH(D99,-1),"YYMM"))&gt;0,1+IF(COUNTIFS(Table2[주민등록번호],O99,Table2[월],TEXT(EOMONTH(D99,-2),"YYMM"))&gt;0,1+IF(COUNTIFS(Table2[주민등록번호],O99,Table2[월],TEXT(EOMONTH(D99,-3),"YYMM"))&gt;0,1,0),0),0)</f>
        <v>1</v>
      </c>
      <c r="Y99" s="29">
        <f>COUNTIFS(Table2[주민등록번호],O99,Table2[월],R99,Table2[근무일자],"&lt;="&amp;D99)</f>
        <v>8</v>
      </c>
      <c r="Z99" s="29">
        <f>COUNTIFS(Table2[주민등록번호],O99,Table2[주간],S99,Table2[근무일자],"&lt;="&amp;D99)</f>
        <v>4</v>
      </c>
      <c r="AA99" s="29">
        <f>SUMIFS(Table2[근로
시간],Table2[주민등록번호],O99,Table2[주간],S99,Table2[근무일자],"&lt;="&amp;D99)*24</f>
        <v>32</v>
      </c>
      <c r="AB99" s="29" t="str">
        <f>IF(AND(Y99&gt;=8,COUNTIFS(Table2[주민등록번호],O99,Table2[근무일자],"&gt;="&amp;EOMONTH(D99,-2)+1,Table2[근무일자],"&lt;="&amp;EOMONTH(D99,-1)+1)&gt;0),"V","")</f>
        <v/>
      </c>
      <c r="AC99" s="94" cm="1">
        <f t="array" ref="AC99">IF(AD99&lt;&gt;"",AD99,_xlfn.XLOOKUP(1,(D99&lt;=Table7[End])*(E99=Table7[근무처])*(F99=Table7[업무]),Table7[시급],0,0))</f>
        <v>10680</v>
      </c>
      <c r="AD99" s="95"/>
      <c r="AE99" s="94">
        <f t="shared" si="18"/>
        <v>85440</v>
      </c>
      <c r="AF99" s="96" cm="1">
        <f t="array" ref="AF99">IF(AND(AA99&gt;=15,(AA99-U99*24)&lt;=40),IF(Z99&gt;=_xlfn.XLOOKUP(1,(D99&lt;=Table7[End])*(E99=Table7[근무처])*(F99=Table7[업무]),Table7[주휴적용일],0,0),1,0)+_xlfn.XLOOKUP(1,(Table2[주간]=Table2[[#This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99" s="96" cm="1">
        <f t="array" ref="AG99">MAX((_xlfn.IFS(AF99=0,0,AF99=1,AA99,AF99&gt;1,U99*24)-IF(AA99&gt;40,AA99-40,0))/5,0)</f>
        <v>1.6</v>
      </c>
      <c r="AH99" s="94">
        <f t="shared" si="19"/>
        <v>17088</v>
      </c>
      <c r="AI99" s="33" cm="1">
        <f t="array" ref="AI99">IF(W99="",0,ROUND(AC99*U99*24*_xlfn.XLOOKUP(1,(D99&lt;=Table7[End])*(E99=Table7[근무처])*(F99=Table7[업무]),Table7[휴일인센티브],0,0),0))</f>
        <v>0</v>
      </c>
      <c r="AJ99" s="94" cm="1">
        <f t="array" ref="AJ99">ROUND(AC99*IF(U99&gt;=8/24,U99-8/24,0)*24*_xlfn.XLOOKUP(1,(D99&lt;=Table7[End])*(E99=Table7[근무처])*(F99=Table7[업무]),Table7[야간인센티브],0,0),0)</f>
        <v>0</v>
      </c>
      <c r="AK99" s="94" cm="1">
        <f t="array" ref="AK99">IF(V99=0,0,ROUND(AC99*V99*24*_xlfn.XLOOKUP(1,(D99&lt;=Table7[End])*(E99=Table7[근무처])*(F99=Table7[업무]),Table7[야간인센티브],0,0),0))</f>
        <v>0</v>
      </c>
      <c r="AL99" s="95"/>
      <c r="AM99" s="94">
        <f t="shared" si="20"/>
        <v>102528</v>
      </c>
      <c r="AN99" s="94" cm="1">
        <f t="array" ref="AN99">IF(AM99&gt;=_xlfn.XLOOKUP(TRUE,D99&lt;=Table5[End],Table5[비과세소득기준],0,0),AM99-_xlfn.XLOOKUP(TRUE,D99&lt;=Table5[End],Table5[비과세소득기준],0,0),0)</f>
        <v>0</v>
      </c>
      <c r="AO99" s="94" cm="1">
        <f t="array" ref="AO99">ROUNDDOWN(_xlfn.LET(_xlpm.setvalue,_xlfn.XLOOKUP(TRUE,D99&lt;=Table5[End],Table5[[요율]:[근로소득세액공제]],0,0),_xlpm.tax,AN99*PRODUCT((_xlpm.setvalue-{0,1})*{1,-1}),_xlpm.threshold,_xlfn.XLOOKUP(TRUE,D99&lt;=Table5[End],Table5[소액부징수기준],0,0),IF(_xlpm.tax&gt;=_xlpm.threshold,_xlpm.tax,0)),-1)</f>
        <v>0</v>
      </c>
      <c r="AP99" s="94">
        <f>ROUNDDOWN(Table2[[#This Row],[소득세]]*10%,-1)</f>
        <v>0</v>
      </c>
      <c r="AQ99" s="94">
        <f>IF(AB99="v",AM99+IF(Y99=8,SUMIFS(Table2[지급총액],Table2[주민등록번호],O99,Table2[월],R99,Table2[월간
근무일],"&lt;="&amp;8)-AM99,0),0)+_xlfn.NUMBERVALUE(AR99)</f>
        <v>0</v>
      </c>
      <c r="AR99" s="95"/>
      <c r="AS99" s="94" cm="1">
        <f t="array" ref="AS99">ROUNDDOWN($AQ99*_xlfn.XLOOKUP(1,(AS$5=Table8[Type])*($D99&lt;=Table8[End]),Table8[요율],0,0),0)</f>
        <v>0</v>
      </c>
      <c r="AT99" s="94" cm="1">
        <f t="array" ref="AT99">ROUNDDOWN(AS99*_xlfn.XLOOKUP(1,(AT$5=Table8[Type])*($D99&lt;=Table8[End]),Table8[요율],0,0),-1)</f>
        <v>0</v>
      </c>
      <c r="AU99" s="94" cm="1">
        <f t="array" ref="AU99">ROUNDDOWN($AQ99*_xlfn.XLOOKUP(1,(AU$5=Table8[Type])*($D99&lt;=Table8[End]),Table8[요율],0,0),-1)</f>
        <v>0</v>
      </c>
      <c r="AV99" s="94" cm="1">
        <f t="array" ref="AV99">ROUNDDOWN(AM99*_xlfn.XLOOKUP(1,(AV$5=Table8[Type])*($D99&lt;=Table8[End]),Table8[요율],0,0),-1)</f>
        <v>0</v>
      </c>
      <c r="AW99" s="94" cm="1">
        <f t="array" ref="AW99">_xlfn.XLOOKUP(1,(O99=Table2[주민등록번호])*(D99&gt;Table2[근무일자]),Table2[청구 Claim 
이월],0,0,-1)</f>
        <v>0</v>
      </c>
      <c r="AX99" s="95"/>
      <c r="AY99" s="94" cm="1">
        <f t="array" ref="AY99">MAX(SUM(AO99:AP99,AS99:AX99)-_xlfn.XLOOKUP(1,(D99&lt;=Table7[End])*(E99=Table7[근무처])*(F99=Table7[업무]),Table7[1일 공제 상한],0,0),0)</f>
        <v>0</v>
      </c>
      <c r="AZ99" s="94">
        <f t="shared" si="21"/>
        <v>0</v>
      </c>
      <c r="BA99" s="94">
        <f t="shared" si="22"/>
        <v>102528</v>
      </c>
      <c r="BB99" s="97">
        <f t="shared" si="23"/>
        <v>0</v>
      </c>
      <c r="BC99" s="98"/>
      <c r="BD99" s="94">
        <f t="shared" si="24"/>
        <v>0</v>
      </c>
      <c r="BE99" s="94">
        <f t="shared" si="25"/>
        <v>0</v>
      </c>
      <c r="BF99" s="94">
        <f t="shared" si="26"/>
        <v>0</v>
      </c>
      <c r="BG99" s="94">
        <f t="shared" si="27"/>
        <v>0</v>
      </c>
      <c r="BH99" s="94" cm="1">
        <f t="array" ref="BH99">ROUNDDOWN(AM99*_xlfn.XLOOKUP(1,(BH$5=Table8[Type])*($D99&lt;=Table8[End]),Table8[요율],0,0),-1)</f>
        <v>820</v>
      </c>
      <c r="BI99" s="93" t="str" cm="1">
        <f t="array" ref="BI99">_xlfn.XLOOKUP(1,(D99&lt;=Table7[End])*(E99=Table7[근무처])*(F99=Table7[업무]),Table7[지급옵션],0,0)</f>
        <v>차주 화</v>
      </c>
      <c r="BJ99" s="83">
        <f>IF(BK99&lt;&gt;"",BK99,IFERROR(D99+_xlfn.NUMBERVALUE(RIGHT(BI99,1)),D99-WEEKDAY(D99)+CHOOSE(MATCH(RIGHT(BI99),{"일","월","화","수","목","금","토"},0),8,9,10,11,12,13,14)))</f>
        <v>45741</v>
      </c>
      <c r="BK99" s="99"/>
    </row>
    <row r="100" spans="2:63" x14ac:dyDescent="0.35">
      <c r="B100" s="20" t="str" cm="1">
        <f t="array" ref="B100">_xlfn.IFS(BB100&lt;&gt;BC100,"Claim확인",N100&lt;&gt;"OK","확인필요",TRUE,"")</f>
        <v/>
      </c>
      <c r="C100" s="21" t="str">
        <f t="shared" si="14"/>
        <v>010-7X6X-X9X5110X98XX7530</v>
      </c>
      <c r="D100" s="26">
        <v>45737</v>
      </c>
      <c r="E100" s="91" t="s">
        <v>255</v>
      </c>
      <c r="F100" s="25" t="s">
        <v>258</v>
      </c>
      <c r="G100" s="27" t="s">
        <v>282</v>
      </c>
      <c r="H100" s="25" t="s">
        <v>289</v>
      </c>
      <c r="I100" s="25"/>
      <c r="J100" s="25" t="s">
        <v>290</v>
      </c>
      <c r="K100" s="28">
        <v>0.375</v>
      </c>
      <c r="L100" s="28">
        <v>0.75</v>
      </c>
      <c r="M100" s="28">
        <v>4.1666666666666664E-2</v>
      </c>
      <c r="N100" s="25" t="s">
        <v>281</v>
      </c>
      <c r="O100" s="29" t="str">
        <f>_xlfn.XLOOKUP(Table2[[#This Row],[Key]],Table1[Key],Table1[주민등록번호],"",0)</f>
        <v>990XX62XX3X13</v>
      </c>
      <c r="P100" s="29">
        <f>_xlfn.XLOOKUP(Table2[[#This Row],[Key]],Table1[Key],Table1[비자],"",0)</f>
        <v>0</v>
      </c>
      <c r="Q100" s="29">
        <f>IF(P100=0,0,_xlfn.XLOOKUP(Table2[[#This Row],[Key]],Table1[Key],Table1[고용보험 여부],0,0))</f>
        <v>0</v>
      </c>
      <c r="R100" s="29" t="str">
        <f t="shared" si="15"/>
        <v>2503</v>
      </c>
      <c r="S100" s="30" t="str">
        <f>YEAR(Table2[[#This Row],[근무일자]])&amp;TEXT(WEEKNUM(Table2[[#This Row],[근무일자]]),"00")</f>
        <v>202512</v>
      </c>
      <c r="T100" s="31">
        <f>_xlfn.XLOOKUP(Table2[[#This Row],[Key]],Table1[Key],Table1[등록일],"",0)</f>
        <v>45696</v>
      </c>
      <c r="U100" s="32">
        <f t="shared" si="16"/>
        <v>0.33333333333333331</v>
      </c>
      <c r="V100" s="92">
        <f t="shared" si="17"/>
        <v>0</v>
      </c>
      <c r="W100" s="100" t="str">
        <f>_xlfn.XLOOKUP(Table2[[#This Row],[근무일자]],Table3[Date],Table3[Holiday],"",0)</f>
        <v/>
      </c>
      <c r="X100" s="93">
        <f>IF(D100&lt;&gt;"",1,0)+IF(COUNTIFS(Table2[주민등록번호],O100,Table2[월],TEXT(EOMONTH(D100,-1),"YYMM"))&gt;0,1+IF(COUNTIFS(Table2[주민등록번호],O100,Table2[월],TEXT(EOMONTH(D100,-2),"YYMM"))&gt;0,1+IF(COUNTIFS(Table2[주민등록번호],O100,Table2[월],TEXT(EOMONTH(D100,-3),"YYMM"))&gt;0,1,0),0),0)</f>
        <v>2</v>
      </c>
      <c r="Y100" s="29">
        <f>COUNTIFS(Table2[주민등록번호],O100,Table2[월],R100,Table2[근무일자],"&lt;="&amp;D100)</f>
        <v>6</v>
      </c>
      <c r="Z100" s="29">
        <f>COUNTIFS(Table2[주민등록번호],O100,Table2[주간],S100,Table2[근무일자],"&lt;="&amp;D100)</f>
        <v>1</v>
      </c>
      <c r="AA100" s="29">
        <f>SUMIFS(Table2[근로
시간],Table2[주민등록번호],O100,Table2[주간],S100,Table2[근무일자],"&lt;="&amp;D100)*24</f>
        <v>8</v>
      </c>
      <c r="AB100" s="29" t="str">
        <f>IF(AND(Y100&gt;=8,COUNTIFS(Table2[주민등록번호],O100,Table2[근무일자],"&gt;="&amp;EOMONTH(D100,-2)+1,Table2[근무일자],"&lt;="&amp;EOMONTH(D100,-1)+1)&gt;0),"V","")</f>
        <v/>
      </c>
      <c r="AC100" s="94" cm="1">
        <f t="array" ref="AC100">IF(AD100&lt;&gt;"",AD100,_xlfn.XLOOKUP(1,(D100&lt;=Table7[End])*(E100=Table7[근무처])*(F100=Table7[업무]),Table7[시급],0,0))</f>
        <v>10680</v>
      </c>
      <c r="AD100" s="95"/>
      <c r="AE100" s="94">
        <f t="shared" si="18"/>
        <v>85440</v>
      </c>
      <c r="AF100" s="96" cm="1">
        <f t="array" ref="AF100">IF(AND(AA100&gt;=15,(AA100-U100*24)&lt;=40),IF(Z100&gt;=_xlfn.XLOOKUP(1,(D100&lt;=Table7[End])*(E100=Table7[근무처])*(F100=Table7[업무]),Table7[주휴적용일],0,0),1,0)+_xlfn.XLOOKUP(1,(Table2[주간]=Table2[[#This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00" s="96" cm="1">
        <f t="array" ref="AG100">MAX((_xlfn.IFS(AF100=0,0,AF100=1,AA100,AF100&gt;1,U100*24)-IF(AA100&gt;40,AA100-40,0))/5,0)</f>
        <v>0</v>
      </c>
      <c r="AH100" s="94">
        <f t="shared" si="19"/>
        <v>0</v>
      </c>
      <c r="AI100" s="33" cm="1">
        <f t="array" ref="AI100">IF(W100="",0,ROUND(AC100*U100*24*_xlfn.XLOOKUP(1,(D100&lt;=Table7[End])*(E100=Table7[근무처])*(F100=Table7[업무]),Table7[휴일인센티브],0,0),0))</f>
        <v>0</v>
      </c>
      <c r="AJ100" s="94" cm="1">
        <f t="array" ref="AJ100">ROUND(AC100*IF(U100&gt;=8/24,U100-8/24,0)*24*_xlfn.XLOOKUP(1,(D100&lt;=Table7[End])*(E100=Table7[근무처])*(F100=Table7[업무]),Table7[야간인센티브],0,0),0)</f>
        <v>0</v>
      </c>
      <c r="AK100" s="94" cm="1">
        <f t="array" ref="AK100">IF(V100=0,0,ROUND(AC100*V100*24*_xlfn.XLOOKUP(1,(D100&lt;=Table7[End])*(E100=Table7[근무처])*(F100=Table7[업무]),Table7[야간인센티브],0,0),0))</f>
        <v>0</v>
      </c>
      <c r="AL100" s="95"/>
      <c r="AM100" s="94">
        <f t="shared" si="20"/>
        <v>85440</v>
      </c>
      <c r="AN100" s="94" cm="1">
        <f t="array" ref="AN100">IF(AM100&gt;=_xlfn.XLOOKUP(TRUE,D100&lt;=Table5[End],Table5[비과세소득기준],0,0),AM100-_xlfn.XLOOKUP(TRUE,D100&lt;=Table5[End],Table5[비과세소득기준],0,0),0)</f>
        <v>0</v>
      </c>
      <c r="AO100" s="94" cm="1">
        <f t="array" ref="AO100">ROUNDDOWN(_xlfn.LET(_xlpm.setvalue,_xlfn.XLOOKUP(TRUE,D100&lt;=Table5[End],Table5[[요율]:[근로소득세액공제]],0,0),_xlpm.tax,AN100*PRODUCT((_xlpm.setvalue-{0,1})*{1,-1}),_xlpm.threshold,_xlfn.XLOOKUP(TRUE,D100&lt;=Table5[End],Table5[소액부징수기준],0,0),IF(_xlpm.tax&gt;=_xlpm.threshold,_xlpm.tax,0)),-1)</f>
        <v>0</v>
      </c>
      <c r="AP100" s="94">
        <f>ROUNDDOWN(Table2[[#This Row],[소득세]]*10%,-1)</f>
        <v>0</v>
      </c>
      <c r="AQ100" s="94">
        <f>IF(AB100="v",AM100+IF(Y100=8,SUMIFS(Table2[지급총액],Table2[주민등록번호],O100,Table2[월],R100,Table2[월간
근무일],"&lt;="&amp;8)-AM100,0),0)+_xlfn.NUMBERVALUE(AR100)</f>
        <v>0</v>
      </c>
      <c r="AR100" s="95"/>
      <c r="AS100" s="94" cm="1">
        <f t="array" ref="AS100">ROUNDDOWN($AQ100*_xlfn.XLOOKUP(1,(AS$5=Table8[Type])*($D100&lt;=Table8[End]),Table8[요율],0,0),0)</f>
        <v>0</v>
      </c>
      <c r="AT100" s="94" cm="1">
        <f t="array" ref="AT100">ROUNDDOWN(AS100*_xlfn.XLOOKUP(1,(AT$5=Table8[Type])*($D100&lt;=Table8[End]),Table8[요율],0,0),-1)</f>
        <v>0</v>
      </c>
      <c r="AU100" s="94" cm="1">
        <f t="array" ref="AU100">ROUNDDOWN($AQ100*_xlfn.XLOOKUP(1,(AU$5=Table8[Type])*($D100&lt;=Table8[End]),Table8[요율],0,0),-1)</f>
        <v>0</v>
      </c>
      <c r="AV100" s="94" cm="1">
        <f t="array" ref="AV100">ROUNDDOWN(AM100*_xlfn.XLOOKUP(1,(AV$5=Table8[Type])*($D100&lt;=Table8[End]),Table8[요율],0,0),-1)</f>
        <v>0</v>
      </c>
      <c r="AW100" s="94" cm="1">
        <f t="array" ref="AW100">_xlfn.XLOOKUP(1,(O100=Table2[주민등록번호])*(D100&gt;Table2[근무일자]),Table2[청구 Claim 
이월],0,0,-1)</f>
        <v>0</v>
      </c>
      <c r="AX100" s="95"/>
      <c r="AY100" s="94" cm="1">
        <f t="array" ref="AY100">MAX(SUM(AO100:AP100,AS100:AX100)-_xlfn.XLOOKUP(1,(D100&lt;=Table7[End])*(E100=Table7[근무처])*(F100=Table7[업무]),Table7[1일 공제 상한],0,0),0)</f>
        <v>0</v>
      </c>
      <c r="AZ100" s="94">
        <f t="shared" si="21"/>
        <v>0</v>
      </c>
      <c r="BA100" s="94">
        <f t="shared" si="22"/>
        <v>85440</v>
      </c>
      <c r="BB100" s="97">
        <f t="shared" si="23"/>
        <v>0</v>
      </c>
      <c r="BC100" s="98"/>
      <c r="BD100" s="94">
        <f t="shared" si="24"/>
        <v>0</v>
      </c>
      <c r="BE100" s="94">
        <f t="shared" si="25"/>
        <v>0</v>
      </c>
      <c r="BF100" s="94">
        <f t="shared" si="26"/>
        <v>0</v>
      </c>
      <c r="BG100" s="94">
        <f t="shared" si="27"/>
        <v>0</v>
      </c>
      <c r="BH100" s="94" cm="1">
        <f t="array" ref="BH100">ROUNDDOWN(AM100*_xlfn.XLOOKUP(1,(BH$5=Table8[Type])*($D100&lt;=Table8[End]),Table8[요율],0,0),-1)</f>
        <v>680</v>
      </c>
      <c r="BI100" s="93" t="str" cm="1">
        <f t="array" ref="BI100">_xlfn.XLOOKUP(1,(D100&lt;=Table7[End])*(E100=Table7[근무처])*(F100=Table7[업무]),Table7[지급옵션],0,0)</f>
        <v>차주 화</v>
      </c>
      <c r="BJ100" s="83">
        <f>IF(BK100&lt;&gt;"",BK100,IFERROR(D100+_xlfn.NUMBERVALUE(RIGHT(BI100,1)),D100-WEEKDAY(D100)+CHOOSE(MATCH(RIGHT(BI100),{"일","월","화","수","목","금","토"},0),8,9,10,11,12,13,14)))</f>
        <v>45741</v>
      </c>
      <c r="BK100" s="99"/>
    </row>
    <row r="101" spans="2:63" x14ac:dyDescent="0.35">
      <c r="B101" s="20" t="str" cm="1">
        <f t="array" ref="B101">_xlfn.IFS(BB101&lt;&gt;BC101,"Claim확인",N101&lt;&gt;"OK","확인필요",TRUE,"")</f>
        <v/>
      </c>
      <c r="C101" s="21" t="str">
        <f t="shared" si="14"/>
        <v>010-8X0X-X0X9982X03XX901018</v>
      </c>
      <c r="D101" s="26">
        <v>45737</v>
      </c>
      <c r="E101" s="91" t="s">
        <v>255</v>
      </c>
      <c r="F101" s="25" t="s">
        <v>258</v>
      </c>
      <c r="G101" s="27" t="s">
        <v>283</v>
      </c>
      <c r="H101" s="25" t="s">
        <v>291</v>
      </c>
      <c r="I101" s="25"/>
      <c r="J101" s="25" t="s">
        <v>292</v>
      </c>
      <c r="K101" s="28">
        <v>0.375</v>
      </c>
      <c r="L101" s="28">
        <v>0.75</v>
      </c>
      <c r="M101" s="28">
        <v>4.1666666666666664E-2</v>
      </c>
      <c r="N101" s="25" t="s">
        <v>281</v>
      </c>
      <c r="O101" s="29" t="str">
        <f>_xlfn.XLOOKUP(Table2[[#This Row],[Key]],Table1[Key],Table1[주민등록번호],"",0)</f>
        <v>960XX51XX9X15</v>
      </c>
      <c r="P101" s="29">
        <f>_xlfn.XLOOKUP(Table2[[#This Row],[Key]],Table1[Key],Table1[비자],"",0)</f>
        <v>0</v>
      </c>
      <c r="Q101" s="29">
        <f>IF(P101=0,0,_xlfn.XLOOKUP(Table2[[#This Row],[Key]],Table1[Key],Table1[고용보험 여부],0,0))</f>
        <v>0</v>
      </c>
      <c r="R101" s="29" t="str">
        <f t="shared" si="15"/>
        <v>2503</v>
      </c>
      <c r="S101" s="30" t="str">
        <f>YEAR(Table2[[#This Row],[근무일자]])&amp;TEXT(WEEKNUM(Table2[[#This Row],[근무일자]]),"00")</f>
        <v>202512</v>
      </c>
      <c r="T101" s="31">
        <f>_xlfn.XLOOKUP(Table2[[#This Row],[Key]],Table1[Key],Table1[등록일],"",0)</f>
        <v>45698</v>
      </c>
      <c r="U101" s="32">
        <f t="shared" si="16"/>
        <v>0.33333333333333331</v>
      </c>
      <c r="V101" s="92">
        <f t="shared" si="17"/>
        <v>0</v>
      </c>
      <c r="W101" s="100" t="str">
        <f>_xlfn.XLOOKUP(Table2[[#This Row],[근무일자]],Table3[Date],Table3[Holiday],"",0)</f>
        <v/>
      </c>
      <c r="X101" s="93">
        <f>IF(D101&lt;&gt;"",1,0)+IF(COUNTIFS(Table2[주민등록번호],O101,Table2[월],TEXT(EOMONTH(D101,-1),"YYMM"))&gt;0,1+IF(COUNTIFS(Table2[주민등록번호],O101,Table2[월],TEXT(EOMONTH(D101,-2),"YYMM"))&gt;0,1+IF(COUNTIFS(Table2[주민등록번호],O101,Table2[월],TEXT(EOMONTH(D101,-3),"YYMM"))&gt;0,1,0),0),0)</f>
        <v>2</v>
      </c>
      <c r="Y101" s="29">
        <f>COUNTIFS(Table2[주민등록번호],O101,Table2[월],R101,Table2[근무일자],"&lt;="&amp;D101)</f>
        <v>13</v>
      </c>
      <c r="Z101" s="29">
        <f>COUNTIFS(Table2[주민등록번호],O101,Table2[주간],S101,Table2[근무일자],"&lt;="&amp;D101)</f>
        <v>2</v>
      </c>
      <c r="AA101" s="29">
        <f>SUMIFS(Table2[근로
시간],Table2[주민등록번호],O101,Table2[주간],S101,Table2[근무일자],"&lt;="&amp;D101)*24</f>
        <v>16</v>
      </c>
      <c r="AB101" s="29" t="str">
        <f>IF(AND(Y101&gt;=8,COUNTIFS(Table2[주민등록번호],O101,Table2[근무일자],"&gt;="&amp;EOMONTH(D101,-2)+1,Table2[근무일자],"&lt;="&amp;EOMONTH(D101,-1)+1)&gt;0),"V","")</f>
        <v>V</v>
      </c>
      <c r="AC101" s="94" cm="1">
        <f t="array" ref="AC101">IF(AD101&lt;&gt;"",AD101,_xlfn.XLOOKUP(1,(D101&lt;=Table7[End])*(E101=Table7[근무처])*(F101=Table7[업무]),Table7[시급],0,0))</f>
        <v>10680</v>
      </c>
      <c r="AD101" s="95"/>
      <c r="AE101" s="94">
        <f t="shared" si="18"/>
        <v>85440</v>
      </c>
      <c r="AF101" s="96" cm="1">
        <f t="array" ref="AF101">IF(AND(AA101&gt;=15,(AA101-U101*24)&lt;=40),IF(Z101&gt;=_xlfn.XLOOKUP(1,(D101&lt;=Table7[End])*(E101=Table7[근무처])*(F101=Table7[업무]),Table7[주휴적용일],0,0),1,0)+_xlfn.XLOOKUP(1,(Table2[주간]=Table2[[#This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01" s="96" cm="1">
        <f t="array" ref="AG101">MAX((_xlfn.IFS(AF101=0,0,AF101=1,AA101,AF101&gt;1,U101*24)-IF(AA101&gt;40,AA101-40,0))/5,0)</f>
        <v>3.2</v>
      </c>
      <c r="AH101" s="94">
        <f t="shared" si="19"/>
        <v>34176</v>
      </c>
      <c r="AI101" s="33" cm="1">
        <f t="array" ref="AI101">IF(W101="",0,ROUND(AC101*U101*24*_xlfn.XLOOKUP(1,(D101&lt;=Table7[End])*(E101=Table7[근무처])*(F101=Table7[업무]),Table7[휴일인센티브],0,0),0))</f>
        <v>0</v>
      </c>
      <c r="AJ101" s="94" cm="1">
        <f t="array" ref="AJ101">ROUND(AC101*IF(U101&gt;=8/24,U101-8/24,0)*24*_xlfn.XLOOKUP(1,(D101&lt;=Table7[End])*(E101=Table7[근무처])*(F101=Table7[업무]),Table7[야간인센티브],0,0),0)</f>
        <v>0</v>
      </c>
      <c r="AK101" s="94" cm="1">
        <f t="array" ref="AK101">IF(V101=0,0,ROUND(AC101*V101*24*_xlfn.XLOOKUP(1,(D101&lt;=Table7[End])*(E101=Table7[근무처])*(F101=Table7[업무]),Table7[야간인센티브],0,0),0))</f>
        <v>0</v>
      </c>
      <c r="AL101" s="95"/>
      <c r="AM101" s="94">
        <f t="shared" si="20"/>
        <v>119616</v>
      </c>
      <c r="AN101" s="94" cm="1">
        <f t="array" ref="AN101">IF(AM101&gt;=_xlfn.XLOOKUP(TRUE,D101&lt;=Table5[End],Table5[비과세소득기준],0,0),AM101-_xlfn.XLOOKUP(TRUE,D101&lt;=Table5[End],Table5[비과세소득기준],0,0),0)</f>
        <v>0</v>
      </c>
      <c r="AO101" s="94" cm="1">
        <f t="array" ref="AO101">ROUNDDOWN(_xlfn.LET(_xlpm.setvalue,_xlfn.XLOOKUP(TRUE,D101&lt;=Table5[End],Table5[[요율]:[근로소득세액공제]],0,0),_xlpm.tax,AN101*PRODUCT((_xlpm.setvalue-{0,1})*{1,-1}),_xlpm.threshold,_xlfn.XLOOKUP(TRUE,D101&lt;=Table5[End],Table5[소액부징수기준],0,0),IF(_xlpm.tax&gt;=_xlpm.threshold,_xlpm.tax,0)),-1)</f>
        <v>0</v>
      </c>
      <c r="AP101" s="94">
        <f>ROUNDDOWN(Table2[[#This Row],[소득세]]*10%,-1)</f>
        <v>0</v>
      </c>
      <c r="AQ101" s="94">
        <f>IF(AB101="v",AM101+IF(Y101=8,SUMIFS(Table2[지급총액],Table2[주민등록번호],O101,Table2[월],R101,Table2[월간
근무일],"&lt;="&amp;8)-AM101,0),0)+_xlfn.NUMBERVALUE(AR101)</f>
        <v>119616</v>
      </c>
      <c r="AR101" s="95"/>
      <c r="AS101" s="94" cm="1">
        <f t="array" ref="AS101">ROUNDDOWN($AQ101*_xlfn.XLOOKUP(1,(AS$5=Table8[Type])*($D101&lt;=Table8[End]),Table8[요율],0,0),0)</f>
        <v>4240</v>
      </c>
      <c r="AT101" s="94" cm="1">
        <f t="array" ref="AT101">ROUNDDOWN(AS101*_xlfn.XLOOKUP(1,(AT$5=Table8[Type])*($D101&lt;=Table8[End]),Table8[요율],0,0),-1)</f>
        <v>540</v>
      </c>
      <c r="AU101" s="94" cm="1">
        <f t="array" ref="AU101">ROUNDDOWN($AQ101*_xlfn.XLOOKUP(1,(AU$5=Table8[Type])*($D101&lt;=Table8[End]),Table8[요율],0,0),-1)</f>
        <v>5380</v>
      </c>
      <c r="AV101" s="94" cm="1">
        <f t="array" ref="AV101">ROUNDDOWN(AM101*_xlfn.XLOOKUP(1,(AV$5=Table8[Type])*($D101&lt;=Table8[End]),Table8[요율],0,0),-1)</f>
        <v>0</v>
      </c>
      <c r="AW101" s="94" cm="1">
        <f t="array" ref="AW101">_xlfn.XLOOKUP(1,(O101=Table2[주민등록번호])*(D101&gt;Table2[근무일자]),Table2[청구 Claim 
이월],0,0,-1)</f>
        <v>0</v>
      </c>
      <c r="AX101" s="95"/>
      <c r="AY101" s="94" cm="1">
        <f t="array" ref="AY101">MAX(SUM(AO101:AP101,AS101:AX101)-_xlfn.XLOOKUP(1,(D101&lt;=Table7[End])*(E101=Table7[근무처])*(F101=Table7[업무]),Table7[1일 공제 상한],0,0),0)</f>
        <v>0</v>
      </c>
      <c r="AZ101" s="94">
        <f t="shared" si="21"/>
        <v>10160</v>
      </c>
      <c r="BA101" s="94">
        <f t="shared" si="22"/>
        <v>109456</v>
      </c>
      <c r="BB101" s="97">
        <f t="shared" si="23"/>
        <v>0</v>
      </c>
      <c r="BC101" s="98"/>
      <c r="BD101" s="94">
        <f t="shared" si="24"/>
        <v>4240</v>
      </c>
      <c r="BE101" s="94">
        <f t="shared" si="25"/>
        <v>540</v>
      </c>
      <c r="BF101" s="94">
        <f t="shared" si="26"/>
        <v>5380</v>
      </c>
      <c r="BG101" s="94">
        <f t="shared" si="27"/>
        <v>0</v>
      </c>
      <c r="BH101" s="94" cm="1">
        <f t="array" ref="BH101">ROUNDDOWN(AM101*_xlfn.XLOOKUP(1,(BH$5=Table8[Type])*($D101&lt;=Table8[End]),Table8[요율],0,0),-1)</f>
        <v>950</v>
      </c>
      <c r="BI101" s="93" t="str" cm="1">
        <f t="array" ref="BI101">_xlfn.XLOOKUP(1,(D101&lt;=Table7[End])*(E101=Table7[근무처])*(F101=Table7[업무]),Table7[지급옵션],0,0)</f>
        <v>차주 화</v>
      </c>
      <c r="BJ101" s="83">
        <f>IF(BK101&lt;&gt;"",BK101,IFERROR(D101+_xlfn.NUMBERVALUE(RIGHT(BI101,1)),D101-WEEKDAY(D101)+CHOOSE(MATCH(RIGHT(BI101),{"일","월","화","수","목","금","토"},0),8,9,10,11,12,13,14)))</f>
        <v>45741</v>
      </c>
      <c r="BK101" s="99"/>
    </row>
    <row r="102" spans="2:63" x14ac:dyDescent="0.35">
      <c r="B102" s="20" t="str" cm="1">
        <f t="array" ref="B102">_xlfn.IFS(BB102&lt;&gt;BC102,"Claim확인",N102&lt;&gt;"OK","확인필요",TRUE,"")</f>
        <v/>
      </c>
      <c r="C102" s="21" t="str">
        <f t="shared" si="14"/>
        <v>010-8X0X-X0X9982X03XX901018</v>
      </c>
      <c r="D102" s="26">
        <v>45738</v>
      </c>
      <c r="E102" s="91" t="s">
        <v>255</v>
      </c>
      <c r="F102" s="25" t="s">
        <v>258</v>
      </c>
      <c r="G102" s="27" t="s">
        <v>283</v>
      </c>
      <c r="H102" s="25" t="s">
        <v>291</v>
      </c>
      <c r="I102" s="25"/>
      <c r="J102" s="25" t="s">
        <v>292</v>
      </c>
      <c r="K102" s="28">
        <v>0.3125</v>
      </c>
      <c r="L102" s="28">
        <v>0.6875</v>
      </c>
      <c r="M102" s="28">
        <v>4.1666666666666664E-2</v>
      </c>
      <c r="N102" s="25" t="s">
        <v>281</v>
      </c>
      <c r="O102" s="29" t="str">
        <f>_xlfn.XLOOKUP(Table2[[#This Row],[Key]],Table1[Key],Table1[주민등록번호],"",0)</f>
        <v>960XX51XX9X15</v>
      </c>
      <c r="P102" s="29">
        <f>_xlfn.XLOOKUP(Table2[[#This Row],[Key]],Table1[Key],Table1[비자],"",0)</f>
        <v>0</v>
      </c>
      <c r="Q102" s="29">
        <f>IF(P102=0,0,_xlfn.XLOOKUP(Table2[[#This Row],[Key]],Table1[Key],Table1[고용보험 여부],0,0))</f>
        <v>0</v>
      </c>
      <c r="R102" s="29" t="str">
        <f t="shared" si="15"/>
        <v>2503</v>
      </c>
      <c r="S102" s="30" t="str">
        <f>YEAR(Table2[[#This Row],[근무일자]])&amp;TEXT(WEEKNUM(Table2[[#This Row],[근무일자]]),"00")</f>
        <v>202512</v>
      </c>
      <c r="T102" s="31">
        <f>_xlfn.XLOOKUP(Table2[[#This Row],[Key]],Table1[Key],Table1[등록일],"",0)</f>
        <v>45698</v>
      </c>
      <c r="U102" s="32">
        <f t="shared" si="16"/>
        <v>0.33333333333333331</v>
      </c>
      <c r="V102" s="92">
        <f t="shared" si="17"/>
        <v>0</v>
      </c>
      <c r="W102" s="100" t="str">
        <f>_xlfn.XLOOKUP(Table2[[#This Row],[근무일자]],Table3[Date],Table3[Holiday],"",0)</f>
        <v/>
      </c>
      <c r="X102" s="93">
        <f>IF(D102&lt;&gt;"",1,0)+IF(COUNTIFS(Table2[주민등록번호],O102,Table2[월],TEXT(EOMONTH(D102,-1),"YYMM"))&gt;0,1+IF(COUNTIFS(Table2[주민등록번호],O102,Table2[월],TEXT(EOMONTH(D102,-2),"YYMM"))&gt;0,1+IF(COUNTIFS(Table2[주민등록번호],O102,Table2[월],TEXT(EOMONTH(D102,-3),"YYMM"))&gt;0,1,0),0),0)</f>
        <v>2</v>
      </c>
      <c r="Y102" s="29">
        <f>COUNTIFS(Table2[주민등록번호],O102,Table2[월],R102,Table2[근무일자],"&lt;="&amp;D102)</f>
        <v>14</v>
      </c>
      <c r="Z102" s="29">
        <f>COUNTIFS(Table2[주민등록번호],O102,Table2[주간],S102,Table2[근무일자],"&lt;="&amp;D102)</f>
        <v>3</v>
      </c>
      <c r="AA102" s="29">
        <f>SUMIFS(Table2[근로
시간],Table2[주민등록번호],O102,Table2[주간],S102,Table2[근무일자],"&lt;="&amp;D102)*24</f>
        <v>24</v>
      </c>
      <c r="AB102" s="29" t="str">
        <f>IF(AND(Y102&gt;=8,COUNTIFS(Table2[주민등록번호],O102,Table2[근무일자],"&gt;="&amp;EOMONTH(D102,-2)+1,Table2[근무일자],"&lt;="&amp;EOMONTH(D102,-1)+1)&gt;0),"V","")</f>
        <v>V</v>
      </c>
      <c r="AC102" s="94" cm="1">
        <f t="array" ref="AC102">IF(AD102&lt;&gt;"",AD102,_xlfn.XLOOKUP(1,(D102&lt;=Table7[End])*(E102=Table7[근무처])*(F102=Table7[업무]),Table7[시급],0,0))</f>
        <v>10680</v>
      </c>
      <c r="AD102" s="95"/>
      <c r="AE102" s="94">
        <f t="shared" si="18"/>
        <v>85440</v>
      </c>
      <c r="AF102" s="96" cm="1">
        <f t="array" ref="AF102">IF(AND(AA102&gt;=15,(AA102-U102*24)&lt;=40),IF(Z102&gt;=_xlfn.XLOOKUP(1,(D102&lt;=Table7[End])*(E102=Table7[근무처])*(F102=Table7[업무]),Table7[주휴적용일],0,0),1,0)+_xlfn.XLOOKUP(1,(Table2[주간]=Table2[[#This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02" s="96" cm="1">
        <f t="array" ref="AG102">MAX((_xlfn.IFS(AF102=0,0,AF102=1,AA102,AF102&gt;1,U102*24)-IF(AA102&gt;40,AA102-40,0))/5,0)</f>
        <v>1.6</v>
      </c>
      <c r="AH102" s="94">
        <f t="shared" si="19"/>
        <v>17088</v>
      </c>
      <c r="AI102" s="33" cm="1">
        <f t="array" ref="AI102">IF(W102="",0,ROUND(AC102*U102*24*_xlfn.XLOOKUP(1,(D102&lt;=Table7[End])*(E102=Table7[근무처])*(F102=Table7[업무]),Table7[휴일인센티브],0,0),0))</f>
        <v>0</v>
      </c>
      <c r="AJ102" s="94" cm="1">
        <f t="array" ref="AJ102">ROUND(AC102*IF(U102&gt;=8/24,U102-8/24,0)*24*_xlfn.XLOOKUP(1,(D102&lt;=Table7[End])*(E102=Table7[근무처])*(F102=Table7[업무]),Table7[야간인센티브],0,0),0)</f>
        <v>0</v>
      </c>
      <c r="AK102" s="94" cm="1">
        <f t="array" ref="AK102">IF(V102=0,0,ROUND(AC102*V102*24*_xlfn.XLOOKUP(1,(D102&lt;=Table7[End])*(E102=Table7[근무처])*(F102=Table7[업무]),Table7[야간인센티브],0,0),0))</f>
        <v>0</v>
      </c>
      <c r="AL102" s="95"/>
      <c r="AM102" s="94">
        <f t="shared" si="20"/>
        <v>102528</v>
      </c>
      <c r="AN102" s="94" cm="1">
        <f t="array" ref="AN102">IF(AM102&gt;=_xlfn.XLOOKUP(TRUE,D102&lt;=Table5[End],Table5[비과세소득기준],0,0),AM102-_xlfn.XLOOKUP(TRUE,D102&lt;=Table5[End],Table5[비과세소득기준],0,0),0)</f>
        <v>0</v>
      </c>
      <c r="AO102" s="94" cm="1">
        <f t="array" ref="AO102">ROUNDDOWN(_xlfn.LET(_xlpm.setvalue,_xlfn.XLOOKUP(TRUE,D102&lt;=Table5[End],Table5[[요율]:[근로소득세액공제]],0,0),_xlpm.tax,AN102*PRODUCT((_xlpm.setvalue-{0,1})*{1,-1}),_xlpm.threshold,_xlfn.XLOOKUP(TRUE,D102&lt;=Table5[End],Table5[소액부징수기준],0,0),IF(_xlpm.tax&gt;=_xlpm.threshold,_xlpm.tax,0)),-1)</f>
        <v>0</v>
      </c>
      <c r="AP102" s="94">
        <f>ROUNDDOWN(Table2[[#This Row],[소득세]]*10%,-1)</f>
        <v>0</v>
      </c>
      <c r="AQ102" s="94">
        <f>IF(AB102="v",AM102+IF(Y102=8,SUMIFS(Table2[지급총액],Table2[주민등록번호],O102,Table2[월],R102,Table2[월간
근무일],"&lt;="&amp;8)-AM102,0),0)+_xlfn.NUMBERVALUE(AR102)</f>
        <v>102528</v>
      </c>
      <c r="AR102" s="95"/>
      <c r="AS102" s="94" cm="1">
        <f t="array" ref="AS102">ROUNDDOWN($AQ102*_xlfn.XLOOKUP(1,(AS$5=Table8[Type])*($D102&lt;=Table8[End]),Table8[요율],0,0),0)</f>
        <v>3634</v>
      </c>
      <c r="AT102" s="94" cm="1">
        <f t="array" ref="AT102">ROUNDDOWN(AS102*_xlfn.XLOOKUP(1,(AT$5=Table8[Type])*($D102&lt;=Table8[End]),Table8[요율],0,0),-1)</f>
        <v>470</v>
      </c>
      <c r="AU102" s="94" cm="1">
        <f t="array" ref="AU102">ROUNDDOWN($AQ102*_xlfn.XLOOKUP(1,(AU$5=Table8[Type])*($D102&lt;=Table8[End]),Table8[요율],0,0),-1)</f>
        <v>4610</v>
      </c>
      <c r="AV102" s="94" cm="1">
        <f t="array" ref="AV102">ROUNDDOWN(AM102*_xlfn.XLOOKUP(1,(AV$5=Table8[Type])*($D102&lt;=Table8[End]),Table8[요율],0,0),-1)</f>
        <v>0</v>
      </c>
      <c r="AW102" s="94" cm="1">
        <f t="array" ref="AW102">_xlfn.XLOOKUP(1,(O102=Table2[주민등록번호])*(D102&gt;Table2[근무일자]),Table2[청구 Claim 
이월],0,0,-1)</f>
        <v>0</v>
      </c>
      <c r="AX102" s="95"/>
      <c r="AY102" s="94" cm="1">
        <f t="array" ref="AY102">MAX(SUM(AO102:AP102,AS102:AX102)-_xlfn.XLOOKUP(1,(D102&lt;=Table7[End])*(E102=Table7[근무처])*(F102=Table7[업무]),Table7[1일 공제 상한],0,0),0)</f>
        <v>0</v>
      </c>
      <c r="AZ102" s="94">
        <f t="shared" si="21"/>
        <v>8714</v>
      </c>
      <c r="BA102" s="94">
        <f t="shared" si="22"/>
        <v>93814</v>
      </c>
      <c r="BB102" s="97">
        <f t="shared" si="23"/>
        <v>0</v>
      </c>
      <c r="BC102" s="98"/>
      <c r="BD102" s="94">
        <f t="shared" si="24"/>
        <v>3634</v>
      </c>
      <c r="BE102" s="94">
        <f t="shared" si="25"/>
        <v>470</v>
      </c>
      <c r="BF102" s="94">
        <f t="shared" si="26"/>
        <v>4610</v>
      </c>
      <c r="BG102" s="94">
        <f t="shared" si="27"/>
        <v>0</v>
      </c>
      <c r="BH102" s="94" cm="1">
        <f t="array" ref="BH102">ROUNDDOWN(AM102*_xlfn.XLOOKUP(1,(BH$5=Table8[Type])*($D102&lt;=Table8[End]),Table8[요율],0,0),-1)</f>
        <v>820</v>
      </c>
      <c r="BI102" s="93" t="str" cm="1">
        <f t="array" ref="BI102">_xlfn.XLOOKUP(1,(D102&lt;=Table7[End])*(E102=Table7[근무처])*(F102=Table7[업무]),Table7[지급옵션],0,0)</f>
        <v>차주 화</v>
      </c>
      <c r="BJ102" s="83">
        <f>IF(BK102&lt;&gt;"",BK102,IFERROR(D102+_xlfn.NUMBERVALUE(RIGHT(BI102,1)),D102-WEEKDAY(D102)+CHOOSE(MATCH(RIGHT(BI102),{"일","월","화","수","목","금","토"},0),8,9,10,11,12,13,14)))</f>
        <v>45741</v>
      </c>
      <c r="BK102" s="99"/>
    </row>
    <row r="103" spans="2:63" x14ac:dyDescent="0.35">
      <c r="B103" s="20" t="str" cm="1">
        <f t="array" ref="B103">_xlfn.IFS(BB103&lt;&gt;BC103,"Claim확인",N103&lt;&gt;"OK","확인필요",TRUE,"")</f>
        <v/>
      </c>
      <c r="C103" s="21" t="str">
        <f t="shared" si="14"/>
        <v>010-7X6X-X9X5110X98XX7530</v>
      </c>
      <c r="D103" s="26">
        <v>45738</v>
      </c>
      <c r="E103" s="91" t="s">
        <v>255</v>
      </c>
      <c r="F103" s="25" t="s">
        <v>258</v>
      </c>
      <c r="G103" s="27" t="s">
        <v>282</v>
      </c>
      <c r="H103" s="25" t="s">
        <v>289</v>
      </c>
      <c r="I103" s="25"/>
      <c r="J103" s="25" t="s">
        <v>290</v>
      </c>
      <c r="K103" s="28">
        <v>0.3125</v>
      </c>
      <c r="L103" s="28">
        <v>0.6875</v>
      </c>
      <c r="M103" s="28">
        <v>4.1666666666666664E-2</v>
      </c>
      <c r="N103" s="25" t="s">
        <v>281</v>
      </c>
      <c r="O103" s="29" t="str">
        <f>_xlfn.XLOOKUP(Table2[[#This Row],[Key]],Table1[Key],Table1[주민등록번호],"",0)</f>
        <v>990XX62XX3X13</v>
      </c>
      <c r="P103" s="29">
        <f>_xlfn.XLOOKUP(Table2[[#This Row],[Key]],Table1[Key],Table1[비자],"",0)</f>
        <v>0</v>
      </c>
      <c r="Q103" s="29">
        <f>IF(P103=0,0,_xlfn.XLOOKUP(Table2[[#This Row],[Key]],Table1[Key],Table1[고용보험 여부],0,0))</f>
        <v>0</v>
      </c>
      <c r="R103" s="29" t="str">
        <f t="shared" si="15"/>
        <v>2503</v>
      </c>
      <c r="S103" s="30" t="str">
        <f>YEAR(Table2[[#This Row],[근무일자]])&amp;TEXT(WEEKNUM(Table2[[#This Row],[근무일자]]),"00")</f>
        <v>202512</v>
      </c>
      <c r="T103" s="31">
        <f>_xlfn.XLOOKUP(Table2[[#This Row],[Key]],Table1[Key],Table1[등록일],"",0)</f>
        <v>45696</v>
      </c>
      <c r="U103" s="32">
        <f t="shared" si="16"/>
        <v>0.33333333333333331</v>
      </c>
      <c r="V103" s="92">
        <f t="shared" si="17"/>
        <v>0</v>
      </c>
      <c r="W103" s="100" t="str">
        <f>_xlfn.XLOOKUP(Table2[[#This Row],[근무일자]],Table3[Date],Table3[Holiday],"",0)</f>
        <v/>
      </c>
      <c r="X103" s="93">
        <f>IF(D103&lt;&gt;"",1,0)+IF(COUNTIFS(Table2[주민등록번호],O103,Table2[월],TEXT(EOMONTH(D103,-1),"YYMM"))&gt;0,1+IF(COUNTIFS(Table2[주민등록번호],O103,Table2[월],TEXT(EOMONTH(D103,-2),"YYMM"))&gt;0,1+IF(COUNTIFS(Table2[주민등록번호],O103,Table2[월],TEXT(EOMONTH(D103,-3),"YYMM"))&gt;0,1,0),0),0)</f>
        <v>2</v>
      </c>
      <c r="Y103" s="29">
        <f>COUNTIFS(Table2[주민등록번호],O103,Table2[월],R103,Table2[근무일자],"&lt;="&amp;D103)</f>
        <v>7</v>
      </c>
      <c r="Z103" s="29">
        <f>COUNTIFS(Table2[주민등록번호],O103,Table2[주간],S103,Table2[근무일자],"&lt;="&amp;D103)</f>
        <v>2</v>
      </c>
      <c r="AA103" s="29">
        <f>SUMIFS(Table2[근로
시간],Table2[주민등록번호],O103,Table2[주간],S103,Table2[근무일자],"&lt;="&amp;D103)*24</f>
        <v>16</v>
      </c>
      <c r="AB103" s="29" t="str">
        <f>IF(AND(Y103&gt;=8,COUNTIFS(Table2[주민등록번호],O103,Table2[근무일자],"&gt;="&amp;EOMONTH(D103,-2)+1,Table2[근무일자],"&lt;="&amp;EOMONTH(D103,-1)+1)&gt;0),"V","")</f>
        <v/>
      </c>
      <c r="AC103" s="94" cm="1">
        <f t="array" ref="AC103">IF(AD103&lt;&gt;"",AD103,_xlfn.XLOOKUP(1,(D103&lt;=Table7[End])*(E103=Table7[근무처])*(F103=Table7[업무]),Table7[시급],0,0))</f>
        <v>10680</v>
      </c>
      <c r="AD103" s="95"/>
      <c r="AE103" s="94">
        <f t="shared" si="18"/>
        <v>85440</v>
      </c>
      <c r="AF103" s="96" cm="1">
        <f t="array" ref="AF103">IF(AND(AA103&gt;=15,(AA103-U103*24)&lt;=40),IF(Z103&gt;=_xlfn.XLOOKUP(1,(D103&lt;=Table7[End])*(E103=Table7[근무처])*(F103=Table7[업무]),Table7[주휴적용일],0,0),1,0)+_xlfn.XLOOKUP(1,(Table2[주간]=Table2[[#This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03" s="96" cm="1">
        <f t="array" ref="AG103">MAX((_xlfn.IFS(AF103=0,0,AF103=1,AA103,AF103&gt;1,U103*24)-IF(AA103&gt;40,AA103-40,0))/5,0)</f>
        <v>3.2</v>
      </c>
      <c r="AH103" s="94">
        <f t="shared" si="19"/>
        <v>34176</v>
      </c>
      <c r="AI103" s="33" cm="1">
        <f t="array" ref="AI103">IF(W103="",0,ROUND(AC103*U103*24*_xlfn.XLOOKUP(1,(D103&lt;=Table7[End])*(E103=Table7[근무처])*(F103=Table7[업무]),Table7[휴일인센티브],0,0),0))</f>
        <v>0</v>
      </c>
      <c r="AJ103" s="94" cm="1">
        <f t="array" ref="AJ103">ROUND(AC103*IF(U103&gt;=8/24,U103-8/24,0)*24*_xlfn.XLOOKUP(1,(D103&lt;=Table7[End])*(E103=Table7[근무처])*(F103=Table7[업무]),Table7[야간인센티브],0,0),0)</f>
        <v>0</v>
      </c>
      <c r="AK103" s="94" cm="1">
        <f t="array" ref="AK103">IF(V103=0,0,ROUND(AC103*V103*24*_xlfn.XLOOKUP(1,(D103&lt;=Table7[End])*(E103=Table7[근무처])*(F103=Table7[업무]),Table7[야간인센티브],0,0),0))</f>
        <v>0</v>
      </c>
      <c r="AL103" s="95"/>
      <c r="AM103" s="94">
        <f t="shared" si="20"/>
        <v>119616</v>
      </c>
      <c r="AN103" s="94" cm="1">
        <f t="array" ref="AN103">IF(AM103&gt;=_xlfn.XLOOKUP(TRUE,D103&lt;=Table5[End],Table5[비과세소득기준],0,0),AM103-_xlfn.XLOOKUP(TRUE,D103&lt;=Table5[End],Table5[비과세소득기준],0,0),0)</f>
        <v>0</v>
      </c>
      <c r="AO103" s="94" cm="1">
        <f t="array" ref="AO103">ROUNDDOWN(_xlfn.LET(_xlpm.setvalue,_xlfn.XLOOKUP(TRUE,D103&lt;=Table5[End],Table5[[요율]:[근로소득세액공제]],0,0),_xlpm.tax,AN103*PRODUCT((_xlpm.setvalue-{0,1})*{1,-1}),_xlpm.threshold,_xlfn.XLOOKUP(TRUE,D103&lt;=Table5[End],Table5[소액부징수기준],0,0),IF(_xlpm.tax&gt;=_xlpm.threshold,_xlpm.tax,0)),-1)</f>
        <v>0</v>
      </c>
      <c r="AP103" s="94">
        <f>ROUNDDOWN(Table2[[#This Row],[소득세]]*10%,-1)</f>
        <v>0</v>
      </c>
      <c r="AQ103" s="94">
        <f>IF(AB103="v",AM103+IF(Y103=8,SUMIFS(Table2[지급총액],Table2[주민등록번호],O103,Table2[월],R103,Table2[월간
근무일],"&lt;="&amp;8)-AM103,0),0)+_xlfn.NUMBERVALUE(AR103)</f>
        <v>0</v>
      </c>
      <c r="AR103" s="95"/>
      <c r="AS103" s="94" cm="1">
        <f t="array" ref="AS103">ROUNDDOWN($AQ103*_xlfn.XLOOKUP(1,(AS$5=Table8[Type])*($D103&lt;=Table8[End]),Table8[요율],0,0),0)</f>
        <v>0</v>
      </c>
      <c r="AT103" s="94" cm="1">
        <f t="array" ref="AT103">ROUNDDOWN(AS103*_xlfn.XLOOKUP(1,(AT$5=Table8[Type])*($D103&lt;=Table8[End]),Table8[요율],0,0),-1)</f>
        <v>0</v>
      </c>
      <c r="AU103" s="94" cm="1">
        <f t="array" ref="AU103">ROUNDDOWN($AQ103*_xlfn.XLOOKUP(1,(AU$5=Table8[Type])*($D103&lt;=Table8[End]),Table8[요율],0,0),-1)</f>
        <v>0</v>
      </c>
      <c r="AV103" s="94" cm="1">
        <f t="array" ref="AV103">ROUNDDOWN(AM103*_xlfn.XLOOKUP(1,(AV$5=Table8[Type])*($D103&lt;=Table8[End]),Table8[요율],0,0),-1)</f>
        <v>0</v>
      </c>
      <c r="AW103" s="94" cm="1">
        <f t="array" ref="AW103">_xlfn.XLOOKUP(1,(O103=Table2[주민등록번호])*(D103&gt;Table2[근무일자]),Table2[청구 Claim 
이월],0,0,-1)</f>
        <v>0</v>
      </c>
      <c r="AX103" s="95"/>
      <c r="AY103" s="94" cm="1">
        <f t="array" ref="AY103">MAX(SUM(AO103:AP103,AS103:AX103)-_xlfn.XLOOKUP(1,(D103&lt;=Table7[End])*(E103=Table7[근무처])*(F103=Table7[업무]),Table7[1일 공제 상한],0,0),0)</f>
        <v>0</v>
      </c>
      <c r="AZ103" s="94">
        <f t="shared" si="21"/>
        <v>0</v>
      </c>
      <c r="BA103" s="94">
        <f t="shared" si="22"/>
        <v>119616</v>
      </c>
      <c r="BB103" s="97">
        <f t="shared" si="23"/>
        <v>0</v>
      </c>
      <c r="BC103" s="98"/>
      <c r="BD103" s="94">
        <f t="shared" si="24"/>
        <v>0</v>
      </c>
      <c r="BE103" s="94">
        <f t="shared" si="25"/>
        <v>0</v>
      </c>
      <c r="BF103" s="94">
        <f t="shared" si="26"/>
        <v>0</v>
      </c>
      <c r="BG103" s="94">
        <f t="shared" si="27"/>
        <v>0</v>
      </c>
      <c r="BH103" s="94" cm="1">
        <f t="array" ref="BH103">ROUNDDOWN(AM103*_xlfn.XLOOKUP(1,(BH$5=Table8[Type])*($D103&lt;=Table8[End]),Table8[요율],0,0),-1)</f>
        <v>950</v>
      </c>
      <c r="BI103" s="93" t="str" cm="1">
        <f t="array" ref="BI103">_xlfn.XLOOKUP(1,(D103&lt;=Table7[End])*(E103=Table7[근무처])*(F103=Table7[업무]),Table7[지급옵션],0,0)</f>
        <v>차주 화</v>
      </c>
      <c r="BJ103" s="83">
        <f>IF(BK103&lt;&gt;"",BK103,IFERROR(D103+_xlfn.NUMBERVALUE(RIGHT(BI103,1)),D103-WEEKDAY(D103)+CHOOSE(MATCH(RIGHT(BI103),{"일","월","화","수","목","금","토"},0),8,9,10,11,12,13,14)))</f>
        <v>45741</v>
      </c>
      <c r="BK103" s="99"/>
    </row>
    <row r="104" spans="2:63" x14ac:dyDescent="0.35">
      <c r="B104" s="20" t="str" cm="1">
        <f t="array" ref="B104">_xlfn.IFS(BB104&lt;&gt;BC104,"Claim확인",N104&lt;&gt;"OK","확인필요",TRUE,"")</f>
        <v/>
      </c>
      <c r="C104" s="21" t="str">
        <f t="shared" si="14"/>
        <v>010-8X0X-X0X9982X03XX901018</v>
      </c>
      <c r="D104" s="26">
        <v>45739</v>
      </c>
      <c r="E104" s="91" t="s">
        <v>255</v>
      </c>
      <c r="F104" s="25" t="s">
        <v>258</v>
      </c>
      <c r="G104" s="27" t="s">
        <v>283</v>
      </c>
      <c r="H104" s="25" t="s">
        <v>291</v>
      </c>
      <c r="I104" s="25"/>
      <c r="J104" s="25" t="s">
        <v>292</v>
      </c>
      <c r="K104" s="28">
        <v>0.3125</v>
      </c>
      <c r="L104" s="28">
        <v>0.6875</v>
      </c>
      <c r="M104" s="28">
        <v>4.1666666666666664E-2</v>
      </c>
      <c r="N104" s="25" t="s">
        <v>281</v>
      </c>
      <c r="O104" s="29" t="str">
        <f>_xlfn.XLOOKUP(Table2[[#This Row],[Key]],Table1[Key],Table1[주민등록번호],"",0)</f>
        <v>960XX51XX9X15</v>
      </c>
      <c r="P104" s="29">
        <f>_xlfn.XLOOKUP(Table2[[#This Row],[Key]],Table1[Key],Table1[비자],"",0)</f>
        <v>0</v>
      </c>
      <c r="Q104" s="29">
        <f>IF(P104=0,0,_xlfn.XLOOKUP(Table2[[#This Row],[Key]],Table1[Key],Table1[고용보험 여부],0,0))</f>
        <v>0</v>
      </c>
      <c r="R104" s="29" t="str">
        <f t="shared" si="15"/>
        <v>2503</v>
      </c>
      <c r="S104" s="30" t="str">
        <f>YEAR(Table2[[#This Row],[근무일자]])&amp;TEXT(WEEKNUM(Table2[[#This Row],[근무일자]]),"00")</f>
        <v>202513</v>
      </c>
      <c r="T104" s="31">
        <f>_xlfn.XLOOKUP(Table2[[#This Row],[Key]],Table1[Key],Table1[등록일],"",0)</f>
        <v>45698</v>
      </c>
      <c r="U104" s="32">
        <f t="shared" si="16"/>
        <v>0.33333333333333331</v>
      </c>
      <c r="V104" s="92">
        <f t="shared" si="17"/>
        <v>0</v>
      </c>
      <c r="W104" s="100" t="str">
        <f>_xlfn.XLOOKUP(Table2[[#This Row],[근무일자]],Table3[Date],Table3[Holiday],"",0)</f>
        <v/>
      </c>
      <c r="X104" s="93">
        <f>IF(D104&lt;&gt;"",1,0)+IF(COUNTIFS(Table2[주민등록번호],O104,Table2[월],TEXT(EOMONTH(D104,-1),"YYMM"))&gt;0,1+IF(COUNTIFS(Table2[주민등록번호],O104,Table2[월],TEXT(EOMONTH(D104,-2),"YYMM"))&gt;0,1+IF(COUNTIFS(Table2[주민등록번호],O104,Table2[월],TEXT(EOMONTH(D104,-3),"YYMM"))&gt;0,1,0),0),0)</f>
        <v>2</v>
      </c>
      <c r="Y104" s="29">
        <f>COUNTIFS(Table2[주민등록번호],O104,Table2[월],R104,Table2[근무일자],"&lt;="&amp;D104)</f>
        <v>15</v>
      </c>
      <c r="Z104" s="29">
        <f>COUNTIFS(Table2[주민등록번호],O104,Table2[주간],S104,Table2[근무일자],"&lt;="&amp;D104)</f>
        <v>1</v>
      </c>
      <c r="AA104" s="29">
        <f>SUMIFS(Table2[근로
시간],Table2[주민등록번호],O104,Table2[주간],S104,Table2[근무일자],"&lt;="&amp;D104)*24</f>
        <v>8</v>
      </c>
      <c r="AB104" s="29" t="str">
        <f>IF(AND(Y104&gt;=8,COUNTIFS(Table2[주민등록번호],O104,Table2[근무일자],"&gt;="&amp;EOMONTH(D104,-2)+1,Table2[근무일자],"&lt;="&amp;EOMONTH(D104,-1)+1)&gt;0),"V","")</f>
        <v>V</v>
      </c>
      <c r="AC104" s="94" cm="1">
        <f t="array" ref="AC104">IF(AD104&lt;&gt;"",AD104,_xlfn.XLOOKUP(1,(D104&lt;=Table7[End])*(E104=Table7[근무처])*(F104=Table7[업무]),Table7[시급],0,0))</f>
        <v>10680</v>
      </c>
      <c r="AD104" s="95"/>
      <c r="AE104" s="94">
        <f t="shared" si="18"/>
        <v>85440</v>
      </c>
      <c r="AF104" s="96" cm="1">
        <f t="array" ref="AF104">IF(AND(AA104&gt;=15,(AA104-U104*24)&lt;=40),IF(Z104&gt;=_xlfn.XLOOKUP(1,(D104&lt;=Table7[End])*(E104=Table7[근무처])*(F104=Table7[업무]),Table7[주휴적용일],0,0),1,0)+_xlfn.XLOOKUP(1,(Table2[주간]=Table2[[#This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04" s="96" cm="1">
        <f t="array" ref="AG104">MAX((_xlfn.IFS(AF104=0,0,AF104=1,AA104,AF104&gt;1,U104*24)-IF(AA104&gt;40,AA104-40,0))/5,0)</f>
        <v>0</v>
      </c>
      <c r="AH104" s="94">
        <f t="shared" si="19"/>
        <v>0</v>
      </c>
      <c r="AI104" s="33" cm="1">
        <f t="array" ref="AI104">IF(W104="",0,ROUND(AC104*U104*24*_xlfn.XLOOKUP(1,(D104&lt;=Table7[End])*(E104=Table7[근무처])*(F104=Table7[업무]),Table7[휴일인센티브],0,0),0))</f>
        <v>0</v>
      </c>
      <c r="AJ104" s="94" cm="1">
        <f t="array" ref="AJ104">ROUND(AC104*IF(U104&gt;=8/24,U104-8/24,0)*24*_xlfn.XLOOKUP(1,(D104&lt;=Table7[End])*(E104=Table7[근무처])*(F104=Table7[업무]),Table7[야간인센티브],0,0),0)</f>
        <v>0</v>
      </c>
      <c r="AK104" s="94" cm="1">
        <f t="array" ref="AK104">IF(V104=0,0,ROUND(AC104*V104*24*_xlfn.XLOOKUP(1,(D104&lt;=Table7[End])*(E104=Table7[근무처])*(F104=Table7[업무]),Table7[야간인센티브],0,0),0))</f>
        <v>0</v>
      </c>
      <c r="AL104" s="95"/>
      <c r="AM104" s="94">
        <f t="shared" si="20"/>
        <v>85440</v>
      </c>
      <c r="AN104" s="94" cm="1">
        <f t="array" ref="AN104">IF(AM104&gt;=_xlfn.XLOOKUP(TRUE,D104&lt;=Table5[End],Table5[비과세소득기준],0,0),AM104-_xlfn.XLOOKUP(TRUE,D104&lt;=Table5[End],Table5[비과세소득기준],0,0),0)</f>
        <v>0</v>
      </c>
      <c r="AO104" s="94" cm="1">
        <f t="array" ref="AO104">ROUNDDOWN(_xlfn.LET(_xlpm.setvalue,_xlfn.XLOOKUP(TRUE,D104&lt;=Table5[End],Table5[[요율]:[근로소득세액공제]],0,0),_xlpm.tax,AN104*PRODUCT((_xlpm.setvalue-{0,1})*{1,-1}),_xlpm.threshold,_xlfn.XLOOKUP(TRUE,D104&lt;=Table5[End],Table5[소액부징수기준],0,0),IF(_xlpm.tax&gt;=_xlpm.threshold,_xlpm.tax,0)),-1)</f>
        <v>0</v>
      </c>
      <c r="AP104" s="94">
        <f>ROUNDDOWN(Table2[[#This Row],[소득세]]*10%,-1)</f>
        <v>0</v>
      </c>
      <c r="AQ104" s="94">
        <f>IF(AB104="v",AM104+IF(Y104=8,SUMIFS(Table2[지급총액],Table2[주민등록번호],O104,Table2[월],R104,Table2[월간
근무일],"&lt;="&amp;8)-AM104,0),0)+_xlfn.NUMBERVALUE(AR104)</f>
        <v>85440</v>
      </c>
      <c r="AR104" s="95"/>
      <c r="AS104" s="94" cm="1">
        <f t="array" ref="AS104">ROUNDDOWN($AQ104*_xlfn.XLOOKUP(1,(AS$5=Table8[Type])*($D104&lt;=Table8[End]),Table8[요율],0,0),0)</f>
        <v>3028</v>
      </c>
      <c r="AT104" s="94" cm="1">
        <f t="array" ref="AT104">ROUNDDOWN(AS104*_xlfn.XLOOKUP(1,(AT$5=Table8[Type])*($D104&lt;=Table8[End]),Table8[요율],0,0),-1)</f>
        <v>390</v>
      </c>
      <c r="AU104" s="94" cm="1">
        <f t="array" ref="AU104">ROUNDDOWN($AQ104*_xlfn.XLOOKUP(1,(AU$5=Table8[Type])*($D104&lt;=Table8[End]),Table8[요율],0,0),-1)</f>
        <v>3840</v>
      </c>
      <c r="AV104" s="94" cm="1">
        <f t="array" ref="AV104">ROUNDDOWN(AM104*_xlfn.XLOOKUP(1,(AV$5=Table8[Type])*($D104&lt;=Table8[End]),Table8[요율],0,0),-1)</f>
        <v>0</v>
      </c>
      <c r="AW104" s="94" cm="1">
        <f t="array" ref="AW104">_xlfn.XLOOKUP(1,(O104=Table2[주민등록번호])*(D104&gt;Table2[근무일자]),Table2[청구 Claim 
이월],0,0,-1)</f>
        <v>0</v>
      </c>
      <c r="AX104" s="95"/>
      <c r="AY104" s="94" cm="1">
        <f t="array" ref="AY104">MAX(SUM(AO104:AP104,AS104:AX104)-_xlfn.XLOOKUP(1,(D104&lt;=Table7[End])*(E104=Table7[근무처])*(F104=Table7[업무]),Table7[1일 공제 상한],0,0),0)</f>
        <v>0</v>
      </c>
      <c r="AZ104" s="94">
        <f t="shared" si="21"/>
        <v>7258</v>
      </c>
      <c r="BA104" s="94">
        <f t="shared" si="22"/>
        <v>78182</v>
      </c>
      <c r="BB104" s="97">
        <f t="shared" si="23"/>
        <v>0</v>
      </c>
      <c r="BC104" s="98"/>
      <c r="BD104" s="94">
        <f t="shared" si="24"/>
        <v>3028</v>
      </c>
      <c r="BE104" s="94">
        <f t="shared" si="25"/>
        <v>390</v>
      </c>
      <c r="BF104" s="94">
        <f t="shared" si="26"/>
        <v>3840</v>
      </c>
      <c r="BG104" s="94">
        <f t="shared" si="27"/>
        <v>0</v>
      </c>
      <c r="BH104" s="94" cm="1">
        <f t="array" ref="BH104">ROUNDDOWN(AM104*_xlfn.XLOOKUP(1,(BH$5=Table8[Type])*($D104&lt;=Table8[End]),Table8[요율],0,0),-1)</f>
        <v>680</v>
      </c>
      <c r="BI104" s="93" t="str" cm="1">
        <f t="array" ref="BI104">_xlfn.XLOOKUP(1,(D104&lt;=Table7[End])*(E104=Table7[근무처])*(F104=Table7[업무]),Table7[지급옵션],0,0)</f>
        <v>차주 화</v>
      </c>
      <c r="BJ104" s="83">
        <f>IF(BK104&lt;&gt;"",BK104,IFERROR(D104+_xlfn.NUMBERVALUE(RIGHT(BI104,1)),D104-WEEKDAY(D104)+CHOOSE(MATCH(RIGHT(BI104),{"일","월","화","수","목","금","토"},0),8,9,10,11,12,13,14)))</f>
        <v>45748</v>
      </c>
      <c r="BK104" s="99"/>
    </row>
    <row r="105" spans="2:63" x14ac:dyDescent="0.35">
      <c r="B105" s="20" t="str" cm="1">
        <f t="array" ref="B105">_xlfn.IFS(BB105&lt;&gt;BC105,"Claim확인",N105&lt;&gt;"OK","확인필요",TRUE,"")</f>
        <v/>
      </c>
      <c r="C105" s="21" t="str">
        <f t="shared" si="14"/>
        <v>010-8X0X-X0X9982X03XX901018</v>
      </c>
      <c r="D105" s="26">
        <v>45740</v>
      </c>
      <c r="E105" s="91" t="s">
        <v>255</v>
      </c>
      <c r="F105" s="25" t="s">
        <v>258</v>
      </c>
      <c r="G105" s="27" t="s">
        <v>283</v>
      </c>
      <c r="H105" s="25" t="s">
        <v>291</v>
      </c>
      <c r="I105" s="25"/>
      <c r="J105" s="25" t="s">
        <v>292</v>
      </c>
      <c r="K105" s="28">
        <v>0.375</v>
      </c>
      <c r="L105" s="28">
        <v>0.75</v>
      </c>
      <c r="M105" s="28">
        <v>4.1666666666666664E-2</v>
      </c>
      <c r="N105" s="25" t="s">
        <v>281</v>
      </c>
      <c r="O105" s="29" t="str">
        <f>_xlfn.XLOOKUP(Table2[[#This Row],[Key]],Table1[Key],Table1[주민등록번호],"",0)</f>
        <v>960XX51XX9X15</v>
      </c>
      <c r="P105" s="29">
        <f>_xlfn.XLOOKUP(Table2[[#This Row],[Key]],Table1[Key],Table1[비자],"",0)</f>
        <v>0</v>
      </c>
      <c r="Q105" s="29">
        <f>IF(P105=0,0,_xlfn.XLOOKUP(Table2[[#This Row],[Key]],Table1[Key],Table1[고용보험 여부],0,0))</f>
        <v>0</v>
      </c>
      <c r="R105" s="29" t="str">
        <f t="shared" si="15"/>
        <v>2503</v>
      </c>
      <c r="S105" s="30" t="str">
        <f>YEAR(Table2[[#This Row],[근무일자]])&amp;TEXT(WEEKNUM(Table2[[#This Row],[근무일자]]),"00")</f>
        <v>202513</v>
      </c>
      <c r="T105" s="31">
        <f>_xlfn.XLOOKUP(Table2[[#This Row],[Key]],Table1[Key],Table1[등록일],"",0)</f>
        <v>45698</v>
      </c>
      <c r="U105" s="32">
        <f t="shared" si="16"/>
        <v>0.33333333333333331</v>
      </c>
      <c r="V105" s="92">
        <f t="shared" si="17"/>
        <v>0</v>
      </c>
      <c r="W105" s="100" t="str">
        <f>_xlfn.XLOOKUP(Table2[[#This Row],[근무일자]],Table3[Date],Table3[Holiday],"",0)</f>
        <v/>
      </c>
      <c r="X105" s="93">
        <f>IF(D105&lt;&gt;"",1,0)+IF(COUNTIFS(Table2[주민등록번호],O105,Table2[월],TEXT(EOMONTH(D105,-1),"YYMM"))&gt;0,1+IF(COUNTIFS(Table2[주민등록번호],O105,Table2[월],TEXT(EOMONTH(D105,-2),"YYMM"))&gt;0,1+IF(COUNTIFS(Table2[주민등록번호],O105,Table2[월],TEXT(EOMONTH(D105,-3),"YYMM"))&gt;0,1,0),0),0)</f>
        <v>2</v>
      </c>
      <c r="Y105" s="29">
        <f>COUNTIFS(Table2[주민등록번호],O105,Table2[월],R105,Table2[근무일자],"&lt;="&amp;D105)</f>
        <v>16</v>
      </c>
      <c r="Z105" s="29">
        <f>COUNTIFS(Table2[주민등록번호],O105,Table2[주간],S105,Table2[근무일자],"&lt;="&amp;D105)</f>
        <v>2</v>
      </c>
      <c r="AA105" s="29">
        <f>SUMIFS(Table2[근로
시간],Table2[주민등록번호],O105,Table2[주간],S105,Table2[근무일자],"&lt;="&amp;D105)*24</f>
        <v>16</v>
      </c>
      <c r="AB105" s="29" t="str">
        <f>IF(AND(Y105&gt;=8,COUNTIFS(Table2[주민등록번호],O105,Table2[근무일자],"&gt;="&amp;EOMONTH(D105,-2)+1,Table2[근무일자],"&lt;="&amp;EOMONTH(D105,-1)+1)&gt;0),"V","")</f>
        <v>V</v>
      </c>
      <c r="AC105" s="94" cm="1">
        <f t="array" ref="AC105">IF(AD105&lt;&gt;"",AD105,_xlfn.XLOOKUP(1,(D105&lt;=Table7[End])*(E105=Table7[근무처])*(F105=Table7[업무]),Table7[시급],0,0))</f>
        <v>10680</v>
      </c>
      <c r="AD105" s="95"/>
      <c r="AE105" s="94">
        <f t="shared" si="18"/>
        <v>85440</v>
      </c>
      <c r="AF105" s="96" cm="1">
        <f t="array" ref="AF105">IF(AND(AA105&gt;=15,(AA105-U105*24)&lt;=40),IF(Z105&gt;=_xlfn.XLOOKUP(1,(D105&lt;=Table7[End])*(E105=Table7[근무처])*(F105=Table7[업무]),Table7[주휴적용일],0,0),1,0)+_xlfn.XLOOKUP(1,(Table2[주간]=Table2[[#This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05" s="96" cm="1">
        <f t="array" ref="AG105">MAX((_xlfn.IFS(AF105=0,0,AF105=1,AA105,AF105&gt;1,U105*24)-IF(AA105&gt;40,AA105-40,0))/5,0)</f>
        <v>3.2</v>
      </c>
      <c r="AH105" s="94">
        <f t="shared" si="19"/>
        <v>34176</v>
      </c>
      <c r="AI105" s="33" cm="1">
        <f t="array" ref="AI105">IF(W105="",0,ROUND(AC105*U105*24*_xlfn.XLOOKUP(1,(D105&lt;=Table7[End])*(E105=Table7[근무처])*(F105=Table7[업무]),Table7[휴일인센티브],0,0),0))</f>
        <v>0</v>
      </c>
      <c r="AJ105" s="94" cm="1">
        <f t="array" ref="AJ105">ROUND(AC105*IF(U105&gt;=8/24,U105-8/24,0)*24*_xlfn.XLOOKUP(1,(D105&lt;=Table7[End])*(E105=Table7[근무처])*(F105=Table7[업무]),Table7[야간인센티브],0,0),0)</f>
        <v>0</v>
      </c>
      <c r="AK105" s="94" cm="1">
        <f t="array" ref="AK105">IF(V105=0,0,ROUND(AC105*V105*24*_xlfn.XLOOKUP(1,(D105&lt;=Table7[End])*(E105=Table7[근무처])*(F105=Table7[업무]),Table7[야간인센티브],0,0),0))</f>
        <v>0</v>
      </c>
      <c r="AL105" s="95"/>
      <c r="AM105" s="94">
        <f t="shared" si="20"/>
        <v>119616</v>
      </c>
      <c r="AN105" s="94" cm="1">
        <f t="array" ref="AN105">IF(AM105&gt;=_xlfn.XLOOKUP(TRUE,D105&lt;=Table5[End],Table5[비과세소득기준],0,0),AM105-_xlfn.XLOOKUP(TRUE,D105&lt;=Table5[End],Table5[비과세소득기준],0,0),0)</f>
        <v>0</v>
      </c>
      <c r="AO105" s="94" cm="1">
        <f t="array" ref="AO105">ROUNDDOWN(_xlfn.LET(_xlpm.setvalue,_xlfn.XLOOKUP(TRUE,D105&lt;=Table5[End],Table5[[요율]:[근로소득세액공제]],0,0),_xlpm.tax,AN105*PRODUCT((_xlpm.setvalue-{0,1})*{1,-1}),_xlpm.threshold,_xlfn.XLOOKUP(TRUE,D105&lt;=Table5[End],Table5[소액부징수기준],0,0),IF(_xlpm.tax&gt;=_xlpm.threshold,_xlpm.tax,0)),-1)</f>
        <v>0</v>
      </c>
      <c r="AP105" s="94">
        <f>ROUNDDOWN(Table2[[#This Row],[소득세]]*10%,-1)</f>
        <v>0</v>
      </c>
      <c r="AQ105" s="94">
        <f>IF(AB105="v",AM105+IF(Y105=8,SUMIFS(Table2[지급총액],Table2[주민등록번호],O105,Table2[월],R105,Table2[월간
근무일],"&lt;="&amp;8)-AM105,0),0)+_xlfn.NUMBERVALUE(AR105)</f>
        <v>119616</v>
      </c>
      <c r="AR105" s="95"/>
      <c r="AS105" s="94" cm="1">
        <f t="array" ref="AS105">ROUNDDOWN($AQ105*_xlfn.XLOOKUP(1,(AS$5=Table8[Type])*($D105&lt;=Table8[End]),Table8[요율],0,0),0)</f>
        <v>4240</v>
      </c>
      <c r="AT105" s="94" cm="1">
        <f t="array" ref="AT105">ROUNDDOWN(AS105*_xlfn.XLOOKUP(1,(AT$5=Table8[Type])*($D105&lt;=Table8[End]),Table8[요율],0,0),-1)</f>
        <v>540</v>
      </c>
      <c r="AU105" s="94" cm="1">
        <f t="array" ref="AU105">ROUNDDOWN($AQ105*_xlfn.XLOOKUP(1,(AU$5=Table8[Type])*($D105&lt;=Table8[End]),Table8[요율],0,0),-1)</f>
        <v>5380</v>
      </c>
      <c r="AV105" s="94" cm="1">
        <f t="array" ref="AV105">ROUNDDOWN(AM105*_xlfn.XLOOKUP(1,(AV$5=Table8[Type])*($D105&lt;=Table8[End]),Table8[요율],0,0),-1)</f>
        <v>0</v>
      </c>
      <c r="AW105" s="94" cm="1">
        <f t="array" ref="AW105">_xlfn.XLOOKUP(1,(O105=Table2[주민등록번호])*(D105&gt;Table2[근무일자]),Table2[청구 Claim 
이월],0,0,-1)</f>
        <v>0</v>
      </c>
      <c r="AX105" s="95"/>
      <c r="AY105" s="94" cm="1">
        <f t="array" ref="AY105">MAX(SUM(AO105:AP105,AS105:AX105)-_xlfn.XLOOKUP(1,(D105&lt;=Table7[End])*(E105=Table7[근무처])*(F105=Table7[업무]),Table7[1일 공제 상한],0,0),0)</f>
        <v>0</v>
      </c>
      <c r="AZ105" s="94">
        <f t="shared" si="21"/>
        <v>10160</v>
      </c>
      <c r="BA105" s="94">
        <f t="shared" si="22"/>
        <v>109456</v>
      </c>
      <c r="BB105" s="97">
        <f t="shared" si="23"/>
        <v>0</v>
      </c>
      <c r="BC105" s="98"/>
      <c r="BD105" s="94">
        <f t="shared" si="24"/>
        <v>4240</v>
      </c>
      <c r="BE105" s="94">
        <f t="shared" si="25"/>
        <v>540</v>
      </c>
      <c r="BF105" s="94">
        <f t="shared" si="26"/>
        <v>5380</v>
      </c>
      <c r="BG105" s="94">
        <f t="shared" si="27"/>
        <v>0</v>
      </c>
      <c r="BH105" s="94" cm="1">
        <f t="array" ref="BH105">ROUNDDOWN(AM105*_xlfn.XLOOKUP(1,(BH$5=Table8[Type])*($D105&lt;=Table8[End]),Table8[요율],0,0),-1)</f>
        <v>950</v>
      </c>
      <c r="BI105" s="93" t="str" cm="1">
        <f t="array" ref="BI105">_xlfn.XLOOKUP(1,(D105&lt;=Table7[End])*(E105=Table7[근무처])*(F105=Table7[업무]),Table7[지급옵션],0,0)</f>
        <v>차주 화</v>
      </c>
      <c r="BJ105" s="83">
        <f>IF(BK105&lt;&gt;"",BK105,IFERROR(D105+_xlfn.NUMBERVALUE(RIGHT(BI105,1)),D105-WEEKDAY(D105)+CHOOSE(MATCH(RIGHT(BI105),{"일","월","화","수","목","금","토"},0),8,9,10,11,12,13,14)))</f>
        <v>45748</v>
      </c>
      <c r="BK105" s="99"/>
    </row>
    <row r="106" spans="2:63" x14ac:dyDescent="0.35">
      <c r="B106" s="20" t="str" cm="1">
        <f t="array" ref="B106">_xlfn.IFS(BB106&lt;&gt;BC106,"Claim확인",N106&lt;&gt;"OK","확인필요",TRUE,"")</f>
        <v/>
      </c>
      <c r="C106" s="21" t="str">
        <f t="shared" si="14"/>
        <v>010-6X1X-X3X0333X04XX46879</v>
      </c>
      <c r="D106" s="26">
        <v>45740</v>
      </c>
      <c r="E106" s="91" t="s">
        <v>255</v>
      </c>
      <c r="F106" s="25" t="s">
        <v>258</v>
      </c>
      <c r="G106" s="27" t="s">
        <v>284</v>
      </c>
      <c r="H106" s="25" t="s">
        <v>293</v>
      </c>
      <c r="I106" s="25"/>
      <c r="J106" s="25" t="s">
        <v>294</v>
      </c>
      <c r="K106" s="28">
        <v>0.3125</v>
      </c>
      <c r="L106" s="28">
        <v>0.6875</v>
      </c>
      <c r="M106" s="28">
        <v>4.1666666666666664E-2</v>
      </c>
      <c r="N106" s="25" t="s">
        <v>281</v>
      </c>
      <c r="O106" s="29" t="str">
        <f>_xlfn.XLOOKUP(Table2[[#This Row],[Key]],Table1[Key],Table1[주민등록번호],"",0)</f>
        <v>971XX61XX9X25</v>
      </c>
      <c r="P106" s="29">
        <f>_xlfn.XLOOKUP(Table2[[#This Row],[Key]],Table1[Key],Table1[비자],"",0)</f>
        <v>0</v>
      </c>
      <c r="Q106" s="29">
        <f>IF(P106=0,0,_xlfn.XLOOKUP(Table2[[#This Row],[Key]],Table1[Key],Table1[고용보험 여부],0,0))</f>
        <v>0</v>
      </c>
      <c r="R106" s="29" t="str">
        <f t="shared" si="15"/>
        <v>2503</v>
      </c>
      <c r="S106" s="30" t="str">
        <f>YEAR(Table2[[#This Row],[근무일자]])&amp;TEXT(WEEKNUM(Table2[[#This Row],[근무일자]]),"00")</f>
        <v>202513</v>
      </c>
      <c r="T106" s="31">
        <f>_xlfn.XLOOKUP(Table2[[#This Row],[Key]],Table1[Key],Table1[등록일],"",0)</f>
        <v>45721</v>
      </c>
      <c r="U106" s="32">
        <f t="shared" si="16"/>
        <v>0.33333333333333331</v>
      </c>
      <c r="V106" s="92">
        <f t="shared" si="17"/>
        <v>0</v>
      </c>
      <c r="W106" s="100" t="str">
        <f>_xlfn.XLOOKUP(Table2[[#This Row],[근무일자]],Table3[Date],Table3[Holiday],"",0)</f>
        <v/>
      </c>
      <c r="X106" s="93">
        <f>IF(D106&lt;&gt;"",1,0)+IF(COUNTIFS(Table2[주민등록번호],O106,Table2[월],TEXT(EOMONTH(D106,-1),"YYMM"))&gt;0,1+IF(COUNTIFS(Table2[주민등록번호],O106,Table2[월],TEXT(EOMONTH(D106,-2),"YYMM"))&gt;0,1+IF(COUNTIFS(Table2[주민등록번호],O106,Table2[월],TEXT(EOMONTH(D106,-3),"YYMM"))&gt;0,1,0),0),0)</f>
        <v>1</v>
      </c>
      <c r="Y106" s="29">
        <f>COUNTIFS(Table2[주민등록번호],O106,Table2[월],R106,Table2[근무일자],"&lt;="&amp;D106)</f>
        <v>9</v>
      </c>
      <c r="Z106" s="29">
        <f>COUNTIFS(Table2[주민등록번호],O106,Table2[주간],S106,Table2[근무일자],"&lt;="&amp;D106)</f>
        <v>1</v>
      </c>
      <c r="AA106" s="29">
        <f>SUMIFS(Table2[근로
시간],Table2[주민등록번호],O106,Table2[주간],S106,Table2[근무일자],"&lt;="&amp;D106)*24</f>
        <v>8</v>
      </c>
      <c r="AB106" s="29" t="str">
        <f>IF(AND(Y106&gt;=8,COUNTIFS(Table2[주민등록번호],O106,Table2[근무일자],"&gt;="&amp;EOMONTH(D106,-2)+1,Table2[근무일자],"&lt;="&amp;EOMONTH(D106,-1)+1)&gt;0),"V","")</f>
        <v/>
      </c>
      <c r="AC106" s="94" cm="1">
        <f t="array" ref="AC106">IF(AD106&lt;&gt;"",AD106,_xlfn.XLOOKUP(1,(D106&lt;=Table7[End])*(E106=Table7[근무처])*(F106=Table7[업무]),Table7[시급],0,0))</f>
        <v>10680</v>
      </c>
      <c r="AD106" s="95"/>
      <c r="AE106" s="94">
        <f t="shared" si="18"/>
        <v>85440</v>
      </c>
      <c r="AF106" s="96" cm="1">
        <f t="array" ref="AF106">IF(AND(AA106&gt;=15,(AA106-U106*24)&lt;=40),IF(Z106&gt;=_xlfn.XLOOKUP(1,(D106&lt;=Table7[End])*(E106=Table7[근무처])*(F106=Table7[업무]),Table7[주휴적용일],0,0),1,0)+_xlfn.XLOOKUP(1,(Table2[주간]=Table2[[#This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06" s="96" cm="1">
        <f t="array" ref="AG106">MAX((_xlfn.IFS(AF106=0,0,AF106=1,AA106,AF106&gt;1,U106*24)-IF(AA106&gt;40,AA106-40,0))/5,0)</f>
        <v>0</v>
      </c>
      <c r="AH106" s="94">
        <f t="shared" si="19"/>
        <v>0</v>
      </c>
      <c r="AI106" s="33" cm="1">
        <f t="array" ref="AI106">IF(W106="",0,ROUND(AC106*U106*24*_xlfn.XLOOKUP(1,(D106&lt;=Table7[End])*(E106=Table7[근무처])*(F106=Table7[업무]),Table7[휴일인센티브],0,0),0))</f>
        <v>0</v>
      </c>
      <c r="AJ106" s="94" cm="1">
        <f t="array" ref="AJ106">ROUND(AC106*IF(U106&gt;=8/24,U106-8/24,0)*24*_xlfn.XLOOKUP(1,(D106&lt;=Table7[End])*(E106=Table7[근무처])*(F106=Table7[업무]),Table7[야간인센티브],0,0),0)</f>
        <v>0</v>
      </c>
      <c r="AK106" s="94" cm="1">
        <f t="array" ref="AK106">IF(V106=0,0,ROUND(AC106*V106*24*_xlfn.XLOOKUP(1,(D106&lt;=Table7[End])*(E106=Table7[근무처])*(F106=Table7[업무]),Table7[야간인센티브],0,0),0))</f>
        <v>0</v>
      </c>
      <c r="AL106" s="95"/>
      <c r="AM106" s="94">
        <f t="shared" si="20"/>
        <v>85440</v>
      </c>
      <c r="AN106" s="94" cm="1">
        <f t="array" ref="AN106">IF(AM106&gt;=_xlfn.XLOOKUP(TRUE,D106&lt;=Table5[End],Table5[비과세소득기준],0,0),AM106-_xlfn.XLOOKUP(TRUE,D106&lt;=Table5[End],Table5[비과세소득기준],0,0),0)</f>
        <v>0</v>
      </c>
      <c r="AO106" s="94" cm="1">
        <f t="array" ref="AO106">ROUNDDOWN(_xlfn.LET(_xlpm.setvalue,_xlfn.XLOOKUP(TRUE,D106&lt;=Table5[End],Table5[[요율]:[근로소득세액공제]],0,0),_xlpm.tax,AN106*PRODUCT((_xlpm.setvalue-{0,1})*{1,-1}),_xlpm.threshold,_xlfn.XLOOKUP(TRUE,D106&lt;=Table5[End],Table5[소액부징수기준],0,0),IF(_xlpm.tax&gt;=_xlpm.threshold,_xlpm.tax,0)),-1)</f>
        <v>0</v>
      </c>
      <c r="AP106" s="94">
        <f>ROUNDDOWN(Table2[[#This Row],[소득세]]*10%,-1)</f>
        <v>0</v>
      </c>
      <c r="AQ106" s="94">
        <f>IF(AB106="v",AM106+IF(Y106=8,SUMIFS(Table2[지급총액],Table2[주민등록번호],O106,Table2[월],R106,Table2[월간
근무일],"&lt;="&amp;8)-AM106,0),0)+_xlfn.NUMBERVALUE(AR106)</f>
        <v>0</v>
      </c>
      <c r="AR106" s="95"/>
      <c r="AS106" s="94" cm="1">
        <f t="array" ref="AS106">ROUNDDOWN($AQ106*_xlfn.XLOOKUP(1,(AS$5=Table8[Type])*($D106&lt;=Table8[End]),Table8[요율],0,0),0)</f>
        <v>0</v>
      </c>
      <c r="AT106" s="94" cm="1">
        <f t="array" ref="AT106">ROUNDDOWN(AS106*_xlfn.XLOOKUP(1,(AT$5=Table8[Type])*($D106&lt;=Table8[End]),Table8[요율],0,0),-1)</f>
        <v>0</v>
      </c>
      <c r="AU106" s="94" cm="1">
        <f t="array" ref="AU106">ROUNDDOWN($AQ106*_xlfn.XLOOKUP(1,(AU$5=Table8[Type])*($D106&lt;=Table8[End]),Table8[요율],0,0),-1)</f>
        <v>0</v>
      </c>
      <c r="AV106" s="94" cm="1">
        <f t="array" ref="AV106">ROUNDDOWN(AM106*_xlfn.XLOOKUP(1,(AV$5=Table8[Type])*($D106&lt;=Table8[End]),Table8[요율],0,0),-1)</f>
        <v>0</v>
      </c>
      <c r="AW106" s="94" cm="1">
        <f t="array" ref="AW106">_xlfn.XLOOKUP(1,(O106=Table2[주민등록번호])*(D106&gt;Table2[근무일자]),Table2[청구 Claim 
이월],0,0,-1)</f>
        <v>0</v>
      </c>
      <c r="AX106" s="95"/>
      <c r="AY106" s="94" cm="1">
        <f t="array" ref="AY106">MAX(SUM(AO106:AP106,AS106:AX106)-_xlfn.XLOOKUP(1,(D106&lt;=Table7[End])*(E106=Table7[근무처])*(F106=Table7[업무]),Table7[1일 공제 상한],0,0),0)</f>
        <v>0</v>
      </c>
      <c r="AZ106" s="94">
        <f t="shared" si="21"/>
        <v>0</v>
      </c>
      <c r="BA106" s="94">
        <f t="shared" si="22"/>
        <v>85440</v>
      </c>
      <c r="BB106" s="97">
        <f t="shared" si="23"/>
        <v>0</v>
      </c>
      <c r="BC106" s="98"/>
      <c r="BD106" s="94">
        <f t="shared" si="24"/>
        <v>0</v>
      </c>
      <c r="BE106" s="94">
        <f t="shared" si="25"/>
        <v>0</v>
      </c>
      <c r="BF106" s="94">
        <f t="shared" si="26"/>
        <v>0</v>
      </c>
      <c r="BG106" s="94">
        <f t="shared" si="27"/>
        <v>0</v>
      </c>
      <c r="BH106" s="94" cm="1">
        <f t="array" ref="BH106">ROUNDDOWN(AM106*_xlfn.XLOOKUP(1,(BH$5=Table8[Type])*($D106&lt;=Table8[End]),Table8[요율],0,0),-1)</f>
        <v>680</v>
      </c>
      <c r="BI106" s="93" t="str" cm="1">
        <f t="array" ref="BI106">_xlfn.XLOOKUP(1,(D106&lt;=Table7[End])*(E106=Table7[근무처])*(F106=Table7[업무]),Table7[지급옵션],0,0)</f>
        <v>차주 화</v>
      </c>
      <c r="BJ106" s="83">
        <f>IF(BK106&lt;&gt;"",BK106,IFERROR(D106+_xlfn.NUMBERVALUE(RIGHT(BI106,1)),D106-WEEKDAY(D106)+CHOOSE(MATCH(RIGHT(BI106),{"일","월","화","수","목","금","토"},0),8,9,10,11,12,13,14)))</f>
        <v>45748</v>
      </c>
      <c r="BK106" s="99"/>
    </row>
    <row r="107" spans="2:63" x14ac:dyDescent="0.35">
      <c r="B107" s="20" t="str" cm="1">
        <f t="array" ref="B107">_xlfn.IFS(BB107&lt;&gt;BC107,"Claim확인",N107&lt;&gt;"OK","확인필요",TRUE,"")</f>
        <v/>
      </c>
      <c r="C107" s="21" t="str">
        <f t="shared" si="14"/>
        <v>010-6X1X-X3X0333X04XX46879</v>
      </c>
      <c r="D107" s="26">
        <v>45741</v>
      </c>
      <c r="E107" s="91" t="s">
        <v>255</v>
      </c>
      <c r="F107" s="25" t="s">
        <v>258</v>
      </c>
      <c r="G107" s="27" t="s">
        <v>284</v>
      </c>
      <c r="H107" s="25" t="s">
        <v>293</v>
      </c>
      <c r="I107" s="25"/>
      <c r="J107" s="25" t="s">
        <v>294</v>
      </c>
      <c r="K107" s="28">
        <v>0.3125</v>
      </c>
      <c r="L107" s="28">
        <v>0.6875</v>
      </c>
      <c r="M107" s="28">
        <v>4.1666666666666664E-2</v>
      </c>
      <c r="N107" s="25" t="s">
        <v>281</v>
      </c>
      <c r="O107" s="29" t="str">
        <f>_xlfn.XLOOKUP(Table2[[#This Row],[Key]],Table1[Key],Table1[주민등록번호],"",0)</f>
        <v>971XX61XX9X25</v>
      </c>
      <c r="P107" s="29">
        <f>_xlfn.XLOOKUP(Table2[[#This Row],[Key]],Table1[Key],Table1[비자],"",0)</f>
        <v>0</v>
      </c>
      <c r="Q107" s="29">
        <f>IF(P107=0,0,_xlfn.XLOOKUP(Table2[[#This Row],[Key]],Table1[Key],Table1[고용보험 여부],0,0))</f>
        <v>0</v>
      </c>
      <c r="R107" s="29" t="str">
        <f t="shared" si="15"/>
        <v>2503</v>
      </c>
      <c r="S107" s="30" t="str">
        <f>YEAR(Table2[[#This Row],[근무일자]])&amp;TEXT(WEEKNUM(Table2[[#This Row],[근무일자]]),"00")</f>
        <v>202513</v>
      </c>
      <c r="T107" s="31">
        <f>_xlfn.XLOOKUP(Table2[[#This Row],[Key]],Table1[Key],Table1[등록일],"",0)</f>
        <v>45721</v>
      </c>
      <c r="U107" s="32">
        <f t="shared" si="16"/>
        <v>0.33333333333333331</v>
      </c>
      <c r="V107" s="92">
        <f t="shared" si="17"/>
        <v>0</v>
      </c>
      <c r="W107" s="100" t="str">
        <f>_xlfn.XLOOKUP(Table2[[#This Row],[근무일자]],Table3[Date],Table3[Holiday],"",0)</f>
        <v/>
      </c>
      <c r="X107" s="93">
        <f>IF(D107&lt;&gt;"",1,0)+IF(COUNTIFS(Table2[주민등록번호],O107,Table2[월],TEXT(EOMONTH(D107,-1),"YYMM"))&gt;0,1+IF(COUNTIFS(Table2[주민등록번호],O107,Table2[월],TEXT(EOMONTH(D107,-2),"YYMM"))&gt;0,1+IF(COUNTIFS(Table2[주민등록번호],O107,Table2[월],TEXT(EOMONTH(D107,-3),"YYMM"))&gt;0,1,0),0),0)</f>
        <v>1</v>
      </c>
      <c r="Y107" s="29">
        <f>COUNTIFS(Table2[주민등록번호],O107,Table2[월],R107,Table2[근무일자],"&lt;="&amp;D107)</f>
        <v>10</v>
      </c>
      <c r="Z107" s="29">
        <f>COUNTIFS(Table2[주민등록번호],O107,Table2[주간],S107,Table2[근무일자],"&lt;="&amp;D107)</f>
        <v>2</v>
      </c>
      <c r="AA107" s="29">
        <f>SUMIFS(Table2[근로
시간],Table2[주민등록번호],O107,Table2[주간],S107,Table2[근무일자],"&lt;="&amp;D107)*24</f>
        <v>16</v>
      </c>
      <c r="AB107" s="29" t="str">
        <f>IF(AND(Y107&gt;=8,COUNTIFS(Table2[주민등록번호],O107,Table2[근무일자],"&gt;="&amp;EOMONTH(D107,-2)+1,Table2[근무일자],"&lt;="&amp;EOMONTH(D107,-1)+1)&gt;0),"V","")</f>
        <v/>
      </c>
      <c r="AC107" s="94" cm="1">
        <f t="array" ref="AC107">IF(AD107&lt;&gt;"",AD107,_xlfn.XLOOKUP(1,(D107&lt;=Table7[End])*(E107=Table7[근무처])*(F107=Table7[업무]),Table7[시급],0,0))</f>
        <v>10680</v>
      </c>
      <c r="AD107" s="95"/>
      <c r="AE107" s="94">
        <f t="shared" si="18"/>
        <v>85440</v>
      </c>
      <c r="AF107" s="96" cm="1">
        <f t="array" ref="AF107">IF(AND(AA107&gt;=15,(AA107-U107*24)&lt;=40),IF(Z107&gt;=_xlfn.XLOOKUP(1,(D107&lt;=Table7[End])*(E107=Table7[근무처])*(F107=Table7[업무]),Table7[주휴적용일],0,0),1,0)+_xlfn.XLOOKUP(1,(Table2[주간]=Table2[[#This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07" s="96" cm="1">
        <f t="array" ref="AG107">MAX((_xlfn.IFS(AF107=0,0,AF107=1,AA107,AF107&gt;1,U107*24)-IF(AA107&gt;40,AA107-40,0))/5,0)</f>
        <v>3.2</v>
      </c>
      <c r="AH107" s="94">
        <f t="shared" si="19"/>
        <v>34176</v>
      </c>
      <c r="AI107" s="33" cm="1">
        <f t="array" ref="AI107">IF(W107="",0,ROUND(AC107*U107*24*_xlfn.XLOOKUP(1,(D107&lt;=Table7[End])*(E107=Table7[근무처])*(F107=Table7[업무]),Table7[휴일인센티브],0,0),0))</f>
        <v>0</v>
      </c>
      <c r="AJ107" s="94" cm="1">
        <f t="array" ref="AJ107">ROUND(AC107*IF(U107&gt;=8/24,U107-8/24,0)*24*_xlfn.XLOOKUP(1,(D107&lt;=Table7[End])*(E107=Table7[근무처])*(F107=Table7[업무]),Table7[야간인센티브],0,0),0)</f>
        <v>0</v>
      </c>
      <c r="AK107" s="94" cm="1">
        <f t="array" ref="AK107">IF(V107=0,0,ROUND(AC107*V107*24*_xlfn.XLOOKUP(1,(D107&lt;=Table7[End])*(E107=Table7[근무처])*(F107=Table7[업무]),Table7[야간인센티브],0,0),0))</f>
        <v>0</v>
      </c>
      <c r="AL107" s="95"/>
      <c r="AM107" s="94">
        <f t="shared" si="20"/>
        <v>119616</v>
      </c>
      <c r="AN107" s="94" cm="1">
        <f t="array" ref="AN107">IF(AM107&gt;=_xlfn.XLOOKUP(TRUE,D107&lt;=Table5[End],Table5[비과세소득기준],0,0),AM107-_xlfn.XLOOKUP(TRUE,D107&lt;=Table5[End],Table5[비과세소득기준],0,0),0)</f>
        <v>0</v>
      </c>
      <c r="AO107" s="94" cm="1">
        <f t="array" ref="AO107">ROUNDDOWN(_xlfn.LET(_xlpm.setvalue,_xlfn.XLOOKUP(TRUE,D107&lt;=Table5[End],Table5[[요율]:[근로소득세액공제]],0,0),_xlpm.tax,AN107*PRODUCT((_xlpm.setvalue-{0,1})*{1,-1}),_xlpm.threshold,_xlfn.XLOOKUP(TRUE,D107&lt;=Table5[End],Table5[소액부징수기준],0,0),IF(_xlpm.tax&gt;=_xlpm.threshold,_xlpm.tax,0)),-1)</f>
        <v>0</v>
      </c>
      <c r="AP107" s="94">
        <f>ROUNDDOWN(Table2[[#This Row],[소득세]]*10%,-1)</f>
        <v>0</v>
      </c>
      <c r="AQ107" s="94">
        <f>IF(AB107="v",AM107+IF(Y107=8,SUMIFS(Table2[지급총액],Table2[주민등록번호],O107,Table2[월],R107,Table2[월간
근무일],"&lt;="&amp;8)-AM107,0),0)+_xlfn.NUMBERVALUE(AR107)</f>
        <v>0</v>
      </c>
      <c r="AR107" s="95"/>
      <c r="AS107" s="94" cm="1">
        <f t="array" ref="AS107">ROUNDDOWN($AQ107*_xlfn.XLOOKUP(1,(AS$5=Table8[Type])*($D107&lt;=Table8[End]),Table8[요율],0,0),0)</f>
        <v>0</v>
      </c>
      <c r="AT107" s="94" cm="1">
        <f t="array" ref="AT107">ROUNDDOWN(AS107*_xlfn.XLOOKUP(1,(AT$5=Table8[Type])*($D107&lt;=Table8[End]),Table8[요율],0,0),-1)</f>
        <v>0</v>
      </c>
      <c r="AU107" s="94" cm="1">
        <f t="array" ref="AU107">ROUNDDOWN($AQ107*_xlfn.XLOOKUP(1,(AU$5=Table8[Type])*($D107&lt;=Table8[End]),Table8[요율],0,0),-1)</f>
        <v>0</v>
      </c>
      <c r="AV107" s="94" cm="1">
        <f t="array" ref="AV107">ROUNDDOWN(AM107*_xlfn.XLOOKUP(1,(AV$5=Table8[Type])*($D107&lt;=Table8[End]),Table8[요율],0,0),-1)</f>
        <v>0</v>
      </c>
      <c r="AW107" s="94" cm="1">
        <f t="array" ref="AW107">_xlfn.XLOOKUP(1,(O107=Table2[주민등록번호])*(D107&gt;Table2[근무일자]),Table2[청구 Claim 
이월],0,0,-1)</f>
        <v>0</v>
      </c>
      <c r="AX107" s="95"/>
      <c r="AY107" s="94" cm="1">
        <f t="array" ref="AY107">MAX(SUM(AO107:AP107,AS107:AX107)-_xlfn.XLOOKUP(1,(D107&lt;=Table7[End])*(E107=Table7[근무처])*(F107=Table7[업무]),Table7[1일 공제 상한],0,0),0)</f>
        <v>0</v>
      </c>
      <c r="AZ107" s="94">
        <f t="shared" si="21"/>
        <v>0</v>
      </c>
      <c r="BA107" s="94">
        <f t="shared" si="22"/>
        <v>119616</v>
      </c>
      <c r="BB107" s="97">
        <f t="shared" si="23"/>
        <v>0</v>
      </c>
      <c r="BC107" s="98"/>
      <c r="BD107" s="94">
        <f t="shared" si="24"/>
        <v>0</v>
      </c>
      <c r="BE107" s="94">
        <f t="shared" si="25"/>
        <v>0</v>
      </c>
      <c r="BF107" s="94">
        <f t="shared" si="26"/>
        <v>0</v>
      </c>
      <c r="BG107" s="94">
        <f t="shared" si="27"/>
        <v>0</v>
      </c>
      <c r="BH107" s="94" cm="1">
        <f t="array" ref="BH107">ROUNDDOWN(AM107*_xlfn.XLOOKUP(1,(BH$5=Table8[Type])*($D107&lt;=Table8[End]),Table8[요율],0,0),-1)</f>
        <v>950</v>
      </c>
      <c r="BI107" s="93" t="str" cm="1">
        <f t="array" ref="BI107">_xlfn.XLOOKUP(1,(D107&lt;=Table7[End])*(E107=Table7[근무처])*(F107=Table7[업무]),Table7[지급옵션],0,0)</f>
        <v>차주 화</v>
      </c>
      <c r="BJ107" s="83">
        <f>IF(BK107&lt;&gt;"",BK107,IFERROR(D107+_xlfn.NUMBERVALUE(RIGHT(BI107,1)),D107-WEEKDAY(D107)+CHOOSE(MATCH(RIGHT(BI107),{"일","월","화","수","목","금","토"},0),8,9,10,11,12,13,14)))</f>
        <v>45748</v>
      </c>
      <c r="BK107" s="99"/>
    </row>
    <row r="108" spans="2:63" x14ac:dyDescent="0.35">
      <c r="B108" s="20" t="str" cm="1">
        <f t="array" ref="B108">_xlfn.IFS(BB108&lt;&gt;BC108,"Claim확인",N108&lt;&gt;"OK","확인필요",TRUE,"")</f>
        <v/>
      </c>
      <c r="C108" s="21" t="str">
        <f t="shared" si="14"/>
        <v>010-6X1X-X3X0333X04XX46879</v>
      </c>
      <c r="D108" s="26">
        <v>45742</v>
      </c>
      <c r="E108" s="91" t="s">
        <v>255</v>
      </c>
      <c r="F108" s="25" t="s">
        <v>258</v>
      </c>
      <c r="G108" s="27" t="s">
        <v>284</v>
      </c>
      <c r="H108" s="25" t="s">
        <v>293</v>
      </c>
      <c r="I108" s="25"/>
      <c r="J108" s="25" t="s">
        <v>294</v>
      </c>
      <c r="K108" s="28">
        <v>0.3125</v>
      </c>
      <c r="L108" s="28">
        <v>0.6875</v>
      </c>
      <c r="M108" s="28">
        <v>4.1666666666666664E-2</v>
      </c>
      <c r="N108" s="25" t="s">
        <v>281</v>
      </c>
      <c r="O108" s="29" t="str">
        <f>_xlfn.XLOOKUP(Table2[[#This Row],[Key]],Table1[Key],Table1[주민등록번호],"",0)</f>
        <v>971XX61XX9X25</v>
      </c>
      <c r="P108" s="29">
        <f>_xlfn.XLOOKUP(Table2[[#This Row],[Key]],Table1[Key],Table1[비자],"",0)</f>
        <v>0</v>
      </c>
      <c r="Q108" s="29">
        <f>IF(P108=0,0,_xlfn.XLOOKUP(Table2[[#This Row],[Key]],Table1[Key],Table1[고용보험 여부],0,0))</f>
        <v>0</v>
      </c>
      <c r="R108" s="29" t="str">
        <f t="shared" si="15"/>
        <v>2503</v>
      </c>
      <c r="S108" s="30" t="str">
        <f>YEAR(Table2[[#This Row],[근무일자]])&amp;TEXT(WEEKNUM(Table2[[#This Row],[근무일자]]),"00")</f>
        <v>202513</v>
      </c>
      <c r="T108" s="31">
        <f>_xlfn.XLOOKUP(Table2[[#This Row],[Key]],Table1[Key],Table1[등록일],"",0)</f>
        <v>45721</v>
      </c>
      <c r="U108" s="32">
        <f t="shared" si="16"/>
        <v>0.33333333333333331</v>
      </c>
      <c r="V108" s="92">
        <f t="shared" si="17"/>
        <v>0</v>
      </c>
      <c r="W108" s="100" t="str">
        <f>_xlfn.XLOOKUP(Table2[[#This Row],[근무일자]],Table3[Date],Table3[Holiday],"",0)</f>
        <v/>
      </c>
      <c r="X108" s="93">
        <f>IF(D108&lt;&gt;"",1,0)+IF(COUNTIFS(Table2[주민등록번호],O108,Table2[월],TEXT(EOMONTH(D108,-1),"YYMM"))&gt;0,1+IF(COUNTIFS(Table2[주민등록번호],O108,Table2[월],TEXT(EOMONTH(D108,-2),"YYMM"))&gt;0,1+IF(COUNTIFS(Table2[주민등록번호],O108,Table2[월],TEXT(EOMONTH(D108,-3),"YYMM"))&gt;0,1,0),0),0)</f>
        <v>1</v>
      </c>
      <c r="Y108" s="29">
        <f>COUNTIFS(Table2[주민등록번호],O108,Table2[월],R108,Table2[근무일자],"&lt;="&amp;D108)</f>
        <v>11</v>
      </c>
      <c r="Z108" s="29">
        <f>COUNTIFS(Table2[주민등록번호],O108,Table2[주간],S108,Table2[근무일자],"&lt;="&amp;D108)</f>
        <v>3</v>
      </c>
      <c r="AA108" s="29">
        <f>SUMIFS(Table2[근로
시간],Table2[주민등록번호],O108,Table2[주간],S108,Table2[근무일자],"&lt;="&amp;D108)*24</f>
        <v>24</v>
      </c>
      <c r="AB108" s="29" t="str">
        <f>IF(AND(Y108&gt;=8,COUNTIFS(Table2[주민등록번호],O108,Table2[근무일자],"&gt;="&amp;EOMONTH(D108,-2)+1,Table2[근무일자],"&lt;="&amp;EOMONTH(D108,-1)+1)&gt;0),"V","")</f>
        <v/>
      </c>
      <c r="AC108" s="94" cm="1">
        <f t="array" ref="AC108">IF(AD108&lt;&gt;"",AD108,_xlfn.XLOOKUP(1,(D108&lt;=Table7[End])*(E108=Table7[근무처])*(F108=Table7[업무]),Table7[시급],0,0))</f>
        <v>10680</v>
      </c>
      <c r="AD108" s="95"/>
      <c r="AE108" s="94">
        <f t="shared" si="18"/>
        <v>85440</v>
      </c>
      <c r="AF108" s="96" cm="1">
        <f t="array" ref="AF108">IF(AND(AA108&gt;=15,(AA108-U108*24)&lt;=40),IF(Z108&gt;=_xlfn.XLOOKUP(1,(D108&lt;=Table7[End])*(E108=Table7[근무처])*(F108=Table7[업무]),Table7[주휴적용일],0,0),1,0)+_xlfn.XLOOKUP(1,(Table2[주간]=Table2[[#This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08" s="96" cm="1">
        <f t="array" ref="AG108">MAX((_xlfn.IFS(AF108=0,0,AF108=1,AA108,AF108&gt;1,U108*24)-IF(AA108&gt;40,AA108-40,0))/5,0)</f>
        <v>1.6</v>
      </c>
      <c r="AH108" s="94">
        <f t="shared" si="19"/>
        <v>17088</v>
      </c>
      <c r="AI108" s="33" cm="1">
        <f t="array" ref="AI108">IF(W108="",0,ROUND(AC108*U108*24*_xlfn.XLOOKUP(1,(D108&lt;=Table7[End])*(E108=Table7[근무처])*(F108=Table7[업무]),Table7[휴일인센티브],0,0),0))</f>
        <v>0</v>
      </c>
      <c r="AJ108" s="94" cm="1">
        <f t="array" ref="AJ108">ROUND(AC108*IF(U108&gt;=8/24,U108-8/24,0)*24*_xlfn.XLOOKUP(1,(D108&lt;=Table7[End])*(E108=Table7[근무처])*(F108=Table7[업무]),Table7[야간인센티브],0,0),0)</f>
        <v>0</v>
      </c>
      <c r="AK108" s="94" cm="1">
        <f t="array" ref="AK108">IF(V108=0,0,ROUND(AC108*V108*24*_xlfn.XLOOKUP(1,(D108&lt;=Table7[End])*(E108=Table7[근무처])*(F108=Table7[업무]),Table7[야간인센티브],0,0),0))</f>
        <v>0</v>
      </c>
      <c r="AL108" s="95"/>
      <c r="AM108" s="94">
        <f t="shared" si="20"/>
        <v>102528</v>
      </c>
      <c r="AN108" s="94" cm="1">
        <f t="array" ref="AN108">IF(AM108&gt;=_xlfn.XLOOKUP(TRUE,D108&lt;=Table5[End],Table5[비과세소득기준],0,0),AM108-_xlfn.XLOOKUP(TRUE,D108&lt;=Table5[End],Table5[비과세소득기준],0,0),0)</f>
        <v>0</v>
      </c>
      <c r="AO108" s="94" cm="1">
        <f t="array" ref="AO108">ROUNDDOWN(_xlfn.LET(_xlpm.setvalue,_xlfn.XLOOKUP(TRUE,D108&lt;=Table5[End],Table5[[요율]:[근로소득세액공제]],0,0),_xlpm.tax,AN108*PRODUCT((_xlpm.setvalue-{0,1})*{1,-1}),_xlpm.threshold,_xlfn.XLOOKUP(TRUE,D108&lt;=Table5[End],Table5[소액부징수기준],0,0),IF(_xlpm.tax&gt;=_xlpm.threshold,_xlpm.tax,0)),-1)</f>
        <v>0</v>
      </c>
      <c r="AP108" s="94">
        <f>ROUNDDOWN(Table2[[#This Row],[소득세]]*10%,-1)</f>
        <v>0</v>
      </c>
      <c r="AQ108" s="94">
        <f>IF(AB108="v",AM108+IF(Y108=8,SUMIFS(Table2[지급총액],Table2[주민등록번호],O108,Table2[월],R108,Table2[월간
근무일],"&lt;="&amp;8)-AM108,0),0)+_xlfn.NUMBERVALUE(AR108)</f>
        <v>0</v>
      </c>
      <c r="AR108" s="95"/>
      <c r="AS108" s="94" cm="1">
        <f t="array" ref="AS108">ROUNDDOWN($AQ108*_xlfn.XLOOKUP(1,(AS$5=Table8[Type])*($D108&lt;=Table8[End]),Table8[요율],0,0),0)</f>
        <v>0</v>
      </c>
      <c r="AT108" s="94" cm="1">
        <f t="array" ref="AT108">ROUNDDOWN(AS108*_xlfn.XLOOKUP(1,(AT$5=Table8[Type])*($D108&lt;=Table8[End]),Table8[요율],0,0),-1)</f>
        <v>0</v>
      </c>
      <c r="AU108" s="94" cm="1">
        <f t="array" ref="AU108">ROUNDDOWN($AQ108*_xlfn.XLOOKUP(1,(AU$5=Table8[Type])*($D108&lt;=Table8[End]),Table8[요율],0,0),-1)</f>
        <v>0</v>
      </c>
      <c r="AV108" s="94" cm="1">
        <f t="array" ref="AV108">ROUNDDOWN(AM108*_xlfn.XLOOKUP(1,(AV$5=Table8[Type])*($D108&lt;=Table8[End]),Table8[요율],0,0),-1)</f>
        <v>0</v>
      </c>
      <c r="AW108" s="94" cm="1">
        <f t="array" ref="AW108">_xlfn.XLOOKUP(1,(O108=Table2[주민등록번호])*(D108&gt;Table2[근무일자]),Table2[청구 Claim 
이월],0,0,-1)</f>
        <v>0</v>
      </c>
      <c r="AX108" s="95"/>
      <c r="AY108" s="94" cm="1">
        <f t="array" ref="AY108">MAX(SUM(AO108:AP108,AS108:AX108)-_xlfn.XLOOKUP(1,(D108&lt;=Table7[End])*(E108=Table7[근무처])*(F108=Table7[업무]),Table7[1일 공제 상한],0,0),0)</f>
        <v>0</v>
      </c>
      <c r="AZ108" s="94">
        <f t="shared" si="21"/>
        <v>0</v>
      </c>
      <c r="BA108" s="94">
        <f t="shared" si="22"/>
        <v>102528</v>
      </c>
      <c r="BB108" s="97">
        <f t="shared" si="23"/>
        <v>0</v>
      </c>
      <c r="BC108" s="98"/>
      <c r="BD108" s="94">
        <f t="shared" si="24"/>
        <v>0</v>
      </c>
      <c r="BE108" s="94">
        <f t="shared" si="25"/>
        <v>0</v>
      </c>
      <c r="BF108" s="94">
        <f t="shared" si="26"/>
        <v>0</v>
      </c>
      <c r="BG108" s="94">
        <f t="shared" si="27"/>
        <v>0</v>
      </c>
      <c r="BH108" s="94" cm="1">
        <f t="array" ref="BH108">ROUNDDOWN(AM108*_xlfn.XLOOKUP(1,(BH$5=Table8[Type])*($D108&lt;=Table8[End]),Table8[요율],0,0),-1)</f>
        <v>820</v>
      </c>
      <c r="BI108" s="93" t="str" cm="1">
        <f t="array" ref="BI108">_xlfn.XLOOKUP(1,(D108&lt;=Table7[End])*(E108=Table7[근무처])*(F108=Table7[업무]),Table7[지급옵션],0,0)</f>
        <v>차주 화</v>
      </c>
      <c r="BJ108" s="83">
        <f>IF(BK108&lt;&gt;"",BK108,IFERROR(D108+_xlfn.NUMBERVALUE(RIGHT(BI108,1)),D108-WEEKDAY(D108)+CHOOSE(MATCH(RIGHT(BI108),{"일","월","화","수","목","금","토"},0),8,9,10,11,12,13,14)))</f>
        <v>45748</v>
      </c>
      <c r="BK108" s="99"/>
    </row>
    <row r="109" spans="2:63" x14ac:dyDescent="0.35">
      <c r="B109" s="20" t="str" cm="1">
        <f t="array" ref="B109">_xlfn.IFS(BB109&lt;&gt;BC109,"Claim확인",N109&lt;&gt;"OK","확인필요",TRUE,"")</f>
        <v/>
      </c>
      <c r="C109" s="21" t="str">
        <f t="shared" si="14"/>
        <v>010-3X4X-X9X7219X02XX284640</v>
      </c>
      <c r="D109" s="26">
        <v>45742</v>
      </c>
      <c r="E109" s="91" t="s">
        <v>253</v>
      </c>
      <c r="F109" s="25" t="s">
        <v>257</v>
      </c>
      <c r="G109" s="27" t="s">
        <v>286</v>
      </c>
      <c r="H109" s="25" t="s">
        <v>299</v>
      </c>
      <c r="I109" s="25"/>
      <c r="J109" s="25" t="s">
        <v>300</v>
      </c>
      <c r="K109" s="28">
        <v>0.33333333333333331</v>
      </c>
      <c r="L109" s="28">
        <v>0.70833333333333337</v>
      </c>
      <c r="M109" s="28">
        <v>4.1666666666666664E-2</v>
      </c>
      <c r="N109" s="25" t="s">
        <v>281</v>
      </c>
      <c r="O109" s="29" t="str">
        <f>_xlfn.XLOOKUP(Table2[[#This Row],[Key]],Table1[Key],Table1[주민등록번호],"",0)</f>
        <v>931XX31XX3X14</v>
      </c>
      <c r="P109" s="29">
        <f>_xlfn.XLOOKUP(Table2[[#This Row],[Key]],Table1[Key],Table1[비자],"",0)</f>
        <v>0</v>
      </c>
      <c r="Q109" s="29">
        <f>IF(P109=0,0,_xlfn.XLOOKUP(Table2[[#This Row],[Key]],Table1[Key],Table1[고용보험 여부],0,0))</f>
        <v>0</v>
      </c>
      <c r="R109" s="29" t="str">
        <f t="shared" si="15"/>
        <v>2503</v>
      </c>
      <c r="S109" s="30" t="str">
        <f>YEAR(Table2[[#This Row],[근무일자]])&amp;TEXT(WEEKNUM(Table2[[#This Row],[근무일자]]),"00")</f>
        <v>202513</v>
      </c>
      <c r="T109" s="31">
        <f>_xlfn.XLOOKUP(Table2[[#This Row],[Key]],Table1[Key],Table1[등록일],"",0)</f>
        <v>45773</v>
      </c>
      <c r="U109" s="32">
        <f t="shared" si="16"/>
        <v>0.33333333333333337</v>
      </c>
      <c r="V109" s="92">
        <f t="shared" si="17"/>
        <v>0</v>
      </c>
      <c r="W109" s="100" t="str">
        <f>_xlfn.XLOOKUP(Table2[[#This Row],[근무일자]],Table3[Date],Table3[Holiday],"",0)</f>
        <v/>
      </c>
      <c r="X109" s="93">
        <f>IF(D109&lt;&gt;"",1,0)+IF(COUNTIFS(Table2[주민등록번호],O109,Table2[월],TEXT(EOMONTH(D109,-1),"YYMM"))&gt;0,1+IF(COUNTIFS(Table2[주민등록번호],O109,Table2[월],TEXT(EOMONTH(D109,-2),"YYMM"))&gt;0,1+IF(COUNTIFS(Table2[주민등록번호],O109,Table2[월],TEXT(EOMONTH(D109,-3),"YYMM"))&gt;0,1,0),0),0)</f>
        <v>2</v>
      </c>
      <c r="Y109" s="29">
        <f>COUNTIFS(Table2[주민등록번호],O109,Table2[월],R109,Table2[근무일자],"&lt;="&amp;D109)</f>
        <v>7</v>
      </c>
      <c r="Z109" s="29">
        <f>COUNTIFS(Table2[주민등록번호],O109,Table2[주간],S109,Table2[근무일자],"&lt;="&amp;D109)</f>
        <v>1</v>
      </c>
      <c r="AA109" s="29">
        <f>SUMIFS(Table2[근로
시간],Table2[주민등록번호],O109,Table2[주간],S109,Table2[근무일자],"&lt;="&amp;D109)*24</f>
        <v>8</v>
      </c>
      <c r="AB109" s="29" t="str">
        <f>IF(AND(Y109&gt;=8,COUNTIFS(Table2[주민등록번호],O109,Table2[근무일자],"&gt;="&amp;EOMONTH(D109,-2)+1,Table2[근무일자],"&lt;="&amp;EOMONTH(D109,-1)+1)&gt;0),"V","")</f>
        <v/>
      </c>
      <c r="AC109" s="94" cm="1">
        <f t="array" ref="AC109">IF(AD109&lt;&gt;"",AD109,_xlfn.XLOOKUP(1,(D109&lt;=Table7[End])*(E109=Table7[근무처])*(F109=Table7[업무]),Table7[시급],0,0))</f>
        <v>10030</v>
      </c>
      <c r="AD109" s="95"/>
      <c r="AE109" s="94">
        <f t="shared" si="18"/>
        <v>80240</v>
      </c>
      <c r="AF109" s="96" cm="1">
        <f t="array" ref="AF109">IF(AND(AA109&gt;=15,(AA109-U109*24)&lt;=40),IF(Z109&gt;=_xlfn.XLOOKUP(1,(D109&lt;=Table7[End])*(E109=Table7[근무처])*(F109=Table7[업무]),Table7[주휴적용일],0,0),1,0)+_xlfn.XLOOKUP(1,(Table2[주간]=Table2[[#This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09" s="96" cm="1">
        <f t="array" ref="AG109">MAX((_xlfn.IFS(AF109=0,0,AF109=1,AA109,AF109&gt;1,U109*24)-IF(AA109&gt;40,AA109-40,0))/5,0)</f>
        <v>0</v>
      </c>
      <c r="AH109" s="94">
        <f t="shared" si="19"/>
        <v>0</v>
      </c>
      <c r="AI109" s="33" cm="1">
        <f t="array" ref="AI109">IF(W109="",0,ROUND(AC109*U109*24*_xlfn.XLOOKUP(1,(D109&lt;=Table7[End])*(E109=Table7[근무처])*(F109=Table7[업무]),Table7[휴일인센티브],0,0),0))</f>
        <v>0</v>
      </c>
      <c r="AJ109" s="94" cm="1">
        <f t="array" ref="AJ109">ROUND(AC109*IF(U109&gt;=8/24,U109-8/24,0)*24*_xlfn.XLOOKUP(1,(D109&lt;=Table7[End])*(E109=Table7[근무처])*(F109=Table7[업무]),Table7[야간인센티브],0,0),0)</f>
        <v>0</v>
      </c>
      <c r="AK109" s="94" cm="1">
        <f t="array" ref="AK109">IF(V109=0,0,ROUND(AC109*V109*24*_xlfn.XLOOKUP(1,(D109&lt;=Table7[End])*(E109=Table7[근무처])*(F109=Table7[업무]),Table7[야간인센티브],0,0),0))</f>
        <v>0</v>
      </c>
      <c r="AL109" s="95"/>
      <c r="AM109" s="94">
        <f t="shared" si="20"/>
        <v>80240</v>
      </c>
      <c r="AN109" s="94" cm="1">
        <f t="array" ref="AN109">IF(AM109&gt;=_xlfn.XLOOKUP(TRUE,D109&lt;=Table5[End],Table5[비과세소득기준],0,0),AM109-_xlfn.XLOOKUP(TRUE,D109&lt;=Table5[End],Table5[비과세소득기준],0,0),0)</f>
        <v>0</v>
      </c>
      <c r="AO109" s="94" cm="1">
        <f t="array" ref="AO109">ROUNDDOWN(_xlfn.LET(_xlpm.setvalue,_xlfn.XLOOKUP(TRUE,D109&lt;=Table5[End],Table5[[요율]:[근로소득세액공제]],0,0),_xlpm.tax,AN109*PRODUCT((_xlpm.setvalue-{0,1})*{1,-1}),_xlpm.threshold,_xlfn.XLOOKUP(TRUE,D109&lt;=Table5[End],Table5[소액부징수기준],0,0),IF(_xlpm.tax&gt;=_xlpm.threshold,_xlpm.tax,0)),-1)</f>
        <v>0</v>
      </c>
      <c r="AP109" s="94">
        <f>ROUNDDOWN(Table2[[#This Row],[소득세]]*10%,-1)</f>
        <v>0</v>
      </c>
      <c r="AQ109" s="94">
        <f>IF(AB109="v",AM109+IF(Y109=8,SUMIFS(Table2[지급총액],Table2[주민등록번호],O109,Table2[월],R109,Table2[월간
근무일],"&lt;="&amp;8)-AM109,0),0)+_xlfn.NUMBERVALUE(AR109)</f>
        <v>0</v>
      </c>
      <c r="AR109" s="95"/>
      <c r="AS109" s="94" cm="1">
        <f t="array" ref="AS109">ROUNDDOWN($AQ109*_xlfn.XLOOKUP(1,(AS$5=Table8[Type])*($D109&lt;=Table8[End]),Table8[요율],0,0),0)</f>
        <v>0</v>
      </c>
      <c r="AT109" s="94" cm="1">
        <f t="array" ref="AT109">ROUNDDOWN(AS109*_xlfn.XLOOKUP(1,(AT$5=Table8[Type])*($D109&lt;=Table8[End]),Table8[요율],0,0),-1)</f>
        <v>0</v>
      </c>
      <c r="AU109" s="94" cm="1">
        <f t="array" ref="AU109">ROUNDDOWN($AQ109*_xlfn.XLOOKUP(1,(AU$5=Table8[Type])*($D109&lt;=Table8[End]),Table8[요율],0,0),-1)</f>
        <v>0</v>
      </c>
      <c r="AV109" s="94" cm="1">
        <f t="array" ref="AV109">ROUNDDOWN(AM109*_xlfn.XLOOKUP(1,(AV$5=Table8[Type])*($D109&lt;=Table8[End]),Table8[요율],0,0),-1)</f>
        <v>0</v>
      </c>
      <c r="AW109" s="94" cm="1">
        <f t="array" ref="AW109">_xlfn.XLOOKUP(1,(O109=Table2[주민등록번호])*(D109&gt;Table2[근무일자]),Table2[청구 Claim 
이월],0,0,-1)</f>
        <v>0</v>
      </c>
      <c r="AX109" s="95"/>
      <c r="AY109" s="94" cm="1">
        <f t="array" ref="AY109">MAX(SUM(AO109:AP109,AS109:AX109)-_xlfn.XLOOKUP(1,(D109&lt;=Table7[End])*(E109=Table7[근무처])*(F109=Table7[업무]),Table7[1일 공제 상한],0,0),0)</f>
        <v>0</v>
      </c>
      <c r="AZ109" s="94">
        <f t="shared" si="21"/>
        <v>0</v>
      </c>
      <c r="BA109" s="94">
        <f t="shared" si="22"/>
        <v>80240</v>
      </c>
      <c r="BB109" s="97">
        <f t="shared" si="23"/>
        <v>0</v>
      </c>
      <c r="BC109" s="98"/>
      <c r="BD109" s="94">
        <f t="shared" si="24"/>
        <v>0</v>
      </c>
      <c r="BE109" s="94">
        <f t="shared" si="25"/>
        <v>0</v>
      </c>
      <c r="BF109" s="94">
        <f t="shared" si="26"/>
        <v>0</v>
      </c>
      <c r="BG109" s="94">
        <f t="shared" si="27"/>
        <v>0</v>
      </c>
      <c r="BH109" s="94" cm="1">
        <f t="array" ref="BH109">ROUNDDOWN(AM109*_xlfn.XLOOKUP(1,(BH$5=Table8[Type])*($D109&lt;=Table8[End]),Table8[요율],0,0),-1)</f>
        <v>640</v>
      </c>
      <c r="BI109" s="93" t="str" cm="1">
        <f t="array" ref="BI109">_xlfn.XLOOKUP(1,(D109&lt;=Table7[End])*(E109=Table7[근무처])*(F109=Table7[업무]),Table7[지급옵션],0,0)</f>
        <v>D+2</v>
      </c>
      <c r="BJ109" s="83">
        <f>IF(BK109&lt;&gt;"",BK109,IFERROR(D109+_xlfn.NUMBERVALUE(RIGHT(BI109,1)),D109-WEEKDAY(D109)+CHOOSE(MATCH(RIGHT(BI109),{"일","월","화","수","목","금","토"},0),8,9,10,11,12,13,14)))</f>
        <v>45744</v>
      </c>
      <c r="BK109" s="99"/>
    </row>
    <row r="110" spans="2:63" x14ac:dyDescent="0.35">
      <c r="B110" s="20" t="str" cm="1">
        <f t="array" ref="B110">_xlfn.IFS(BB110&lt;&gt;BC110,"Claim확인",N110&lt;&gt;"OK","확인필요",TRUE,"")</f>
        <v/>
      </c>
      <c r="C110" s="21" t="str">
        <f t="shared" si="14"/>
        <v>010-8X0X-X0X9982X03XX901018</v>
      </c>
      <c r="D110" s="26">
        <v>45743</v>
      </c>
      <c r="E110" s="91" t="s">
        <v>255</v>
      </c>
      <c r="F110" s="25" t="s">
        <v>258</v>
      </c>
      <c r="G110" s="27" t="s">
        <v>283</v>
      </c>
      <c r="H110" s="25" t="s">
        <v>291</v>
      </c>
      <c r="I110" s="25"/>
      <c r="J110" s="25" t="s">
        <v>292</v>
      </c>
      <c r="K110" s="28">
        <v>0.375</v>
      </c>
      <c r="L110" s="28">
        <v>0.75</v>
      </c>
      <c r="M110" s="28">
        <v>4.1666666666666664E-2</v>
      </c>
      <c r="N110" s="25" t="s">
        <v>281</v>
      </c>
      <c r="O110" s="29" t="str">
        <f>_xlfn.XLOOKUP(Table2[[#This Row],[Key]],Table1[Key],Table1[주민등록번호],"",0)</f>
        <v>960XX51XX9X15</v>
      </c>
      <c r="P110" s="29">
        <f>_xlfn.XLOOKUP(Table2[[#This Row],[Key]],Table1[Key],Table1[비자],"",0)</f>
        <v>0</v>
      </c>
      <c r="Q110" s="29">
        <f>IF(P110=0,0,_xlfn.XLOOKUP(Table2[[#This Row],[Key]],Table1[Key],Table1[고용보험 여부],0,0))</f>
        <v>0</v>
      </c>
      <c r="R110" s="29" t="str">
        <f t="shared" si="15"/>
        <v>2503</v>
      </c>
      <c r="S110" s="30" t="str">
        <f>YEAR(Table2[[#This Row],[근무일자]])&amp;TEXT(WEEKNUM(Table2[[#This Row],[근무일자]]),"00")</f>
        <v>202513</v>
      </c>
      <c r="T110" s="31">
        <f>_xlfn.XLOOKUP(Table2[[#This Row],[Key]],Table1[Key],Table1[등록일],"",0)</f>
        <v>45698</v>
      </c>
      <c r="U110" s="32">
        <f t="shared" si="16"/>
        <v>0.33333333333333331</v>
      </c>
      <c r="V110" s="92">
        <f t="shared" si="17"/>
        <v>0</v>
      </c>
      <c r="W110" s="100" t="str">
        <f>_xlfn.XLOOKUP(Table2[[#This Row],[근무일자]],Table3[Date],Table3[Holiday],"",0)</f>
        <v/>
      </c>
      <c r="X110" s="93">
        <f>IF(D110&lt;&gt;"",1,0)+IF(COUNTIFS(Table2[주민등록번호],O110,Table2[월],TEXT(EOMONTH(D110,-1),"YYMM"))&gt;0,1+IF(COUNTIFS(Table2[주민등록번호],O110,Table2[월],TEXT(EOMONTH(D110,-2),"YYMM"))&gt;0,1+IF(COUNTIFS(Table2[주민등록번호],O110,Table2[월],TEXT(EOMONTH(D110,-3),"YYMM"))&gt;0,1,0),0),0)</f>
        <v>2</v>
      </c>
      <c r="Y110" s="29">
        <f>COUNTIFS(Table2[주민등록번호],O110,Table2[월],R110,Table2[근무일자],"&lt;="&amp;D110)</f>
        <v>17</v>
      </c>
      <c r="Z110" s="29">
        <f>COUNTIFS(Table2[주민등록번호],O110,Table2[주간],S110,Table2[근무일자],"&lt;="&amp;D110)</f>
        <v>3</v>
      </c>
      <c r="AA110" s="29">
        <f>SUMIFS(Table2[근로
시간],Table2[주민등록번호],O110,Table2[주간],S110,Table2[근무일자],"&lt;="&amp;D110)*24</f>
        <v>24</v>
      </c>
      <c r="AB110" s="29" t="str">
        <f>IF(AND(Y110&gt;=8,COUNTIFS(Table2[주민등록번호],O110,Table2[근무일자],"&gt;="&amp;EOMONTH(D110,-2)+1,Table2[근무일자],"&lt;="&amp;EOMONTH(D110,-1)+1)&gt;0),"V","")</f>
        <v>V</v>
      </c>
      <c r="AC110" s="94" cm="1">
        <f t="array" ref="AC110">IF(AD110&lt;&gt;"",AD110,_xlfn.XLOOKUP(1,(D110&lt;=Table7[End])*(E110=Table7[근무처])*(F110=Table7[업무]),Table7[시급],0,0))</f>
        <v>10680</v>
      </c>
      <c r="AD110" s="95"/>
      <c r="AE110" s="94">
        <f t="shared" si="18"/>
        <v>85440</v>
      </c>
      <c r="AF110" s="96" cm="1">
        <f t="array" ref="AF110">IF(AND(AA110&gt;=15,(AA110-U110*24)&lt;=40),IF(Z110&gt;=_xlfn.XLOOKUP(1,(D110&lt;=Table7[End])*(E110=Table7[근무처])*(F110=Table7[업무]),Table7[주휴적용일],0,0),1,0)+_xlfn.XLOOKUP(1,(Table2[주간]=Table2[[#This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10" s="96" cm="1">
        <f t="array" ref="AG110">MAX((_xlfn.IFS(AF110=0,0,AF110=1,AA110,AF110&gt;1,U110*24)-IF(AA110&gt;40,AA110-40,0))/5,0)</f>
        <v>1.6</v>
      </c>
      <c r="AH110" s="94">
        <f t="shared" si="19"/>
        <v>17088</v>
      </c>
      <c r="AI110" s="33" cm="1">
        <f t="array" ref="AI110">IF(W110="",0,ROUND(AC110*U110*24*_xlfn.XLOOKUP(1,(D110&lt;=Table7[End])*(E110=Table7[근무처])*(F110=Table7[업무]),Table7[휴일인센티브],0,0),0))</f>
        <v>0</v>
      </c>
      <c r="AJ110" s="94" cm="1">
        <f t="array" ref="AJ110">ROUND(AC110*IF(U110&gt;=8/24,U110-8/24,0)*24*_xlfn.XLOOKUP(1,(D110&lt;=Table7[End])*(E110=Table7[근무처])*(F110=Table7[업무]),Table7[야간인센티브],0,0),0)</f>
        <v>0</v>
      </c>
      <c r="AK110" s="94" cm="1">
        <f t="array" ref="AK110">IF(V110=0,0,ROUND(AC110*V110*24*_xlfn.XLOOKUP(1,(D110&lt;=Table7[End])*(E110=Table7[근무처])*(F110=Table7[업무]),Table7[야간인센티브],0,0),0))</f>
        <v>0</v>
      </c>
      <c r="AL110" s="95"/>
      <c r="AM110" s="94">
        <f t="shared" si="20"/>
        <v>102528</v>
      </c>
      <c r="AN110" s="94" cm="1">
        <f t="array" ref="AN110">IF(AM110&gt;=_xlfn.XLOOKUP(TRUE,D110&lt;=Table5[End],Table5[비과세소득기준],0,0),AM110-_xlfn.XLOOKUP(TRUE,D110&lt;=Table5[End],Table5[비과세소득기준],0,0),0)</f>
        <v>0</v>
      </c>
      <c r="AO110" s="94" cm="1">
        <f t="array" ref="AO110">ROUNDDOWN(_xlfn.LET(_xlpm.setvalue,_xlfn.XLOOKUP(TRUE,D110&lt;=Table5[End],Table5[[요율]:[근로소득세액공제]],0,0),_xlpm.tax,AN110*PRODUCT((_xlpm.setvalue-{0,1})*{1,-1}),_xlpm.threshold,_xlfn.XLOOKUP(TRUE,D110&lt;=Table5[End],Table5[소액부징수기준],0,0),IF(_xlpm.tax&gt;=_xlpm.threshold,_xlpm.tax,0)),-1)</f>
        <v>0</v>
      </c>
      <c r="AP110" s="94">
        <f>ROUNDDOWN(Table2[[#This Row],[소득세]]*10%,-1)</f>
        <v>0</v>
      </c>
      <c r="AQ110" s="94">
        <f>IF(AB110="v",AM110+IF(Y110=8,SUMIFS(Table2[지급총액],Table2[주민등록번호],O110,Table2[월],R110,Table2[월간
근무일],"&lt;="&amp;8)-AM110,0),0)+_xlfn.NUMBERVALUE(AR110)</f>
        <v>102528</v>
      </c>
      <c r="AR110" s="95"/>
      <c r="AS110" s="94" cm="1">
        <f t="array" ref="AS110">ROUNDDOWN($AQ110*_xlfn.XLOOKUP(1,(AS$5=Table8[Type])*($D110&lt;=Table8[End]),Table8[요율],0,0),0)</f>
        <v>3634</v>
      </c>
      <c r="AT110" s="94" cm="1">
        <f t="array" ref="AT110">ROUNDDOWN(AS110*_xlfn.XLOOKUP(1,(AT$5=Table8[Type])*($D110&lt;=Table8[End]),Table8[요율],0,0),-1)</f>
        <v>470</v>
      </c>
      <c r="AU110" s="94" cm="1">
        <f t="array" ref="AU110">ROUNDDOWN($AQ110*_xlfn.XLOOKUP(1,(AU$5=Table8[Type])*($D110&lt;=Table8[End]),Table8[요율],0,0),-1)</f>
        <v>4610</v>
      </c>
      <c r="AV110" s="94" cm="1">
        <f t="array" ref="AV110">ROUNDDOWN(AM110*_xlfn.XLOOKUP(1,(AV$5=Table8[Type])*($D110&lt;=Table8[End]),Table8[요율],0,0),-1)</f>
        <v>0</v>
      </c>
      <c r="AW110" s="94" cm="1">
        <f t="array" ref="AW110">_xlfn.XLOOKUP(1,(O110=Table2[주민등록번호])*(D110&gt;Table2[근무일자]),Table2[청구 Claim 
이월],0,0,-1)</f>
        <v>0</v>
      </c>
      <c r="AX110" s="95"/>
      <c r="AY110" s="94" cm="1">
        <f t="array" ref="AY110">MAX(SUM(AO110:AP110,AS110:AX110)-_xlfn.XLOOKUP(1,(D110&lt;=Table7[End])*(E110=Table7[근무처])*(F110=Table7[업무]),Table7[1일 공제 상한],0,0),0)</f>
        <v>0</v>
      </c>
      <c r="AZ110" s="94">
        <f t="shared" si="21"/>
        <v>8714</v>
      </c>
      <c r="BA110" s="94">
        <f t="shared" si="22"/>
        <v>93814</v>
      </c>
      <c r="BB110" s="97">
        <f t="shared" si="23"/>
        <v>0</v>
      </c>
      <c r="BC110" s="98"/>
      <c r="BD110" s="94">
        <f t="shared" si="24"/>
        <v>3634</v>
      </c>
      <c r="BE110" s="94">
        <f t="shared" si="25"/>
        <v>470</v>
      </c>
      <c r="BF110" s="94">
        <f t="shared" si="26"/>
        <v>4610</v>
      </c>
      <c r="BG110" s="94">
        <f t="shared" si="27"/>
        <v>0</v>
      </c>
      <c r="BH110" s="94" cm="1">
        <f t="array" ref="BH110">ROUNDDOWN(AM110*_xlfn.XLOOKUP(1,(BH$5=Table8[Type])*($D110&lt;=Table8[End]),Table8[요율],0,0),-1)</f>
        <v>820</v>
      </c>
      <c r="BI110" s="93" t="str" cm="1">
        <f t="array" ref="BI110">_xlfn.XLOOKUP(1,(D110&lt;=Table7[End])*(E110=Table7[근무처])*(F110=Table7[업무]),Table7[지급옵션],0,0)</f>
        <v>차주 화</v>
      </c>
      <c r="BJ110" s="83">
        <f>IF(BK110&lt;&gt;"",BK110,IFERROR(D110+_xlfn.NUMBERVALUE(RIGHT(BI110,1)),D110-WEEKDAY(D110)+CHOOSE(MATCH(RIGHT(BI110),{"일","월","화","수","목","금","토"},0),8,9,10,11,12,13,14)))</f>
        <v>45748</v>
      </c>
      <c r="BK110" s="99"/>
    </row>
    <row r="111" spans="2:63" x14ac:dyDescent="0.35">
      <c r="B111" s="20" t="str" cm="1">
        <f t="array" ref="B111">_xlfn.IFS(BB111&lt;&gt;BC111,"Claim확인",N111&lt;&gt;"OK","확인필요",TRUE,"")</f>
        <v/>
      </c>
      <c r="C111" s="21" t="str">
        <f t="shared" si="14"/>
        <v>010-3X4X-X9X7219X02XX284640</v>
      </c>
      <c r="D111" s="26">
        <v>45743</v>
      </c>
      <c r="E111" s="91" t="s">
        <v>253</v>
      </c>
      <c r="F111" s="25" t="s">
        <v>257</v>
      </c>
      <c r="G111" s="27" t="s">
        <v>286</v>
      </c>
      <c r="H111" s="25" t="s">
        <v>299</v>
      </c>
      <c r="I111" s="25"/>
      <c r="J111" s="25" t="s">
        <v>300</v>
      </c>
      <c r="K111" s="28">
        <v>0.33333333333333331</v>
      </c>
      <c r="L111" s="28">
        <v>0.70833333333333337</v>
      </c>
      <c r="M111" s="28">
        <v>4.1666666666666664E-2</v>
      </c>
      <c r="N111" s="25" t="s">
        <v>281</v>
      </c>
      <c r="O111" s="29" t="str">
        <f>_xlfn.XLOOKUP(Table2[[#This Row],[Key]],Table1[Key],Table1[주민등록번호],"",0)</f>
        <v>931XX31XX3X14</v>
      </c>
      <c r="P111" s="29">
        <f>_xlfn.XLOOKUP(Table2[[#This Row],[Key]],Table1[Key],Table1[비자],"",0)</f>
        <v>0</v>
      </c>
      <c r="Q111" s="29">
        <f>IF(P111=0,0,_xlfn.XLOOKUP(Table2[[#This Row],[Key]],Table1[Key],Table1[고용보험 여부],0,0))</f>
        <v>0</v>
      </c>
      <c r="R111" s="29" t="str">
        <f t="shared" si="15"/>
        <v>2503</v>
      </c>
      <c r="S111" s="30" t="str">
        <f>YEAR(Table2[[#This Row],[근무일자]])&amp;TEXT(WEEKNUM(Table2[[#This Row],[근무일자]]),"00")</f>
        <v>202513</v>
      </c>
      <c r="T111" s="31">
        <f>_xlfn.XLOOKUP(Table2[[#This Row],[Key]],Table1[Key],Table1[등록일],"",0)</f>
        <v>45773</v>
      </c>
      <c r="U111" s="32">
        <f t="shared" si="16"/>
        <v>0.33333333333333337</v>
      </c>
      <c r="V111" s="92">
        <f t="shared" si="17"/>
        <v>0</v>
      </c>
      <c r="W111" s="100" t="str">
        <f>_xlfn.XLOOKUP(Table2[[#This Row],[근무일자]],Table3[Date],Table3[Holiday],"",0)</f>
        <v/>
      </c>
      <c r="X111" s="93">
        <f>IF(D111&lt;&gt;"",1,0)+IF(COUNTIFS(Table2[주민등록번호],O111,Table2[월],TEXT(EOMONTH(D111,-1),"YYMM"))&gt;0,1+IF(COUNTIFS(Table2[주민등록번호],O111,Table2[월],TEXT(EOMONTH(D111,-2),"YYMM"))&gt;0,1+IF(COUNTIFS(Table2[주민등록번호],O111,Table2[월],TEXT(EOMONTH(D111,-3),"YYMM"))&gt;0,1,0),0),0)</f>
        <v>2</v>
      </c>
      <c r="Y111" s="29">
        <f>COUNTIFS(Table2[주민등록번호],O111,Table2[월],R111,Table2[근무일자],"&lt;="&amp;D111)</f>
        <v>8</v>
      </c>
      <c r="Z111" s="29">
        <f>COUNTIFS(Table2[주민등록번호],O111,Table2[주간],S111,Table2[근무일자],"&lt;="&amp;D111)</f>
        <v>2</v>
      </c>
      <c r="AA111" s="29">
        <f>SUMIFS(Table2[근로
시간],Table2[주민등록번호],O111,Table2[주간],S111,Table2[근무일자],"&lt;="&amp;D111)*24</f>
        <v>16</v>
      </c>
      <c r="AB111" s="29" t="str">
        <f>IF(AND(Y111&gt;=8,COUNTIFS(Table2[주민등록번호],O111,Table2[근무일자],"&gt;="&amp;EOMONTH(D111,-2)+1,Table2[근무일자],"&lt;="&amp;EOMONTH(D111,-1)+1)&gt;0),"V","")</f>
        <v>V</v>
      </c>
      <c r="AC111" s="94" cm="1">
        <f t="array" ref="AC111">IF(AD111&lt;&gt;"",AD111,_xlfn.XLOOKUP(1,(D111&lt;=Table7[End])*(E111=Table7[근무처])*(F111=Table7[업무]),Table7[시급],0,0))</f>
        <v>10030</v>
      </c>
      <c r="AD111" s="95"/>
      <c r="AE111" s="94">
        <f t="shared" si="18"/>
        <v>80240</v>
      </c>
      <c r="AF111" s="96" cm="1">
        <f t="array" ref="AF111">IF(AND(AA111&gt;=15,(AA111-U111*24)&lt;=40),IF(Z111&gt;=_xlfn.XLOOKUP(1,(D111&lt;=Table7[End])*(E111=Table7[근무처])*(F111=Table7[업무]),Table7[주휴적용일],0,0),1,0)+_xlfn.XLOOKUP(1,(Table2[주간]=Table2[[#This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11" s="96" cm="1">
        <f t="array" ref="AG111">MAX((_xlfn.IFS(AF111=0,0,AF111=1,AA111,AF111&gt;1,U111*24)-IF(AA111&gt;40,AA111-40,0))/5,0)</f>
        <v>0</v>
      </c>
      <c r="AH111" s="94">
        <f t="shared" si="19"/>
        <v>0</v>
      </c>
      <c r="AI111" s="33" cm="1">
        <f t="array" ref="AI111">IF(W111="",0,ROUND(AC111*U111*24*_xlfn.XLOOKUP(1,(D111&lt;=Table7[End])*(E111=Table7[근무처])*(F111=Table7[업무]),Table7[휴일인센티브],0,0),0))</f>
        <v>0</v>
      </c>
      <c r="AJ111" s="94" cm="1">
        <f t="array" ref="AJ111">ROUND(AC111*IF(U111&gt;=8/24,U111-8/24,0)*24*_xlfn.XLOOKUP(1,(D111&lt;=Table7[End])*(E111=Table7[근무처])*(F111=Table7[업무]),Table7[야간인센티브],0,0),0)</f>
        <v>0</v>
      </c>
      <c r="AK111" s="94" cm="1">
        <f t="array" ref="AK111">IF(V111=0,0,ROUND(AC111*V111*24*_xlfn.XLOOKUP(1,(D111&lt;=Table7[End])*(E111=Table7[근무처])*(F111=Table7[업무]),Table7[야간인센티브],0,0),0))</f>
        <v>0</v>
      </c>
      <c r="AL111" s="95"/>
      <c r="AM111" s="94">
        <f t="shared" si="20"/>
        <v>80240</v>
      </c>
      <c r="AN111" s="94" cm="1">
        <f t="array" ref="AN111">IF(AM111&gt;=_xlfn.XLOOKUP(TRUE,D111&lt;=Table5[End],Table5[비과세소득기준],0,0),AM111-_xlfn.XLOOKUP(TRUE,D111&lt;=Table5[End],Table5[비과세소득기준],0,0),0)</f>
        <v>0</v>
      </c>
      <c r="AO111" s="94" cm="1">
        <f t="array" ref="AO111">ROUNDDOWN(_xlfn.LET(_xlpm.setvalue,_xlfn.XLOOKUP(TRUE,D111&lt;=Table5[End],Table5[[요율]:[근로소득세액공제]],0,0),_xlpm.tax,AN111*PRODUCT((_xlpm.setvalue-{0,1})*{1,-1}),_xlpm.threshold,_xlfn.XLOOKUP(TRUE,D111&lt;=Table5[End],Table5[소액부징수기준],0,0),IF(_xlpm.tax&gt;=_xlpm.threshold,_xlpm.tax,0)),-1)</f>
        <v>0</v>
      </c>
      <c r="AP111" s="94">
        <f>ROUNDDOWN(Table2[[#This Row],[소득세]]*10%,-1)</f>
        <v>0</v>
      </c>
      <c r="AQ111" s="94">
        <f>IF(AB111="v",AM111+IF(Y111=8,SUMIFS(Table2[지급총액],Table2[주민등록번호],O111,Table2[월],R111,Table2[월간
근무일],"&lt;="&amp;8)-AM111,0),0)+_xlfn.NUMBERVALUE(AR111)</f>
        <v>641920</v>
      </c>
      <c r="AR111" s="95"/>
      <c r="AS111" s="94" cm="1">
        <f t="array" ref="AS111">ROUNDDOWN($AQ111*_xlfn.XLOOKUP(1,(AS$5=Table8[Type])*($D111&lt;=Table8[End]),Table8[요율],0,0),0)</f>
        <v>22756</v>
      </c>
      <c r="AT111" s="94" cm="1">
        <f t="array" ref="AT111">ROUNDDOWN(AS111*_xlfn.XLOOKUP(1,(AT$5=Table8[Type])*($D111&lt;=Table8[End]),Table8[요율],0,0),-1)</f>
        <v>2940</v>
      </c>
      <c r="AU111" s="94" cm="1">
        <f t="array" ref="AU111">ROUNDDOWN($AQ111*_xlfn.XLOOKUP(1,(AU$5=Table8[Type])*($D111&lt;=Table8[End]),Table8[요율],0,0),-1)</f>
        <v>28880</v>
      </c>
      <c r="AV111" s="94" cm="1">
        <f t="array" ref="AV111">ROUNDDOWN(AM111*_xlfn.XLOOKUP(1,(AV$5=Table8[Type])*($D111&lt;=Table8[End]),Table8[요율],0,0),-1)</f>
        <v>0</v>
      </c>
      <c r="AW111" s="94" cm="1">
        <f t="array" ref="AW111">_xlfn.XLOOKUP(1,(O111=Table2[주민등록번호])*(D111&gt;Table2[근무일자]),Table2[청구 Claim 
이월],0,0,-1)</f>
        <v>0</v>
      </c>
      <c r="AX111" s="95"/>
      <c r="AY111" s="94" cm="1">
        <f t="array" ref="AY111">MAX(SUM(AO111:AP111,AS111:AX111)-_xlfn.XLOOKUP(1,(D111&lt;=Table7[End])*(E111=Table7[근무처])*(F111=Table7[업무]),Table7[1일 공제 상한],0,0),0)</f>
        <v>0</v>
      </c>
      <c r="AZ111" s="94">
        <f t="shared" si="21"/>
        <v>54576</v>
      </c>
      <c r="BA111" s="94">
        <f t="shared" si="22"/>
        <v>25664</v>
      </c>
      <c r="BB111" s="97">
        <f t="shared" si="23"/>
        <v>0</v>
      </c>
      <c r="BC111" s="98"/>
      <c r="BD111" s="94">
        <f t="shared" si="24"/>
        <v>22756</v>
      </c>
      <c r="BE111" s="94">
        <f t="shared" si="25"/>
        <v>2940</v>
      </c>
      <c r="BF111" s="94">
        <f t="shared" si="26"/>
        <v>28880</v>
      </c>
      <c r="BG111" s="94">
        <f t="shared" si="27"/>
        <v>0</v>
      </c>
      <c r="BH111" s="94" cm="1">
        <f t="array" ref="BH111">ROUNDDOWN(AM111*_xlfn.XLOOKUP(1,(BH$5=Table8[Type])*($D111&lt;=Table8[End]),Table8[요율],0,0),-1)</f>
        <v>640</v>
      </c>
      <c r="BI111" s="93" t="str" cm="1">
        <f t="array" ref="BI111">_xlfn.XLOOKUP(1,(D111&lt;=Table7[End])*(E111=Table7[근무처])*(F111=Table7[업무]),Table7[지급옵션],0,0)</f>
        <v>D+2</v>
      </c>
      <c r="BJ111" s="83">
        <f>IF(BK111&lt;&gt;"",BK111,IFERROR(D111+_xlfn.NUMBERVALUE(RIGHT(BI111,1)),D111-WEEKDAY(D111)+CHOOSE(MATCH(RIGHT(BI111),{"일","월","화","수","목","금","토"},0),8,9,10,11,12,13,14)))</f>
        <v>45745</v>
      </c>
      <c r="BK111" s="99"/>
    </row>
    <row r="112" spans="2:63" x14ac:dyDescent="0.35">
      <c r="B112" s="20" t="str" cm="1">
        <f t="array" ref="B112">_xlfn.IFS(BB112&lt;&gt;BC112,"Claim확인",N112&lt;&gt;"OK","확인필요",TRUE,"")</f>
        <v/>
      </c>
      <c r="C112" s="21" t="str">
        <f t="shared" si="14"/>
        <v>010-8X0X-X0X9982X03XX901018</v>
      </c>
      <c r="D112" s="26">
        <v>45744</v>
      </c>
      <c r="E112" s="91" t="s">
        <v>255</v>
      </c>
      <c r="F112" s="25" t="s">
        <v>258</v>
      </c>
      <c r="G112" s="27" t="s">
        <v>283</v>
      </c>
      <c r="H112" s="25" t="s">
        <v>291</v>
      </c>
      <c r="I112" s="25"/>
      <c r="J112" s="25" t="s">
        <v>292</v>
      </c>
      <c r="K112" s="28">
        <v>0.375</v>
      </c>
      <c r="L112" s="28">
        <v>0.75</v>
      </c>
      <c r="M112" s="28">
        <v>4.1666666666666664E-2</v>
      </c>
      <c r="N112" s="25" t="s">
        <v>281</v>
      </c>
      <c r="O112" s="29" t="str">
        <f>_xlfn.XLOOKUP(Table2[[#This Row],[Key]],Table1[Key],Table1[주민등록번호],"",0)</f>
        <v>960XX51XX9X15</v>
      </c>
      <c r="P112" s="29">
        <f>_xlfn.XLOOKUP(Table2[[#This Row],[Key]],Table1[Key],Table1[비자],"",0)</f>
        <v>0</v>
      </c>
      <c r="Q112" s="29">
        <f>IF(P112=0,0,_xlfn.XLOOKUP(Table2[[#This Row],[Key]],Table1[Key],Table1[고용보험 여부],0,0))</f>
        <v>0</v>
      </c>
      <c r="R112" s="29" t="str">
        <f t="shared" si="15"/>
        <v>2503</v>
      </c>
      <c r="S112" s="30" t="str">
        <f>YEAR(Table2[[#This Row],[근무일자]])&amp;TEXT(WEEKNUM(Table2[[#This Row],[근무일자]]),"00")</f>
        <v>202513</v>
      </c>
      <c r="T112" s="31">
        <f>_xlfn.XLOOKUP(Table2[[#This Row],[Key]],Table1[Key],Table1[등록일],"",0)</f>
        <v>45698</v>
      </c>
      <c r="U112" s="32">
        <f t="shared" si="16"/>
        <v>0.33333333333333331</v>
      </c>
      <c r="V112" s="92">
        <f t="shared" si="17"/>
        <v>0</v>
      </c>
      <c r="W112" s="100" t="str">
        <f>_xlfn.XLOOKUP(Table2[[#This Row],[근무일자]],Table3[Date],Table3[Holiday],"",0)</f>
        <v/>
      </c>
      <c r="X112" s="93">
        <f>IF(D112&lt;&gt;"",1,0)+IF(COUNTIFS(Table2[주민등록번호],O112,Table2[월],TEXT(EOMONTH(D112,-1),"YYMM"))&gt;0,1+IF(COUNTIFS(Table2[주민등록번호],O112,Table2[월],TEXT(EOMONTH(D112,-2),"YYMM"))&gt;0,1+IF(COUNTIFS(Table2[주민등록번호],O112,Table2[월],TEXT(EOMONTH(D112,-3),"YYMM"))&gt;0,1,0),0),0)</f>
        <v>2</v>
      </c>
      <c r="Y112" s="29">
        <f>COUNTIFS(Table2[주민등록번호],O112,Table2[월],R112,Table2[근무일자],"&lt;="&amp;D112)</f>
        <v>18</v>
      </c>
      <c r="Z112" s="29">
        <f>COUNTIFS(Table2[주민등록번호],O112,Table2[주간],S112,Table2[근무일자],"&lt;="&amp;D112)</f>
        <v>4</v>
      </c>
      <c r="AA112" s="29">
        <f>SUMIFS(Table2[근로
시간],Table2[주민등록번호],O112,Table2[주간],S112,Table2[근무일자],"&lt;="&amp;D112)*24</f>
        <v>32</v>
      </c>
      <c r="AB112" s="29" t="str">
        <f>IF(AND(Y112&gt;=8,COUNTIFS(Table2[주민등록번호],O112,Table2[근무일자],"&gt;="&amp;EOMONTH(D112,-2)+1,Table2[근무일자],"&lt;="&amp;EOMONTH(D112,-1)+1)&gt;0),"V","")</f>
        <v>V</v>
      </c>
      <c r="AC112" s="94" cm="1">
        <f t="array" ref="AC112">IF(AD112&lt;&gt;"",AD112,_xlfn.XLOOKUP(1,(D112&lt;=Table7[End])*(E112=Table7[근무처])*(F112=Table7[업무]),Table7[시급],0,0))</f>
        <v>10680</v>
      </c>
      <c r="AD112" s="95"/>
      <c r="AE112" s="94">
        <f t="shared" si="18"/>
        <v>85440</v>
      </c>
      <c r="AF112" s="96" cm="1">
        <f t="array" ref="AF112">IF(AND(AA112&gt;=15,(AA112-U112*24)&lt;=40),IF(Z112&gt;=_xlfn.XLOOKUP(1,(D112&lt;=Table7[End])*(E112=Table7[근무처])*(F112=Table7[업무]),Table7[주휴적용일],0,0),1,0)+_xlfn.XLOOKUP(1,(Table2[주간]=Table2[[#This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12" s="96" cm="1">
        <f t="array" ref="AG112">MAX((_xlfn.IFS(AF112=0,0,AF112=1,AA112,AF112&gt;1,U112*24)-IF(AA112&gt;40,AA112-40,0))/5,0)</f>
        <v>1.6</v>
      </c>
      <c r="AH112" s="94">
        <f t="shared" si="19"/>
        <v>17088</v>
      </c>
      <c r="AI112" s="33" cm="1">
        <f t="array" ref="AI112">IF(W112="",0,ROUND(AC112*U112*24*_xlfn.XLOOKUP(1,(D112&lt;=Table7[End])*(E112=Table7[근무처])*(F112=Table7[업무]),Table7[휴일인센티브],0,0),0))</f>
        <v>0</v>
      </c>
      <c r="AJ112" s="94" cm="1">
        <f t="array" ref="AJ112">ROUND(AC112*IF(U112&gt;=8/24,U112-8/24,0)*24*_xlfn.XLOOKUP(1,(D112&lt;=Table7[End])*(E112=Table7[근무처])*(F112=Table7[업무]),Table7[야간인센티브],0,0),0)</f>
        <v>0</v>
      </c>
      <c r="AK112" s="94" cm="1">
        <f t="array" ref="AK112">IF(V112=0,0,ROUND(AC112*V112*24*_xlfn.XLOOKUP(1,(D112&lt;=Table7[End])*(E112=Table7[근무처])*(F112=Table7[업무]),Table7[야간인센티브],0,0),0))</f>
        <v>0</v>
      </c>
      <c r="AL112" s="95"/>
      <c r="AM112" s="94">
        <f t="shared" si="20"/>
        <v>102528</v>
      </c>
      <c r="AN112" s="94" cm="1">
        <f t="array" ref="AN112">IF(AM112&gt;=_xlfn.XLOOKUP(TRUE,D112&lt;=Table5[End],Table5[비과세소득기준],0,0),AM112-_xlfn.XLOOKUP(TRUE,D112&lt;=Table5[End],Table5[비과세소득기준],0,0),0)</f>
        <v>0</v>
      </c>
      <c r="AO112" s="94" cm="1">
        <f t="array" ref="AO112">ROUNDDOWN(_xlfn.LET(_xlpm.setvalue,_xlfn.XLOOKUP(TRUE,D112&lt;=Table5[End],Table5[[요율]:[근로소득세액공제]],0,0),_xlpm.tax,AN112*PRODUCT((_xlpm.setvalue-{0,1})*{1,-1}),_xlpm.threshold,_xlfn.XLOOKUP(TRUE,D112&lt;=Table5[End],Table5[소액부징수기준],0,0),IF(_xlpm.tax&gt;=_xlpm.threshold,_xlpm.tax,0)),-1)</f>
        <v>0</v>
      </c>
      <c r="AP112" s="94">
        <f>ROUNDDOWN(Table2[[#This Row],[소득세]]*10%,-1)</f>
        <v>0</v>
      </c>
      <c r="AQ112" s="94">
        <f>IF(AB112="v",AM112+IF(Y112=8,SUMIFS(Table2[지급총액],Table2[주민등록번호],O112,Table2[월],R112,Table2[월간
근무일],"&lt;="&amp;8)-AM112,0),0)+_xlfn.NUMBERVALUE(AR112)</f>
        <v>102528</v>
      </c>
      <c r="AR112" s="95"/>
      <c r="AS112" s="94" cm="1">
        <f t="array" ref="AS112">ROUNDDOWN($AQ112*_xlfn.XLOOKUP(1,(AS$5=Table8[Type])*($D112&lt;=Table8[End]),Table8[요율],0,0),0)</f>
        <v>3634</v>
      </c>
      <c r="AT112" s="94" cm="1">
        <f t="array" ref="AT112">ROUNDDOWN(AS112*_xlfn.XLOOKUP(1,(AT$5=Table8[Type])*($D112&lt;=Table8[End]),Table8[요율],0,0),-1)</f>
        <v>470</v>
      </c>
      <c r="AU112" s="94" cm="1">
        <f t="array" ref="AU112">ROUNDDOWN($AQ112*_xlfn.XLOOKUP(1,(AU$5=Table8[Type])*($D112&lt;=Table8[End]),Table8[요율],0,0),-1)</f>
        <v>4610</v>
      </c>
      <c r="AV112" s="94" cm="1">
        <f t="array" ref="AV112">ROUNDDOWN(AM112*_xlfn.XLOOKUP(1,(AV$5=Table8[Type])*($D112&lt;=Table8[End]),Table8[요율],0,0),-1)</f>
        <v>0</v>
      </c>
      <c r="AW112" s="94" cm="1">
        <f t="array" ref="AW112">_xlfn.XLOOKUP(1,(O112=Table2[주민등록번호])*(D112&gt;Table2[근무일자]),Table2[청구 Claim 
이월],0,0,-1)</f>
        <v>0</v>
      </c>
      <c r="AX112" s="95"/>
      <c r="AY112" s="94" cm="1">
        <f t="array" ref="AY112">MAX(SUM(AO112:AP112,AS112:AX112)-_xlfn.XLOOKUP(1,(D112&lt;=Table7[End])*(E112=Table7[근무처])*(F112=Table7[업무]),Table7[1일 공제 상한],0,0),0)</f>
        <v>0</v>
      </c>
      <c r="AZ112" s="94">
        <f t="shared" si="21"/>
        <v>8714</v>
      </c>
      <c r="BA112" s="94">
        <f t="shared" si="22"/>
        <v>93814</v>
      </c>
      <c r="BB112" s="97">
        <f t="shared" si="23"/>
        <v>0</v>
      </c>
      <c r="BC112" s="98"/>
      <c r="BD112" s="94">
        <f t="shared" si="24"/>
        <v>3634</v>
      </c>
      <c r="BE112" s="94">
        <f t="shared" si="25"/>
        <v>470</v>
      </c>
      <c r="BF112" s="94">
        <f t="shared" si="26"/>
        <v>4610</v>
      </c>
      <c r="BG112" s="94">
        <f t="shared" si="27"/>
        <v>0</v>
      </c>
      <c r="BH112" s="94" cm="1">
        <f t="array" ref="BH112">ROUNDDOWN(AM112*_xlfn.XLOOKUP(1,(BH$5=Table8[Type])*($D112&lt;=Table8[End]),Table8[요율],0,0),-1)</f>
        <v>820</v>
      </c>
      <c r="BI112" s="93" t="str" cm="1">
        <f t="array" ref="BI112">_xlfn.XLOOKUP(1,(D112&lt;=Table7[End])*(E112=Table7[근무처])*(F112=Table7[업무]),Table7[지급옵션],0,0)</f>
        <v>차주 화</v>
      </c>
      <c r="BJ112" s="83">
        <f>IF(BK112&lt;&gt;"",BK112,IFERROR(D112+_xlfn.NUMBERVALUE(RIGHT(BI112,1)),D112-WEEKDAY(D112)+CHOOSE(MATCH(RIGHT(BI112),{"일","월","화","수","목","금","토"},0),8,9,10,11,12,13,14)))</f>
        <v>45748</v>
      </c>
      <c r="BK112" s="99"/>
    </row>
    <row r="113" spans="2:63" x14ac:dyDescent="0.35">
      <c r="B113" s="20" t="str" cm="1">
        <f t="array" ref="B113">_xlfn.IFS(BB113&lt;&gt;BC113,"Claim확인",N113&lt;&gt;"OK","확인필요",TRUE,"")</f>
        <v/>
      </c>
      <c r="C113" s="21" t="str">
        <f t="shared" si="14"/>
        <v>010-6X1X-X3X0333X04XX46879</v>
      </c>
      <c r="D113" s="26">
        <v>45744</v>
      </c>
      <c r="E113" s="91" t="s">
        <v>255</v>
      </c>
      <c r="F113" s="25" t="s">
        <v>258</v>
      </c>
      <c r="G113" s="27" t="s">
        <v>284</v>
      </c>
      <c r="H113" s="25" t="s">
        <v>293</v>
      </c>
      <c r="I113" s="25"/>
      <c r="J113" s="25" t="s">
        <v>294</v>
      </c>
      <c r="K113" s="28">
        <v>0.3125</v>
      </c>
      <c r="L113" s="28">
        <v>0.6875</v>
      </c>
      <c r="M113" s="28">
        <v>4.1666666666666664E-2</v>
      </c>
      <c r="N113" s="25" t="s">
        <v>281</v>
      </c>
      <c r="O113" s="29" t="str">
        <f>_xlfn.XLOOKUP(Table2[[#This Row],[Key]],Table1[Key],Table1[주민등록번호],"",0)</f>
        <v>971XX61XX9X25</v>
      </c>
      <c r="P113" s="29">
        <f>_xlfn.XLOOKUP(Table2[[#This Row],[Key]],Table1[Key],Table1[비자],"",0)</f>
        <v>0</v>
      </c>
      <c r="Q113" s="29">
        <f>IF(P113=0,0,_xlfn.XLOOKUP(Table2[[#This Row],[Key]],Table1[Key],Table1[고용보험 여부],0,0))</f>
        <v>0</v>
      </c>
      <c r="R113" s="29" t="str">
        <f t="shared" si="15"/>
        <v>2503</v>
      </c>
      <c r="S113" s="30" t="str">
        <f>YEAR(Table2[[#This Row],[근무일자]])&amp;TEXT(WEEKNUM(Table2[[#This Row],[근무일자]]),"00")</f>
        <v>202513</v>
      </c>
      <c r="T113" s="31">
        <f>_xlfn.XLOOKUP(Table2[[#This Row],[Key]],Table1[Key],Table1[등록일],"",0)</f>
        <v>45721</v>
      </c>
      <c r="U113" s="32">
        <f t="shared" si="16"/>
        <v>0.33333333333333331</v>
      </c>
      <c r="V113" s="92">
        <f t="shared" si="17"/>
        <v>0</v>
      </c>
      <c r="W113" s="100" t="str">
        <f>_xlfn.XLOOKUP(Table2[[#This Row],[근무일자]],Table3[Date],Table3[Holiday],"",0)</f>
        <v/>
      </c>
      <c r="X113" s="93">
        <f>IF(D113&lt;&gt;"",1,0)+IF(COUNTIFS(Table2[주민등록번호],O113,Table2[월],TEXT(EOMONTH(D113,-1),"YYMM"))&gt;0,1+IF(COUNTIFS(Table2[주민등록번호],O113,Table2[월],TEXT(EOMONTH(D113,-2),"YYMM"))&gt;0,1+IF(COUNTIFS(Table2[주민등록번호],O113,Table2[월],TEXT(EOMONTH(D113,-3),"YYMM"))&gt;0,1,0),0),0)</f>
        <v>1</v>
      </c>
      <c r="Y113" s="29">
        <f>COUNTIFS(Table2[주민등록번호],O113,Table2[월],R113,Table2[근무일자],"&lt;="&amp;D113)</f>
        <v>12</v>
      </c>
      <c r="Z113" s="29">
        <f>COUNTIFS(Table2[주민등록번호],O113,Table2[주간],S113,Table2[근무일자],"&lt;="&amp;D113)</f>
        <v>4</v>
      </c>
      <c r="AA113" s="29">
        <f>SUMIFS(Table2[근로
시간],Table2[주민등록번호],O113,Table2[주간],S113,Table2[근무일자],"&lt;="&amp;D113)*24</f>
        <v>32</v>
      </c>
      <c r="AB113" s="29" t="str">
        <f>IF(AND(Y113&gt;=8,COUNTIFS(Table2[주민등록번호],O113,Table2[근무일자],"&gt;="&amp;EOMONTH(D113,-2)+1,Table2[근무일자],"&lt;="&amp;EOMONTH(D113,-1)+1)&gt;0),"V","")</f>
        <v/>
      </c>
      <c r="AC113" s="94" cm="1">
        <f t="array" ref="AC113">IF(AD113&lt;&gt;"",AD113,_xlfn.XLOOKUP(1,(D113&lt;=Table7[End])*(E113=Table7[근무처])*(F113=Table7[업무]),Table7[시급],0,0))</f>
        <v>10680</v>
      </c>
      <c r="AD113" s="95"/>
      <c r="AE113" s="94">
        <f t="shared" si="18"/>
        <v>85440</v>
      </c>
      <c r="AF113" s="96" cm="1">
        <f t="array" ref="AF113">IF(AND(AA113&gt;=15,(AA113-U113*24)&lt;=40),IF(Z113&gt;=_xlfn.XLOOKUP(1,(D113&lt;=Table7[End])*(E113=Table7[근무처])*(F113=Table7[업무]),Table7[주휴적용일],0,0),1,0)+_xlfn.XLOOKUP(1,(Table2[주간]=Table2[[#This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13" s="96" cm="1">
        <f t="array" ref="AG113">MAX((_xlfn.IFS(AF113=0,0,AF113=1,AA113,AF113&gt;1,U113*24)-IF(AA113&gt;40,AA113-40,0))/5,0)</f>
        <v>1.6</v>
      </c>
      <c r="AH113" s="94">
        <f t="shared" si="19"/>
        <v>17088</v>
      </c>
      <c r="AI113" s="33" cm="1">
        <f t="array" ref="AI113">IF(W113="",0,ROUND(AC113*U113*24*_xlfn.XLOOKUP(1,(D113&lt;=Table7[End])*(E113=Table7[근무처])*(F113=Table7[업무]),Table7[휴일인센티브],0,0),0))</f>
        <v>0</v>
      </c>
      <c r="AJ113" s="94" cm="1">
        <f t="array" ref="AJ113">ROUND(AC113*IF(U113&gt;=8/24,U113-8/24,0)*24*_xlfn.XLOOKUP(1,(D113&lt;=Table7[End])*(E113=Table7[근무처])*(F113=Table7[업무]),Table7[야간인센티브],0,0),0)</f>
        <v>0</v>
      </c>
      <c r="AK113" s="94" cm="1">
        <f t="array" ref="AK113">IF(V113=0,0,ROUND(AC113*V113*24*_xlfn.XLOOKUP(1,(D113&lt;=Table7[End])*(E113=Table7[근무처])*(F113=Table7[업무]),Table7[야간인센티브],0,0),0))</f>
        <v>0</v>
      </c>
      <c r="AL113" s="95"/>
      <c r="AM113" s="94">
        <f t="shared" si="20"/>
        <v>102528</v>
      </c>
      <c r="AN113" s="94" cm="1">
        <f t="array" ref="AN113">IF(AM113&gt;=_xlfn.XLOOKUP(TRUE,D113&lt;=Table5[End],Table5[비과세소득기준],0,0),AM113-_xlfn.XLOOKUP(TRUE,D113&lt;=Table5[End],Table5[비과세소득기준],0,0),0)</f>
        <v>0</v>
      </c>
      <c r="AO113" s="94" cm="1">
        <f t="array" ref="AO113">ROUNDDOWN(_xlfn.LET(_xlpm.setvalue,_xlfn.XLOOKUP(TRUE,D113&lt;=Table5[End],Table5[[요율]:[근로소득세액공제]],0,0),_xlpm.tax,AN113*PRODUCT((_xlpm.setvalue-{0,1})*{1,-1}),_xlpm.threshold,_xlfn.XLOOKUP(TRUE,D113&lt;=Table5[End],Table5[소액부징수기준],0,0),IF(_xlpm.tax&gt;=_xlpm.threshold,_xlpm.tax,0)),-1)</f>
        <v>0</v>
      </c>
      <c r="AP113" s="94">
        <f>ROUNDDOWN(Table2[[#This Row],[소득세]]*10%,-1)</f>
        <v>0</v>
      </c>
      <c r="AQ113" s="94">
        <f>IF(AB113="v",AM113+IF(Y113=8,SUMIFS(Table2[지급총액],Table2[주민등록번호],O113,Table2[월],R113,Table2[월간
근무일],"&lt;="&amp;8)-AM113,0),0)+_xlfn.NUMBERVALUE(AR113)</f>
        <v>0</v>
      </c>
      <c r="AR113" s="95"/>
      <c r="AS113" s="94" cm="1">
        <f t="array" ref="AS113">ROUNDDOWN($AQ113*_xlfn.XLOOKUP(1,(AS$5=Table8[Type])*($D113&lt;=Table8[End]),Table8[요율],0,0),0)</f>
        <v>0</v>
      </c>
      <c r="AT113" s="94" cm="1">
        <f t="array" ref="AT113">ROUNDDOWN(AS113*_xlfn.XLOOKUP(1,(AT$5=Table8[Type])*($D113&lt;=Table8[End]),Table8[요율],0,0),-1)</f>
        <v>0</v>
      </c>
      <c r="AU113" s="94" cm="1">
        <f t="array" ref="AU113">ROUNDDOWN($AQ113*_xlfn.XLOOKUP(1,(AU$5=Table8[Type])*($D113&lt;=Table8[End]),Table8[요율],0,0),-1)</f>
        <v>0</v>
      </c>
      <c r="AV113" s="94" cm="1">
        <f t="array" ref="AV113">ROUNDDOWN(AM113*_xlfn.XLOOKUP(1,(AV$5=Table8[Type])*($D113&lt;=Table8[End]),Table8[요율],0,0),-1)</f>
        <v>0</v>
      </c>
      <c r="AW113" s="94" cm="1">
        <f t="array" ref="AW113">_xlfn.XLOOKUP(1,(O113=Table2[주민등록번호])*(D113&gt;Table2[근무일자]),Table2[청구 Claim 
이월],0,0,-1)</f>
        <v>0</v>
      </c>
      <c r="AX113" s="95"/>
      <c r="AY113" s="94" cm="1">
        <f t="array" ref="AY113">MAX(SUM(AO113:AP113,AS113:AX113)-_xlfn.XLOOKUP(1,(D113&lt;=Table7[End])*(E113=Table7[근무처])*(F113=Table7[업무]),Table7[1일 공제 상한],0,0),0)</f>
        <v>0</v>
      </c>
      <c r="AZ113" s="94">
        <f t="shared" si="21"/>
        <v>0</v>
      </c>
      <c r="BA113" s="94">
        <f t="shared" si="22"/>
        <v>102528</v>
      </c>
      <c r="BB113" s="97">
        <f t="shared" si="23"/>
        <v>0</v>
      </c>
      <c r="BC113" s="98"/>
      <c r="BD113" s="94">
        <f t="shared" si="24"/>
        <v>0</v>
      </c>
      <c r="BE113" s="94">
        <f t="shared" si="25"/>
        <v>0</v>
      </c>
      <c r="BF113" s="94">
        <f t="shared" si="26"/>
        <v>0</v>
      </c>
      <c r="BG113" s="94">
        <f t="shared" si="27"/>
        <v>0</v>
      </c>
      <c r="BH113" s="94" cm="1">
        <f t="array" ref="BH113">ROUNDDOWN(AM113*_xlfn.XLOOKUP(1,(BH$5=Table8[Type])*($D113&lt;=Table8[End]),Table8[요율],0,0),-1)</f>
        <v>820</v>
      </c>
      <c r="BI113" s="93" t="str" cm="1">
        <f t="array" ref="BI113">_xlfn.XLOOKUP(1,(D113&lt;=Table7[End])*(E113=Table7[근무처])*(F113=Table7[업무]),Table7[지급옵션],0,0)</f>
        <v>차주 화</v>
      </c>
      <c r="BJ113" s="83">
        <f>IF(BK113&lt;&gt;"",BK113,IFERROR(D113+_xlfn.NUMBERVALUE(RIGHT(BI113,1)),D113-WEEKDAY(D113)+CHOOSE(MATCH(RIGHT(BI113),{"일","월","화","수","목","금","토"},0),8,9,10,11,12,13,14)))</f>
        <v>45748</v>
      </c>
      <c r="BK113" s="99"/>
    </row>
    <row r="114" spans="2:63" x14ac:dyDescent="0.35">
      <c r="B114" s="20" t="str" cm="1">
        <f t="array" ref="B114">_xlfn.IFS(BB114&lt;&gt;BC114,"Claim확인",N114&lt;&gt;"OK","확인필요",TRUE,"")</f>
        <v/>
      </c>
      <c r="C114" s="21" t="str">
        <f t="shared" si="14"/>
        <v>010-7X6X-X9X5110X98XX7530</v>
      </c>
      <c r="D114" s="26">
        <v>45746</v>
      </c>
      <c r="E114" s="91" t="s">
        <v>255</v>
      </c>
      <c r="F114" s="25" t="s">
        <v>258</v>
      </c>
      <c r="G114" s="27" t="s">
        <v>282</v>
      </c>
      <c r="H114" s="25" t="s">
        <v>289</v>
      </c>
      <c r="I114" s="25"/>
      <c r="J114" s="25" t="s">
        <v>290</v>
      </c>
      <c r="K114" s="28">
        <v>0.3125</v>
      </c>
      <c r="L114" s="28">
        <v>0.6875</v>
      </c>
      <c r="M114" s="28">
        <v>4.1666666666666664E-2</v>
      </c>
      <c r="N114" s="25" t="s">
        <v>281</v>
      </c>
      <c r="O114" s="29" t="str">
        <f>_xlfn.XLOOKUP(Table2[[#This Row],[Key]],Table1[Key],Table1[주민등록번호],"",0)</f>
        <v>990XX62XX3X13</v>
      </c>
      <c r="P114" s="29">
        <f>_xlfn.XLOOKUP(Table2[[#This Row],[Key]],Table1[Key],Table1[비자],"",0)</f>
        <v>0</v>
      </c>
      <c r="Q114" s="29">
        <f>IF(P114=0,0,_xlfn.XLOOKUP(Table2[[#This Row],[Key]],Table1[Key],Table1[고용보험 여부],0,0))</f>
        <v>0</v>
      </c>
      <c r="R114" s="29" t="str">
        <f t="shared" si="15"/>
        <v>2503</v>
      </c>
      <c r="S114" s="30" t="str">
        <f>YEAR(Table2[[#This Row],[근무일자]])&amp;TEXT(WEEKNUM(Table2[[#This Row],[근무일자]]),"00")</f>
        <v>202514</v>
      </c>
      <c r="T114" s="31">
        <f>_xlfn.XLOOKUP(Table2[[#This Row],[Key]],Table1[Key],Table1[등록일],"",0)</f>
        <v>45696</v>
      </c>
      <c r="U114" s="32">
        <f t="shared" si="16"/>
        <v>0.33333333333333331</v>
      </c>
      <c r="V114" s="92">
        <f t="shared" si="17"/>
        <v>0</v>
      </c>
      <c r="W114" s="100" t="str">
        <f>_xlfn.XLOOKUP(Table2[[#This Row],[근무일자]],Table3[Date],Table3[Holiday],"",0)</f>
        <v/>
      </c>
      <c r="X114" s="93">
        <f>IF(D114&lt;&gt;"",1,0)+IF(COUNTIFS(Table2[주민등록번호],O114,Table2[월],TEXT(EOMONTH(D114,-1),"YYMM"))&gt;0,1+IF(COUNTIFS(Table2[주민등록번호],O114,Table2[월],TEXT(EOMONTH(D114,-2),"YYMM"))&gt;0,1+IF(COUNTIFS(Table2[주민등록번호],O114,Table2[월],TEXT(EOMONTH(D114,-3),"YYMM"))&gt;0,1,0),0),0)</f>
        <v>2</v>
      </c>
      <c r="Y114" s="29">
        <f>COUNTIFS(Table2[주민등록번호],O114,Table2[월],R114,Table2[근무일자],"&lt;="&amp;D114)</f>
        <v>8</v>
      </c>
      <c r="Z114" s="29">
        <f>COUNTIFS(Table2[주민등록번호],O114,Table2[주간],S114,Table2[근무일자],"&lt;="&amp;D114)</f>
        <v>1</v>
      </c>
      <c r="AA114" s="29">
        <f>SUMIFS(Table2[근로
시간],Table2[주민등록번호],O114,Table2[주간],S114,Table2[근무일자],"&lt;="&amp;D114)*24</f>
        <v>8</v>
      </c>
      <c r="AB114" s="29" t="str">
        <f>IF(AND(Y114&gt;=8,COUNTIFS(Table2[주민등록번호],O114,Table2[근무일자],"&gt;="&amp;EOMONTH(D114,-2)+1,Table2[근무일자],"&lt;="&amp;EOMONTH(D114,-1)+1)&gt;0),"V","")</f>
        <v>V</v>
      </c>
      <c r="AC114" s="94" cm="1">
        <f t="array" ref="AC114">IF(AD114&lt;&gt;"",AD114,_xlfn.XLOOKUP(1,(D114&lt;=Table7[End])*(E114=Table7[근무처])*(F114=Table7[업무]),Table7[시급],0,0))</f>
        <v>10680</v>
      </c>
      <c r="AD114" s="95"/>
      <c r="AE114" s="94">
        <f t="shared" si="18"/>
        <v>85440</v>
      </c>
      <c r="AF114" s="96" cm="1">
        <f t="array" ref="AF114">IF(AND(AA114&gt;=15,(AA114-U114*24)&lt;=40),IF(Z114&gt;=_xlfn.XLOOKUP(1,(D114&lt;=Table7[End])*(E114=Table7[근무처])*(F114=Table7[업무]),Table7[주휴적용일],0,0),1,0)+_xlfn.XLOOKUP(1,(Table2[주간]=Table2[[#This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14" s="96" cm="1">
        <f t="array" ref="AG114">MAX((_xlfn.IFS(AF114=0,0,AF114=1,AA114,AF114&gt;1,U114*24)-IF(AA114&gt;40,AA114-40,0))/5,0)</f>
        <v>0</v>
      </c>
      <c r="AH114" s="94">
        <f t="shared" si="19"/>
        <v>0</v>
      </c>
      <c r="AI114" s="33" cm="1">
        <f t="array" ref="AI114">IF(W114="",0,ROUND(AC114*U114*24*_xlfn.XLOOKUP(1,(D114&lt;=Table7[End])*(E114=Table7[근무처])*(F114=Table7[업무]),Table7[휴일인센티브],0,0),0))</f>
        <v>0</v>
      </c>
      <c r="AJ114" s="94" cm="1">
        <f t="array" ref="AJ114">ROUND(AC114*IF(U114&gt;=8/24,U114-8/24,0)*24*_xlfn.XLOOKUP(1,(D114&lt;=Table7[End])*(E114=Table7[근무처])*(F114=Table7[업무]),Table7[야간인센티브],0,0),0)</f>
        <v>0</v>
      </c>
      <c r="AK114" s="94" cm="1">
        <f t="array" ref="AK114">IF(V114=0,0,ROUND(AC114*V114*24*_xlfn.XLOOKUP(1,(D114&lt;=Table7[End])*(E114=Table7[근무처])*(F114=Table7[업무]),Table7[야간인센티브],0,0),0))</f>
        <v>0</v>
      </c>
      <c r="AL114" s="95"/>
      <c r="AM114" s="94">
        <f t="shared" si="20"/>
        <v>85440</v>
      </c>
      <c r="AN114" s="94" cm="1">
        <f t="array" ref="AN114">IF(AM114&gt;=_xlfn.XLOOKUP(TRUE,D114&lt;=Table5[End],Table5[비과세소득기준],0,0),AM114-_xlfn.XLOOKUP(TRUE,D114&lt;=Table5[End],Table5[비과세소득기준],0,0),0)</f>
        <v>0</v>
      </c>
      <c r="AO114" s="94" cm="1">
        <f t="array" ref="AO114">ROUNDDOWN(_xlfn.LET(_xlpm.setvalue,_xlfn.XLOOKUP(TRUE,D114&lt;=Table5[End],Table5[[요율]:[근로소득세액공제]],0,0),_xlpm.tax,AN114*PRODUCT((_xlpm.setvalue-{0,1})*{1,-1}),_xlpm.threshold,_xlfn.XLOOKUP(TRUE,D114&lt;=Table5[End],Table5[소액부징수기준],0,0),IF(_xlpm.tax&gt;=_xlpm.threshold,_xlpm.tax,0)),-1)</f>
        <v>0</v>
      </c>
      <c r="AP114" s="94">
        <f>ROUNDDOWN(Table2[[#This Row],[소득세]]*10%,-1)</f>
        <v>0</v>
      </c>
      <c r="AQ114" s="94">
        <f>IF(AB114="v",AM114+IF(Y114=8,SUMIFS(Table2[지급총액],Table2[주민등록번호],O114,Table2[월],R114,Table2[월간
근무일],"&lt;="&amp;8)-AM114,0),0)+_xlfn.NUMBERVALUE(AR114)</f>
        <v>888576</v>
      </c>
      <c r="AR114" s="95"/>
      <c r="AS114" s="94" cm="1">
        <f t="array" ref="AS114">ROUNDDOWN($AQ114*_xlfn.XLOOKUP(1,(AS$5=Table8[Type])*($D114&lt;=Table8[End]),Table8[요율],0,0),0)</f>
        <v>31500</v>
      </c>
      <c r="AT114" s="94" cm="1">
        <f t="array" ref="AT114">ROUNDDOWN(AS114*_xlfn.XLOOKUP(1,(AT$5=Table8[Type])*($D114&lt;=Table8[End]),Table8[요율],0,0),-1)</f>
        <v>4080</v>
      </c>
      <c r="AU114" s="94" cm="1">
        <f t="array" ref="AU114">ROUNDDOWN($AQ114*_xlfn.XLOOKUP(1,(AU$5=Table8[Type])*($D114&lt;=Table8[End]),Table8[요율],0,0),-1)</f>
        <v>39980</v>
      </c>
      <c r="AV114" s="94" cm="1">
        <f t="array" ref="AV114">ROUNDDOWN(AM114*_xlfn.XLOOKUP(1,(AV$5=Table8[Type])*($D114&lt;=Table8[End]),Table8[요율],0,0),-1)</f>
        <v>0</v>
      </c>
      <c r="AW114" s="94" cm="1">
        <f t="array" ref="AW114">_xlfn.XLOOKUP(1,(O114=Table2[주민등록번호])*(D114&gt;Table2[근무일자]),Table2[청구 Claim 
이월],0,0,-1)</f>
        <v>0</v>
      </c>
      <c r="AX114" s="95"/>
      <c r="AY114" s="94" cm="1">
        <f t="array" ref="AY114">MAX(SUM(AO114:AP114,AS114:AX114)-_xlfn.XLOOKUP(1,(D114&lt;=Table7[End])*(E114=Table7[근무처])*(F114=Table7[업무]),Table7[1일 공제 상한],0,0),0)</f>
        <v>0</v>
      </c>
      <c r="AZ114" s="94">
        <f t="shared" si="21"/>
        <v>75560</v>
      </c>
      <c r="BA114" s="94">
        <f t="shared" si="22"/>
        <v>9880</v>
      </c>
      <c r="BB114" s="97">
        <f t="shared" si="23"/>
        <v>0</v>
      </c>
      <c r="BC114" s="98"/>
      <c r="BD114" s="94">
        <f t="shared" si="24"/>
        <v>31500</v>
      </c>
      <c r="BE114" s="94">
        <f t="shared" si="25"/>
        <v>4080</v>
      </c>
      <c r="BF114" s="94">
        <f t="shared" si="26"/>
        <v>39980</v>
      </c>
      <c r="BG114" s="94">
        <f t="shared" si="27"/>
        <v>0</v>
      </c>
      <c r="BH114" s="94" cm="1">
        <f t="array" ref="BH114">ROUNDDOWN(AM114*_xlfn.XLOOKUP(1,(BH$5=Table8[Type])*($D114&lt;=Table8[End]),Table8[요율],0,0),-1)</f>
        <v>680</v>
      </c>
      <c r="BI114" s="93" t="str" cm="1">
        <f t="array" ref="BI114">_xlfn.XLOOKUP(1,(D114&lt;=Table7[End])*(E114=Table7[근무처])*(F114=Table7[업무]),Table7[지급옵션],0,0)</f>
        <v>차주 화</v>
      </c>
      <c r="BJ114" s="83">
        <f>IF(BK114&lt;&gt;"",BK114,IFERROR(D114+_xlfn.NUMBERVALUE(RIGHT(BI114,1)),D114-WEEKDAY(D114)+CHOOSE(MATCH(RIGHT(BI114),{"일","월","화","수","목","금","토"},0),8,9,10,11,12,13,14)))</f>
        <v>45755</v>
      </c>
      <c r="BK114" s="99"/>
    </row>
    <row r="115" spans="2:63" x14ac:dyDescent="0.35">
      <c r="B115" s="20" t="str" cm="1">
        <f t="array" ref="B115">_xlfn.IFS(BB115&lt;&gt;BC115,"Claim확인",N115&lt;&gt;"OK","확인필요",TRUE,"")</f>
        <v/>
      </c>
      <c r="C115" s="21" t="str">
        <f t="shared" si="14"/>
        <v>010-8X0X-X0X9982X03XX901018</v>
      </c>
      <c r="D115" s="26">
        <v>45746</v>
      </c>
      <c r="E115" s="91" t="s">
        <v>255</v>
      </c>
      <c r="F115" s="25" t="s">
        <v>258</v>
      </c>
      <c r="G115" s="27" t="s">
        <v>283</v>
      </c>
      <c r="H115" s="25" t="s">
        <v>291</v>
      </c>
      <c r="I115" s="25"/>
      <c r="J115" s="25" t="s">
        <v>292</v>
      </c>
      <c r="K115" s="28">
        <v>0.3125</v>
      </c>
      <c r="L115" s="28">
        <v>0.6875</v>
      </c>
      <c r="M115" s="28">
        <v>4.1666666666666664E-2</v>
      </c>
      <c r="N115" s="25" t="s">
        <v>281</v>
      </c>
      <c r="O115" s="29" t="str">
        <f>_xlfn.XLOOKUP(Table2[[#This Row],[Key]],Table1[Key],Table1[주민등록번호],"",0)</f>
        <v>960XX51XX9X15</v>
      </c>
      <c r="P115" s="29">
        <f>_xlfn.XLOOKUP(Table2[[#This Row],[Key]],Table1[Key],Table1[비자],"",0)</f>
        <v>0</v>
      </c>
      <c r="Q115" s="29">
        <f>IF(P115=0,0,_xlfn.XLOOKUP(Table2[[#This Row],[Key]],Table1[Key],Table1[고용보험 여부],0,0))</f>
        <v>0</v>
      </c>
      <c r="R115" s="29" t="str">
        <f t="shared" si="15"/>
        <v>2503</v>
      </c>
      <c r="S115" s="30" t="str">
        <f>YEAR(Table2[[#This Row],[근무일자]])&amp;TEXT(WEEKNUM(Table2[[#This Row],[근무일자]]),"00")</f>
        <v>202514</v>
      </c>
      <c r="T115" s="31">
        <f>_xlfn.XLOOKUP(Table2[[#This Row],[Key]],Table1[Key],Table1[등록일],"",0)</f>
        <v>45698</v>
      </c>
      <c r="U115" s="32">
        <f t="shared" si="16"/>
        <v>0.33333333333333331</v>
      </c>
      <c r="V115" s="92">
        <f t="shared" si="17"/>
        <v>0</v>
      </c>
      <c r="W115" s="100" t="str">
        <f>_xlfn.XLOOKUP(Table2[[#This Row],[근무일자]],Table3[Date],Table3[Holiday],"",0)</f>
        <v/>
      </c>
      <c r="X115" s="93">
        <f>IF(D115&lt;&gt;"",1,0)+IF(COUNTIFS(Table2[주민등록번호],O115,Table2[월],TEXT(EOMONTH(D115,-1),"YYMM"))&gt;0,1+IF(COUNTIFS(Table2[주민등록번호],O115,Table2[월],TEXT(EOMONTH(D115,-2),"YYMM"))&gt;0,1+IF(COUNTIFS(Table2[주민등록번호],O115,Table2[월],TEXT(EOMONTH(D115,-3),"YYMM"))&gt;0,1,0),0),0)</f>
        <v>2</v>
      </c>
      <c r="Y115" s="29">
        <f>COUNTIFS(Table2[주민등록번호],O115,Table2[월],R115,Table2[근무일자],"&lt;="&amp;D115)</f>
        <v>19</v>
      </c>
      <c r="Z115" s="29">
        <f>COUNTIFS(Table2[주민등록번호],O115,Table2[주간],S115,Table2[근무일자],"&lt;="&amp;D115)</f>
        <v>1</v>
      </c>
      <c r="AA115" s="29">
        <f>SUMIFS(Table2[근로
시간],Table2[주민등록번호],O115,Table2[주간],S115,Table2[근무일자],"&lt;="&amp;D115)*24</f>
        <v>8</v>
      </c>
      <c r="AB115" s="29" t="str">
        <f>IF(AND(Y115&gt;=8,COUNTIFS(Table2[주민등록번호],O115,Table2[근무일자],"&gt;="&amp;EOMONTH(D115,-2)+1,Table2[근무일자],"&lt;="&amp;EOMONTH(D115,-1)+1)&gt;0),"V","")</f>
        <v>V</v>
      </c>
      <c r="AC115" s="94" cm="1">
        <f t="array" ref="AC115">IF(AD115&lt;&gt;"",AD115,_xlfn.XLOOKUP(1,(D115&lt;=Table7[End])*(E115=Table7[근무처])*(F115=Table7[업무]),Table7[시급],0,0))</f>
        <v>10680</v>
      </c>
      <c r="AD115" s="95"/>
      <c r="AE115" s="94">
        <f t="shared" si="18"/>
        <v>85440</v>
      </c>
      <c r="AF115" s="96" cm="1">
        <f t="array" ref="AF115">IF(AND(AA115&gt;=15,(AA115-U115*24)&lt;=40),IF(Z115&gt;=_xlfn.XLOOKUP(1,(D115&lt;=Table7[End])*(E115=Table7[근무처])*(F115=Table7[업무]),Table7[주휴적용일],0,0),1,0)+_xlfn.XLOOKUP(1,(Table2[주간]=Table2[[#This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15" s="96" cm="1">
        <f t="array" ref="AG115">MAX((_xlfn.IFS(AF115=0,0,AF115=1,AA115,AF115&gt;1,U115*24)-IF(AA115&gt;40,AA115-40,0))/5,0)</f>
        <v>0</v>
      </c>
      <c r="AH115" s="94">
        <f t="shared" si="19"/>
        <v>0</v>
      </c>
      <c r="AI115" s="33" cm="1">
        <f t="array" ref="AI115">IF(W115="",0,ROUND(AC115*U115*24*_xlfn.XLOOKUP(1,(D115&lt;=Table7[End])*(E115=Table7[근무처])*(F115=Table7[업무]),Table7[휴일인센티브],0,0),0))</f>
        <v>0</v>
      </c>
      <c r="AJ115" s="94" cm="1">
        <f t="array" ref="AJ115">ROUND(AC115*IF(U115&gt;=8/24,U115-8/24,0)*24*_xlfn.XLOOKUP(1,(D115&lt;=Table7[End])*(E115=Table7[근무처])*(F115=Table7[업무]),Table7[야간인센티브],0,0),0)</f>
        <v>0</v>
      </c>
      <c r="AK115" s="94" cm="1">
        <f t="array" ref="AK115">IF(V115=0,0,ROUND(AC115*V115*24*_xlfn.XLOOKUP(1,(D115&lt;=Table7[End])*(E115=Table7[근무처])*(F115=Table7[업무]),Table7[야간인센티브],0,0),0))</f>
        <v>0</v>
      </c>
      <c r="AL115" s="95"/>
      <c r="AM115" s="94">
        <f t="shared" si="20"/>
        <v>85440</v>
      </c>
      <c r="AN115" s="94" cm="1">
        <f t="array" ref="AN115">IF(AM115&gt;=_xlfn.XLOOKUP(TRUE,D115&lt;=Table5[End],Table5[비과세소득기준],0,0),AM115-_xlfn.XLOOKUP(TRUE,D115&lt;=Table5[End],Table5[비과세소득기준],0,0),0)</f>
        <v>0</v>
      </c>
      <c r="AO115" s="94" cm="1">
        <f t="array" ref="AO115">ROUNDDOWN(_xlfn.LET(_xlpm.setvalue,_xlfn.XLOOKUP(TRUE,D115&lt;=Table5[End],Table5[[요율]:[근로소득세액공제]],0,0),_xlpm.tax,AN115*PRODUCT((_xlpm.setvalue-{0,1})*{1,-1}),_xlpm.threshold,_xlfn.XLOOKUP(TRUE,D115&lt;=Table5[End],Table5[소액부징수기준],0,0),IF(_xlpm.tax&gt;=_xlpm.threshold,_xlpm.tax,0)),-1)</f>
        <v>0</v>
      </c>
      <c r="AP115" s="94">
        <f>ROUNDDOWN(Table2[[#This Row],[소득세]]*10%,-1)</f>
        <v>0</v>
      </c>
      <c r="AQ115" s="94">
        <f>IF(AB115="v",AM115+IF(Y115=8,SUMIFS(Table2[지급총액],Table2[주민등록번호],O115,Table2[월],R115,Table2[월간
근무일],"&lt;="&amp;8)-AM115,0),0)+_xlfn.NUMBERVALUE(AR115)</f>
        <v>85440</v>
      </c>
      <c r="AR115" s="95"/>
      <c r="AS115" s="94" cm="1">
        <f t="array" ref="AS115">ROUNDDOWN($AQ115*_xlfn.XLOOKUP(1,(AS$5=Table8[Type])*($D115&lt;=Table8[End]),Table8[요율],0,0),0)</f>
        <v>3028</v>
      </c>
      <c r="AT115" s="94" cm="1">
        <f t="array" ref="AT115">ROUNDDOWN(AS115*_xlfn.XLOOKUP(1,(AT$5=Table8[Type])*($D115&lt;=Table8[End]),Table8[요율],0,0),-1)</f>
        <v>390</v>
      </c>
      <c r="AU115" s="94" cm="1">
        <f t="array" ref="AU115">ROUNDDOWN($AQ115*_xlfn.XLOOKUP(1,(AU$5=Table8[Type])*($D115&lt;=Table8[End]),Table8[요율],0,0),-1)</f>
        <v>3840</v>
      </c>
      <c r="AV115" s="94" cm="1">
        <f t="array" ref="AV115">ROUNDDOWN(AM115*_xlfn.XLOOKUP(1,(AV$5=Table8[Type])*($D115&lt;=Table8[End]),Table8[요율],0,0),-1)</f>
        <v>0</v>
      </c>
      <c r="AW115" s="94" cm="1">
        <f t="array" ref="AW115">_xlfn.XLOOKUP(1,(O115=Table2[주민등록번호])*(D115&gt;Table2[근무일자]),Table2[청구 Claim 
이월],0,0,-1)</f>
        <v>0</v>
      </c>
      <c r="AX115" s="95"/>
      <c r="AY115" s="94" cm="1">
        <f t="array" ref="AY115">MAX(SUM(AO115:AP115,AS115:AX115)-_xlfn.XLOOKUP(1,(D115&lt;=Table7[End])*(E115=Table7[근무처])*(F115=Table7[업무]),Table7[1일 공제 상한],0,0),0)</f>
        <v>0</v>
      </c>
      <c r="AZ115" s="94">
        <f t="shared" si="21"/>
        <v>7258</v>
      </c>
      <c r="BA115" s="94">
        <f t="shared" si="22"/>
        <v>78182</v>
      </c>
      <c r="BB115" s="97">
        <f t="shared" si="23"/>
        <v>0</v>
      </c>
      <c r="BC115" s="98"/>
      <c r="BD115" s="94">
        <f t="shared" si="24"/>
        <v>3028</v>
      </c>
      <c r="BE115" s="94">
        <f t="shared" si="25"/>
        <v>390</v>
      </c>
      <c r="BF115" s="94">
        <f t="shared" si="26"/>
        <v>3840</v>
      </c>
      <c r="BG115" s="94">
        <f t="shared" si="27"/>
        <v>0</v>
      </c>
      <c r="BH115" s="94" cm="1">
        <f t="array" ref="BH115">ROUNDDOWN(AM115*_xlfn.XLOOKUP(1,(BH$5=Table8[Type])*($D115&lt;=Table8[End]),Table8[요율],0,0),-1)</f>
        <v>680</v>
      </c>
      <c r="BI115" s="93" t="str" cm="1">
        <f t="array" ref="BI115">_xlfn.XLOOKUP(1,(D115&lt;=Table7[End])*(E115=Table7[근무처])*(F115=Table7[업무]),Table7[지급옵션],0,0)</f>
        <v>차주 화</v>
      </c>
      <c r="BJ115" s="83">
        <f>IF(BK115&lt;&gt;"",BK115,IFERROR(D115+_xlfn.NUMBERVALUE(RIGHT(BI115,1)),D115-WEEKDAY(D115)+CHOOSE(MATCH(RIGHT(BI115),{"일","월","화","수","목","금","토"},0),8,9,10,11,12,13,14)))</f>
        <v>45755</v>
      </c>
      <c r="BK115" s="99"/>
    </row>
    <row r="116" spans="2:63" x14ac:dyDescent="0.35">
      <c r="B116" s="20" t="str" cm="1">
        <f t="array" ref="B116">_xlfn.IFS(BB116&lt;&gt;BC116,"Claim확인",N116&lt;&gt;"OK","확인필요",TRUE,"")</f>
        <v/>
      </c>
      <c r="C116" s="21" t="str">
        <f t="shared" si="14"/>
        <v>010-8X0X-X0X9982X03XX901018</v>
      </c>
      <c r="D116" s="26">
        <v>45747</v>
      </c>
      <c r="E116" s="91" t="s">
        <v>255</v>
      </c>
      <c r="F116" s="25" t="s">
        <v>258</v>
      </c>
      <c r="G116" s="27" t="s">
        <v>283</v>
      </c>
      <c r="H116" s="25" t="s">
        <v>291</v>
      </c>
      <c r="I116" s="25"/>
      <c r="J116" s="25" t="s">
        <v>292</v>
      </c>
      <c r="K116" s="28">
        <v>0.375</v>
      </c>
      <c r="L116" s="28">
        <v>0.75</v>
      </c>
      <c r="M116" s="28">
        <v>4.1666666666666664E-2</v>
      </c>
      <c r="N116" s="25" t="s">
        <v>281</v>
      </c>
      <c r="O116" s="29" t="str">
        <f>_xlfn.XLOOKUP(Table2[[#This Row],[Key]],Table1[Key],Table1[주민등록번호],"",0)</f>
        <v>960XX51XX9X15</v>
      </c>
      <c r="P116" s="29">
        <f>_xlfn.XLOOKUP(Table2[[#This Row],[Key]],Table1[Key],Table1[비자],"",0)</f>
        <v>0</v>
      </c>
      <c r="Q116" s="29">
        <f>IF(P116=0,0,_xlfn.XLOOKUP(Table2[[#This Row],[Key]],Table1[Key],Table1[고용보험 여부],0,0))</f>
        <v>0</v>
      </c>
      <c r="R116" s="29" t="str">
        <f t="shared" si="15"/>
        <v>2503</v>
      </c>
      <c r="S116" s="30" t="str">
        <f>YEAR(Table2[[#This Row],[근무일자]])&amp;TEXT(WEEKNUM(Table2[[#This Row],[근무일자]]),"00")</f>
        <v>202514</v>
      </c>
      <c r="T116" s="31">
        <f>_xlfn.XLOOKUP(Table2[[#This Row],[Key]],Table1[Key],Table1[등록일],"",0)</f>
        <v>45698</v>
      </c>
      <c r="U116" s="32">
        <f t="shared" si="16"/>
        <v>0.33333333333333331</v>
      </c>
      <c r="V116" s="92">
        <f t="shared" si="17"/>
        <v>0</v>
      </c>
      <c r="W116" s="100" t="str">
        <f>_xlfn.XLOOKUP(Table2[[#This Row],[근무일자]],Table3[Date],Table3[Holiday],"",0)</f>
        <v/>
      </c>
      <c r="X116" s="93">
        <f>IF(D116&lt;&gt;"",1,0)+IF(COUNTIFS(Table2[주민등록번호],O116,Table2[월],TEXT(EOMONTH(D116,-1),"YYMM"))&gt;0,1+IF(COUNTIFS(Table2[주민등록번호],O116,Table2[월],TEXT(EOMONTH(D116,-2),"YYMM"))&gt;0,1+IF(COUNTIFS(Table2[주민등록번호],O116,Table2[월],TEXT(EOMONTH(D116,-3),"YYMM"))&gt;0,1,0),0),0)</f>
        <v>2</v>
      </c>
      <c r="Y116" s="29">
        <f>COUNTIFS(Table2[주민등록번호],O116,Table2[월],R116,Table2[근무일자],"&lt;="&amp;D116)</f>
        <v>20</v>
      </c>
      <c r="Z116" s="29">
        <f>COUNTIFS(Table2[주민등록번호],O116,Table2[주간],S116,Table2[근무일자],"&lt;="&amp;D116)</f>
        <v>2</v>
      </c>
      <c r="AA116" s="29">
        <f>SUMIFS(Table2[근로
시간],Table2[주민등록번호],O116,Table2[주간],S116,Table2[근무일자],"&lt;="&amp;D116)*24</f>
        <v>16</v>
      </c>
      <c r="AB116" s="29" t="str">
        <f>IF(AND(Y116&gt;=8,COUNTIFS(Table2[주민등록번호],O116,Table2[근무일자],"&gt;="&amp;EOMONTH(D116,-2)+1,Table2[근무일자],"&lt;="&amp;EOMONTH(D116,-1)+1)&gt;0),"V","")</f>
        <v>V</v>
      </c>
      <c r="AC116" s="94" cm="1">
        <f t="array" ref="AC116">IF(AD116&lt;&gt;"",AD116,_xlfn.XLOOKUP(1,(D116&lt;=Table7[End])*(E116=Table7[근무처])*(F116=Table7[업무]),Table7[시급],0,0))</f>
        <v>10680</v>
      </c>
      <c r="AD116" s="95"/>
      <c r="AE116" s="94">
        <f t="shared" si="18"/>
        <v>85440</v>
      </c>
      <c r="AF116" s="96" cm="1">
        <f t="array" ref="AF116">IF(AND(AA116&gt;=15,(AA116-U116*24)&lt;=40),IF(Z116&gt;=_xlfn.XLOOKUP(1,(D116&lt;=Table7[End])*(E116=Table7[근무처])*(F116=Table7[업무]),Table7[주휴적용일],0,0),1,0)+_xlfn.XLOOKUP(1,(Table2[주간]=Table2[[#This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16" s="96" cm="1">
        <f t="array" ref="AG116">MAX((_xlfn.IFS(AF116=0,0,AF116=1,AA116,AF116&gt;1,U116*24)-IF(AA116&gt;40,AA116-40,0))/5,0)</f>
        <v>3.2</v>
      </c>
      <c r="AH116" s="94">
        <f t="shared" si="19"/>
        <v>34176</v>
      </c>
      <c r="AI116" s="33" cm="1">
        <f t="array" ref="AI116">IF(W116="",0,ROUND(AC116*U116*24*_xlfn.XLOOKUP(1,(D116&lt;=Table7[End])*(E116=Table7[근무처])*(F116=Table7[업무]),Table7[휴일인센티브],0,0),0))</f>
        <v>0</v>
      </c>
      <c r="AJ116" s="94" cm="1">
        <f t="array" ref="AJ116">ROUND(AC116*IF(U116&gt;=8/24,U116-8/24,0)*24*_xlfn.XLOOKUP(1,(D116&lt;=Table7[End])*(E116=Table7[근무처])*(F116=Table7[업무]),Table7[야간인센티브],0,0),0)</f>
        <v>0</v>
      </c>
      <c r="AK116" s="94" cm="1">
        <f t="array" ref="AK116">IF(V116=0,0,ROUND(AC116*V116*24*_xlfn.XLOOKUP(1,(D116&lt;=Table7[End])*(E116=Table7[근무처])*(F116=Table7[업무]),Table7[야간인센티브],0,0),0))</f>
        <v>0</v>
      </c>
      <c r="AL116" s="95"/>
      <c r="AM116" s="94">
        <f t="shared" si="20"/>
        <v>119616</v>
      </c>
      <c r="AN116" s="94" cm="1">
        <f t="array" ref="AN116">IF(AM116&gt;=_xlfn.XLOOKUP(TRUE,D116&lt;=Table5[End],Table5[비과세소득기준],0,0),AM116-_xlfn.XLOOKUP(TRUE,D116&lt;=Table5[End],Table5[비과세소득기준],0,0),0)</f>
        <v>0</v>
      </c>
      <c r="AO116" s="94" cm="1">
        <f t="array" ref="AO116">ROUNDDOWN(_xlfn.LET(_xlpm.setvalue,_xlfn.XLOOKUP(TRUE,D116&lt;=Table5[End],Table5[[요율]:[근로소득세액공제]],0,0),_xlpm.tax,AN116*PRODUCT((_xlpm.setvalue-{0,1})*{1,-1}),_xlpm.threshold,_xlfn.XLOOKUP(TRUE,D116&lt;=Table5[End],Table5[소액부징수기준],0,0),IF(_xlpm.tax&gt;=_xlpm.threshold,_xlpm.tax,0)),-1)</f>
        <v>0</v>
      </c>
      <c r="AP116" s="94">
        <f>ROUNDDOWN(Table2[[#This Row],[소득세]]*10%,-1)</f>
        <v>0</v>
      </c>
      <c r="AQ116" s="94">
        <f>IF(AB116="v",AM116+IF(Y116=8,SUMIFS(Table2[지급총액],Table2[주민등록번호],O116,Table2[월],R116,Table2[월간
근무일],"&lt;="&amp;8)-AM116,0),0)+_xlfn.NUMBERVALUE(AR116)</f>
        <v>119616</v>
      </c>
      <c r="AR116" s="95"/>
      <c r="AS116" s="94" cm="1">
        <f t="array" ref="AS116">ROUNDDOWN($AQ116*_xlfn.XLOOKUP(1,(AS$5=Table8[Type])*($D116&lt;=Table8[End]),Table8[요율],0,0),0)</f>
        <v>4240</v>
      </c>
      <c r="AT116" s="94" cm="1">
        <f t="array" ref="AT116">ROUNDDOWN(AS116*_xlfn.XLOOKUP(1,(AT$5=Table8[Type])*($D116&lt;=Table8[End]),Table8[요율],0,0),-1)</f>
        <v>540</v>
      </c>
      <c r="AU116" s="94" cm="1">
        <f t="array" ref="AU116">ROUNDDOWN($AQ116*_xlfn.XLOOKUP(1,(AU$5=Table8[Type])*($D116&lt;=Table8[End]),Table8[요율],0,0),-1)</f>
        <v>5380</v>
      </c>
      <c r="AV116" s="94" cm="1">
        <f t="array" ref="AV116">ROUNDDOWN(AM116*_xlfn.XLOOKUP(1,(AV$5=Table8[Type])*($D116&lt;=Table8[End]),Table8[요율],0,0),-1)</f>
        <v>0</v>
      </c>
      <c r="AW116" s="94" cm="1">
        <f t="array" ref="AW116">_xlfn.XLOOKUP(1,(O116=Table2[주민등록번호])*(D116&gt;Table2[근무일자]),Table2[청구 Claim 
이월],0,0,-1)</f>
        <v>0</v>
      </c>
      <c r="AX116" s="95"/>
      <c r="AY116" s="94" cm="1">
        <f t="array" ref="AY116">MAX(SUM(AO116:AP116,AS116:AX116)-_xlfn.XLOOKUP(1,(D116&lt;=Table7[End])*(E116=Table7[근무처])*(F116=Table7[업무]),Table7[1일 공제 상한],0,0),0)</f>
        <v>0</v>
      </c>
      <c r="AZ116" s="94">
        <f t="shared" si="21"/>
        <v>10160</v>
      </c>
      <c r="BA116" s="94">
        <f t="shared" si="22"/>
        <v>109456</v>
      </c>
      <c r="BB116" s="97">
        <f t="shared" si="23"/>
        <v>0</v>
      </c>
      <c r="BC116" s="98"/>
      <c r="BD116" s="94">
        <f t="shared" si="24"/>
        <v>4240</v>
      </c>
      <c r="BE116" s="94">
        <f t="shared" si="25"/>
        <v>540</v>
      </c>
      <c r="BF116" s="94">
        <f t="shared" si="26"/>
        <v>5380</v>
      </c>
      <c r="BG116" s="94">
        <f t="shared" si="27"/>
        <v>0</v>
      </c>
      <c r="BH116" s="94" cm="1">
        <f t="array" ref="BH116">ROUNDDOWN(AM116*_xlfn.XLOOKUP(1,(BH$5=Table8[Type])*($D116&lt;=Table8[End]),Table8[요율],0,0),-1)</f>
        <v>950</v>
      </c>
      <c r="BI116" s="93" t="str" cm="1">
        <f t="array" ref="BI116">_xlfn.XLOOKUP(1,(D116&lt;=Table7[End])*(E116=Table7[근무처])*(F116=Table7[업무]),Table7[지급옵션],0,0)</f>
        <v>차주 화</v>
      </c>
      <c r="BJ116" s="83">
        <f>IF(BK116&lt;&gt;"",BK116,IFERROR(D116+_xlfn.NUMBERVALUE(RIGHT(BI116,1)),D116-WEEKDAY(D116)+CHOOSE(MATCH(RIGHT(BI116),{"일","월","화","수","목","금","토"},0),8,9,10,11,12,13,14)))</f>
        <v>45755</v>
      </c>
      <c r="BK116" s="99"/>
    </row>
    <row r="117" spans="2:63" x14ac:dyDescent="0.35">
      <c r="B117" s="20" t="str" cm="1">
        <f t="array" ref="B117">_xlfn.IFS(BB117&lt;&gt;BC117,"Claim확인",N117&lt;&gt;"OK","확인필요",TRUE,"")</f>
        <v/>
      </c>
      <c r="C117" s="21" t="str">
        <f t="shared" si="14"/>
        <v>010-6X1X-X3X0333X04XX46879</v>
      </c>
      <c r="D117" s="26">
        <v>45747</v>
      </c>
      <c r="E117" s="91" t="s">
        <v>255</v>
      </c>
      <c r="F117" s="25" t="s">
        <v>258</v>
      </c>
      <c r="G117" s="27" t="s">
        <v>284</v>
      </c>
      <c r="H117" s="25" t="s">
        <v>293</v>
      </c>
      <c r="I117" s="25"/>
      <c r="J117" s="25" t="s">
        <v>294</v>
      </c>
      <c r="K117" s="28">
        <v>0.3125</v>
      </c>
      <c r="L117" s="28">
        <v>0.6875</v>
      </c>
      <c r="M117" s="28">
        <v>4.1666666666666664E-2</v>
      </c>
      <c r="N117" s="25" t="s">
        <v>281</v>
      </c>
      <c r="O117" s="29" t="str">
        <f>_xlfn.XLOOKUP(Table2[[#This Row],[Key]],Table1[Key],Table1[주민등록번호],"",0)</f>
        <v>971XX61XX9X25</v>
      </c>
      <c r="P117" s="29">
        <f>_xlfn.XLOOKUP(Table2[[#This Row],[Key]],Table1[Key],Table1[비자],"",0)</f>
        <v>0</v>
      </c>
      <c r="Q117" s="29">
        <f>IF(P117=0,0,_xlfn.XLOOKUP(Table2[[#This Row],[Key]],Table1[Key],Table1[고용보험 여부],0,0))</f>
        <v>0</v>
      </c>
      <c r="R117" s="29" t="str">
        <f t="shared" si="15"/>
        <v>2503</v>
      </c>
      <c r="S117" s="30" t="str">
        <f>YEAR(Table2[[#This Row],[근무일자]])&amp;TEXT(WEEKNUM(Table2[[#This Row],[근무일자]]),"00")</f>
        <v>202514</v>
      </c>
      <c r="T117" s="31">
        <f>_xlfn.XLOOKUP(Table2[[#This Row],[Key]],Table1[Key],Table1[등록일],"",0)</f>
        <v>45721</v>
      </c>
      <c r="U117" s="32">
        <f t="shared" si="16"/>
        <v>0.33333333333333331</v>
      </c>
      <c r="V117" s="92">
        <f t="shared" si="17"/>
        <v>0</v>
      </c>
      <c r="W117" s="100" t="str">
        <f>_xlfn.XLOOKUP(Table2[[#This Row],[근무일자]],Table3[Date],Table3[Holiday],"",0)</f>
        <v/>
      </c>
      <c r="X117" s="93">
        <f>IF(D117&lt;&gt;"",1,0)+IF(COUNTIFS(Table2[주민등록번호],O117,Table2[월],TEXT(EOMONTH(D117,-1),"YYMM"))&gt;0,1+IF(COUNTIFS(Table2[주민등록번호],O117,Table2[월],TEXT(EOMONTH(D117,-2),"YYMM"))&gt;0,1+IF(COUNTIFS(Table2[주민등록번호],O117,Table2[월],TEXT(EOMONTH(D117,-3),"YYMM"))&gt;0,1,0),0),0)</f>
        <v>1</v>
      </c>
      <c r="Y117" s="29">
        <f>COUNTIFS(Table2[주민등록번호],O117,Table2[월],R117,Table2[근무일자],"&lt;="&amp;D117)</f>
        <v>13</v>
      </c>
      <c r="Z117" s="29">
        <f>COUNTIFS(Table2[주민등록번호],O117,Table2[주간],S117,Table2[근무일자],"&lt;="&amp;D117)</f>
        <v>1</v>
      </c>
      <c r="AA117" s="29">
        <f>SUMIFS(Table2[근로
시간],Table2[주민등록번호],O117,Table2[주간],S117,Table2[근무일자],"&lt;="&amp;D117)*24</f>
        <v>8</v>
      </c>
      <c r="AB117" s="29" t="str">
        <f>IF(AND(Y117&gt;=8,COUNTIFS(Table2[주민등록번호],O117,Table2[근무일자],"&gt;="&amp;EOMONTH(D117,-2)+1,Table2[근무일자],"&lt;="&amp;EOMONTH(D117,-1)+1)&gt;0),"V","")</f>
        <v/>
      </c>
      <c r="AC117" s="94" cm="1">
        <f t="array" ref="AC117">IF(AD117&lt;&gt;"",AD117,_xlfn.XLOOKUP(1,(D117&lt;=Table7[End])*(E117=Table7[근무처])*(F117=Table7[업무]),Table7[시급],0,0))</f>
        <v>10680</v>
      </c>
      <c r="AD117" s="95"/>
      <c r="AE117" s="94">
        <f t="shared" si="18"/>
        <v>85440</v>
      </c>
      <c r="AF117" s="96" cm="1">
        <f t="array" ref="AF117">IF(AND(AA117&gt;=15,(AA117-U117*24)&lt;=40),IF(Z117&gt;=_xlfn.XLOOKUP(1,(D117&lt;=Table7[End])*(E117=Table7[근무처])*(F117=Table7[업무]),Table7[주휴적용일],0,0),1,0)+_xlfn.XLOOKUP(1,(Table2[주간]=Table2[[#This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17" s="96" cm="1">
        <f t="array" ref="AG117">MAX((_xlfn.IFS(AF117=0,0,AF117=1,AA117,AF117&gt;1,U117*24)-IF(AA117&gt;40,AA117-40,0))/5,0)</f>
        <v>0</v>
      </c>
      <c r="AH117" s="94">
        <f t="shared" si="19"/>
        <v>0</v>
      </c>
      <c r="AI117" s="33" cm="1">
        <f t="array" ref="AI117">IF(W117="",0,ROUND(AC117*U117*24*_xlfn.XLOOKUP(1,(D117&lt;=Table7[End])*(E117=Table7[근무처])*(F117=Table7[업무]),Table7[휴일인센티브],0,0),0))</f>
        <v>0</v>
      </c>
      <c r="AJ117" s="94" cm="1">
        <f t="array" ref="AJ117">ROUND(AC117*IF(U117&gt;=8/24,U117-8/24,0)*24*_xlfn.XLOOKUP(1,(D117&lt;=Table7[End])*(E117=Table7[근무처])*(F117=Table7[업무]),Table7[야간인센티브],0,0),0)</f>
        <v>0</v>
      </c>
      <c r="AK117" s="94" cm="1">
        <f t="array" ref="AK117">IF(V117=0,0,ROUND(AC117*V117*24*_xlfn.XLOOKUP(1,(D117&lt;=Table7[End])*(E117=Table7[근무처])*(F117=Table7[업무]),Table7[야간인센티브],0,0),0))</f>
        <v>0</v>
      </c>
      <c r="AL117" s="95"/>
      <c r="AM117" s="94">
        <f t="shared" si="20"/>
        <v>85440</v>
      </c>
      <c r="AN117" s="94" cm="1">
        <f t="array" ref="AN117">IF(AM117&gt;=_xlfn.XLOOKUP(TRUE,D117&lt;=Table5[End],Table5[비과세소득기준],0,0),AM117-_xlfn.XLOOKUP(TRUE,D117&lt;=Table5[End],Table5[비과세소득기준],0,0),0)</f>
        <v>0</v>
      </c>
      <c r="AO117" s="94" cm="1">
        <f t="array" ref="AO117">ROUNDDOWN(_xlfn.LET(_xlpm.setvalue,_xlfn.XLOOKUP(TRUE,D117&lt;=Table5[End],Table5[[요율]:[근로소득세액공제]],0,0),_xlpm.tax,AN117*PRODUCT((_xlpm.setvalue-{0,1})*{1,-1}),_xlpm.threshold,_xlfn.XLOOKUP(TRUE,D117&lt;=Table5[End],Table5[소액부징수기준],0,0),IF(_xlpm.tax&gt;=_xlpm.threshold,_xlpm.tax,0)),-1)</f>
        <v>0</v>
      </c>
      <c r="AP117" s="94">
        <f>ROUNDDOWN(Table2[[#This Row],[소득세]]*10%,-1)</f>
        <v>0</v>
      </c>
      <c r="AQ117" s="94">
        <f>IF(AB117="v",AM117+IF(Y117=8,SUMIFS(Table2[지급총액],Table2[주민등록번호],O117,Table2[월],R117,Table2[월간
근무일],"&lt;="&amp;8)-AM117,0),0)+_xlfn.NUMBERVALUE(AR117)</f>
        <v>0</v>
      </c>
      <c r="AR117" s="95"/>
      <c r="AS117" s="94" cm="1">
        <f t="array" ref="AS117">ROUNDDOWN($AQ117*_xlfn.XLOOKUP(1,(AS$5=Table8[Type])*($D117&lt;=Table8[End]),Table8[요율],0,0),0)</f>
        <v>0</v>
      </c>
      <c r="AT117" s="94" cm="1">
        <f t="array" ref="AT117">ROUNDDOWN(AS117*_xlfn.XLOOKUP(1,(AT$5=Table8[Type])*($D117&lt;=Table8[End]),Table8[요율],0,0),-1)</f>
        <v>0</v>
      </c>
      <c r="AU117" s="94" cm="1">
        <f t="array" ref="AU117">ROUNDDOWN($AQ117*_xlfn.XLOOKUP(1,(AU$5=Table8[Type])*($D117&lt;=Table8[End]),Table8[요율],0,0),-1)</f>
        <v>0</v>
      </c>
      <c r="AV117" s="94" cm="1">
        <f t="array" ref="AV117">ROUNDDOWN(AM117*_xlfn.XLOOKUP(1,(AV$5=Table8[Type])*($D117&lt;=Table8[End]),Table8[요율],0,0),-1)</f>
        <v>0</v>
      </c>
      <c r="AW117" s="94" cm="1">
        <f t="array" ref="AW117">_xlfn.XLOOKUP(1,(O117=Table2[주민등록번호])*(D117&gt;Table2[근무일자]),Table2[청구 Claim 
이월],0,0,-1)</f>
        <v>0</v>
      </c>
      <c r="AX117" s="95"/>
      <c r="AY117" s="94" cm="1">
        <f t="array" ref="AY117">MAX(SUM(AO117:AP117,AS117:AX117)-_xlfn.XLOOKUP(1,(D117&lt;=Table7[End])*(E117=Table7[근무처])*(F117=Table7[업무]),Table7[1일 공제 상한],0,0),0)</f>
        <v>0</v>
      </c>
      <c r="AZ117" s="94">
        <f t="shared" si="21"/>
        <v>0</v>
      </c>
      <c r="BA117" s="94">
        <f t="shared" si="22"/>
        <v>85440</v>
      </c>
      <c r="BB117" s="97">
        <f t="shared" si="23"/>
        <v>0</v>
      </c>
      <c r="BC117" s="98"/>
      <c r="BD117" s="94">
        <f t="shared" si="24"/>
        <v>0</v>
      </c>
      <c r="BE117" s="94">
        <f t="shared" si="25"/>
        <v>0</v>
      </c>
      <c r="BF117" s="94">
        <f t="shared" si="26"/>
        <v>0</v>
      </c>
      <c r="BG117" s="94">
        <f t="shared" si="27"/>
        <v>0</v>
      </c>
      <c r="BH117" s="94" cm="1">
        <f t="array" ref="BH117">ROUNDDOWN(AM117*_xlfn.XLOOKUP(1,(BH$5=Table8[Type])*($D117&lt;=Table8[End]),Table8[요율],0,0),-1)</f>
        <v>680</v>
      </c>
      <c r="BI117" s="93" t="str" cm="1">
        <f t="array" ref="BI117">_xlfn.XLOOKUP(1,(D117&lt;=Table7[End])*(E117=Table7[근무처])*(F117=Table7[업무]),Table7[지급옵션],0,0)</f>
        <v>차주 화</v>
      </c>
      <c r="BJ117" s="83">
        <f>IF(BK117&lt;&gt;"",BK117,IFERROR(D117+_xlfn.NUMBERVALUE(RIGHT(BI117,1)),D117-WEEKDAY(D117)+CHOOSE(MATCH(RIGHT(BI117),{"일","월","화","수","목","금","토"},0),8,9,10,11,12,13,14)))</f>
        <v>45755</v>
      </c>
      <c r="BK117" s="99"/>
    </row>
    <row r="118" spans="2:63" x14ac:dyDescent="0.35">
      <c r="B118" s="20" t="str" cm="1">
        <f t="array" ref="B118">_xlfn.IFS(BB118&lt;&gt;BC118,"Claim확인",N118&lt;&gt;"OK","확인필요",TRUE,"")</f>
        <v/>
      </c>
      <c r="C118" s="21" t="str">
        <f t="shared" si="14"/>
        <v>010-8X0X-X0X9982X03XX901018</v>
      </c>
      <c r="D118" s="26">
        <v>45748</v>
      </c>
      <c r="E118" s="91" t="s">
        <v>255</v>
      </c>
      <c r="F118" s="25" t="s">
        <v>258</v>
      </c>
      <c r="G118" s="27" t="s">
        <v>283</v>
      </c>
      <c r="H118" s="25" t="s">
        <v>291</v>
      </c>
      <c r="I118" s="25"/>
      <c r="J118" s="25" t="s">
        <v>292</v>
      </c>
      <c r="K118" s="28">
        <v>0.375</v>
      </c>
      <c r="L118" s="28">
        <v>0.75</v>
      </c>
      <c r="M118" s="28">
        <v>4.1666666666666664E-2</v>
      </c>
      <c r="N118" s="25" t="s">
        <v>281</v>
      </c>
      <c r="O118" s="29" t="str">
        <f>_xlfn.XLOOKUP(Table2[[#This Row],[Key]],Table1[Key],Table1[주민등록번호],"",0)</f>
        <v>960XX51XX9X15</v>
      </c>
      <c r="P118" s="29">
        <f>_xlfn.XLOOKUP(Table2[[#This Row],[Key]],Table1[Key],Table1[비자],"",0)</f>
        <v>0</v>
      </c>
      <c r="Q118" s="29">
        <f>IF(P118=0,0,_xlfn.XLOOKUP(Table2[[#This Row],[Key]],Table1[Key],Table1[고용보험 여부],0,0))</f>
        <v>0</v>
      </c>
      <c r="R118" s="29" t="str">
        <f t="shared" si="15"/>
        <v>2504</v>
      </c>
      <c r="S118" s="30" t="str">
        <f>YEAR(Table2[[#This Row],[근무일자]])&amp;TEXT(WEEKNUM(Table2[[#This Row],[근무일자]]),"00")</f>
        <v>202514</v>
      </c>
      <c r="T118" s="31">
        <f>_xlfn.XLOOKUP(Table2[[#This Row],[Key]],Table1[Key],Table1[등록일],"",0)</f>
        <v>45698</v>
      </c>
      <c r="U118" s="32">
        <f t="shared" si="16"/>
        <v>0.33333333333333331</v>
      </c>
      <c r="V118" s="92">
        <f t="shared" si="17"/>
        <v>0</v>
      </c>
      <c r="W118" s="100" t="str">
        <f>_xlfn.XLOOKUP(Table2[[#This Row],[근무일자]],Table3[Date],Table3[Holiday],"",0)</f>
        <v/>
      </c>
      <c r="X118" s="93">
        <f>IF(D118&lt;&gt;"",1,0)+IF(COUNTIFS(Table2[주민등록번호],O118,Table2[월],TEXT(EOMONTH(D118,-1),"YYMM"))&gt;0,1+IF(COUNTIFS(Table2[주민등록번호],O118,Table2[월],TEXT(EOMONTH(D118,-2),"YYMM"))&gt;0,1+IF(COUNTIFS(Table2[주민등록번호],O118,Table2[월],TEXT(EOMONTH(D118,-3),"YYMM"))&gt;0,1,0),0),0)</f>
        <v>3</v>
      </c>
      <c r="Y118" s="29">
        <f>COUNTIFS(Table2[주민등록번호],O118,Table2[월],R118,Table2[근무일자],"&lt;="&amp;D118)</f>
        <v>1</v>
      </c>
      <c r="Z118" s="29">
        <f>COUNTIFS(Table2[주민등록번호],O118,Table2[주간],S118,Table2[근무일자],"&lt;="&amp;D118)</f>
        <v>3</v>
      </c>
      <c r="AA118" s="29">
        <f>SUMIFS(Table2[근로
시간],Table2[주민등록번호],O118,Table2[주간],S118,Table2[근무일자],"&lt;="&amp;D118)*24</f>
        <v>24</v>
      </c>
      <c r="AB118" s="29" t="str">
        <f>IF(AND(Y118&gt;=8,COUNTIFS(Table2[주민등록번호],O118,Table2[근무일자],"&gt;="&amp;EOMONTH(D118,-2)+1,Table2[근무일자],"&lt;="&amp;EOMONTH(D118,-1)+1)&gt;0),"V","")</f>
        <v/>
      </c>
      <c r="AC118" s="94" cm="1">
        <f t="array" ref="AC118">IF(AD118&lt;&gt;"",AD118,_xlfn.XLOOKUP(1,(D118&lt;=Table7[End])*(E118=Table7[근무처])*(F118=Table7[업무]),Table7[시급],0,0))</f>
        <v>10680</v>
      </c>
      <c r="AD118" s="95"/>
      <c r="AE118" s="94">
        <f t="shared" si="18"/>
        <v>85440</v>
      </c>
      <c r="AF118" s="96" cm="1">
        <f t="array" ref="AF118">IF(AND(AA118&gt;=15,(AA118-U118*24)&lt;=40),IF(Z118&gt;=_xlfn.XLOOKUP(1,(D118&lt;=Table7[End])*(E118=Table7[근무처])*(F118=Table7[업무]),Table7[주휴적용일],0,0),1,0)+_xlfn.XLOOKUP(1,(Table2[주간]=Table2[[#This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18" s="96" cm="1">
        <f t="array" ref="AG118">MAX((_xlfn.IFS(AF118=0,0,AF118=1,AA118,AF118&gt;1,U118*24)-IF(AA118&gt;40,AA118-40,0))/5,0)</f>
        <v>1.6</v>
      </c>
      <c r="AH118" s="94">
        <f t="shared" si="19"/>
        <v>17088</v>
      </c>
      <c r="AI118" s="33" cm="1">
        <f t="array" ref="AI118">IF(W118="",0,ROUND(AC118*U118*24*_xlfn.XLOOKUP(1,(D118&lt;=Table7[End])*(E118=Table7[근무처])*(F118=Table7[업무]),Table7[휴일인센티브],0,0),0))</f>
        <v>0</v>
      </c>
      <c r="AJ118" s="94" cm="1">
        <f t="array" ref="AJ118">ROUND(AC118*IF(U118&gt;=8/24,U118-8/24,0)*24*_xlfn.XLOOKUP(1,(D118&lt;=Table7[End])*(E118=Table7[근무처])*(F118=Table7[업무]),Table7[야간인센티브],0,0),0)</f>
        <v>0</v>
      </c>
      <c r="AK118" s="94" cm="1">
        <f t="array" ref="AK118">IF(V118=0,0,ROUND(AC118*V118*24*_xlfn.XLOOKUP(1,(D118&lt;=Table7[End])*(E118=Table7[근무처])*(F118=Table7[업무]),Table7[야간인센티브],0,0),0))</f>
        <v>0</v>
      </c>
      <c r="AL118" s="95"/>
      <c r="AM118" s="94">
        <f t="shared" si="20"/>
        <v>102528</v>
      </c>
      <c r="AN118" s="94" cm="1">
        <f t="array" ref="AN118">IF(AM118&gt;=_xlfn.XLOOKUP(TRUE,D118&lt;=Table5[End],Table5[비과세소득기준],0,0),AM118-_xlfn.XLOOKUP(TRUE,D118&lt;=Table5[End],Table5[비과세소득기준],0,0),0)</f>
        <v>0</v>
      </c>
      <c r="AO118" s="94" cm="1">
        <f t="array" ref="AO118">ROUNDDOWN(_xlfn.LET(_xlpm.setvalue,_xlfn.XLOOKUP(TRUE,D118&lt;=Table5[End],Table5[[요율]:[근로소득세액공제]],0,0),_xlpm.tax,AN118*PRODUCT((_xlpm.setvalue-{0,1})*{1,-1}),_xlpm.threshold,_xlfn.XLOOKUP(TRUE,D118&lt;=Table5[End],Table5[소액부징수기준],0,0),IF(_xlpm.tax&gt;=_xlpm.threshold,_xlpm.tax,0)),-1)</f>
        <v>0</v>
      </c>
      <c r="AP118" s="94">
        <f>ROUNDDOWN(Table2[[#This Row],[소득세]]*10%,-1)</f>
        <v>0</v>
      </c>
      <c r="AQ118" s="94">
        <f>IF(AB118="v",AM118+IF(Y118=8,SUMIFS(Table2[지급총액],Table2[주민등록번호],O118,Table2[월],R118,Table2[월간
근무일],"&lt;="&amp;8)-AM118,0),0)+_xlfn.NUMBERVALUE(AR118)</f>
        <v>0</v>
      </c>
      <c r="AR118" s="95"/>
      <c r="AS118" s="94" cm="1">
        <f t="array" ref="AS118">ROUNDDOWN($AQ118*_xlfn.XLOOKUP(1,(AS$5=Table8[Type])*($D118&lt;=Table8[End]),Table8[요율],0,0),0)</f>
        <v>0</v>
      </c>
      <c r="AT118" s="94" cm="1">
        <f t="array" ref="AT118">ROUNDDOWN(AS118*_xlfn.XLOOKUP(1,(AT$5=Table8[Type])*($D118&lt;=Table8[End]),Table8[요율],0,0),-1)</f>
        <v>0</v>
      </c>
      <c r="AU118" s="94" cm="1">
        <f t="array" ref="AU118">ROUNDDOWN($AQ118*_xlfn.XLOOKUP(1,(AU$5=Table8[Type])*($D118&lt;=Table8[End]),Table8[요율],0,0),-1)</f>
        <v>0</v>
      </c>
      <c r="AV118" s="94" cm="1">
        <f t="array" ref="AV118">ROUNDDOWN(AM118*_xlfn.XLOOKUP(1,(AV$5=Table8[Type])*($D118&lt;=Table8[End]),Table8[요율],0,0),-1)</f>
        <v>0</v>
      </c>
      <c r="AW118" s="94" cm="1">
        <f t="array" ref="AW118">_xlfn.XLOOKUP(1,(O118=Table2[주민등록번호])*(D118&gt;Table2[근무일자]),Table2[청구 Claim 
이월],0,0,-1)</f>
        <v>0</v>
      </c>
      <c r="AX118" s="95"/>
      <c r="AY118" s="94" cm="1">
        <f t="array" ref="AY118">MAX(SUM(AO118:AP118,AS118:AX118)-_xlfn.XLOOKUP(1,(D118&lt;=Table7[End])*(E118=Table7[근무처])*(F118=Table7[업무]),Table7[1일 공제 상한],0,0),0)</f>
        <v>0</v>
      </c>
      <c r="AZ118" s="94">
        <f t="shared" si="21"/>
        <v>0</v>
      </c>
      <c r="BA118" s="94">
        <f t="shared" si="22"/>
        <v>102528</v>
      </c>
      <c r="BB118" s="97">
        <f t="shared" si="23"/>
        <v>0</v>
      </c>
      <c r="BC118" s="98"/>
      <c r="BD118" s="94">
        <f t="shared" si="24"/>
        <v>0</v>
      </c>
      <c r="BE118" s="94">
        <f t="shared" si="25"/>
        <v>0</v>
      </c>
      <c r="BF118" s="94">
        <f t="shared" si="26"/>
        <v>0</v>
      </c>
      <c r="BG118" s="94">
        <f t="shared" si="27"/>
        <v>0</v>
      </c>
      <c r="BH118" s="94" cm="1">
        <f t="array" ref="BH118">ROUNDDOWN(AM118*_xlfn.XLOOKUP(1,(BH$5=Table8[Type])*($D118&lt;=Table8[End]),Table8[요율],0,0),-1)</f>
        <v>820</v>
      </c>
      <c r="BI118" s="93" t="str" cm="1">
        <f t="array" ref="BI118">_xlfn.XLOOKUP(1,(D118&lt;=Table7[End])*(E118=Table7[근무처])*(F118=Table7[업무]),Table7[지급옵션],0,0)</f>
        <v>차주 화</v>
      </c>
      <c r="BJ118" s="83">
        <f>IF(BK118&lt;&gt;"",BK118,IFERROR(D118+_xlfn.NUMBERVALUE(RIGHT(BI118,1)),D118-WEEKDAY(D118)+CHOOSE(MATCH(RIGHT(BI118),{"일","월","화","수","목","금","토"},0),8,9,10,11,12,13,14)))</f>
        <v>45755</v>
      </c>
      <c r="BK118" s="99"/>
    </row>
    <row r="119" spans="2:63" x14ac:dyDescent="0.35">
      <c r="B119" s="20" t="str" cm="1">
        <f t="array" ref="B119">_xlfn.IFS(BB119&lt;&gt;BC119,"Claim확인",N119&lt;&gt;"OK","확인필요",TRUE,"")</f>
        <v/>
      </c>
      <c r="C119" s="21" t="str">
        <f t="shared" si="14"/>
        <v>010-6X1X-X3X0333X04XX46879</v>
      </c>
      <c r="D119" s="26">
        <v>45748</v>
      </c>
      <c r="E119" s="91" t="s">
        <v>255</v>
      </c>
      <c r="F119" s="25" t="s">
        <v>258</v>
      </c>
      <c r="G119" s="27" t="s">
        <v>284</v>
      </c>
      <c r="H119" s="25" t="s">
        <v>293</v>
      </c>
      <c r="I119" s="25"/>
      <c r="J119" s="25" t="s">
        <v>294</v>
      </c>
      <c r="K119" s="28">
        <v>0.3125</v>
      </c>
      <c r="L119" s="28">
        <v>0.6875</v>
      </c>
      <c r="M119" s="28">
        <v>4.1666666666666664E-2</v>
      </c>
      <c r="N119" s="25" t="s">
        <v>281</v>
      </c>
      <c r="O119" s="29" t="str">
        <f>_xlfn.XLOOKUP(Table2[[#This Row],[Key]],Table1[Key],Table1[주민등록번호],"",0)</f>
        <v>971XX61XX9X25</v>
      </c>
      <c r="P119" s="29">
        <f>_xlfn.XLOOKUP(Table2[[#This Row],[Key]],Table1[Key],Table1[비자],"",0)</f>
        <v>0</v>
      </c>
      <c r="Q119" s="29">
        <f>IF(P119=0,0,_xlfn.XLOOKUP(Table2[[#This Row],[Key]],Table1[Key],Table1[고용보험 여부],0,0))</f>
        <v>0</v>
      </c>
      <c r="R119" s="29" t="str">
        <f t="shared" si="15"/>
        <v>2504</v>
      </c>
      <c r="S119" s="30" t="str">
        <f>YEAR(Table2[[#This Row],[근무일자]])&amp;TEXT(WEEKNUM(Table2[[#This Row],[근무일자]]),"00")</f>
        <v>202514</v>
      </c>
      <c r="T119" s="31">
        <f>_xlfn.XLOOKUP(Table2[[#This Row],[Key]],Table1[Key],Table1[등록일],"",0)</f>
        <v>45721</v>
      </c>
      <c r="U119" s="32">
        <f t="shared" si="16"/>
        <v>0.33333333333333331</v>
      </c>
      <c r="V119" s="92">
        <f t="shared" si="17"/>
        <v>0</v>
      </c>
      <c r="W119" s="100" t="str">
        <f>_xlfn.XLOOKUP(Table2[[#This Row],[근무일자]],Table3[Date],Table3[Holiday],"",0)</f>
        <v/>
      </c>
      <c r="X119" s="93">
        <f>IF(D119&lt;&gt;"",1,0)+IF(COUNTIFS(Table2[주민등록번호],O119,Table2[월],TEXT(EOMONTH(D119,-1),"YYMM"))&gt;0,1+IF(COUNTIFS(Table2[주민등록번호],O119,Table2[월],TEXT(EOMONTH(D119,-2),"YYMM"))&gt;0,1+IF(COUNTIFS(Table2[주민등록번호],O119,Table2[월],TEXT(EOMONTH(D119,-3),"YYMM"))&gt;0,1,0),0),0)</f>
        <v>2</v>
      </c>
      <c r="Y119" s="29">
        <f>COUNTIFS(Table2[주민등록번호],O119,Table2[월],R119,Table2[근무일자],"&lt;="&amp;D119)</f>
        <v>1</v>
      </c>
      <c r="Z119" s="29">
        <f>COUNTIFS(Table2[주민등록번호],O119,Table2[주간],S119,Table2[근무일자],"&lt;="&amp;D119)</f>
        <v>2</v>
      </c>
      <c r="AA119" s="29">
        <f>SUMIFS(Table2[근로
시간],Table2[주민등록번호],O119,Table2[주간],S119,Table2[근무일자],"&lt;="&amp;D119)*24</f>
        <v>16</v>
      </c>
      <c r="AB119" s="29" t="str">
        <f>IF(AND(Y119&gt;=8,COUNTIFS(Table2[주민등록번호],O119,Table2[근무일자],"&gt;="&amp;EOMONTH(D119,-2)+1,Table2[근무일자],"&lt;="&amp;EOMONTH(D119,-1)+1)&gt;0),"V","")</f>
        <v/>
      </c>
      <c r="AC119" s="94" cm="1">
        <f t="array" ref="AC119">IF(AD119&lt;&gt;"",AD119,_xlfn.XLOOKUP(1,(D119&lt;=Table7[End])*(E119=Table7[근무처])*(F119=Table7[업무]),Table7[시급],0,0))</f>
        <v>10680</v>
      </c>
      <c r="AD119" s="95"/>
      <c r="AE119" s="94">
        <f t="shared" si="18"/>
        <v>85440</v>
      </c>
      <c r="AF119" s="96" cm="1">
        <f t="array" ref="AF119">IF(AND(AA119&gt;=15,(AA119-U119*24)&lt;=40),IF(Z119&gt;=_xlfn.XLOOKUP(1,(D119&lt;=Table7[End])*(E119=Table7[근무처])*(F119=Table7[업무]),Table7[주휴적용일],0,0),1,0)+_xlfn.XLOOKUP(1,(Table2[주간]=Table2[[#This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19" s="96" cm="1">
        <f t="array" ref="AG119">MAX((_xlfn.IFS(AF119=0,0,AF119=1,AA119,AF119&gt;1,U119*24)-IF(AA119&gt;40,AA119-40,0))/5,0)</f>
        <v>3.2</v>
      </c>
      <c r="AH119" s="94">
        <f t="shared" si="19"/>
        <v>34176</v>
      </c>
      <c r="AI119" s="33" cm="1">
        <f t="array" ref="AI119">IF(W119="",0,ROUND(AC119*U119*24*_xlfn.XLOOKUP(1,(D119&lt;=Table7[End])*(E119=Table7[근무처])*(F119=Table7[업무]),Table7[휴일인센티브],0,0),0))</f>
        <v>0</v>
      </c>
      <c r="AJ119" s="94" cm="1">
        <f t="array" ref="AJ119">ROUND(AC119*IF(U119&gt;=8/24,U119-8/24,0)*24*_xlfn.XLOOKUP(1,(D119&lt;=Table7[End])*(E119=Table7[근무처])*(F119=Table7[업무]),Table7[야간인센티브],0,0),0)</f>
        <v>0</v>
      </c>
      <c r="AK119" s="94" cm="1">
        <f t="array" ref="AK119">IF(V119=0,0,ROUND(AC119*V119*24*_xlfn.XLOOKUP(1,(D119&lt;=Table7[End])*(E119=Table7[근무처])*(F119=Table7[업무]),Table7[야간인센티브],0,0),0))</f>
        <v>0</v>
      </c>
      <c r="AL119" s="95"/>
      <c r="AM119" s="94">
        <f t="shared" si="20"/>
        <v>119616</v>
      </c>
      <c r="AN119" s="94" cm="1">
        <f t="array" ref="AN119">IF(AM119&gt;=_xlfn.XLOOKUP(TRUE,D119&lt;=Table5[End],Table5[비과세소득기준],0,0),AM119-_xlfn.XLOOKUP(TRUE,D119&lt;=Table5[End],Table5[비과세소득기준],0,0),0)</f>
        <v>0</v>
      </c>
      <c r="AO119" s="94" cm="1">
        <f t="array" ref="AO119">ROUNDDOWN(_xlfn.LET(_xlpm.setvalue,_xlfn.XLOOKUP(TRUE,D119&lt;=Table5[End],Table5[[요율]:[근로소득세액공제]],0,0),_xlpm.tax,AN119*PRODUCT((_xlpm.setvalue-{0,1})*{1,-1}),_xlpm.threshold,_xlfn.XLOOKUP(TRUE,D119&lt;=Table5[End],Table5[소액부징수기준],0,0),IF(_xlpm.tax&gt;=_xlpm.threshold,_xlpm.tax,0)),-1)</f>
        <v>0</v>
      </c>
      <c r="AP119" s="94">
        <f>ROUNDDOWN(Table2[[#This Row],[소득세]]*10%,-1)</f>
        <v>0</v>
      </c>
      <c r="AQ119" s="94">
        <f>IF(AB119="v",AM119+IF(Y119=8,SUMIFS(Table2[지급총액],Table2[주민등록번호],O119,Table2[월],R119,Table2[월간
근무일],"&lt;="&amp;8)-AM119,0),0)+_xlfn.NUMBERVALUE(AR119)</f>
        <v>0</v>
      </c>
      <c r="AR119" s="95"/>
      <c r="AS119" s="94" cm="1">
        <f t="array" ref="AS119">ROUNDDOWN($AQ119*_xlfn.XLOOKUP(1,(AS$5=Table8[Type])*($D119&lt;=Table8[End]),Table8[요율],0,0),0)</f>
        <v>0</v>
      </c>
      <c r="AT119" s="94" cm="1">
        <f t="array" ref="AT119">ROUNDDOWN(AS119*_xlfn.XLOOKUP(1,(AT$5=Table8[Type])*($D119&lt;=Table8[End]),Table8[요율],0,0),-1)</f>
        <v>0</v>
      </c>
      <c r="AU119" s="94" cm="1">
        <f t="array" ref="AU119">ROUNDDOWN($AQ119*_xlfn.XLOOKUP(1,(AU$5=Table8[Type])*($D119&lt;=Table8[End]),Table8[요율],0,0),-1)</f>
        <v>0</v>
      </c>
      <c r="AV119" s="94" cm="1">
        <f t="array" ref="AV119">ROUNDDOWN(AM119*_xlfn.XLOOKUP(1,(AV$5=Table8[Type])*($D119&lt;=Table8[End]),Table8[요율],0,0),-1)</f>
        <v>0</v>
      </c>
      <c r="AW119" s="94" cm="1">
        <f t="array" ref="AW119">_xlfn.XLOOKUP(1,(O119=Table2[주민등록번호])*(D119&gt;Table2[근무일자]),Table2[청구 Claim 
이월],0,0,-1)</f>
        <v>0</v>
      </c>
      <c r="AX119" s="95"/>
      <c r="AY119" s="94" cm="1">
        <f t="array" ref="AY119">MAX(SUM(AO119:AP119,AS119:AX119)-_xlfn.XLOOKUP(1,(D119&lt;=Table7[End])*(E119=Table7[근무처])*(F119=Table7[업무]),Table7[1일 공제 상한],0,0),0)</f>
        <v>0</v>
      </c>
      <c r="AZ119" s="94">
        <f t="shared" si="21"/>
        <v>0</v>
      </c>
      <c r="BA119" s="94">
        <f t="shared" si="22"/>
        <v>119616</v>
      </c>
      <c r="BB119" s="97">
        <f t="shared" si="23"/>
        <v>0</v>
      </c>
      <c r="BC119" s="98"/>
      <c r="BD119" s="94">
        <f t="shared" si="24"/>
        <v>0</v>
      </c>
      <c r="BE119" s="94">
        <f t="shared" si="25"/>
        <v>0</v>
      </c>
      <c r="BF119" s="94">
        <f t="shared" si="26"/>
        <v>0</v>
      </c>
      <c r="BG119" s="94">
        <f t="shared" si="27"/>
        <v>0</v>
      </c>
      <c r="BH119" s="94" cm="1">
        <f t="array" ref="BH119">ROUNDDOWN(AM119*_xlfn.XLOOKUP(1,(BH$5=Table8[Type])*($D119&lt;=Table8[End]),Table8[요율],0,0),-1)</f>
        <v>950</v>
      </c>
      <c r="BI119" s="93" t="str" cm="1">
        <f t="array" ref="BI119">_xlfn.XLOOKUP(1,(D119&lt;=Table7[End])*(E119=Table7[근무처])*(F119=Table7[업무]),Table7[지급옵션],0,0)</f>
        <v>차주 화</v>
      </c>
      <c r="BJ119" s="83">
        <f>IF(BK119&lt;&gt;"",BK119,IFERROR(D119+_xlfn.NUMBERVALUE(RIGHT(BI119,1)),D119-WEEKDAY(D119)+CHOOSE(MATCH(RIGHT(BI119),{"일","월","화","수","목","금","토"},0),8,9,10,11,12,13,14)))</f>
        <v>45755</v>
      </c>
      <c r="BK119" s="99"/>
    </row>
    <row r="120" spans="2:63" x14ac:dyDescent="0.35">
      <c r="B120" s="20" t="str" cm="1">
        <f t="array" ref="B120">_xlfn.IFS(BB120&lt;&gt;BC120,"Claim확인",N120&lt;&gt;"OK","확인필요",TRUE,"")</f>
        <v/>
      </c>
      <c r="C120" s="21" t="str">
        <f t="shared" si="14"/>
        <v>010-6X1X-X3X0333X04XX46879</v>
      </c>
      <c r="D120" s="26">
        <v>45749</v>
      </c>
      <c r="E120" s="91" t="s">
        <v>255</v>
      </c>
      <c r="F120" s="25" t="s">
        <v>258</v>
      </c>
      <c r="G120" s="27" t="s">
        <v>284</v>
      </c>
      <c r="H120" s="25" t="s">
        <v>293</v>
      </c>
      <c r="I120" s="25"/>
      <c r="J120" s="25" t="s">
        <v>294</v>
      </c>
      <c r="K120" s="28">
        <v>0.3125</v>
      </c>
      <c r="L120" s="28">
        <v>0.6875</v>
      </c>
      <c r="M120" s="28">
        <v>4.1666666666666664E-2</v>
      </c>
      <c r="N120" s="25" t="s">
        <v>281</v>
      </c>
      <c r="O120" s="29" t="str">
        <f>_xlfn.XLOOKUP(Table2[[#This Row],[Key]],Table1[Key],Table1[주민등록번호],"",0)</f>
        <v>971XX61XX9X25</v>
      </c>
      <c r="P120" s="29">
        <f>_xlfn.XLOOKUP(Table2[[#This Row],[Key]],Table1[Key],Table1[비자],"",0)</f>
        <v>0</v>
      </c>
      <c r="Q120" s="29">
        <f>IF(P120=0,0,_xlfn.XLOOKUP(Table2[[#This Row],[Key]],Table1[Key],Table1[고용보험 여부],0,0))</f>
        <v>0</v>
      </c>
      <c r="R120" s="29" t="str">
        <f t="shared" si="15"/>
        <v>2504</v>
      </c>
      <c r="S120" s="30" t="str">
        <f>YEAR(Table2[[#This Row],[근무일자]])&amp;TEXT(WEEKNUM(Table2[[#This Row],[근무일자]]),"00")</f>
        <v>202514</v>
      </c>
      <c r="T120" s="31">
        <f>_xlfn.XLOOKUP(Table2[[#This Row],[Key]],Table1[Key],Table1[등록일],"",0)</f>
        <v>45721</v>
      </c>
      <c r="U120" s="32">
        <f t="shared" si="16"/>
        <v>0.33333333333333331</v>
      </c>
      <c r="V120" s="92">
        <f t="shared" si="17"/>
        <v>0</v>
      </c>
      <c r="W120" s="100" t="str">
        <f>_xlfn.XLOOKUP(Table2[[#This Row],[근무일자]],Table3[Date],Table3[Holiday],"",0)</f>
        <v/>
      </c>
      <c r="X120" s="93">
        <f>IF(D120&lt;&gt;"",1,0)+IF(COUNTIFS(Table2[주민등록번호],O120,Table2[월],TEXT(EOMONTH(D120,-1),"YYMM"))&gt;0,1+IF(COUNTIFS(Table2[주민등록번호],O120,Table2[월],TEXT(EOMONTH(D120,-2),"YYMM"))&gt;0,1+IF(COUNTIFS(Table2[주민등록번호],O120,Table2[월],TEXT(EOMONTH(D120,-3),"YYMM"))&gt;0,1,0),0),0)</f>
        <v>2</v>
      </c>
      <c r="Y120" s="29">
        <f>COUNTIFS(Table2[주민등록번호],O120,Table2[월],R120,Table2[근무일자],"&lt;="&amp;D120)</f>
        <v>2</v>
      </c>
      <c r="Z120" s="29">
        <f>COUNTIFS(Table2[주민등록번호],O120,Table2[주간],S120,Table2[근무일자],"&lt;="&amp;D120)</f>
        <v>3</v>
      </c>
      <c r="AA120" s="29">
        <f>SUMIFS(Table2[근로
시간],Table2[주민등록번호],O120,Table2[주간],S120,Table2[근무일자],"&lt;="&amp;D120)*24</f>
        <v>24</v>
      </c>
      <c r="AB120" s="29" t="str">
        <f>IF(AND(Y120&gt;=8,COUNTIFS(Table2[주민등록번호],O120,Table2[근무일자],"&gt;="&amp;EOMONTH(D120,-2)+1,Table2[근무일자],"&lt;="&amp;EOMONTH(D120,-1)+1)&gt;0),"V","")</f>
        <v/>
      </c>
      <c r="AC120" s="94" cm="1">
        <f t="array" ref="AC120">IF(AD120&lt;&gt;"",AD120,_xlfn.XLOOKUP(1,(D120&lt;=Table7[End])*(E120=Table7[근무처])*(F120=Table7[업무]),Table7[시급],0,0))</f>
        <v>10680</v>
      </c>
      <c r="AD120" s="95"/>
      <c r="AE120" s="94">
        <f t="shared" si="18"/>
        <v>85440</v>
      </c>
      <c r="AF120" s="96" cm="1">
        <f t="array" ref="AF120">IF(AND(AA120&gt;=15,(AA120-U120*24)&lt;=40),IF(Z120&gt;=_xlfn.XLOOKUP(1,(D120&lt;=Table7[End])*(E120=Table7[근무처])*(F120=Table7[업무]),Table7[주휴적용일],0,0),1,0)+_xlfn.XLOOKUP(1,(Table2[주간]=Table2[[#This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20" s="96" cm="1">
        <f t="array" ref="AG120">MAX((_xlfn.IFS(AF120=0,0,AF120=1,AA120,AF120&gt;1,U120*24)-IF(AA120&gt;40,AA120-40,0))/5,0)</f>
        <v>1.6</v>
      </c>
      <c r="AH120" s="94">
        <f t="shared" si="19"/>
        <v>17088</v>
      </c>
      <c r="AI120" s="33" cm="1">
        <f t="array" ref="AI120">IF(W120="",0,ROUND(AC120*U120*24*_xlfn.XLOOKUP(1,(D120&lt;=Table7[End])*(E120=Table7[근무처])*(F120=Table7[업무]),Table7[휴일인센티브],0,0),0))</f>
        <v>0</v>
      </c>
      <c r="AJ120" s="94" cm="1">
        <f t="array" ref="AJ120">ROUND(AC120*IF(U120&gt;=8/24,U120-8/24,0)*24*_xlfn.XLOOKUP(1,(D120&lt;=Table7[End])*(E120=Table7[근무처])*(F120=Table7[업무]),Table7[야간인센티브],0,0),0)</f>
        <v>0</v>
      </c>
      <c r="AK120" s="94" cm="1">
        <f t="array" ref="AK120">IF(V120=0,0,ROUND(AC120*V120*24*_xlfn.XLOOKUP(1,(D120&lt;=Table7[End])*(E120=Table7[근무처])*(F120=Table7[업무]),Table7[야간인센티브],0,0),0))</f>
        <v>0</v>
      </c>
      <c r="AL120" s="95"/>
      <c r="AM120" s="94">
        <f t="shared" si="20"/>
        <v>102528</v>
      </c>
      <c r="AN120" s="94" cm="1">
        <f t="array" ref="AN120">IF(AM120&gt;=_xlfn.XLOOKUP(TRUE,D120&lt;=Table5[End],Table5[비과세소득기준],0,0),AM120-_xlfn.XLOOKUP(TRUE,D120&lt;=Table5[End],Table5[비과세소득기준],0,0),0)</f>
        <v>0</v>
      </c>
      <c r="AO120" s="94" cm="1">
        <f t="array" ref="AO120">ROUNDDOWN(_xlfn.LET(_xlpm.setvalue,_xlfn.XLOOKUP(TRUE,D120&lt;=Table5[End],Table5[[요율]:[근로소득세액공제]],0,0),_xlpm.tax,AN120*PRODUCT((_xlpm.setvalue-{0,1})*{1,-1}),_xlpm.threshold,_xlfn.XLOOKUP(TRUE,D120&lt;=Table5[End],Table5[소액부징수기준],0,0),IF(_xlpm.tax&gt;=_xlpm.threshold,_xlpm.tax,0)),-1)</f>
        <v>0</v>
      </c>
      <c r="AP120" s="94">
        <f>ROUNDDOWN(Table2[[#This Row],[소득세]]*10%,-1)</f>
        <v>0</v>
      </c>
      <c r="AQ120" s="94">
        <f>IF(AB120="v",AM120+IF(Y120=8,SUMIFS(Table2[지급총액],Table2[주민등록번호],O120,Table2[월],R120,Table2[월간
근무일],"&lt;="&amp;8)-AM120,0),0)+_xlfn.NUMBERVALUE(AR120)</f>
        <v>0</v>
      </c>
      <c r="AR120" s="95"/>
      <c r="AS120" s="94" cm="1">
        <f t="array" ref="AS120">ROUNDDOWN($AQ120*_xlfn.XLOOKUP(1,(AS$5=Table8[Type])*($D120&lt;=Table8[End]),Table8[요율],0,0),0)</f>
        <v>0</v>
      </c>
      <c r="AT120" s="94" cm="1">
        <f t="array" ref="AT120">ROUNDDOWN(AS120*_xlfn.XLOOKUP(1,(AT$5=Table8[Type])*($D120&lt;=Table8[End]),Table8[요율],0,0),-1)</f>
        <v>0</v>
      </c>
      <c r="AU120" s="94" cm="1">
        <f t="array" ref="AU120">ROUNDDOWN($AQ120*_xlfn.XLOOKUP(1,(AU$5=Table8[Type])*($D120&lt;=Table8[End]),Table8[요율],0,0),-1)</f>
        <v>0</v>
      </c>
      <c r="AV120" s="94" cm="1">
        <f t="array" ref="AV120">ROUNDDOWN(AM120*_xlfn.XLOOKUP(1,(AV$5=Table8[Type])*($D120&lt;=Table8[End]),Table8[요율],0,0),-1)</f>
        <v>0</v>
      </c>
      <c r="AW120" s="94" cm="1">
        <f t="array" ref="AW120">_xlfn.XLOOKUP(1,(O120=Table2[주민등록번호])*(D120&gt;Table2[근무일자]),Table2[청구 Claim 
이월],0,0,-1)</f>
        <v>0</v>
      </c>
      <c r="AX120" s="95"/>
      <c r="AY120" s="94" cm="1">
        <f t="array" ref="AY120">MAX(SUM(AO120:AP120,AS120:AX120)-_xlfn.XLOOKUP(1,(D120&lt;=Table7[End])*(E120=Table7[근무처])*(F120=Table7[업무]),Table7[1일 공제 상한],0,0),0)</f>
        <v>0</v>
      </c>
      <c r="AZ120" s="94">
        <f t="shared" si="21"/>
        <v>0</v>
      </c>
      <c r="BA120" s="94">
        <f t="shared" si="22"/>
        <v>102528</v>
      </c>
      <c r="BB120" s="97">
        <f t="shared" si="23"/>
        <v>0</v>
      </c>
      <c r="BC120" s="98"/>
      <c r="BD120" s="94">
        <f t="shared" si="24"/>
        <v>0</v>
      </c>
      <c r="BE120" s="94">
        <f t="shared" si="25"/>
        <v>0</v>
      </c>
      <c r="BF120" s="94">
        <f t="shared" si="26"/>
        <v>0</v>
      </c>
      <c r="BG120" s="94">
        <f t="shared" si="27"/>
        <v>0</v>
      </c>
      <c r="BH120" s="94" cm="1">
        <f t="array" ref="BH120">ROUNDDOWN(AM120*_xlfn.XLOOKUP(1,(BH$5=Table8[Type])*($D120&lt;=Table8[End]),Table8[요율],0,0),-1)</f>
        <v>820</v>
      </c>
      <c r="BI120" s="93" t="str" cm="1">
        <f t="array" ref="BI120">_xlfn.XLOOKUP(1,(D120&lt;=Table7[End])*(E120=Table7[근무처])*(F120=Table7[업무]),Table7[지급옵션],0,0)</f>
        <v>차주 화</v>
      </c>
      <c r="BJ120" s="83">
        <f>IF(BK120&lt;&gt;"",BK120,IFERROR(D120+_xlfn.NUMBERVALUE(RIGHT(BI120,1)),D120-WEEKDAY(D120)+CHOOSE(MATCH(RIGHT(BI120),{"일","월","화","수","목","금","토"},0),8,9,10,11,12,13,14)))</f>
        <v>45755</v>
      </c>
      <c r="BK120" s="99"/>
    </row>
    <row r="121" spans="2:63" x14ac:dyDescent="0.35">
      <c r="B121" s="20" t="str" cm="1">
        <f t="array" ref="B121">_xlfn.IFS(BB121&lt;&gt;BC121,"Claim확인",N121&lt;&gt;"OK","확인필요",TRUE,"")</f>
        <v/>
      </c>
      <c r="C121" s="21" t="str">
        <f t="shared" si="14"/>
        <v>010-8X0X-X0X9982X03XX901018</v>
      </c>
      <c r="D121" s="26">
        <v>45750</v>
      </c>
      <c r="E121" s="91" t="s">
        <v>255</v>
      </c>
      <c r="F121" s="25" t="s">
        <v>258</v>
      </c>
      <c r="G121" s="27" t="s">
        <v>283</v>
      </c>
      <c r="H121" s="25" t="s">
        <v>291</v>
      </c>
      <c r="I121" s="25"/>
      <c r="J121" s="25" t="s">
        <v>292</v>
      </c>
      <c r="K121" s="28">
        <v>0.375</v>
      </c>
      <c r="L121" s="28">
        <v>0.75</v>
      </c>
      <c r="M121" s="28">
        <v>4.1666666666666664E-2</v>
      </c>
      <c r="N121" s="25" t="s">
        <v>281</v>
      </c>
      <c r="O121" s="29" t="str">
        <f>_xlfn.XLOOKUP(Table2[[#This Row],[Key]],Table1[Key],Table1[주민등록번호],"",0)</f>
        <v>960XX51XX9X15</v>
      </c>
      <c r="P121" s="29">
        <f>_xlfn.XLOOKUP(Table2[[#This Row],[Key]],Table1[Key],Table1[비자],"",0)</f>
        <v>0</v>
      </c>
      <c r="Q121" s="29">
        <f>IF(P121=0,0,_xlfn.XLOOKUP(Table2[[#This Row],[Key]],Table1[Key],Table1[고용보험 여부],0,0))</f>
        <v>0</v>
      </c>
      <c r="R121" s="29" t="str">
        <f t="shared" si="15"/>
        <v>2504</v>
      </c>
      <c r="S121" s="30" t="str">
        <f>YEAR(Table2[[#This Row],[근무일자]])&amp;TEXT(WEEKNUM(Table2[[#This Row],[근무일자]]),"00")</f>
        <v>202514</v>
      </c>
      <c r="T121" s="31">
        <f>_xlfn.XLOOKUP(Table2[[#This Row],[Key]],Table1[Key],Table1[등록일],"",0)</f>
        <v>45698</v>
      </c>
      <c r="U121" s="32">
        <f t="shared" si="16"/>
        <v>0.33333333333333331</v>
      </c>
      <c r="V121" s="92">
        <f t="shared" si="17"/>
        <v>0</v>
      </c>
      <c r="W121" s="100" t="str">
        <f>_xlfn.XLOOKUP(Table2[[#This Row],[근무일자]],Table3[Date],Table3[Holiday],"",0)</f>
        <v/>
      </c>
      <c r="X121" s="93">
        <f>IF(D121&lt;&gt;"",1,0)+IF(COUNTIFS(Table2[주민등록번호],O121,Table2[월],TEXT(EOMONTH(D121,-1),"YYMM"))&gt;0,1+IF(COUNTIFS(Table2[주민등록번호],O121,Table2[월],TEXT(EOMONTH(D121,-2),"YYMM"))&gt;0,1+IF(COUNTIFS(Table2[주민등록번호],O121,Table2[월],TEXT(EOMONTH(D121,-3),"YYMM"))&gt;0,1,0),0),0)</f>
        <v>3</v>
      </c>
      <c r="Y121" s="29">
        <f>COUNTIFS(Table2[주민등록번호],O121,Table2[월],R121,Table2[근무일자],"&lt;="&amp;D121)</f>
        <v>2</v>
      </c>
      <c r="Z121" s="29">
        <f>COUNTIFS(Table2[주민등록번호],O121,Table2[주간],S121,Table2[근무일자],"&lt;="&amp;D121)</f>
        <v>4</v>
      </c>
      <c r="AA121" s="29">
        <f>SUMIFS(Table2[근로
시간],Table2[주민등록번호],O121,Table2[주간],S121,Table2[근무일자],"&lt;="&amp;D121)*24</f>
        <v>32</v>
      </c>
      <c r="AB121" s="29" t="str">
        <f>IF(AND(Y121&gt;=8,COUNTIFS(Table2[주민등록번호],O121,Table2[근무일자],"&gt;="&amp;EOMONTH(D121,-2)+1,Table2[근무일자],"&lt;="&amp;EOMONTH(D121,-1)+1)&gt;0),"V","")</f>
        <v/>
      </c>
      <c r="AC121" s="94" cm="1">
        <f t="array" ref="AC121">IF(AD121&lt;&gt;"",AD121,_xlfn.XLOOKUP(1,(D121&lt;=Table7[End])*(E121=Table7[근무처])*(F121=Table7[업무]),Table7[시급],0,0))</f>
        <v>10680</v>
      </c>
      <c r="AD121" s="95"/>
      <c r="AE121" s="94">
        <f t="shared" si="18"/>
        <v>85440</v>
      </c>
      <c r="AF121" s="96" cm="1">
        <f t="array" ref="AF121">IF(AND(AA121&gt;=15,(AA121-U121*24)&lt;=40),IF(Z121&gt;=_xlfn.XLOOKUP(1,(D121&lt;=Table7[End])*(E121=Table7[근무처])*(F121=Table7[업무]),Table7[주휴적용일],0,0),1,0)+_xlfn.XLOOKUP(1,(Table2[주간]=Table2[[#This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21" s="96" cm="1">
        <f t="array" ref="AG121">MAX((_xlfn.IFS(AF121=0,0,AF121=1,AA121,AF121&gt;1,U121*24)-IF(AA121&gt;40,AA121-40,0))/5,0)</f>
        <v>1.6</v>
      </c>
      <c r="AH121" s="94">
        <f t="shared" si="19"/>
        <v>17088</v>
      </c>
      <c r="AI121" s="33" cm="1">
        <f t="array" ref="AI121">IF(W121="",0,ROUND(AC121*U121*24*_xlfn.XLOOKUP(1,(D121&lt;=Table7[End])*(E121=Table7[근무처])*(F121=Table7[업무]),Table7[휴일인센티브],0,0),0))</f>
        <v>0</v>
      </c>
      <c r="AJ121" s="94" cm="1">
        <f t="array" ref="AJ121">ROUND(AC121*IF(U121&gt;=8/24,U121-8/24,0)*24*_xlfn.XLOOKUP(1,(D121&lt;=Table7[End])*(E121=Table7[근무처])*(F121=Table7[업무]),Table7[야간인센티브],0,0),0)</f>
        <v>0</v>
      </c>
      <c r="AK121" s="94" cm="1">
        <f t="array" ref="AK121">IF(V121=0,0,ROUND(AC121*V121*24*_xlfn.XLOOKUP(1,(D121&lt;=Table7[End])*(E121=Table7[근무처])*(F121=Table7[업무]),Table7[야간인센티브],0,0),0))</f>
        <v>0</v>
      </c>
      <c r="AL121" s="95"/>
      <c r="AM121" s="94">
        <f t="shared" si="20"/>
        <v>102528</v>
      </c>
      <c r="AN121" s="94" cm="1">
        <f t="array" ref="AN121">IF(AM121&gt;=_xlfn.XLOOKUP(TRUE,D121&lt;=Table5[End],Table5[비과세소득기준],0,0),AM121-_xlfn.XLOOKUP(TRUE,D121&lt;=Table5[End],Table5[비과세소득기준],0,0),0)</f>
        <v>0</v>
      </c>
      <c r="AO121" s="94" cm="1">
        <f t="array" ref="AO121">ROUNDDOWN(_xlfn.LET(_xlpm.setvalue,_xlfn.XLOOKUP(TRUE,D121&lt;=Table5[End],Table5[[요율]:[근로소득세액공제]],0,0),_xlpm.tax,AN121*PRODUCT((_xlpm.setvalue-{0,1})*{1,-1}),_xlpm.threshold,_xlfn.XLOOKUP(TRUE,D121&lt;=Table5[End],Table5[소액부징수기준],0,0),IF(_xlpm.tax&gt;=_xlpm.threshold,_xlpm.tax,0)),-1)</f>
        <v>0</v>
      </c>
      <c r="AP121" s="94">
        <f>ROUNDDOWN(Table2[[#This Row],[소득세]]*10%,-1)</f>
        <v>0</v>
      </c>
      <c r="AQ121" s="94">
        <f>IF(AB121="v",AM121+IF(Y121=8,SUMIFS(Table2[지급총액],Table2[주민등록번호],O121,Table2[월],R121,Table2[월간
근무일],"&lt;="&amp;8)-AM121,0),0)+_xlfn.NUMBERVALUE(AR121)</f>
        <v>0</v>
      </c>
      <c r="AR121" s="95"/>
      <c r="AS121" s="94" cm="1">
        <f t="array" ref="AS121">ROUNDDOWN($AQ121*_xlfn.XLOOKUP(1,(AS$5=Table8[Type])*($D121&lt;=Table8[End]),Table8[요율],0,0),0)</f>
        <v>0</v>
      </c>
      <c r="AT121" s="94" cm="1">
        <f t="array" ref="AT121">ROUNDDOWN(AS121*_xlfn.XLOOKUP(1,(AT$5=Table8[Type])*($D121&lt;=Table8[End]),Table8[요율],0,0),-1)</f>
        <v>0</v>
      </c>
      <c r="AU121" s="94" cm="1">
        <f t="array" ref="AU121">ROUNDDOWN($AQ121*_xlfn.XLOOKUP(1,(AU$5=Table8[Type])*($D121&lt;=Table8[End]),Table8[요율],0,0),-1)</f>
        <v>0</v>
      </c>
      <c r="AV121" s="94" cm="1">
        <f t="array" ref="AV121">ROUNDDOWN(AM121*_xlfn.XLOOKUP(1,(AV$5=Table8[Type])*($D121&lt;=Table8[End]),Table8[요율],0,0),-1)</f>
        <v>0</v>
      </c>
      <c r="AW121" s="94" cm="1">
        <f t="array" ref="AW121">_xlfn.XLOOKUP(1,(O121=Table2[주민등록번호])*(D121&gt;Table2[근무일자]),Table2[청구 Claim 
이월],0,0,-1)</f>
        <v>0</v>
      </c>
      <c r="AX121" s="95"/>
      <c r="AY121" s="94" cm="1">
        <f t="array" ref="AY121">MAX(SUM(AO121:AP121,AS121:AX121)-_xlfn.XLOOKUP(1,(D121&lt;=Table7[End])*(E121=Table7[근무처])*(F121=Table7[업무]),Table7[1일 공제 상한],0,0),0)</f>
        <v>0</v>
      </c>
      <c r="AZ121" s="94">
        <f t="shared" si="21"/>
        <v>0</v>
      </c>
      <c r="BA121" s="94">
        <f t="shared" si="22"/>
        <v>102528</v>
      </c>
      <c r="BB121" s="97">
        <f t="shared" si="23"/>
        <v>0</v>
      </c>
      <c r="BC121" s="98"/>
      <c r="BD121" s="94">
        <f t="shared" si="24"/>
        <v>0</v>
      </c>
      <c r="BE121" s="94">
        <f t="shared" si="25"/>
        <v>0</v>
      </c>
      <c r="BF121" s="94">
        <f t="shared" si="26"/>
        <v>0</v>
      </c>
      <c r="BG121" s="94">
        <f t="shared" si="27"/>
        <v>0</v>
      </c>
      <c r="BH121" s="94" cm="1">
        <f t="array" ref="BH121">ROUNDDOWN(AM121*_xlfn.XLOOKUP(1,(BH$5=Table8[Type])*($D121&lt;=Table8[End]),Table8[요율],0,0),-1)</f>
        <v>820</v>
      </c>
      <c r="BI121" s="93" t="str" cm="1">
        <f t="array" ref="BI121">_xlfn.XLOOKUP(1,(D121&lt;=Table7[End])*(E121=Table7[근무처])*(F121=Table7[업무]),Table7[지급옵션],0,0)</f>
        <v>차주 화</v>
      </c>
      <c r="BJ121" s="83">
        <f>IF(BK121&lt;&gt;"",BK121,IFERROR(D121+_xlfn.NUMBERVALUE(RIGHT(BI121,1)),D121-WEEKDAY(D121)+CHOOSE(MATCH(RIGHT(BI121),{"일","월","화","수","목","금","토"},0),8,9,10,11,12,13,14)))</f>
        <v>45755</v>
      </c>
      <c r="BK121" s="99"/>
    </row>
    <row r="122" spans="2:63" x14ac:dyDescent="0.35">
      <c r="B122" s="20" t="str" cm="1">
        <f t="array" ref="B122">_xlfn.IFS(BB122&lt;&gt;BC122,"Claim확인",N122&lt;&gt;"OK","확인필요",TRUE,"")</f>
        <v/>
      </c>
      <c r="C122" s="21" t="str">
        <f t="shared" si="14"/>
        <v>010-6X1X-X3X0333X04XX46879</v>
      </c>
      <c r="D122" s="26">
        <v>45750</v>
      </c>
      <c r="E122" s="91" t="s">
        <v>255</v>
      </c>
      <c r="F122" s="25" t="s">
        <v>258</v>
      </c>
      <c r="G122" s="27" t="s">
        <v>284</v>
      </c>
      <c r="H122" s="25" t="s">
        <v>293</v>
      </c>
      <c r="I122" s="25"/>
      <c r="J122" s="25" t="s">
        <v>294</v>
      </c>
      <c r="K122" s="28">
        <v>0.3125</v>
      </c>
      <c r="L122" s="28">
        <v>0.6875</v>
      </c>
      <c r="M122" s="28">
        <v>4.1666666666666664E-2</v>
      </c>
      <c r="N122" s="25" t="s">
        <v>281</v>
      </c>
      <c r="O122" s="29" t="str">
        <f>_xlfn.XLOOKUP(Table2[[#This Row],[Key]],Table1[Key],Table1[주민등록번호],"",0)</f>
        <v>971XX61XX9X25</v>
      </c>
      <c r="P122" s="29">
        <f>_xlfn.XLOOKUP(Table2[[#This Row],[Key]],Table1[Key],Table1[비자],"",0)</f>
        <v>0</v>
      </c>
      <c r="Q122" s="29">
        <f>IF(P122=0,0,_xlfn.XLOOKUP(Table2[[#This Row],[Key]],Table1[Key],Table1[고용보험 여부],0,0))</f>
        <v>0</v>
      </c>
      <c r="R122" s="29" t="str">
        <f t="shared" si="15"/>
        <v>2504</v>
      </c>
      <c r="S122" s="30" t="str">
        <f>YEAR(Table2[[#This Row],[근무일자]])&amp;TEXT(WEEKNUM(Table2[[#This Row],[근무일자]]),"00")</f>
        <v>202514</v>
      </c>
      <c r="T122" s="31">
        <f>_xlfn.XLOOKUP(Table2[[#This Row],[Key]],Table1[Key],Table1[등록일],"",0)</f>
        <v>45721</v>
      </c>
      <c r="U122" s="32">
        <f t="shared" si="16"/>
        <v>0.33333333333333331</v>
      </c>
      <c r="V122" s="92">
        <f t="shared" si="17"/>
        <v>0</v>
      </c>
      <c r="W122" s="100" t="str">
        <f>_xlfn.XLOOKUP(Table2[[#This Row],[근무일자]],Table3[Date],Table3[Holiday],"",0)</f>
        <v/>
      </c>
      <c r="X122" s="93">
        <f>IF(D122&lt;&gt;"",1,0)+IF(COUNTIFS(Table2[주민등록번호],O122,Table2[월],TEXT(EOMONTH(D122,-1),"YYMM"))&gt;0,1+IF(COUNTIFS(Table2[주민등록번호],O122,Table2[월],TEXT(EOMONTH(D122,-2),"YYMM"))&gt;0,1+IF(COUNTIFS(Table2[주민등록번호],O122,Table2[월],TEXT(EOMONTH(D122,-3),"YYMM"))&gt;0,1,0),0),0)</f>
        <v>2</v>
      </c>
      <c r="Y122" s="29">
        <f>COUNTIFS(Table2[주민등록번호],O122,Table2[월],R122,Table2[근무일자],"&lt;="&amp;D122)</f>
        <v>3</v>
      </c>
      <c r="Z122" s="29">
        <f>COUNTIFS(Table2[주민등록번호],O122,Table2[주간],S122,Table2[근무일자],"&lt;="&amp;D122)</f>
        <v>4</v>
      </c>
      <c r="AA122" s="29">
        <f>SUMIFS(Table2[근로
시간],Table2[주민등록번호],O122,Table2[주간],S122,Table2[근무일자],"&lt;="&amp;D122)*24</f>
        <v>32</v>
      </c>
      <c r="AB122" s="29" t="str">
        <f>IF(AND(Y122&gt;=8,COUNTIFS(Table2[주민등록번호],O122,Table2[근무일자],"&gt;="&amp;EOMONTH(D122,-2)+1,Table2[근무일자],"&lt;="&amp;EOMONTH(D122,-1)+1)&gt;0),"V","")</f>
        <v/>
      </c>
      <c r="AC122" s="94" cm="1">
        <f t="array" ref="AC122">IF(AD122&lt;&gt;"",AD122,_xlfn.XLOOKUP(1,(D122&lt;=Table7[End])*(E122=Table7[근무처])*(F122=Table7[업무]),Table7[시급],0,0))</f>
        <v>10680</v>
      </c>
      <c r="AD122" s="95"/>
      <c r="AE122" s="94">
        <f t="shared" si="18"/>
        <v>85440</v>
      </c>
      <c r="AF122" s="96" cm="1">
        <f t="array" ref="AF122">IF(AND(AA122&gt;=15,(AA122-U122*24)&lt;=40),IF(Z122&gt;=_xlfn.XLOOKUP(1,(D122&lt;=Table7[End])*(E122=Table7[근무처])*(F122=Table7[업무]),Table7[주휴적용일],0,0),1,0)+_xlfn.XLOOKUP(1,(Table2[주간]=Table2[[#This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22" s="96" cm="1">
        <f t="array" ref="AG122">MAX((_xlfn.IFS(AF122=0,0,AF122=1,AA122,AF122&gt;1,U122*24)-IF(AA122&gt;40,AA122-40,0))/5,0)</f>
        <v>1.6</v>
      </c>
      <c r="AH122" s="94">
        <f t="shared" si="19"/>
        <v>17088</v>
      </c>
      <c r="AI122" s="33" cm="1">
        <f t="array" ref="AI122">IF(W122="",0,ROUND(AC122*U122*24*_xlfn.XLOOKUP(1,(D122&lt;=Table7[End])*(E122=Table7[근무처])*(F122=Table7[업무]),Table7[휴일인센티브],0,0),0))</f>
        <v>0</v>
      </c>
      <c r="AJ122" s="94" cm="1">
        <f t="array" ref="AJ122">ROUND(AC122*IF(U122&gt;=8/24,U122-8/24,0)*24*_xlfn.XLOOKUP(1,(D122&lt;=Table7[End])*(E122=Table7[근무처])*(F122=Table7[업무]),Table7[야간인센티브],0,0),0)</f>
        <v>0</v>
      </c>
      <c r="AK122" s="94" cm="1">
        <f t="array" ref="AK122">IF(V122=0,0,ROUND(AC122*V122*24*_xlfn.XLOOKUP(1,(D122&lt;=Table7[End])*(E122=Table7[근무처])*(F122=Table7[업무]),Table7[야간인센티브],0,0),0))</f>
        <v>0</v>
      </c>
      <c r="AL122" s="95"/>
      <c r="AM122" s="94">
        <f t="shared" si="20"/>
        <v>102528</v>
      </c>
      <c r="AN122" s="94" cm="1">
        <f t="array" ref="AN122">IF(AM122&gt;=_xlfn.XLOOKUP(TRUE,D122&lt;=Table5[End],Table5[비과세소득기준],0,0),AM122-_xlfn.XLOOKUP(TRUE,D122&lt;=Table5[End],Table5[비과세소득기준],0,0),0)</f>
        <v>0</v>
      </c>
      <c r="AO122" s="94" cm="1">
        <f t="array" ref="AO122">ROUNDDOWN(_xlfn.LET(_xlpm.setvalue,_xlfn.XLOOKUP(TRUE,D122&lt;=Table5[End],Table5[[요율]:[근로소득세액공제]],0,0),_xlpm.tax,AN122*PRODUCT((_xlpm.setvalue-{0,1})*{1,-1}),_xlpm.threshold,_xlfn.XLOOKUP(TRUE,D122&lt;=Table5[End],Table5[소액부징수기준],0,0),IF(_xlpm.tax&gt;=_xlpm.threshold,_xlpm.tax,0)),-1)</f>
        <v>0</v>
      </c>
      <c r="AP122" s="94">
        <f>ROUNDDOWN(Table2[[#This Row],[소득세]]*10%,-1)</f>
        <v>0</v>
      </c>
      <c r="AQ122" s="94">
        <f>IF(AB122="v",AM122+IF(Y122=8,SUMIFS(Table2[지급총액],Table2[주민등록번호],O122,Table2[월],R122,Table2[월간
근무일],"&lt;="&amp;8)-AM122,0),0)+_xlfn.NUMBERVALUE(AR122)</f>
        <v>0</v>
      </c>
      <c r="AR122" s="95"/>
      <c r="AS122" s="94" cm="1">
        <f t="array" ref="AS122">ROUNDDOWN($AQ122*_xlfn.XLOOKUP(1,(AS$5=Table8[Type])*($D122&lt;=Table8[End]),Table8[요율],0,0),0)</f>
        <v>0</v>
      </c>
      <c r="AT122" s="94" cm="1">
        <f t="array" ref="AT122">ROUNDDOWN(AS122*_xlfn.XLOOKUP(1,(AT$5=Table8[Type])*($D122&lt;=Table8[End]),Table8[요율],0,0),-1)</f>
        <v>0</v>
      </c>
      <c r="AU122" s="94" cm="1">
        <f t="array" ref="AU122">ROUNDDOWN($AQ122*_xlfn.XLOOKUP(1,(AU$5=Table8[Type])*($D122&lt;=Table8[End]),Table8[요율],0,0),-1)</f>
        <v>0</v>
      </c>
      <c r="AV122" s="94" cm="1">
        <f t="array" ref="AV122">ROUNDDOWN(AM122*_xlfn.XLOOKUP(1,(AV$5=Table8[Type])*($D122&lt;=Table8[End]),Table8[요율],0,0),-1)</f>
        <v>0</v>
      </c>
      <c r="AW122" s="94" cm="1">
        <f t="array" ref="AW122">_xlfn.XLOOKUP(1,(O122=Table2[주민등록번호])*(D122&gt;Table2[근무일자]),Table2[청구 Claim 
이월],0,0,-1)</f>
        <v>0</v>
      </c>
      <c r="AX122" s="95"/>
      <c r="AY122" s="94" cm="1">
        <f t="array" ref="AY122">MAX(SUM(AO122:AP122,AS122:AX122)-_xlfn.XLOOKUP(1,(D122&lt;=Table7[End])*(E122=Table7[근무처])*(F122=Table7[업무]),Table7[1일 공제 상한],0,0),0)</f>
        <v>0</v>
      </c>
      <c r="AZ122" s="94">
        <f t="shared" si="21"/>
        <v>0</v>
      </c>
      <c r="BA122" s="94">
        <f t="shared" si="22"/>
        <v>102528</v>
      </c>
      <c r="BB122" s="97">
        <f t="shared" si="23"/>
        <v>0</v>
      </c>
      <c r="BC122" s="98"/>
      <c r="BD122" s="94">
        <f t="shared" si="24"/>
        <v>0</v>
      </c>
      <c r="BE122" s="94">
        <f t="shared" si="25"/>
        <v>0</v>
      </c>
      <c r="BF122" s="94">
        <f t="shared" si="26"/>
        <v>0</v>
      </c>
      <c r="BG122" s="94">
        <f t="shared" si="27"/>
        <v>0</v>
      </c>
      <c r="BH122" s="94" cm="1">
        <f t="array" ref="BH122">ROUNDDOWN(AM122*_xlfn.XLOOKUP(1,(BH$5=Table8[Type])*($D122&lt;=Table8[End]),Table8[요율],0,0),-1)</f>
        <v>820</v>
      </c>
      <c r="BI122" s="93" t="str" cm="1">
        <f t="array" ref="BI122">_xlfn.XLOOKUP(1,(D122&lt;=Table7[End])*(E122=Table7[근무처])*(F122=Table7[업무]),Table7[지급옵션],0,0)</f>
        <v>차주 화</v>
      </c>
      <c r="BJ122" s="83">
        <f>IF(BK122&lt;&gt;"",BK122,IFERROR(D122+_xlfn.NUMBERVALUE(RIGHT(BI122,1)),D122-WEEKDAY(D122)+CHOOSE(MATCH(RIGHT(BI122),{"일","월","화","수","목","금","토"},0),8,9,10,11,12,13,14)))</f>
        <v>45755</v>
      </c>
      <c r="BK122" s="99"/>
    </row>
    <row r="123" spans="2:63" x14ac:dyDescent="0.35">
      <c r="B123" s="20" t="str" cm="1">
        <f t="array" ref="B123">_xlfn.IFS(BB123&lt;&gt;BC123,"Claim확인",N123&lt;&gt;"OK","확인필요",TRUE,"")</f>
        <v/>
      </c>
      <c r="C123" s="21" t="str">
        <f t="shared" si="14"/>
        <v>010-5X8X-X4X0920X02XX253123</v>
      </c>
      <c r="D123" s="26">
        <v>45750</v>
      </c>
      <c r="E123" s="91" t="s">
        <v>255</v>
      </c>
      <c r="F123" s="25" t="s">
        <v>257</v>
      </c>
      <c r="G123" s="27" t="s">
        <v>288</v>
      </c>
      <c r="H123" s="25" t="s">
        <v>303</v>
      </c>
      <c r="I123" s="25"/>
      <c r="J123" s="25" t="s">
        <v>304</v>
      </c>
      <c r="K123" s="28">
        <v>0.45833333333333331</v>
      </c>
      <c r="L123" s="28">
        <v>0.83333333333333337</v>
      </c>
      <c r="M123" s="28">
        <v>4.1666666666666664E-2</v>
      </c>
      <c r="N123" s="25" t="s">
        <v>281</v>
      </c>
      <c r="O123" s="29" t="str">
        <f>_xlfn.XLOOKUP(Table2[[#This Row],[Key]],Table1[Key],Table1[주민등록번호],"",0)</f>
        <v>941XX31XX3X14</v>
      </c>
      <c r="P123" s="29">
        <f>_xlfn.XLOOKUP(Table2[[#This Row],[Key]],Table1[Key],Table1[비자],"",0)</f>
        <v>0</v>
      </c>
      <c r="Q123" s="29">
        <f>IF(P123=0,0,_xlfn.XLOOKUP(Table2[[#This Row],[Key]],Table1[Key],Table1[고용보험 여부],0,0))</f>
        <v>0</v>
      </c>
      <c r="R123" s="29" t="str">
        <f t="shared" si="15"/>
        <v>2504</v>
      </c>
      <c r="S123" s="30" t="str">
        <f>YEAR(Table2[[#This Row],[근무일자]])&amp;TEXT(WEEKNUM(Table2[[#This Row],[근무일자]]),"00")</f>
        <v>202514</v>
      </c>
      <c r="T123" s="31">
        <f>_xlfn.XLOOKUP(Table2[[#This Row],[Key]],Table1[Key],Table1[등록일],"",0)</f>
        <v>45846</v>
      </c>
      <c r="U123" s="32">
        <f t="shared" si="16"/>
        <v>0.33333333333333337</v>
      </c>
      <c r="V123" s="92">
        <f t="shared" si="17"/>
        <v>0</v>
      </c>
      <c r="W123" s="100" t="str">
        <f>_xlfn.XLOOKUP(Table2[[#This Row],[근무일자]],Table3[Date],Table3[Holiday],"",0)</f>
        <v/>
      </c>
      <c r="X123" s="93">
        <f>IF(D123&lt;&gt;"",1,0)+IF(COUNTIFS(Table2[주민등록번호],O123,Table2[월],TEXT(EOMONTH(D123,-1),"YYMM"))&gt;0,1+IF(COUNTIFS(Table2[주민등록번호],O123,Table2[월],TEXT(EOMONTH(D123,-2),"YYMM"))&gt;0,1+IF(COUNTIFS(Table2[주민등록번호],O123,Table2[월],TEXT(EOMONTH(D123,-3),"YYMM"))&gt;0,1,0),0),0)</f>
        <v>3</v>
      </c>
      <c r="Y123" s="29">
        <f>COUNTIFS(Table2[주민등록번호],O123,Table2[월],R123,Table2[근무일자],"&lt;="&amp;D123)</f>
        <v>1</v>
      </c>
      <c r="Z123" s="29">
        <f>COUNTIFS(Table2[주민등록번호],O123,Table2[주간],S123,Table2[근무일자],"&lt;="&amp;D123)</f>
        <v>1</v>
      </c>
      <c r="AA123" s="29">
        <f>SUMIFS(Table2[근로
시간],Table2[주민등록번호],O123,Table2[주간],S123,Table2[근무일자],"&lt;="&amp;D123)*24</f>
        <v>8</v>
      </c>
      <c r="AB123" s="29" t="str">
        <f>IF(AND(Y123&gt;=8,COUNTIFS(Table2[주민등록번호],O123,Table2[근무일자],"&gt;="&amp;EOMONTH(D123,-2)+1,Table2[근무일자],"&lt;="&amp;EOMONTH(D123,-1)+1)&gt;0),"V","")</f>
        <v/>
      </c>
      <c r="AC123" s="94" cm="1">
        <f t="array" ref="AC123">IF(AD123&lt;&gt;"",AD123,_xlfn.XLOOKUP(1,(D123&lt;=Table7[End])*(E123=Table7[근무처])*(F123=Table7[업무]),Table7[시급],0,0))</f>
        <v>10030</v>
      </c>
      <c r="AD123" s="95"/>
      <c r="AE123" s="94">
        <f t="shared" si="18"/>
        <v>80240</v>
      </c>
      <c r="AF123" s="96" cm="1">
        <f t="array" ref="AF123">IF(AND(AA123&gt;=15,(AA123-U123*24)&lt;=40),IF(Z123&gt;=_xlfn.XLOOKUP(1,(D123&lt;=Table7[End])*(E123=Table7[근무처])*(F123=Table7[업무]),Table7[주휴적용일],0,0),1,0)+_xlfn.XLOOKUP(1,(Table2[주간]=Table2[[#This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23" s="96" cm="1">
        <f t="array" ref="AG123">MAX((_xlfn.IFS(AF123=0,0,AF123=1,AA123,AF123&gt;1,U123*24)-IF(AA123&gt;40,AA123-40,0))/5,0)</f>
        <v>0</v>
      </c>
      <c r="AH123" s="94">
        <f t="shared" si="19"/>
        <v>0</v>
      </c>
      <c r="AI123" s="33" cm="1">
        <f t="array" ref="AI123">IF(W123="",0,ROUND(AC123*U123*24*_xlfn.XLOOKUP(1,(D123&lt;=Table7[End])*(E123=Table7[근무처])*(F123=Table7[업무]),Table7[휴일인센티브],0,0),0))</f>
        <v>0</v>
      </c>
      <c r="AJ123" s="94" cm="1">
        <f t="array" ref="AJ123">ROUND(AC123*IF(U123&gt;=8/24,U123-8/24,0)*24*_xlfn.XLOOKUP(1,(D123&lt;=Table7[End])*(E123=Table7[근무처])*(F123=Table7[업무]),Table7[야간인센티브],0,0),0)</f>
        <v>0</v>
      </c>
      <c r="AK123" s="94" cm="1">
        <f t="array" ref="AK123">IF(V123=0,0,ROUND(AC123*V123*24*_xlfn.XLOOKUP(1,(D123&lt;=Table7[End])*(E123=Table7[근무처])*(F123=Table7[업무]),Table7[야간인센티브],0,0),0))</f>
        <v>0</v>
      </c>
      <c r="AL123" s="95"/>
      <c r="AM123" s="94">
        <f t="shared" si="20"/>
        <v>80240</v>
      </c>
      <c r="AN123" s="94" cm="1">
        <f t="array" ref="AN123">IF(AM123&gt;=_xlfn.XLOOKUP(TRUE,D123&lt;=Table5[End],Table5[비과세소득기준],0,0),AM123-_xlfn.XLOOKUP(TRUE,D123&lt;=Table5[End],Table5[비과세소득기준],0,0),0)</f>
        <v>0</v>
      </c>
      <c r="AO123" s="94" cm="1">
        <f t="array" ref="AO123">ROUNDDOWN(_xlfn.LET(_xlpm.setvalue,_xlfn.XLOOKUP(TRUE,D123&lt;=Table5[End],Table5[[요율]:[근로소득세액공제]],0,0),_xlpm.tax,AN123*PRODUCT((_xlpm.setvalue-{0,1})*{1,-1}),_xlpm.threshold,_xlfn.XLOOKUP(TRUE,D123&lt;=Table5[End],Table5[소액부징수기준],0,0),IF(_xlpm.tax&gt;=_xlpm.threshold,_xlpm.tax,0)),-1)</f>
        <v>0</v>
      </c>
      <c r="AP123" s="94">
        <f>ROUNDDOWN(Table2[[#This Row],[소득세]]*10%,-1)</f>
        <v>0</v>
      </c>
      <c r="AQ123" s="94">
        <f>IF(AB123="v",AM123+IF(Y123=8,SUMIFS(Table2[지급총액],Table2[주민등록번호],O123,Table2[월],R123,Table2[월간
근무일],"&lt;="&amp;8)-AM123,0),0)+_xlfn.NUMBERVALUE(AR123)</f>
        <v>0</v>
      </c>
      <c r="AR123" s="95"/>
      <c r="AS123" s="94" cm="1">
        <f t="array" ref="AS123">ROUNDDOWN($AQ123*_xlfn.XLOOKUP(1,(AS$5=Table8[Type])*($D123&lt;=Table8[End]),Table8[요율],0,0),0)</f>
        <v>0</v>
      </c>
      <c r="AT123" s="94" cm="1">
        <f t="array" ref="AT123">ROUNDDOWN(AS123*_xlfn.XLOOKUP(1,(AT$5=Table8[Type])*($D123&lt;=Table8[End]),Table8[요율],0,0),-1)</f>
        <v>0</v>
      </c>
      <c r="AU123" s="94" cm="1">
        <f t="array" ref="AU123">ROUNDDOWN($AQ123*_xlfn.XLOOKUP(1,(AU$5=Table8[Type])*($D123&lt;=Table8[End]),Table8[요율],0,0),-1)</f>
        <v>0</v>
      </c>
      <c r="AV123" s="94" cm="1">
        <f t="array" ref="AV123">ROUNDDOWN(AM123*_xlfn.XLOOKUP(1,(AV$5=Table8[Type])*($D123&lt;=Table8[End]),Table8[요율],0,0),-1)</f>
        <v>0</v>
      </c>
      <c r="AW123" s="94" cm="1">
        <f t="array" ref="AW123">_xlfn.XLOOKUP(1,(O123=Table2[주민등록번호])*(D123&gt;Table2[근무일자]),Table2[청구 Claim 
이월],0,0,-1)</f>
        <v>0</v>
      </c>
      <c r="AX123" s="95"/>
      <c r="AY123" s="94" cm="1">
        <f t="array" ref="AY123">MAX(SUM(AO123:AP123,AS123:AX123)-_xlfn.XLOOKUP(1,(D123&lt;=Table7[End])*(E123=Table7[근무처])*(F123=Table7[업무]),Table7[1일 공제 상한],0,0),0)</f>
        <v>0</v>
      </c>
      <c r="AZ123" s="94">
        <f t="shared" si="21"/>
        <v>0</v>
      </c>
      <c r="BA123" s="94">
        <f t="shared" si="22"/>
        <v>80240</v>
      </c>
      <c r="BB123" s="97">
        <f t="shared" si="23"/>
        <v>0</v>
      </c>
      <c r="BC123" s="98"/>
      <c r="BD123" s="94">
        <f t="shared" si="24"/>
        <v>0</v>
      </c>
      <c r="BE123" s="94">
        <f t="shared" si="25"/>
        <v>0</v>
      </c>
      <c r="BF123" s="94">
        <f t="shared" si="26"/>
        <v>0</v>
      </c>
      <c r="BG123" s="94">
        <f t="shared" si="27"/>
        <v>0</v>
      </c>
      <c r="BH123" s="94" cm="1">
        <f t="array" ref="BH123">ROUNDDOWN(AM123*_xlfn.XLOOKUP(1,(BH$5=Table8[Type])*($D123&lt;=Table8[End]),Table8[요율],0,0),-1)</f>
        <v>640</v>
      </c>
      <c r="BI123" s="93" t="str" cm="1">
        <f t="array" ref="BI123">_xlfn.XLOOKUP(1,(D123&lt;=Table7[End])*(E123=Table7[근무처])*(F123=Table7[업무]),Table7[지급옵션],0,0)</f>
        <v>차주 화</v>
      </c>
      <c r="BJ123" s="83">
        <f>IF(BK123&lt;&gt;"",BK123,IFERROR(D123+_xlfn.NUMBERVALUE(RIGHT(BI123,1)),D123-WEEKDAY(D123)+CHOOSE(MATCH(RIGHT(BI123),{"일","월","화","수","목","금","토"},0),8,9,10,11,12,13,14)))</f>
        <v>45755</v>
      </c>
      <c r="BK123" s="99"/>
    </row>
    <row r="124" spans="2:63" x14ac:dyDescent="0.35">
      <c r="B124" s="20" t="str" cm="1">
        <f t="array" ref="B124">_xlfn.IFS(BB124&lt;&gt;BC124,"Claim확인",N124&lt;&gt;"OK","확인필요",TRUE,"")</f>
        <v/>
      </c>
      <c r="C124" s="21" t="str">
        <f t="shared" si="14"/>
        <v>010-8X0X-X0X9982X03XX901018</v>
      </c>
      <c r="D124" s="26">
        <v>45751</v>
      </c>
      <c r="E124" s="91" t="s">
        <v>255</v>
      </c>
      <c r="F124" s="25" t="s">
        <v>258</v>
      </c>
      <c r="G124" s="27" t="s">
        <v>283</v>
      </c>
      <c r="H124" s="25" t="s">
        <v>291</v>
      </c>
      <c r="I124" s="25"/>
      <c r="J124" s="25" t="s">
        <v>292</v>
      </c>
      <c r="K124" s="28">
        <v>0.375</v>
      </c>
      <c r="L124" s="28">
        <v>0.75</v>
      </c>
      <c r="M124" s="28">
        <v>4.1666666666666664E-2</v>
      </c>
      <c r="N124" s="25" t="s">
        <v>281</v>
      </c>
      <c r="O124" s="29" t="str">
        <f>_xlfn.XLOOKUP(Table2[[#This Row],[Key]],Table1[Key],Table1[주민등록번호],"",0)</f>
        <v>960XX51XX9X15</v>
      </c>
      <c r="P124" s="29">
        <f>_xlfn.XLOOKUP(Table2[[#This Row],[Key]],Table1[Key],Table1[비자],"",0)</f>
        <v>0</v>
      </c>
      <c r="Q124" s="29">
        <f>IF(P124=0,0,_xlfn.XLOOKUP(Table2[[#This Row],[Key]],Table1[Key],Table1[고용보험 여부],0,0))</f>
        <v>0</v>
      </c>
      <c r="R124" s="29" t="str">
        <f t="shared" si="15"/>
        <v>2504</v>
      </c>
      <c r="S124" s="30" t="str">
        <f>YEAR(Table2[[#This Row],[근무일자]])&amp;TEXT(WEEKNUM(Table2[[#This Row],[근무일자]]),"00")</f>
        <v>202514</v>
      </c>
      <c r="T124" s="31">
        <f>_xlfn.XLOOKUP(Table2[[#This Row],[Key]],Table1[Key],Table1[등록일],"",0)</f>
        <v>45698</v>
      </c>
      <c r="U124" s="32">
        <f t="shared" si="16"/>
        <v>0.33333333333333331</v>
      </c>
      <c r="V124" s="92">
        <f t="shared" si="17"/>
        <v>0</v>
      </c>
      <c r="W124" s="100" t="str">
        <f>_xlfn.XLOOKUP(Table2[[#This Row],[근무일자]],Table3[Date],Table3[Holiday],"",0)</f>
        <v/>
      </c>
      <c r="X124" s="93">
        <f>IF(D124&lt;&gt;"",1,0)+IF(COUNTIFS(Table2[주민등록번호],O124,Table2[월],TEXT(EOMONTH(D124,-1),"YYMM"))&gt;0,1+IF(COUNTIFS(Table2[주민등록번호],O124,Table2[월],TEXT(EOMONTH(D124,-2),"YYMM"))&gt;0,1+IF(COUNTIFS(Table2[주민등록번호],O124,Table2[월],TEXT(EOMONTH(D124,-3),"YYMM"))&gt;0,1,0),0),0)</f>
        <v>3</v>
      </c>
      <c r="Y124" s="29">
        <f>COUNTIFS(Table2[주민등록번호],O124,Table2[월],R124,Table2[근무일자],"&lt;="&amp;D124)</f>
        <v>3</v>
      </c>
      <c r="Z124" s="29">
        <f>COUNTIFS(Table2[주민등록번호],O124,Table2[주간],S124,Table2[근무일자],"&lt;="&amp;D124)</f>
        <v>5</v>
      </c>
      <c r="AA124" s="29">
        <f>SUMIFS(Table2[근로
시간],Table2[주민등록번호],O124,Table2[주간],S124,Table2[근무일자],"&lt;="&amp;D124)*24</f>
        <v>40</v>
      </c>
      <c r="AB124" s="29" t="str">
        <f>IF(AND(Y124&gt;=8,COUNTIFS(Table2[주민등록번호],O124,Table2[근무일자],"&gt;="&amp;EOMONTH(D124,-2)+1,Table2[근무일자],"&lt;="&amp;EOMONTH(D124,-1)+1)&gt;0),"V","")</f>
        <v/>
      </c>
      <c r="AC124" s="94" cm="1">
        <f t="array" ref="AC124">IF(AD124&lt;&gt;"",AD124,_xlfn.XLOOKUP(1,(D124&lt;=Table7[End])*(E124=Table7[근무처])*(F124=Table7[업무]),Table7[시급],0,0))</f>
        <v>10680</v>
      </c>
      <c r="AD124" s="95"/>
      <c r="AE124" s="94">
        <f t="shared" si="18"/>
        <v>85440</v>
      </c>
      <c r="AF124" s="96" cm="1">
        <f t="array" ref="AF124">IF(AND(AA124&gt;=15,(AA124-U124*24)&lt;=40),IF(Z124&gt;=_xlfn.XLOOKUP(1,(D124&lt;=Table7[End])*(E124=Table7[근무처])*(F124=Table7[업무]),Table7[주휴적용일],0,0),1,0)+_xlfn.XLOOKUP(1,(Table2[주간]=Table2[[#This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124" s="96" cm="1">
        <f t="array" ref="AG124">MAX((_xlfn.IFS(AF124=0,0,AF124=1,AA124,AF124&gt;1,U124*24)-IF(AA124&gt;40,AA124-40,0))/5,0)</f>
        <v>1.6</v>
      </c>
      <c r="AH124" s="94">
        <f t="shared" si="19"/>
        <v>17088</v>
      </c>
      <c r="AI124" s="33" cm="1">
        <f t="array" ref="AI124">IF(W124="",0,ROUND(AC124*U124*24*_xlfn.XLOOKUP(1,(D124&lt;=Table7[End])*(E124=Table7[근무처])*(F124=Table7[업무]),Table7[휴일인센티브],0,0),0))</f>
        <v>0</v>
      </c>
      <c r="AJ124" s="94" cm="1">
        <f t="array" ref="AJ124">ROUND(AC124*IF(U124&gt;=8/24,U124-8/24,0)*24*_xlfn.XLOOKUP(1,(D124&lt;=Table7[End])*(E124=Table7[근무처])*(F124=Table7[업무]),Table7[야간인센티브],0,0),0)</f>
        <v>0</v>
      </c>
      <c r="AK124" s="94" cm="1">
        <f t="array" ref="AK124">IF(V124=0,0,ROUND(AC124*V124*24*_xlfn.XLOOKUP(1,(D124&lt;=Table7[End])*(E124=Table7[근무처])*(F124=Table7[업무]),Table7[야간인센티브],0,0),0))</f>
        <v>0</v>
      </c>
      <c r="AL124" s="95"/>
      <c r="AM124" s="94">
        <f t="shared" si="20"/>
        <v>102528</v>
      </c>
      <c r="AN124" s="94" cm="1">
        <f t="array" ref="AN124">IF(AM124&gt;=_xlfn.XLOOKUP(TRUE,D124&lt;=Table5[End],Table5[비과세소득기준],0,0),AM124-_xlfn.XLOOKUP(TRUE,D124&lt;=Table5[End],Table5[비과세소득기준],0,0),0)</f>
        <v>0</v>
      </c>
      <c r="AO124" s="94" cm="1">
        <f t="array" ref="AO124">ROUNDDOWN(_xlfn.LET(_xlpm.setvalue,_xlfn.XLOOKUP(TRUE,D124&lt;=Table5[End],Table5[[요율]:[근로소득세액공제]],0,0),_xlpm.tax,AN124*PRODUCT((_xlpm.setvalue-{0,1})*{1,-1}),_xlpm.threshold,_xlfn.XLOOKUP(TRUE,D124&lt;=Table5[End],Table5[소액부징수기준],0,0),IF(_xlpm.tax&gt;=_xlpm.threshold,_xlpm.tax,0)),-1)</f>
        <v>0</v>
      </c>
      <c r="AP124" s="94">
        <f>ROUNDDOWN(Table2[[#This Row],[소득세]]*10%,-1)</f>
        <v>0</v>
      </c>
      <c r="AQ124" s="94">
        <f>IF(AB124="v",AM124+IF(Y124=8,SUMIFS(Table2[지급총액],Table2[주민등록번호],O124,Table2[월],R124,Table2[월간
근무일],"&lt;="&amp;8)-AM124,0),0)+_xlfn.NUMBERVALUE(AR124)</f>
        <v>0</v>
      </c>
      <c r="AR124" s="95"/>
      <c r="AS124" s="94" cm="1">
        <f t="array" ref="AS124">ROUNDDOWN($AQ124*_xlfn.XLOOKUP(1,(AS$5=Table8[Type])*($D124&lt;=Table8[End]),Table8[요율],0,0),0)</f>
        <v>0</v>
      </c>
      <c r="AT124" s="94" cm="1">
        <f t="array" ref="AT124">ROUNDDOWN(AS124*_xlfn.XLOOKUP(1,(AT$5=Table8[Type])*($D124&lt;=Table8[End]),Table8[요율],0,0),-1)</f>
        <v>0</v>
      </c>
      <c r="AU124" s="94" cm="1">
        <f t="array" ref="AU124">ROUNDDOWN($AQ124*_xlfn.XLOOKUP(1,(AU$5=Table8[Type])*($D124&lt;=Table8[End]),Table8[요율],0,0),-1)</f>
        <v>0</v>
      </c>
      <c r="AV124" s="94" cm="1">
        <f t="array" ref="AV124">ROUNDDOWN(AM124*_xlfn.XLOOKUP(1,(AV$5=Table8[Type])*($D124&lt;=Table8[End]),Table8[요율],0,0),-1)</f>
        <v>0</v>
      </c>
      <c r="AW124" s="94" cm="1">
        <f t="array" ref="AW124">_xlfn.XLOOKUP(1,(O124=Table2[주민등록번호])*(D124&gt;Table2[근무일자]),Table2[청구 Claim 
이월],0,0,-1)</f>
        <v>0</v>
      </c>
      <c r="AX124" s="95"/>
      <c r="AY124" s="94" cm="1">
        <f t="array" ref="AY124">MAX(SUM(AO124:AP124,AS124:AX124)-_xlfn.XLOOKUP(1,(D124&lt;=Table7[End])*(E124=Table7[근무처])*(F124=Table7[업무]),Table7[1일 공제 상한],0,0),0)</f>
        <v>0</v>
      </c>
      <c r="AZ124" s="94">
        <f t="shared" si="21"/>
        <v>0</v>
      </c>
      <c r="BA124" s="94">
        <f t="shared" si="22"/>
        <v>102528</v>
      </c>
      <c r="BB124" s="97">
        <f t="shared" si="23"/>
        <v>0</v>
      </c>
      <c r="BC124" s="98"/>
      <c r="BD124" s="94">
        <f t="shared" si="24"/>
        <v>0</v>
      </c>
      <c r="BE124" s="94">
        <f t="shared" si="25"/>
        <v>0</v>
      </c>
      <c r="BF124" s="94">
        <f t="shared" si="26"/>
        <v>0</v>
      </c>
      <c r="BG124" s="94">
        <f t="shared" si="27"/>
        <v>0</v>
      </c>
      <c r="BH124" s="94" cm="1">
        <f t="array" ref="BH124">ROUNDDOWN(AM124*_xlfn.XLOOKUP(1,(BH$5=Table8[Type])*($D124&lt;=Table8[End]),Table8[요율],0,0),-1)</f>
        <v>820</v>
      </c>
      <c r="BI124" s="93" t="str" cm="1">
        <f t="array" ref="BI124">_xlfn.XLOOKUP(1,(D124&lt;=Table7[End])*(E124=Table7[근무처])*(F124=Table7[업무]),Table7[지급옵션],0,0)</f>
        <v>차주 화</v>
      </c>
      <c r="BJ124" s="83">
        <f>IF(BK124&lt;&gt;"",BK124,IFERROR(D124+_xlfn.NUMBERVALUE(RIGHT(BI124,1)),D124-WEEKDAY(D124)+CHOOSE(MATCH(RIGHT(BI124),{"일","월","화","수","목","금","토"},0),8,9,10,11,12,13,14)))</f>
        <v>45755</v>
      </c>
      <c r="BK124" s="99"/>
    </row>
    <row r="125" spans="2:63" x14ac:dyDescent="0.35">
      <c r="B125" s="20" t="str" cm="1">
        <f t="array" ref="B125">_xlfn.IFS(BB125&lt;&gt;BC125,"Claim확인",N125&lt;&gt;"OK","확인필요",TRUE,"")</f>
        <v/>
      </c>
      <c r="C125" s="21" t="str">
        <f t="shared" si="14"/>
        <v>010-6X1X-X3X0333X04XX46879</v>
      </c>
      <c r="D125" s="26">
        <v>45751</v>
      </c>
      <c r="E125" s="91" t="s">
        <v>255</v>
      </c>
      <c r="F125" s="25" t="s">
        <v>258</v>
      </c>
      <c r="G125" s="27" t="s">
        <v>284</v>
      </c>
      <c r="H125" s="25" t="s">
        <v>293</v>
      </c>
      <c r="I125" s="25"/>
      <c r="J125" s="25" t="s">
        <v>294</v>
      </c>
      <c r="K125" s="28">
        <v>0.3125</v>
      </c>
      <c r="L125" s="28">
        <v>0.6875</v>
      </c>
      <c r="M125" s="28">
        <v>4.1666666666666664E-2</v>
      </c>
      <c r="N125" s="25" t="s">
        <v>281</v>
      </c>
      <c r="O125" s="29" t="str">
        <f>_xlfn.XLOOKUP(Table2[[#This Row],[Key]],Table1[Key],Table1[주민등록번호],"",0)</f>
        <v>971XX61XX9X25</v>
      </c>
      <c r="P125" s="29">
        <f>_xlfn.XLOOKUP(Table2[[#This Row],[Key]],Table1[Key],Table1[비자],"",0)</f>
        <v>0</v>
      </c>
      <c r="Q125" s="29">
        <f>IF(P125=0,0,_xlfn.XLOOKUP(Table2[[#This Row],[Key]],Table1[Key],Table1[고용보험 여부],0,0))</f>
        <v>0</v>
      </c>
      <c r="R125" s="29" t="str">
        <f t="shared" si="15"/>
        <v>2504</v>
      </c>
      <c r="S125" s="30" t="str">
        <f>YEAR(Table2[[#This Row],[근무일자]])&amp;TEXT(WEEKNUM(Table2[[#This Row],[근무일자]]),"00")</f>
        <v>202514</v>
      </c>
      <c r="T125" s="31">
        <f>_xlfn.XLOOKUP(Table2[[#This Row],[Key]],Table1[Key],Table1[등록일],"",0)</f>
        <v>45721</v>
      </c>
      <c r="U125" s="32">
        <f t="shared" si="16"/>
        <v>0.33333333333333331</v>
      </c>
      <c r="V125" s="92">
        <f t="shared" si="17"/>
        <v>0</v>
      </c>
      <c r="W125" s="100" t="str">
        <f>_xlfn.XLOOKUP(Table2[[#This Row],[근무일자]],Table3[Date],Table3[Holiday],"",0)</f>
        <v/>
      </c>
      <c r="X125" s="93">
        <f>IF(D125&lt;&gt;"",1,0)+IF(COUNTIFS(Table2[주민등록번호],O125,Table2[월],TEXT(EOMONTH(D125,-1),"YYMM"))&gt;0,1+IF(COUNTIFS(Table2[주민등록번호],O125,Table2[월],TEXT(EOMONTH(D125,-2),"YYMM"))&gt;0,1+IF(COUNTIFS(Table2[주민등록번호],O125,Table2[월],TEXT(EOMONTH(D125,-3),"YYMM"))&gt;0,1,0),0),0)</f>
        <v>2</v>
      </c>
      <c r="Y125" s="29">
        <f>COUNTIFS(Table2[주민등록번호],O125,Table2[월],R125,Table2[근무일자],"&lt;="&amp;D125)</f>
        <v>4</v>
      </c>
      <c r="Z125" s="29">
        <f>COUNTIFS(Table2[주민등록번호],O125,Table2[주간],S125,Table2[근무일자],"&lt;="&amp;D125)</f>
        <v>5</v>
      </c>
      <c r="AA125" s="29">
        <f>SUMIFS(Table2[근로
시간],Table2[주민등록번호],O125,Table2[주간],S125,Table2[근무일자],"&lt;="&amp;D125)*24</f>
        <v>40</v>
      </c>
      <c r="AB125" s="29" t="str">
        <f>IF(AND(Y125&gt;=8,COUNTIFS(Table2[주민등록번호],O125,Table2[근무일자],"&gt;="&amp;EOMONTH(D125,-2)+1,Table2[근무일자],"&lt;="&amp;EOMONTH(D125,-1)+1)&gt;0),"V","")</f>
        <v/>
      </c>
      <c r="AC125" s="94" cm="1">
        <f t="array" ref="AC125">IF(AD125&lt;&gt;"",AD125,_xlfn.XLOOKUP(1,(D125&lt;=Table7[End])*(E125=Table7[근무처])*(F125=Table7[업무]),Table7[시급],0,0))</f>
        <v>10680</v>
      </c>
      <c r="AD125" s="95"/>
      <c r="AE125" s="94">
        <f t="shared" si="18"/>
        <v>85440</v>
      </c>
      <c r="AF125" s="96" cm="1">
        <f t="array" ref="AF125">IF(AND(AA125&gt;=15,(AA125-U125*24)&lt;=40),IF(Z125&gt;=_xlfn.XLOOKUP(1,(D125&lt;=Table7[End])*(E125=Table7[근무처])*(F125=Table7[업무]),Table7[주휴적용일],0,0),1,0)+_xlfn.XLOOKUP(1,(Table2[주간]=Table2[[#This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125" s="96" cm="1">
        <f t="array" ref="AG125">MAX((_xlfn.IFS(AF125=0,0,AF125=1,AA125,AF125&gt;1,U125*24)-IF(AA125&gt;40,AA125-40,0))/5,0)</f>
        <v>1.6</v>
      </c>
      <c r="AH125" s="94">
        <f t="shared" si="19"/>
        <v>17088</v>
      </c>
      <c r="AI125" s="33" cm="1">
        <f t="array" ref="AI125">IF(W125="",0,ROUND(AC125*U125*24*_xlfn.XLOOKUP(1,(D125&lt;=Table7[End])*(E125=Table7[근무처])*(F125=Table7[업무]),Table7[휴일인센티브],0,0),0))</f>
        <v>0</v>
      </c>
      <c r="AJ125" s="94" cm="1">
        <f t="array" ref="AJ125">ROUND(AC125*IF(U125&gt;=8/24,U125-8/24,0)*24*_xlfn.XLOOKUP(1,(D125&lt;=Table7[End])*(E125=Table7[근무처])*(F125=Table7[업무]),Table7[야간인센티브],0,0),0)</f>
        <v>0</v>
      </c>
      <c r="AK125" s="94" cm="1">
        <f t="array" ref="AK125">IF(V125=0,0,ROUND(AC125*V125*24*_xlfn.XLOOKUP(1,(D125&lt;=Table7[End])*(E125=Table7[근무처])*(F125=Table7[업무]),Table7[야간인센티브],0,0),0))</f>
        <v>0</v>
      </c>
      <c r="AL125" s="95"/>
      <c r="AM125" s="94">
        <f t="shared" si="20"/>
        <v>102528</v>
      </c>
      <c r="AN125" s="94" cm="1">
        <f t="array" ref="AN125">IF(AM125&gt;=_xlfn.XLOOKUP(TRUE,D125&lt;=Table5[End],Table5[비과세소득기준],0,0),AM125-_xlfn.XLOOKUP(TRUE,D125&lt;=Table5[End],Table5[비과세소득기준],0,0),0)</f>
        <v>0</v>
      </c>
      <c r="AO125" s="94" cm="1">
        <f t="array" ref="AO125">ROUNDDOWN(_xlfn.LET(_xlpm.setvalue,_xlfn.XLOOKUP(TRUE,D125&lt;=Table5[End],Table5[[요율]:[근로소득세액공제]],0,0),_xlpm.tax,AN125*PRODUCT((_xlpm.setvalue-{0,1})*{1,-1}),_xlpm.threshold,_xlfn.XLOOKUP(TRUE,D125&lt;=Table5[End],Table5[소액부징수기준],0,0),IF(_xlpm.tax&gt;=_xlpm.threshold,_xlpm.tax,0)),-1)</f>
        <v>0</v>
      </c>
      <c r="AP125" s="94">
        <f>ROUNDDOWN(Table2[[#This Row],[소득세]]*10%,-1)</f>
        <v>0</v>
      </c>
      <c r="AQ125" s="94">
        <f>IF(AB125="v",AM125+IF(Y125=8,SUMIFS(Table2[지급총액],Table2[주민등록번호],O125,Table2[월],R125,Table2[월간
근무일],"&lt;="&amp;8)-AM125,0),0)+_xlfn.NUMBERVALUE(AR125)</f>
        <v>0</v>
      </c>
      <c r="AR125" s="95"/>
      <c r="AS125" s="94" cm="1">
        <f t="array" ref="AS125">ROUNDDOWN($AQ125*_xlfn.XLOOKUP(1,(AS$5=Table8[Type])*($D125&lt;=Table8[End]),Table8[요율],0,0),0)</f>
        <v>0</v>
      </c>
      <c r="AT125" s="94" cm="1">
        <f t="array" ref="AT125">ROUNDDOWN(AS125*_xlfn.XLOOKUP(1,(AT$5=Table8[Type])*($D125&lt;=Table8[End]),Table8[요율],0,0),-1)</f>
        <v>0</v>
      </c>
      <c r="AU125" s="94" cm="1">
        <f t="array" ref="AU125">ROUNDDOWN($AQ125*_xlfn.XLOOKUP(1,(AU$5=Table8[Type])*($D125&lt;=Table8[End]),Table8[요율],0,0),-1)</f>
        <v>0</v>
      </c>
      <c r="AV125" s="94" cm="1">
        <f t="array" ref="AV125">ROUNDDOWN(AM125*_xlfn.XLOOKUP(1,(AV$5=Table8[Type])*($D125&lt;=Table8[End]),Table8[요율],0,0),-1)</f>
        <v>0</v>
      </c>
      <c r="AW125" s="94" cm="1">
        <f t="array" ref="AW125">_xlfn.XLOOKUP(1,(O125=Table2[주민등록번호])*(D125&gt;Table2[근무일자]),Table2[청구 Claim 
이월],0,0,-1)</f>
        <v>0</v>
      </c>
      <c r="AX125" s="95"/>
      <c r="AY125" s="94" cm="1">
        <f t="array" ref="AY125">MAX(SUM(AO125:AP125,AS125:AX125)-_xlfn.XLOOKUP(1,(D125&lt;=Table7[End])*(E125=Table7[근무처])*(F125=Table7[업무]),Table7[1일 공제 상한],0,0),0)</f>
        <v>0</v>
      </c>
      <c r="AZ125" s="94">
        <f t="shared" si="21"/>
        <v>0</v>
      </c>
      <c r="BA125" s="94">
        <f t="shared" si="22"/>
        <v>102528</v>
      </c>
      <c r="BB125" s="97">
        <f t="shared" si="23"/>
        <v>0</v>
      </c>
      <c r="BC125" s="98"/>
      <c r="BD125" s="94">
        <f t="shared" si="24"/>
        <v>0</v>
      </c>
      <c r="BE125" s="94">
        <f t="shared" si="25"/>
        <v>0</v>
      </c>
      <c r="BF125" s="94">
        <f t="shared" si="26"/>
        <v>0</v>
      </c>
      <c r="BG125" s="94">
        <f t="shared" si="27"/>
        <v>0</v>
      </c>
      <c r="BH125" s="94" cm="1">
        <f t="array" ref="BH125">ROUNDDOWN(AM125*_xlfn.XLOOKUP(1,(BH$5=Table8[Type])*($D125&lt;=Table8[End]),Table8[요율],0,0),-1)</f>
        <v>820</v>
      </c>
      <c r="BI125" s="93" t="str" cm="1">
        <f t="array" ref="BI125">_xlfn.XLOOKUP(1,(D125&lt;=Table7[End])*(E125=Table7[근무처])*(F125=Table7[업무]),Table7[지급옵션],0,0)</f>
        <v>차주 화</v>
      </c>
      <c r="BJ125" s="83">
        <f>IF(BK125&lt;&gt;"",BK125,IFERROR(D125+_xlfn.NUMBERVALUE(RIGHT(BI125,1)),D125-WEEKDAY(D125)+CHOOSE(MATCH(RIGHT(BI125),{"일","월","화","수","목","금","토"},0),8,9,10,11,12,13,14)))</f>
        <v>45755</v>
      </c>
      <c r="BK125" s="99"/>
    </row>
    <row r="126" spans="2:63" x14ac:dyDescent="0.35">
      <c r="B126" s="20" t="str" cm="1">
        <f t="array" ref="B126">_xlfn.IFS(BB126&lt;&gt;BC126,"Claim확인",N126&lt;&gt;"OK","확인필요",TRUE,"")</f>
        <v/>
      </c>
      <c r="C126" s="21" t="str">
        <f t="shared" si="14"/>
        <v>010-5X8X-X4X0920X02XX253123</v>
      </c>
      <c r="D126" s="26">
        <v>45751</v>
      </c>
      <c r="E126" s="91" t="s">
        <v>255</v>
      </c>
      <c r="F126" s="25" t="s">
        <v>257</v>
      </c>
      <c r="G126" s="27" t="s">
        <v>288</v>
      </c>
      <c r="H126" s="25" t="s">
        <v>303</v>
      </c>
      <c r="I126" s="25"/>
      <c r="J126" s="25" t="s">
        <v>304</v>
      </c>
      <c r="K126" s="28">
        <v>0.45833333333333331</v>
      </c>
      <c r="L126" s="28">
        <v>0.83333333333333337</v>
      </c>
      <c r="M126" s="28">
        <v>4.1666666666666664E-2</v>
      </c>
      <c r="N126" s="25" t="s">
        <v>281</v>
      </c>
      <c r="O126" s="29" t="str">
        <f>_xlfn.XLOOKUP(Table2[[#This Row],[Key]],Table1[Key],Table1[주민등록번호],"",0)</f>
        <v>941XX31XX3X14</v>
      </c>
      <c r="P126" s="29">
        <f>_xlfn.XLOOKUP(Table2[[#This Row],[Key]],Table1[Key],Table1[비자],"",0)</f>
        <v>0</v>
      </c>
      <c r="Q126" s="29">
        <f>IF(P126=0,0,_xlfn.XLOOKUP(Table2[[#This Row],[Key]],Table1[Key],Table1[고용보험 여부],0,0))</f>
        <v>0</v>
      </c>
      <c r="R126" s="29" t="str">
        <f t="shared" si="15"/>
        <v>2504</v>
      </c>
      <c r="S126" s="30" t="str">
        <f>YEAR(Table2[[#This Row],[근무일자]])&amp;TEXT(WEEKNUM(Table2[[#This Row],[근무일자]]),"00")</f>
        <v>202514</v>
      </c>
      <c r="T126" s="31">
        <f>_xlfn.XLOOKUP(Table2[[#This Row],[Key]],Table1[Key],Table1[등록일],"",0)</f>
        <v>45846</v>
      </c>
      <c r="U126" s="32">
        <f t="shared" si="16"/>
        <v>0.33333333333333337</v>
      </c>
      <c r="V126" s="92">
        <f t="shared" si="17"/>
        <v>0</v>
      </c>
      <c r="W126" s="100" t="str">
        <f>_xlfn.XLOOKUP(Table2[[#This Row],[근무일자]],Table3[Date],Table3[Holiday],"",0)</f>
        <v/>
      </c>
      <c r="X126" s="93">
        <f>IF(D126&lt;&gt;"",1,0)+IF(COUNTIFS(Table2[주민등록번호],O126,Table2[월],TEXT(EOMONTH(D126,-1),"YYMM"))&gt;0,1+IF(COUNTIFS(Table2[주민등록번호],O126,Table2[월],TEXT(EOMONTH(D126,-2),"YYMM"))&gt;0,1+IF(COUNTIFS(Table2[주민등록번호],O126,Table2[월],TEXT(EOMONTH(D126,-3),"YYMM"))&gt;0,1,0),0),0)</f>
        <v>3</v>
      </c>
      <c r="Y126" s="29">
        <f>COUNTIFS(Table2[주민등록번호],O126,Table2[월],R126,Table2[근무일자],"&lt;="&amp;D126)</f>
        <v>2</v>
      </c>
      <c r="Z126" s="29">
        <f>COUNTIFS(Table2[주민등록번호],O126,Table2[주간],S126,Table2[근무일자],"&lt;="&amp;D126)</f>
        <v>2</v>
      </c>
      <c r="AA126" s="29">
        <f>SUMIFS(Table2[근로
시간],Table2[주민등록번호],O126,Table2[주간],S126,Table2[근무일자],"&lt;="&amp;D126)*24</f>
        <v>16</v>
      </c>
      <c r="AB126" s="29" t="str">
        <f>IF(AND(Y126&gt;=8,COUNTIFS(Table2[주민등록번호],O126,Table2[근무일자],"&gt;="&amp;EOMONTH(D126,-2)+1,Table2[근무일자],"&lt;="&amp;EOMONTH(D126,-1)+1)&gt;0),"V","")</f>
        <v/>
      </c>
      <c r="AC126" s="94" cm="1">
        <f t="array" ref="AC126">IF(AD126&lt;&gt;"",AD126,_xlfn.XLOOKUP(1,(D126&lt;=Table7[End])*(E126=Table7[근무처])*(F126=Table7[업무]),Table7[시급],0,0))</f>
        <v>10030</v>
      </c>
      <c r="AD126" s="95"/>
      <c r="AE126" s="94">
        <f t="shared" si="18"/>
        <v>80240</v>
      </c>
      <c r="AF126" s="96" cm="1">
        <f t="array" ref="AF126">IF(AND(AA126&gt;=15,(AA126-U126*24)&lt;=40),IF(Z126&gt;=_xlfn.XLOOKUP(1,(D126&lt;=Table7[End])*(E126=Table7[근무처])*(F126=Table7[업무]),Table7[주휴적용일],0,0),1,0)+_xlfn.XLOOKUP(1,(Table2[주간]=Table2[[#This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26" s="96" cm="1">
        <f t="array" ref="AG126">MAX((_xlfn.IFS(AF126=0,0,AF126=1,AA126,AF126&gt;1,U126*24)-IF(AA126&gt;40,AA126-40,0))/5,0)</f>
        <v>3.2</v>
      </c>
      <c r="AH126" s="94">
        <f t="shared" si="19"/>
        <v>32096</v>
      </c>
      <c r="AI126" s="33" cm="1">
        <f t="array" ref="AI126">IF(W126="",0,ROUND(AC126*U126*24*_xlfn.XLOOKUP(1,(D126&lt;=Table7[End])*(E126=Table7[근무처])*(F126=Table7[업무]),Table7[휴일인센티브],0,0),0))</f>
        <v>0</v>
      </c>
      <c r="AJ126" s="94" cm="1">
        <f t="array" ref="AJ126">ROUND(AC126*IF(U126&gt;=8/24,U126-8/24,0)*24*_xlfn.XLOOKUP(1,(D126&lt;=Table7[End])*(E126=Table7[근무처])*(F126=Table7[업무]),Table7[야간인센티브],0,0),0)</f>
        <v>0</v>
      </c>
      <c r="AK126" s="94" cm="1">
        <f t="array" ref="AK126">IF(V126=0,0,ROUND(AC126*V126*24*_xlfn.XLOOKUP(1,(D126&lt;=Table7[End])*(E126=Table7[근무처])*(F126=Table7[업무]),Table7[야간인센티브],0,0),0))</f>
        <v>0</v>
      </c>
      <c r="AL126" s="95"/>
      <c r="AM126" s="94">
        <f t="shared" si="20"/>
        <v>112336</v>
      </c>
      <c r="AN126" s="94" cm="1">
        <f t="array" ref="AN126">IF(AM126&gt;=_xlfn.XLOOKUP(TRUE,D126&lt;=Table5[End],Table5[비과세소득기준],0,0),AM126-_xlfn.XLOOKUP(TRUE,D126&lt;=Table5[End],Table5[비과세소득기준],0,0),0)</f>
        <v>0</v>
      </c>
      <c r="AO126" s="94" cm="1">
        <f t="array" ref="AO126">ROUNDDOWN(_xlfn.LET(_xlpm.setvalue,_xlfn.XLOOKUP(TRUE,D126&lt;=Table5[End],Table5[[요율]:[근로소득세액공제]],0,0),_xlpm.tax,AN126*PRODUCT((_xlpm.setvalue-{0,1})*{1,-1}),_xlpm.threshold,_xlfn.XLOOKUP(TRUE,D126&lt;=Table5[End],Table5[소액부징수기준],0,0),IF(_xlpm.tax&gt;=_xlpm.threshold,_xlpm.tax,0)),-1)</f>
        <v>0</v>
      </c>
      <c r="AP126" s="94">
        <f>ROUNDDOWN(Table2[[#This Row],[소득세]]*10%,-1)</f>
        <v>0</v>
      </c>
      <c r="AQ126" s="94">
        <f>IF(AB126="v",AM126+IF(Y126=8,SUMIFS(Table2[지급총액],Table2[주민등록번호],O126,Table2[월],R126,Table2[월간
근무일],"&lt;="&amp;8)-AM126,0),0)+_xlfn.NUMBERVALUE(AR126)</f>
        <v>0</v>
      </c>
      <c r="AR126" s="95"/>
      <c r="AS126" s="94" cm="1">
        <f t="array" ref="AS126">ROUNDDOWN($AQ126*_xlfn.XLOOKUP(1,(AS$5=Table8[Type])*($D126&lt;=Table8[End]),Table8[요율],0,0),0)</f>
        <v>0</v>
      </c>
      <c r="AT126" s="94" cm="1">
        <f t="array" ref="AT126">ROUNDDOWN(AS126*_xlfn.XLOOKUP(1,(AT$5=Table8[Type])*($D126&lt;=Table8[End]),Table8[요율],0,0),-1)</f>
        <v>0</v>
      </c>
      <c r="AU126" s="94" cm="1">
        <f t="array" ref="AU126">ROUNDDOWN($AQ126*_xlfn.XLOOKUP(1,(AU$5=Table8[Type])*($D126&lt;=Table8[End]),Table8[요율],0,0),-1)</f>
        <v>0</v>
      </c>
      <c r="AV126" s="94" cm="1">
        <f t="array" ref="AV126">ROUNDDOWN(AM126*_xlfn.XLOOKUP(1,(AV$5=Table8[Type])*($D126&lt;=Table8[End]),Table8[요율],0,0),-1)</f>
        <v>0</v>
      </c>
      <c r="AW126" s="94" cm="1">
        <f t="array" ref="AW126">_xlfn.XLOOKUP(1,(O126=Table2[주민등록번호])*(D126&gt;Table2[근무일자]),Table2[청구 Claim 
이월],0,0,-1)</f>
        <v>0</v>
      </c>
      <c r="AX126" s="95"/>
      <c r="AY126" s="94" cm="1">
        <f t="array" ref="AY126">MAX(SUM(AO126:AP126,AS126:AX126)-_xlfn.XLOOKUP(1,(D126&lt;=Table7[End])*(E126=Table7[근무처])*(F126=Table7[업무]),Table7[1일 공제 상한],0,0),0)</f>
        <v>0</v>
      </c>
      <c r="AZ126" s="94">
        <f t="shared" si="21"/>
        <v>0</v>
      </c>
      <c r="BA126" s="94">
        <f t="shared" si="22"/>
        <v>112336</v>
      </c>
      <c r="BB126" s="97">
        <f t="shared" si="23"/>
        <v>0</v>
      </c>
      <c r="BC126" s="98"/>
      <c r="BD126" s="94">
        <f t="shared" si="24"/>
        <v>0</v>
      </c>
      <c r="BE126" s="94">
        <f t="shared" si="25"/>
        <v>0</v>
      </c>
      <c r="BF126" s="94">
        <f t="shared" si="26"/>
        <v>0</v>
      </c>
      <c r="BG126" s="94">
        <f t="shared" si="27"/>
        <v>0</v>
      </c>
      <c r="BH126" s="94" cm="1">
        <f t="array" ref="BH126">ROUNDDOWN(AM126*_xlfn.XLOOKUP(1,(BH$5=Table8[Type])*($D126&lt;=Table8[End]),Table8[요율],0,0),-1)</f>
        <v>890</v>
      </c>
      <c r="BI126" s="93" t="str" cm="1">
        <f t="array" ref="BI126">_xlfn.XLOOKUP(1,(D126&lt;=Table7[End])*(E126=Table7[근무처])*(F126=Table7[업무]),Table7[지급옵션],0,0)</f>
        <v>차주 화</v>
      </c>
      <c r="BJ126" s="83">
        <f>IF(BK126&lt;&gt;"",BK126,IFERROR(D126+_xlfn.NUMBERVALUE(RIGHT(BI126,1)),D126-WEEKDAY(D126)+CHOOSE(MATCH(RIGHT(BI126),{"일","월","화","수","목","금","토"},0),8,9,10,11,12,13,14)))</f>
        <v>45755</v>
      </c>
      <c r="BK126" s="99"/>
    </row>
    <row r="127" spans="2:63" x14ac:dyDescent="0.35">
      <c r="B127" s="20" t="str" cm="1">
        <f t="array" ref="B127">_xlfn.IFS(BB127&lt;&gt;BC127,"Claim확인",N127&lt;&gt;"OK","확인필요",TRUE,"")</f>
        <v/>
      </c>
      <c r="C127" s="21" t="str">
        <f t="shared" si="14"/>
        <v>010-2X2X-X2X2945X02XX268466</v>
      </c>
      <c r="D127" s="26">
        <v>45752</v>
      </c>
      <c r="E127" s="91" t="s">
        <v>255</v>
      </c>
      <c r="F127" s="25" t="s">
        <v>258</v>
      </c>
      <c r="G127" s="27" t="s">
        <v>285</v>
      </c>
      <c r="H127" s="25" t="s">
        <v>297</v>
      </c>
      <c r="I127" s="25"/>
      <c r="J127" s="25" t="s">
        <v>298</v>
      </c>
      <c r="K127" s="28">
        <v>0.375</v>
      </c>
      <c r="L127" s="28">
        <v>0.75</v>
      </c>
      <c r="M127" s="28">
        <v>4.1666666666666664E-2</v>
      </c>
      <c r="N127" s="25" t="s">
        <v>281</v>
      </c>
      <c r="O127" s="29" t="str">
        <f>_xlfn.XLOOKUP(Table2[[#This Row],[Key]],Table1[Key],Table1[주민등록번호],"",0)</f>
        <v>980XX81XX7X17</v>
      </c>
      <c r="P127" s="86">
        <f>_xlfn.XLOOKUP(Table2[[#This Row],[Key]],Table1[Key],Table1[비자],"",0)</f>
        <v>0</v>
      </c>
      <c r="Q127" s="86">
        <f>IF(P127=0,0,_xlfn.XLOOKUP(Table2[[#This Row],[Key]],Table1[Key],Table1[고용보험 여부],0,0))</f>
        <v>0</v>
      </c>
      <c r="R127" s="29" t="str">
        <f t="shared" si="15"/>
        <v>2504</v>
      </c>
      <c r="S127" s="30" t="str">
        <f>YEAR(Table2[[#This Row],[근무일자]])&amp;TEXT(WEEKNUM(Table2[[#This Row],[근무일자]]),"00")</f>
        <v>202514</v>
      </c>
      <c r="T127" s="31">
        <f>_xlfn.XLOOKUP(Table2[[#This Row],[Key]],Table1[Key],Table1[등록일],"",0)</f>
        <v>45752</v>
      </c>
      <c r="U127" s="32">
        <f t="shared" si="16"/>
        <v>0.33333333333333331</v>
      </c>
      <c r="V127" s="92">
        <f t="shared" si="17"/>
        <v>0</v>
      </c>
      <c r="W127" s="100" t="str">
        <f>_xlfn.XLOOKUP(Table2[[#This Row],[근무일자]],Table3[Date],Table3[Holiday],"",0)</f>
        <v/>
      </c>
      <c r="X127" s="93">
        <f>IF(D127&lt;&gt;"",1,0)+IF(COUNTIFS(Table2[주민등록번호],O127,Table2[월],TEXT(EOMONTH(D127,-1),"YYMM"))&gt;0,1+IF(COUNTIFS(Table2[주민등록번호],O127,Table2[월],TEXT(EOMONTH(D127,-2),"YYMM"))&gt;0,1+IF(COUNTIFS(Table2[주민등록번호],O127,Table2[월],TEXT(EOMONTH(D127,-3),"YYMM"))&gt;0,1,0),0),0)</f>
        <v>1</v>
      </c>
      <c r="Y127" s="29">
        <f>COUNTIFS(Table2[주민등록번호],O127,Table2[월],R127,Table2[근무일자],"&lt;="&amp;D127)</f>
        <v>1</v>
      </c>
      <c r="Z127" s="29">
        <f>COUNTIFS(Table2[주민등록번호],O127,Table2[주간],S127,Table2[근무일자],"&lt;="&amp;D127)</f>
        <v>1</v>
      </c>
      <c r="AA127" s="29">
        <f>SUMIFS(Table2[근로
시간],Table2[주민등록번호],O127,Table2[주간],S127,Table2[근무일자],"&lt;="&amp;D127)*24</f>
        <v>8</v>
      </c>
      <c r="AB127" s="29" t="str">
        <f>IF(AND(Y127&gt;=8,COUNTIFS(Table2[주민등록번호],O127,Table2[근무일자],"&gt;="&amp;EOMONTH(D127,-2)+1,Table2[근무일자],"&lt;="&amp;EOMONTH(D127,-1)+1)&gt;0),"V","")</f>
        <v/>
      </c>
      <c r="AC127" s="94" cm="1">
        <f t="array" ref="AC127">IF(AD127&lt;&gt;"",AD127,_xlfn.XLOOKUP(1,(D127&lt;=Table7[End])*(E127=Table7[근무처])*(F127=Table7[업무]),Table7[시급],0,0))</f>
        <v>10680</v>
      </c>
      <c r="AD127" s="95"/>
      <c r="AE127" s="94">
        <f t="shared" si="18"/>
        <v>85440</v>
      </c>
      <c r="AF127" s="96" cm="1">
        <f t="array" ref="AF127">IF(AND(AA127&gt;=15,(AA127-U127*24)&lt;=40),IF(Z127&gt;=_xlfn.XLOOKUP(1,(D127&lt;=Table7[End])*(E127=Table7[근무처])*(F127=Table7[업무]),Table7[주휴적용일],0,0),1,0)+_xlfn.XLOOKUP(1,(Table2[주간]=Table2[[#This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27" s="96" cm="1">
        <f t="array" ref="AG127">MAX((_xlfn.IFS(AF127=0,0,AF127=1,AA127,AF127&gt;1,U127*24)-IF(AA127&gt;40,AA127-40,0))/5,0)</f>
        <v>0</v>
      </c>
      <c r="AH127" s="94">
        <f t="shared" si="19"/>
        <v>0</v>
      </c>
      <c r="AI127" s="33" cm="1">
        <f t="array" ref="AI127">IF(W127="",0,ROUND(AC127*U127*24*_xlfn.XLOOKUP(1,(D127&lt;=Table7[End])*(E127=Table7[근무처])*(F127=Table7[업무]),Table7[휴일인센티브],0,0),0))</f>
        <v>0</v>
      </c>
      <c r="AJ127" s="94" cm="1">
        <f t="array" ref="AJ127">ROUND(AC127*IF(U127&gt;=8/24,U127-8/24,0)*24*_xlfn.XLOOKUP(1,(D127&lt;=Table7[End])*(E127=Table7[근무처])*(F127=Table7[업무]),Table7[야간인센티브],0,0),0)</f>
        <v>0</v>
      </c>
      <c r="AK127" s="94" cm="1">
        <f t="array" ref="AK127">IF(V127=0,0,ROUND(AC127*V127*24*_xlfn.XLOOKUP(1,(D127&lt;=Table7[End])*(E127=Table7[근무처])*(F127=Table7[업무]),Table7[야간인센티브],0,0),0))</f>
        <v>0</v>
      </c>
      <c r="AL127" s="95"/>
      <c r="AM127" s="94">
        <f t="shared" si="20"/>
        <v>85440</v>
      </c>
      <c r="AN127" s="94" cm="1">
        <f t="array" ref="AN127">IF(AM127&gt;=_xlfn.XLOOKUP(TRUE,D127&lt;=Table5[End],Table5[비과세소득기준],0,0),AM127-_xlfn.XLOOKUP(TRUE,D127&lt;=Table5[End],Table5[비과세소득기준],0,0),0)</f>
        <v>0</v>
      </c>
      <c r="AO127" s="94" cm="1">
        <f t="array" ref="AO127">ROUNDDOWN(_xlfn.LET(_xlpm.setvalue,_xlfn.XLOOKUP(TRUE,D127&lt;=Table5[End],Table5[[요율]:[근로소득세액공제]],0,0),_xlpm.tax,AN127*PRODUCT((_xlpm.setvalue-{0,1})*{1,-1}),_xlpm.threshold,_xlfn.XLOOKUP(TRUE,D127&lt;=Table5[End],Table5[소액부징수기준],0,0),IF(_xlpm.tax&gt;=_xlpm.threshold,_xlpm.tax,0)),-1)</f>
        <v>0</v>
      </c>
      <c r="AP127" s="94">
        <f>ROUNDDOWN(Table2[[#This Row],[소득세]]*10%,-1)</f>
        <v>0</v>
      </c>
      <c r="AQ127" s="94">
        <f>IF(AB127="v",AM127+IF(Y127=8,SUMIFS(Table2[지급총액],Table2[주민등록번호],O127,Table2[월],R127,Table2[월간
근무일],"&lt;="&amp;8)-AM127,0),0)+_xlfn.NUMBERVALUE(AR127)</f>
        <v>0</v>
      </c>
      <c r="AR127" s="95"/>
      <c r="AS127" s="94" cm="1">
        <f t="array" ref="AS127">ROUNDDOWN($AQ127*_xlfn.XLOOKUP(1,(AS$5=Table8[Type])*($D127&lt;=Table8[End]),Table8[요율],0,0),0)</f>
        <v>0</v>
      </c>
      <c r="AT127" s="94" cm="1">
        <f t="array" ref="AT127">ROUNDDOWN(AS127*_xlfn.XLOOKUP(1,(AT$5=Table8[Type])*($D127&lt;=Table8[End]),Table8[요율],0,0),-1)</f>
        <v>0</v>
      </c>
      <c r="AU127" s="94" cm="1">
        <f t="array" ref="AU127">ROUNDDOWN($AQ127*_xlfn.XLOOKUP(1,(AU$5=Table8[Type])*($D127&lt;=Table8[End]),Table8[요율],0,0),-1)</f>
        <v>0</v>
      </c>
      <c r="AV127" s="94" cm="1">
        <f t="array" ref="AV127">ROUNDDOWN(AM127*_xlfn.XLOOKUP(1,(AV$5=Table8[Type])*($D127&lt;=Table8[End]),Table8[요율],0,0),-1)</f>
        <v>0</v>
      </c>
      <c r="AW127" s="94" cm="1">
        <f t="array" ref="AW127">_xlfn.XLOOKUP(1,(O127=Table2[주민등록번호])*(D127&gt;Table2[근무일자]),Table2[청구 Claim 
이월],0,0,-1)</f>
        <v>0</v>
      </c>
      <c r="AX127" s="95"/>
      <c r="AY127" s="94" cm="1">
        <f t="array" ref="AY127">MAX(SUM(AO127:AP127,AS127:AX127)-_xlfn.XLOOKUP(1,(D127&lt;=Table7[End])*(E127=Table7[근무처])*(F127=Table7[업무]),Table7[1일 공제 상한],0,0),0)</f>
        <v>0</v>
      </c>
      <c r="AZ127" s="94">
        <f t="shared" si="21"/>
        <v>0</v>
      </c>
      <c r="BA127" s="94">
        <f t="shared" si="22"/>
        <v>85440</v>
      </c>
      <c r="BB127" s="97">
        <f t="shared" si="23"/>
        <v>0</v>
      </c>
      <c r="BC127" s="98"/>
      <c r="BD127" s="94">
        <f t="shared" si="24"/>
        <v>0</v>
      </c>
      <c r="BE127" s="94">
        <f t="shared" si="25"/>
        <v>0</v>
      </c>
      <c r="BF127" s="94">
        <f t="shared" si="26"/>
        <v>0</v>
      </c>
      <c r="BG127" s="94">
        <f t="shared" si="27"/>
        <v>0</v>
      </c>
      <c r="BH127" s="94" cm="1">
        <f t="array" ref="BH127">ROUNDDOWN(AM127*_xlfn.XLOOKUP(1,(BH$5=Table8[Type])*($D127&lt;=Table8[End]),Table8[요율],0,0),-1)</f>
        <v>680</v>
      </c>
      <c r="BI127" s="93" t="str" cm="1">
        <f t="array" ref="BI127">_xlfn.XLOOKUP(1,(D127&lt;=Table7[End])*(E127=Table7[근무처])*(F127=Table7[업무]),Table7[지급옵션],0,0)</f>
        <v>차주 화</v>
      </c>
      <c r="BJ127" s="83">
        <f>IF(BK127&lt;&gt;"",BK127,IFERROR(D127+_xlfn.NUMBERVALUE(RIGHT(BI127,1)),D127-WEEKDAY(D127)+CHOOSE(MATCH(RIGHT(BI127),{"일","월","화","수","목","금","토"},0),8,9,10,11,12,13,14)))</f>
        <v>45755</v>
      </c>
      <c r="BK127" s="99"/>
    </row>
    <row r="128" spans="2:63" x14ac:dyDescent="0.35">
      <c r="B128" s="20" t="str" cm="1">
        <f t="array" ref="B128">_xlfn.IFS(BB128&lt;&gt;BC128,"Claim확인",N128&lt;&gt;"OK","확인필요",TRUE,"")</f>
        <v/>
      </c>
      <c r="C128" s="21" t="str">
        <f t="shared" si="14"/>
        <v>010-5X8X-X4X0920X02XX253123</v>
      </c>
      <c r="D128" s="26">
        <v>45752</v>
      </c>
      <c r="E128" s="91" t="s">
        <v>255</v>
      </c>
      <c r="F128" s="25" t="s">
        <v>257</v>
      </c>
      <c r="G128" s="27" t="s">
        <v>288</v>
      </c>
      <c r="H128" s="25" t="s">
        <v>303</v>
      </c>
      <c r="I128" s="25"/>
      <c r="J128" s="25" t="s">
        <v>304</v>
      </c>
      <c r="K128" s="28">
        <v>0.45833333333333331</v>
      </c>
      <c r="L128" s="28">
        <v>0.83333333333333337</v>
      </c>
      <c r="M128" s="28">
        <v>4.1666666666666664E-2</v>
      </c>
      <c r="N128" s="25" t="s">
        <v>281</v>
      </c>
      <c r="O128" s="29" t="str">
        <f>_xlfn.XLOOKUP(Table2[[#This Row],[Key]],Table1[Key],Table1[주민등록번호],"",0)</f>
        <v>941XX31XX3X14</v>
      </c>
      <c r="P128" s="29">
        <f>_xlfn.XLOOKUP(Table2[[#This Row],[Key]],Table1[Key],Table1[비자],"",0)</f>
        <v>0</v>
      </c>
      <c r="Q128" s="29">
        <f>IF(P128=0,0,_xlfn.XLOOKUP(Table2[[#This Row],[Key]],Table1[Key],Table1[고용보험 여부],0,0))</f>
        <v>0</v>
      </c>
      <c r="R128" s="29" t="str">
        <f t="shared" si="15"/>
        <v>2504</v>
      </c>
      <c r="S128" s="30" t="str">
        <f>YEAR(Table2[[#This Row],[근무일자]])&amp;TEXT(WEEKNUM(Table2[[#This Row],[근무일자]]),"00")</f>
        <v>202514</v>
      </c>
      <c r="T128" s="31">
        <f>_xlfn.XLOOKUP(Table2[[#This Row],[Key]],Table1[Key],Table1[등록일],"",0)</f>
        <v>45846</v>
      </c>
      <c r="U128" s="32">
        <f t="shared" si="16"/>
        <v>0.33333333333333337</v>
      </c>
      <c r="V128" s="92">
        <f t="shared" si="17"/>
        <v>0</v>
      </c>
      <c r="W128" s="100" t="str">
        <f>_xlfn.XLOOKUP(Table2[[#This Row],[근무일자]],Table3[Date],Table3[Holiday],"",0)</f>
        <v/>
      </c>
      <c r="X128" s="93">
        <f>IF(D128&lt;&gt;"",1,0)+IF(COUNTIFS(Table2[주민등록번호],O128,Table2[월],TEXT(EOMONTH(D128,-1),"YYMM"))&gt;0,1+IF(COUNTIFS(Table2[주민등록번호],O128,Table2[월],TEXT(EOMONTH(D128,-2),"YYMM"))&gt;0,1+IF(COUNTIFS(Table2[주민등록번호],O128,Table2[월],TEXT(EOMONTH(D128,-3),"YYMM"))&gt;0,1,0),0),0)</f>
        <v>3</v>
      </c>
      <c r="Y128" s="29">
        <f>COUNTIFS(Table2[주민등록번호],O128,Table2[월],R128,Table2[근무일자],"&lt;="&amp;D128)</f>
        <v>3</v>
      </c>
      <c r="Z128" s="29">
        <f>COUNTIFS(Table2[주민등록번호],O128,Table2[주간],S128,Table2[근무일자],"&lt;="&amp;D128)</f>
        <v>3</v>
      </c>
      <c r="AA128" s="29">
        <f>SUMIFS(Table2[근로
시간],Table2[주민등록번호],O128,Table2[주간],S128,Table2[근무일자],"&lt;="&amp;D128)*24</f>
        <v>24</v>
      </c>
      <c r="AB128" s="29" t="str">
        <f>IF(AND(Y128&gt;=8,COUNTIFS(Table2[주민등록번호],O128,Table2[근무일자],"&gt;="&amp;EOMONTH(D128,-2)+1,Table2[근무일자],"&lt;="&amp;EOMONTH(D128,-1)+1)&gt;0),"V","")</f>
        <v/>
      </c>
      <c r="AC128" s="94" cm="1">
        <f t="array" ref="AC128">IF(AD128&lt;&gt;"",AD128,_xlfn.XLOOKUP(1,(D128&lt;=Table7[End])*(E128=Table7[근무처])*(F128=Table7[업무]),Table7[시급],0,0))</f>
        <v>10030</v>
      </c>
      <c r="AD128" s="95"/>
      <c r="AE128" s="94">
        <f t="shared" si="18"/>
        <v>80240</v>
      </c>
      <c r="AF128" s="96" cm="1">
        <f t="array" ref="AF128">IF(AND(AA128&gt;=15,(AA128-U128*24)&lt;=40),IF(Z128&gt;=_xlfn.XLOOKUP(1,(D128&lt;=Table7[End])*(E128=Table7[근무처])*(F128=Table7[업무]),Table7[주휴적용일],0,0),1,0)+_xlfn.XLOOKUP(1,(Table2[주간]=Table2[[#This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28" s="96" cm="1">
        <f t="array" ref="AG128">MAX((_xlfn.IFS(AF128=0,0,AF128=1,AA128,AF128&gt;1,U128*24)-IF(AA128&gt;40,AA128-40,0))/5,0)</f>
        <v>1.6</v>
      </c>
      <c r="AH128" s="94">
        <f t="shared" si="19"/>
        <v>16048</v>
      </c>
      <c r="AI128" s="33" cm="1">
        <f t="array" ref="AI128">IF(W128="",0,ROUND(AC128*U128*24*_xlfn.XLOOKUP(1,(D128&lt;=Table7[End])*(E128=Table7[근무처])*(F128=Table7[업무]),Table7[휴일인센티브],0,0),0))</f>
        <v>0</v>
      </c>
      <c r="AJ128" s="94" cm="1">
        <f t="array" ref="AJ128">ROUND(AC128*IF(U128&gt;=8/24,U128-8/24,0)*24*_xlfn.XLOOKUP(1,(D128&lt;=Table7[End])*(E128=Table7[근무처])*(F128=Table7[업무]),Table7[야간인센티브],0,0),0)</f>
        <v>0</v>
      </c>
      <c r="AK128" s="94" cm="1">
        <f t="array" ref="AK128">IF(V128=0,0,ROUND(AC128*V128*24*_xlfn.XLOOKUP(1,(D128&lt;=Table7[End])*(E128=Table7[근무처])*(F128=Table7[업무]),Table7[야간인센티브],0,0),0))</f>
        <v>0</v>
      </c>
      <c r="AL128" s="95"/>
      <c r="AM128" s="94">
        <f t="shared" si="20"/>
        <v>96288</v>
      </c>
      <c r="AN128" s="94" cm="1">
        <f t="array" ref="AN128">IF(AM128&gt;=_xlfn.XLOOKUP(TRUE,D128&lt;=Table5[End],Table5[비과세소득기준],0,0),AM128-_xlfn.XLOOKUP(TRUE,D128&lt;=Table5[End],Table5[비과세소득기준],0,0),0)</f>
        <v>0</v>
      </c>
      <c r="AO128" s="94" cm="1">
        <f t="array" ref="AO128">ROUNDDOWN(_xlfn.LET(_xlpm.setvalue,_xlfn.XLOOKUP(TRUE,D128&lt;=Table5[End],Table5[[요율]:[근로소득세액공제]],0,0),_xlpm.tax,AN128*PRODUCT((_xlpm.setvalue-{0,1})*{1,-1}),_xlpm.threshold,_xlfn.XLOOKUP(TRUE,D128&lt;=Table5[End],Table5[소액부징수기준],0,0),IF(_xlpm.tax&gt;=_xlpm.threshold,_xlpm.tax,0)),-1)</f>
        <v>0</v>
      </c>
      <c r="AP128" s="94">
        <f>ROUNDDOWN(Table2[[#This Row],[소득세]]*10%,-1)</f>
        <v>0</v>
      </c>
      <c r="AQ128" s="94">
        <f>IF(AB128="v",AM128+IF(Y128=8,SUMIFS(Table2[지급총액],Table2[주민등록번호],O128,Table2[월],R128,Table2[월간
근무일],"&lt;="&amp;8)-AM128,0),0)+_xlfn.NUMBERVALUE(AR128)</f>
        <v>0</v>
      </c>
      <c r="AR128" s="95"/>
      <c r="AS128" s="94" cm="1">
        <f t="array" ref="AS128">ROUNDDOWN($AQ128*_xlfn.XLOOKUP(1,(AS$5=Table8[Type])*($D128&lt;=Table8[End]),Table8[요율],0,0),0)</f>
        <v>0</v>
      </c>
      <c r="AT128" s="94" cm="1">
        <f t="array" ref="AT128">ROUNDDOWN(AS128*_xlfn.XLOOKUP(1,(AT$5=Table8[Type])*($D128&lt;=Table8[End]),Table8[요율],0,0),-1)</f>
        <v>0</v>
      </c>
      <c r="AU128" s="94" cm="1">
        <f t="array" ref="AU128">ROUNDDOWN($AQ128*_xlfn.XLOOKUP(1,(AU$5=Table8[Type])*($D128&lt;=Table8[End]),Table8[요율],0,0),-1)</f>
        <v>0</v>
      </c>
      <c r="AV128" s="94" cm="1">
        <f t="array" ref="AV128">ROUNDDOWN(AM128*_xlfn.XLOOKUP(1,(AV$5=Table8[Type])*($D128&lt;=Table8[End]),Table8[요율],0,0),-1)</f>
        <v>0</v>
      </c>
      <c r="AW128" s="94" cm="1">
        <f t="array" ref="AW128">_xlfn.XLOOKUP(1,(O128=Table2[주민등록번호])*(D128&gt;Table2[근무일자]),Table2[청구 Claim 
이월],0,0,-1)</f>
        <v>0</v>
      </c>
      <c r="AX128" s="95"/>
      <c r="AY128" s="94" cm="1">
        <f t="array" ref="AY128">MAX(SUM(AO128:AP128,AS128:AX128)-_xlfn.XLOOKUP(1,(D128&lt;=Table7[End])*(E128=Table7[근무처])*(F128=Table7[업무]),Table7[1일 공제 상한],0,0),0)</f>
        <v>0</v>
      </c>
      <c r="AZ128" s="94">
        <f t="shared" si="21"/>
        <v>0</v>
      </c>
      <c r="BA128" s="94">
        <f t="shared" si="22"/>
        <v>96288</v>
      </c>
      <c r="BB128" s="97">
        <f t="shared" si="23"/>
        <v>0</v>
      </c>
      <c r="BC128" s="98"/>
      <c r="BD128" s="94">
        <f t="shared" si="24"/>
        <v>0</v>
      </c>
      <c r="BE128" s="94">
        <f t="shared" si="25"/>
        <v>0</v>
      </c>
      <c r="BF128" s="94">
        <f t="shared" si="26"/>
        <v>0</v>
      </c>
      <c r="BG128" s="94">
        <f t="shared" si="27"/>
        <v>0</v>
      </c>
      <c r="BH128" s="94" cm="1">
        <f t="array" ref="BH128">ROUNDDOWN(AM128*_xlfn.XLOOKUP(1,(BH$5=Table8[Type])*($D128&lt;=Table8[End]),Table8[요율],0,0),-1)</f>
        <v>770</v>
      </c>
      <c r="BI128" s="93" t="str" cm="1">
        <f t="array" ref="BI128">_xlfn.XLOOKUP(1,(D128&lt;=Table7[End])*(E128=Table7[근무처])*(F128=Table7[업무]),Table7[지급옵션],0,0)</f>
        <v>차주 화</v>
      </c>
      <c r="BJ128" s="83">
        <f>IF(BK128&lt;&gt;"",BK128,IFERROR(D128+_xlfn.NUMBERVALUE(RIGHT(BI128,1)),D128-WEEKDAY(D128)+CHOOSE(MATCH(RIGHT(BI128),{"일","월","화","수","목","금","토"},0),8,9,10,11,12,13,14)))</f>
        <v>45755</v>
      </c>
      <c r="BK128" s="99"/>
    </row>
    <row r="129" spans="2:63" x14ac:dyDescent="0.35">
      <c r="B129" s="20" t="str" cm="1">
        <f t="array" ref="B129">_xlfn.IFS(BB129&lt;&gt;BC129,"Claim확인",N129&lt;&gt;"OK","확인필요",TRUE,"")</f>
        <v/>
      </c>
      <c r="C129" s="21" t="str">
        <f t="shared" si="14"/>
        <v>010-2X2X-X2X2945X02XX268466</v>
      </c>
      <c r="D129" s="26">
        <v>45753</v>
      </c>
      <c r="E129" s="91" t="s">
        <v>255</v>
      </c>
      <c r="F129" s="25" t="s">
        <v>258</v>
      </c>
      <c r="G129" s="27" t="s">
        <v>285</v>
      </c>
      <c r="H129" s="25" t="s">
        <v>297</v>
      </c>
      <c r="I129" s="25"/>
      <c r="J129" s="25" t="s">
        <v>298</v>
      </c>
      <c r="K129" s="28">
        <v>0.375</v>
      </c>
      <c r="L129" s="28">
        <v>0.75</v>
      </c>
      <c r="M129" s="28">
        <v>4.1666666666666664E-2</v>
      </c>
      <c r="N129" s="25" t="s">
        <v>281</v>
      </c>
      <c r="O129" s="29" t="str">
        <f>_xlfn.XLOOKUP(Table2[[#This Row],[Key]],Table1[Key],Table1[주민등록번호],"",0)</f>
        <v>980XX81XX7X17</v>
      </c>
      <c r="P129" s="86">
        <f>_xlfn.XLOOKUP(Table2[[#This Row],[Key]],Table1[Key],Table1[비자],"",0)</f>
        <v>0</v>
      </c>
      <c r="Q129" s="86">
        <f>IF(P129=0,0,_xlfn.XLOOKUP(Table2[[#This Row],[Key]],Table1[Key],Table1[고용보험 여부],0,0))</f>
        <v>0</v>
      </c>
      <c r="R129" s="29" t="str">
        <f t="shared" si="15"/>
        <v>2504</v>
      </c>
      <c r="S129" s="30" t="str">
        <f>YEAR(Table2[[#This Row],[근무일자]])&amp;TEXT(WEEKNUM(Table2[[#This Row],[근무일자]]),"00")</f>
        <v>202515</v>
      </c>
      <c r="T129" s="31">
        <f>_xlfn.XLOOKUP(Table2[[#This Row],[Key]],Table1[Key],Table1[등록일],"",0)</f>
        <v>45752</v>
      </c>
      <c r="U129" s="32">
        <f t="shared" si="16"/>
        <v>0.33333333333333331</v>
      </c>
      <c r="V129" s="92">
        <f t="shared" si="17"/>
        <v>0</v>
      </c>
      <c r="W129" s="100" t="str">
        <f>_xlfn.XLOOKUP(Table2[[#This Row],[근무일자]],Table3[Date],Table3[Holiday],"",0)</f>
        <v/>
      </c>
      <c r="X129" s="93">
        <f>IF(D129&lt;&gt;"",1,0)+IF(COUNTIFS(Table2[주민등록번호],O129,Table2[월],TEXT(EOMONTH(D129,-1),"YYMM"))&gt;0,1+IF(COUNTIFS(Table2[주민등록번호],O129,Table2[월],TEXT(EOMONTH(D129,-2),"YYMM"))&gt;0,1+IF(COUNTIFS(Table2[주민등록번호],O129,Table2[월],TEXT(EOMONTH(D129,-3),"YYMM"))&gt;0,1,0),0),0)</f>
        <v>1</v>
      </c>
      <c r="Y129" s="29">
        <f>COUNTIFS(Table2[주민등록번호],O129,Table2[월],R129,Table2[근무일자],"&lt;="&amp;D129)</f>
        <v>2</v>
      </c>
      <c r="Z129" s="29">
        <f>COUNTIFS(Table2[주민등록번호],O129,Table2[주간],S129,Table2[근무일자],"&lt;="&amp;D129)</f>
        <v>1</v>
      </c>
      <c r="AA129" s="29">
        <f>SUMIFS(Table2[근로
시간],Table2[주민등록번호],O129,Table2[주간],S129,Table2[근무일자],"&lt;="&amp;D129)*24</f>
        <v>8</v>
      </c>
      <c r="AB129" s="29" t="str">
        <f>IF(AND(Y129&gt;=8,COUNTIFS(Table2[주민등록번호],O129,Table2[근무일자],"&gt;="&amp;EOMONTH(D129,-2)+1,Table2[근무일자],"&lt;="&amp;EOMONTH(D129,-1)+1)&gt;0),"V","")</f>
        <v/>
      </c>
      <c r="AC129" s="94" cm="1">
        <f t="array" ref="AC129">IF(AD129&lt;&gt;"",AD129,_xlfn.XLOOKUP(1,(D129&lt;=Table7[End])*(E129=Table7[근무처])*(F129=Table7[업무]),Table7[시급],0,0))</f>
        <v>10680</v>
      </c>
      <c r="AD129" s="95"/>
      <c r="AE129" s="94">
        <f t="shared" si="18"/>
        <v>85440</v>
      </c>
      <c r="AF129" s="96" cm="1">
        <f t="array" ref="AF129">IF(AND(AA129&gt;=15,(AA129-U129*24)&lt;=40),IF(Z129&gt;=_xlfn.XLOOKUP(1,(D129&lt;=Table7[End])*(E129=Table7[근무처])*(F129=Table7[업무]),Table7[주휴적용일],0,0),1,0)+_xlfn.XLOOKUP(1,(Table2[주간]=Table2[[#This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29" s="96" cm="1">
        <f t="array" ref="AG129">MAX((_xlfn.IFS(AF129=0,0,AF129=1,AA129,AF129&gt;1,U129*24)-IF(AA129&gt;40,AA129-40,0))/5,0)</f>
        <v>0</v>
      </c>
      <c r="AH129" s="94">
        <f t="shared" si="19"/>
        <v>0</v>
      </c>
      <c r="AI129" s="33" cm="1">
        <f t="array" ref="AI129">IF(W129="",0,ROUND(AC129*U129*24*_xlfn.XLOOKUP(1,(D129&lt;=Table7[End])*(E129=Table7[근무처])*(F129=Table7[업무]),Table7[휴일인센티브],0,0),0))</f>
        <v>0</v>
      </c>
      <c r="AJ129" s="94" cm="1">
        <f t="array" ref="AJ129">ROUND(AC129*IF(U129&gt;=8/24,U129-8/24,0)*24*_xlfn.XLOOKUP(1,(D129&lt;=Table7[End])*(E129=Table7[근무처])*(F129=Table7[업무]),Table7[야간인센티브],0,0),0)</f>
        <v>0</v>
      </c>
      <c r="AK129" s="94" cm="1">
        <f t="array" ref="AK129">IF(V129=0,0,ROUND(AC129*V129*24*_xlfn.XLOOKUP(1,(D129&lt;=Table7[End])*(E129=Table7[근무처])*(F129=Table7[업무]),Table7[야간인센티브],0,0),0))</f>
        <v>0</v>
      </c>
      <c r="AL129" s="95"/>
      <c r="AM129" s="94">
        <f t="shared" si="20"/>
        <v>85440</v>
      </c>
      <c r="AN129" s="94" cm="1">
        <f t="array" ref="AN129">IF(AM129&gt;=_xlfn.XLOOKUP(TRUE,D129&lt;=Table5[End],Table5[비과세소득기준],0,0),AM129-_xlfn.XLOOKUP(TRUE,D129&lt;=Table5[End],Table5[비과세소득기준],0,0),0)</f>
        <v>0</v>
      </c>
      <c r="AO129" s="94" cm="1">
        <f t="array" ref="AO129">ROUNDDOWN(_xlfn.LET(_xlpm.setvalue,_xlfn.XLOOKUP(TRUE,D129&lt;=Table5[End],Table5[[요율]:[근로소득세액공제]],0,0),_xlpm.tax,AN129*PRODUCT((_xlpm.setvalue-{0,1})*{1,-1}),_xlpm.threshold,_xlfn.XLOOKUP(TRUE,D129&lt;=Table5[End],Table5[소액부징수기준],0,0),IF(_xlpm.tax&gt;=_xlpm.threshold,_xlpm.tax,0)),-1)</f>
        <v>0</v>
      </c>
      <c r="AP129" s="94">
        <f>ROUNDDOWN(Table2[[#This Row],[소득세]]*10%,-1)</f>
        <v>0</v>
      </c>
      <c r="AQ129" s="94">
        <f>IF(AB129="v",AM129+IF(Y129=8,SUMIFS(Table2[지급총액],Table2[주민등록번호],O129,Table2[월],R129,Table2[월간
근무일],"&lt;="&amp;8)-AM129,0),0)+_xlfn.NUMBERVALUE(AR129)</f>
        <v>0</v>
      </c>
      <c r="AR129" s="95"/>
      <c r="AS129" s="94" cm="1">
        <f t="array" ref="AS129">ROUNDDOWN($AQ129*_xlfn.XLOOKUP(1,(AS$5=Table8[Type])*($D129&lt;=Table8[End]),Table8[요율],0,0),0)</f>
        <v>0</v>
      </c>
      <c r="AT129" s="94" cm="1">
        <f t="array" ref="AT129">ROUNDDOWN(AS129*_xlfn.XLOOKUP(1,(AT$5=Table8[Type])*($D129&lt;=Table8[End]),Table8[요율],0,0),-1)</f>
        <v>0</v>
      </c>
      <c r="AU129" s="94" cm="1">
        <f t="array" ref="AU129">ROUNDDOWN($AQ129*_xlfn.XLOOKUP(1,(AU$5=Table8[Type])*($D129&lt;=Table8[End]),Table8[요율],0,0),-1)</f>
        <v>0</v>
      </c>
      <c r="AV129" s="94" cm="1">
        <f t="array" ref="AV129">ROUNDDOWN(AM129*_xlfn.XLOOKUP(1,(AV$5=Table8[Type])*($D129&lt;=Table8[End]),Table8[요율],0,0),-1)</f>
        <v>0</v>
      </c>
      <c r="AW129" s="94" cm="1">
        <f t="array" ref="AW129">_xlfn.XLOOKUP(1,(O129=Table2[주민등록번호])*(D129&gt;Table2[근무일자]),Table2[청구 Claim 
이월],0,0,-1)</f>
        <v>0</v>
      </c>
      <c r="AX129" s="95"/>
      <c r="AY129" s="94" cm="1">
        <f t="array" ref="AY129">MAX(SUM(AO129:AP129,AS129:AX129)-_xlfn.XLOOKUP(1,(D129&lt;=Table7[End])*(E129=Table7[근무처])*(F129=Table7[업무]),Table7[1일 공제 상한],0,0),0)</f>
        <v>0</v>
      </c>
      <c r="AZ129" s="94">
        <f t="shared" si="21"/>
        <v>0</v>
      </c>
      <c r="BA129" s="94">
        <f t="shared" si="22"/>
        <v>85440</v>
      </c>
      <c r="BB129" s="97">
        <f t="shared" si="23"/>
        <v>0</v>
      </c>
      <c r="BC129" s="98"/>
      <c r="BD129" s="94">
        <f t="shared" si="24"/>
        <v>0</v>
      </c>
      <c r="BE129" s="94">
        <f t="shared" si="25"/>
        <v>0</v>
      </c>
      <c r="BF129" s="94">
        <f t="shared" si="26"/>
        <v>0</v>
      </c>
      <c r="BG129" s="94">
        <f t="shared" si="27"/>
        <v>0</v>
      </c>
      <c r="BH129" s="94" cm="1">
        <f t="array" ref="BH129">ROUNDDOWN(AM129*_xlfn.XLOOKUP(1,(BH$5=Table8[Type])*($D129&lt;=Table8[End]),Table8[요율],0,0),-1)</f>
        <v>680</v>
      </c>
      <c r="BI129" s="93" t="str" cm="1">
        <f t="array" ref="BI129">_xlfn.XLOOKUP(1,(D129&lt;=Table7[End])*(E129=Table7[근무처])*(F129=Table7[업무]),Table7[지급옵션],0,0)</f>
        <v>차주 화</v>
      </c>
      <c r="BJ129" s="83">
        <f>IF(BK129&lt;&gt;"",BK129,IFERROR(D129+_xlfn.NUMBERVALUE(RIGHT(BI129,1)),D129-WEEKDAY(D129)+CHOOSE(MATCH(RIGHT(BI129),{"일","월","화","수","목","금","토"},0),8,9,10,11,12,13,14)))</f>
        <v>45762</v>
      </c>
      <c r="BK129" s="99"/>
    </row>
    <row r="130" spans="2:63" x14ac:dyDescent="0.35">
      <c r="B130" s="20" t="str" cm="1">
        <f t="array" ref="B130">_xlfn.IFS(BB130&lt;&gt;BC130,"Claim확인",N130&lt;&gt;"OK","확인필요",TRUE,"")</f>
        <v/>
      </c>
      <c r="C130" s="21" t="str">
        <f t="shared" si="14"/>
        <v>010-7X6X-X9X5110X98XX7530</v>
      </c>
      <c r="D130" s="26">
        <v>45753</v>
      </c>
      <c r="E130" s="91" t="s">
        <v>255</v>
      </c>
      <c r="F130" s="25" t="s">
        <v>258</v>
      </c>
      <c r="G130" s="27" t="s">
        <v>282</v>
      </c>
      <c r="H130" s="25" t="s">
        <v>289</v>
      </c>
      <c r="I130" s="25"/>
      <c r="J130" s="25" t="s">
        <v>290</v>
      </c>
      <c r="K130" s="28">
        <v>0.3125</v>
      </c>
      <c r="L130" s="28">
        <v>0.6875</v>
      </c>
      <c r="M130" s="28">
        <v>4.1666666666666664E-2</v>
      </c>
      <c r="N130" s="25" t="s">
        <v>281</v>
      </c>
      <c r="O130" s="29" t="str">
        <f>_xlfn.XLOOKUP(Table2[[#This Row],[Key]],Table1[Key],Table1[주민등록번호],"",0)</f>
        <v>990XX62XX3X13</v>
      </c>
      <c r="P130" s="29">
        <f>_xlfn.XLOOKUP(Table2[[#This Row],[Key]],Table1[Key],Table1[비자],"",0)</f>
        <v>0</v>
      </c>
      <c r="Q130" s="29">
        <f>IF(P130=0,0,_xlfn.XLOOKUP(Table2[[#This Row],[Key]],Table1[Key],Table1[고용보험 여부],0,0))</f>
        <v>0</v>
      </c>
      <c r="R130" s="29" t="str">
        <f t="shared" si="15"/>
        <v>2504</v>
      </c>
      <c r="S130" s="30" t="str">
        <f>YEAR(Table2[[#This Row],[근무일자]])&amp;TEXT(WEEKNUM(Table2[[#This Row],[근무일자]]),"00")</f>
        <v>202515</v>
      </c>
      <c r="T130" s="31">
        <f>_xlfn.XLOOKUP(Table2[[#This Row],[Key]],Table1[Key],Table1[등록일],"",0)</f>
        <v>45696</v>
      </c>
      <c r="U130" s="32">
        <f t="shared" si="16"/>
        <v>0.33333333333333331</v>
      </c>
      <c r="V130" s="92">
        <f t="shared" si="17"/>
        <v>0</v>
      </c>
      <c r="W130" s="100" t="str">
        <f>_xlfn.XLOOKUP(Table2[[#This Row],[근무일자]],Table3[Date],Table3[Holiday],"",0)</f>
        <v/>
      </c>
      <c r="X130" s="93">
        <f>IF(D130&lt;&gt;"",1,0)+IF(COUNTIFS(Table2[주민등록번호],O130,Table2[월],TEXT(EOMONTH(D130,-1),"YYMM"))&gt;0,1+IF(COUNTIFS(Table2[주민등록번호],O130,Table2[월],TEXT(EOMONTH(D130,-2),"YYMM"))&gt;0,1+IF(COUNTIFS(Table2[주민등록번호],O130,Table2[월],TEXT(EOMONTH(D130,-3),"YYMM"))&gt;0,1,0),0),0)</f>
        <v>3</v>
      </c>
      <c r="Y130" s="29">
        <f>COUNTIFS(Table2[주민등록번호],O130,Table2[월],R130,Table2[근무일자],"&lt;="&amp;D130)</f>
        <v>1</v>
      </c>
      <c r="Z130" s="29">
        <f>COUNTIFS(Table2[주민등록번호],O130,Table2[주간],S130,Table2[근무일자],"&lt;="&amp;D130)</f>
        <v>1</v>
      </c>
      <c r="AA130" s="29">
        <f>SUMIFS(Table2[근로
시간],Table2[주민등록번호],O130,Table2[주간],S130,Table2[근무일자],"&lt;="&amp;D130)*24</f>
        <v>8</v>
      </c>
      <c r="AB130" s="29" t="str">
        <f>IF(AND(Y130&gt;=8,COUNTIFS(Table2[주민등록번호],O130,Table2[근무일자],"&gt;="&amp;EOMONTH(D130,-2)+1,Table2[근무일자],"&lt;="&amp;EOMONTH(D130,-1)+1)&gt;0),"V","")</f>
        <v/>
      </c>
      <c r="AC130" s="94" cm="1">
        <f t="array" ref="AC130">IF(AD130&lt;&gt;"",AD130,_xlfn.XLOOKUP(1,(D130&lt;=Table7[End])*(E130=Table7[근무처])*(F130=Table7[업무]),Table7[시급],0,0))</f>
        <v>10680</v>
      </c>
      <c r="AD130" s="95"/>
      <c r="AE130" s="94">
        <f t="shared" si="18"/>
        <v>85440</v>
      </c>
      <c r="AF130" s="96" cm="1">
        <f t="array" ref="AF130">IF(AND(AA130&gt;=15,(AA130-U130*24)&lt;=40),IF(Z130&gt;=_xlfn.XLOOKUP(1,(D130&lt;=Table7[End])*(E130=Table7[근무처])*(F130=Table7[업무]),Table7[주휴적용일],0,0),1,0)+_xlfn.XLOOKUP(1,(Table2[주간]=Table2[[#This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30" s="96" cm="1">
        <f t="array" ref="AG130">MAX((_xlfn.IFS(AF130=0,0,AF130=1,AA130,AF130&gt;1,U130*24)-IF(AA130&gt;40,AA130-40,0))/5,0)</f>
        <v>0</v>
      </c>
      <c r="AH130" s="94">
        <f t="shared" si="19"/>
        <v>0</v>
      </c>
      <c r="AI130" s="33" cm="1">
        <f t="array" ref="AI130">IF(W130="",0,ROUND(AC130*U130*24*_xlfn.XLOOKUP(1,(D130&lt;=Table7[End])*(E130=Table7[근무처])*(F130=Table7[업무]),Table7[휴일인센티브],0,0),0))</f>
        <v>0</v>
      </c>
      <c r="AJ130" s="94" cm="1">
        <f t="array" ref="AJ130">ROUND(AC130*IF(U130&gt;=8/24,U130-8/24,0)*24*_xlfn.XLOOKUP(1,(D130&lt;=Table7[End])*(E130=Table7[근무처])*(F130=Table7[업무]),Table7[야간인센티브],0,0),0)</f>
        <v>0</v>
      </c>
      <c r="AK130" s="94" cm="1">
        <f t="array" ref="AK130">IF(V130=0,0,ROUND(AC130*V130*24*_xlfn.XLOOKUP(1,(D130&lt;=Table7[End])*(E130=Table7[근무처])*(F130=Table7[업무]),Table7[야간인센티브],0,0),0))</f>
        <v>0</v>
      </c>
      <c r="AL130" s="95"/>
      <c r="AM130" s="94">
        <f t="shared" si="20"/>
        <v>85440</v>
      </c>
      <c r="AN130" s="94" cm="1">
        <f t="array" ref="AN130">IF(AM130&gt;=_xlfn.XLOOKUP(TRUE,D130&lt;=Table5[End],Table5[비과세소득기준],0,0),AM130-_xlfn.XLOOKUP(TRUE,D130&lt;=Table5[End],Table5[비과세소득기준],0,0),0)</f>
        <v>0</v>
      </c>
      <c r="AO130" s="94" cm="1">
        <f t="array" ref="AO130">ROUNDDOWN(_xlfn.LET(_xlpm.setvalue,_xlfn.XLOOKUP(TRUE,D130&lt;=Table5[End],Table5[[요율]:[근로소득세액공제]],0,0),_xlpm.tax,AN130*PRODUCT((_xlpm.setvalue-{0,1})*{1,-1}),_xlpm.threshold,_xlfn.XLOOKUP(TRUE,D130&lt;=Table5[End],Table5[소액부징수기준],0,0),IF(_xlpm.tax&gt;=_xlpm.threshold,_xlpm.tax,0)),-1)</f>
        <v>0</v>
      </c>
      <c r="AP130" s="94">
        <f>ROUNDDOWN(Table2[[#This Row],[소득세]]*10%,-1)</f>
        <v>0</v>
      </c>
      <c r="AQ130" s="94">
        <f>IF(AB130="v",AM130+IF(Y130=8,SUMIFS(Table2[지급총액],Table2[주민등록번호],O130,Table2[월],R130,Table2[월간
근무일],"&lt;="&amp;8)-AM130,0),0)+_xlfn.NUMBERVALUE(AR130)</f>
        <v>0</v>
      </c>
      <c r="AR130" s="95"/>
      <c r="AS130" s="94" cm="1">
        <f t="array" ref="AS130">ROUNDDOWN($AQ130*_xlfn.XLOOKUP(1,(AS$5=Table8[Type])*($D130&lt;=Table8[End]),Table8[요율],0,0),0)</f>
        <v>0</v>
      </c>
      <c r="AT130" s="94" cm="1">
        <f t="array" ref="AT130">ROUNDDOWN(AS130*_xlfn.XLOOKUP(1,(AT$5=Table8[Type])*($D130&lt;=Table8[End]),Table8[요율],0,0),-1)</f>
        <v>0</v>
      </c>
      <c r="AU130" s="94" cm="1">
        <f t="array" ref="AU130">ROUNDDOWN($AQ130*_xlfn.XLOOKUP(1,(AU$5=Table8[Type])*($D130&lt;=Table8[End]),Table8[요율],0,0),-1)</f>
        <v>0</v>
      </c>
      <c r="AV130" s="94" cm="1">
        <f t="array" ref="AV130">ROUNDDOWN(AM130*_xlfn.XLOOKUP(1,(AV$5=Table8[Type])*($D130&lt;=Table8[End]),Table8[요율],0,0),-1)</f>
        <v>0</v>
      </c>
      <c r="AW130" s="94" cm="1">
        <f t="array" ref="AW130">_xlfn.XLOOKUP(1,(O130=Table2[주민등록번호])*(D130&gt;Table2[근무일자]),Table2[청구 Claim 
이월],0,0,-1)</f>
        <v>0</v>
      </c>
      <c r="AX130" s="95"/>
      <c r="AY130" s="94" cm="1">
        <f t="array" ref="AY130">MAX(SUM(AO130:AP130,AS130:AX130)-_xlfn.XLOOKUP(1,(D130&lt;=Table7[End])*(E130=Table7[근무처])*(F130=Table7[업무]),Table7[1일 공제 상한],0,0),0)</f>
        <v>0</v>
      </c>
      <c r="AZ130" s="94">
        <f t="shared" si="21"/>
        <v>0</v>
      </c>
      <c r="BA130" s="94">
        <f t="shared" si="22"/>
        <v>85440</v>
      </c>
      <c r="BB130" s="97">
        <f t="shared" si="23"/>
        <v>0</v>
      </c>
      <c r="BC130" s="98"/>
      <c r="BD130" s="94">
        <f t="shared" si="24"/>
        <v>0</v>
      </c>
      <c r="BE130" s="94">
        <f t="shared" si="25"/>
        <v>0</v>
      </c>
      <c r="BF130" s="94">
        <f t="shared" si="26"/>
        <v>0</v>
      </c>
      <c r="BG130" s="94">
        <f t="shared" si="27"/>
        <v>0</v>
      </c>
      <c r="BH130" s="94" cm="1">
        <f t="array" ref="BH130">ROUNDDOWN(AM130*_xlfn.XLOOKUP(1,(BH$5=Table8[Type])*($D130&lt;=Table8[End]),Table8[요율],0,0),-1)</f>
        <v>680</v>
      </c>
      <c r="BI130" s="93" t="str" cm="1">
        <f t="array" ref="BI130">_xlfn.XLOOKUP(1,(D130&lt;=Table7[End])*(E130=Table7[근무처])*(F130=Table7[업무]),Table7[지급옵션],0,0)</f>
        <v>차주 화</v>
      </c>
      <c r="BJ130" s="83">
        <f>IF(BK130&lt;&gt;"",BK130,IFERROR(D130+_xlfn.NUMBERVALUE(RIGHT(BI130,1)),D130-WEEKDAY(D130)+CHOOSE(MATCH(RIGHT(BI130),{"일","월","화","수","목","금","토"},0),8,9,10,11,12,13,14)))</f>
        <v>45762</v>
      </c>
      <c r="BK130" s="99"/>
    </row>
    <row r="131" spans="2:63" x14ac:dyDescent="0.35">
      <c r="B131" s="20" t="str" cm="1">
        <f t="array" ref="B131">_xlfn.IFS(BB131&lt;&gt;BC131,"Claim확인",N131&lt;&gt;"OK","확인필요",TRUE,"")</f>
        <v/>
      </c>
      <c r="C131" s="21" t="str">
        <f t="shared" si="14"/>
        <v>010-8X0X-X0X9982X03XX901018</v>
      </c>
      <c r="D131" s="26">
        <v>45753</v>
      </c>
      <c r="E131" s="91" t="s">
        <v>255</v>
      </c>
      <c r="F131" s="25" t="s">
        <v>258</v>
      </c>
      <c r="G131" s="27" t="s">
        <v>283</v>
      </c>
      <c r="H131" s="25" t="s">
        <v>291</v>
      </c>
      <c r="I131" s="25"/>
      <c r="J131" s="25" t="s">
        <v>292</v>
      </c>
      <c r="K131" s="28">
        <v>0.3125</v>
      </c>
      <c r="L131" s="28">
        <v>0.6875</v>
      </c>
      <c r="M131" s="28">
        <v>4.1666666666666664E-2</v>
      </c>
      <c r="N131" s="25" t="s">
        <v>281</v>
      </c>
      <c r="O131" s="29" t="str">
        <f>_xlfn.XLOOKUP(Table2[[#This Row],[Key]],Table1[Key],Table1[주민등록번호],"",0)</f>
        <v>960XX51XX9X15</v>
      </c>
      <c r="P131" s="29">
        <f>_xlfn.XLOOKUP(Table2[[#This Row],[Key]],Table1[Key],Table1[비자],"",0)</f>
        <v>0</v>
      </c>
      <c r="Q131" s="29">
        <f>IF(P131=0,0,_xlfn.XLOOKUP(Table2[[#This Row],[Key]],Table1[Key],Table1[고용보험 여부],0,0))</f>
        <v>0</v>
      </c>
      <c r="R131" s="29" t="str">
        <f t="shared" si="15"/>
        <v>2504</v>
      </c>
      <c r="S131" s="30" t="str">
        <f>YEAR(Table2[[#This Row],[근무일자]])&amp;TEXT(WEEKNUM(Table2[[#This Row],[근무일자]]),"00")</f>
        <v>202515</v>
      </c>
      <c r="T131" s="31">
        <f>_xlfn.XLOOKUP(Table2[[#This Row],[Key]],Table1[Key],Table1[등록일],"",0)</f>
        <v>45698</v>
      </c>
      <c r="U131" s="32">
        <f t="shared" si="16"/>
        <v>0.33333333333333331</v>
      </c>
      <c r="V131" s="92">
        <f t="shared" si="17"/>
        <v>0</v>
      </c>
      <c r="W131" s="100" t="str">
        <f>_xlfn.XLOOKUP(Table2[[#This Row],[근무일자]],Table3[Date],Table3[Holiday],"",0)</f>
        <v/>
      </c>
      <c r="X131" s="93">
        <f>IF(D131&lt;&gt;"",1,0)+IF(COUNTIFS(Table2[주민등록번호],O131,Table2[월],TEXT(EOMONTH(D131,-1),"YYMM"))&gt;0,1+IF(COUNTIFS(Table2[주민등록번호],O131,Table2[월],TEXT(EOMONTH(D131,-2),"YYMM"))&gt;0,1+IF(COUNTIFS(Table2[주민등록번호],O131,Table2[월],TEXT(EOMONTH(D131,-3),"YYMM"))&gt;0,1,0),0),0)</f>
        <v>3</v>
      </c>
      <c r="Y131" s="29">
        <f>COUNTIFS(Table2[주민등록번호],O131,Table2[월],R131,Table2[근무일자],"&lt;="&amp;D131)</f>
        <v>4</v>
      </c>
      <c r="Z131" s="29">
        <f>COUNTIFS(Table2[주민등록번호],O131,Table2[주간],S131,Table2[근무일자],"&lt;="&amp;D131)</f>
        <v>1</v>
      </c>
      <c r="AA131" s="29">
        <f>SUMIFS(Table2[근로
시간],Table2[주민등록번호],O131,Table2[주간],S131,Table2[근무일자],"&lt;="&amp;D131)*24</f>
        <v>8</v>
      </c>
      <c r="AB131" s="29" t="str">
        <f>IF(AND(Y131&gt;=8,COUNTIFS(Table2[주민등록번호],O131,Table2[근무일자],"&gt;="&amp;EOMONTH(D131,-2)+1,Table2[근무일자],"&lt;="&amp;EOMONTH(D131,-1)+1)&gt;0),"V","")</f>
        <v/>
      </c>
      <c r="AC131" s="94" cm="1">
        <f t="array" ref="AC131">IF(AD131&lt;&gt;"",AD131,_xlfn.XLOOKUP(1,(D131&lt;=Table7[End])*(E131=Table7[근무처])*(F131=Table7[업무]),Table7[시급],0,0))</f>
        <v>10680</v>
      </c>
      <c r="AD131" s="95"/>
      <c r="AE131" s="94">
        <f t="shared" si="18"/>
        <v>85440</v>
      </c>
      <c r="AF131" s="96" cm="1">
        <f t="array" ref="AF131">IF(AND(AA131&gt;=15,(AA131-U131*24)&lt;=40),IF(Z131&gt;=_xlfn.XLOOKUP(1,(D131&lt;=Table7[End])*(E131=Table7[근무처])*(F131=Table7[업무]),Table7[주휴적용일],0,0),1,0)+_xlfn.XLOOKUP(1,(Table2[주간]=Table2[[#This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31" s="96" cm="1">
        <f t="array" ref="AG131">MAX((_xlfn.IFS(AF131=0,0,AF131=1,AA131,AF131&gt;1,U131*24)-IF(AA131&gt;40,AA131-40,0))/5,0)</f>
        <v>0</v>
      </c>
      <c r="AH131" s="94">
        <f t="shared" si="19"/>
        <v>0</v>
      </c>
      <c r="AI131" s="33" cm="1">
        <f t="array" ref="AI131">IF(W131="",0,ROUND(AC131*U131*24*_xlfn.XLOOKUP(1,(D131&lt;=Table7[End])*(E131=Table7[근무처])*(F131=Table7[업무]),Table7[휴일인센티브],0,0),0))</f>
        <v>0</v>
      </c>
      <c r="AJ131" s="94" cm="1">
        <f t="array" ref="AJ131">ROUND(AC131*IF(U131&gt;=8/24,U131-8/24,0)*24*_xlfn.XLOOKUP(1,(D131&lt;=Table7[End])*(E131=Table7[근무처])*(F131=Table7[업무]),Table7[야간인센티브],0,0),0)</f>
        <v>0</v>
      </c>
      <c r="AK131" s="94" cm="1">
        <f t="array" ref="AK131">IF(V131=0,0,ROUND(AC131*V131*24*_xlfn.XLOOKUP(1,(D131&lt;=Table7[End])*(E131=Table7[근무처])*(F131=Table7[업무]),Table7[야간인센티브],0,0),0))</f>
        <v>0</v>
      </c>
      <c r="AL131" s="95"/>
      <c r="AM131" s="94">
        <f t="shared" si="20"/>
        <v>85440</v>
      </c>
      <c r="AN131" s="94" cm="1">
        <f t="array" ref="AN131">IF(AM131&gt;=_xlfn.XLOOKUP(TRUE,D131&lt;=Table5[End],Table5[비과세소득기준],0,0),AM131-_xlfn.XLOOKUP(TRUE,D131&lt;=Table5[End],Table5[비과세소득기준],0,0),0)</f>
        <v>0</v>
      </c>
      <c r="AO131" s="94" cm="1">
        <f t="array" ref="AO131">ROUNDDOWN(_xlfn.LET(_xlpm.setvalue,_xlfn.XLOOKUP(TRUE,D131&lt;=Table5[End],Table5[[요율]:[근로소득세액공제]],0,0),_xlpm.tax,AN131*PRODUCT((_xlpm.setvalue-{0,1})*{1,-1}),_xlpm.threshold,_xlfn.XLOOKUP(TRUE,D131&lt;=Table5[End],Table5[소액부징수기준],0,0),IF(_xlpm.tax&gt;=_xlpm.threshold,_xlpm.tax,0)),-1)</f>
        <v>0</v>
      </c>
      <c r="AP131" s="94">
        <f>ROUNDDOWN(Table2[[#This Row],[소득세]]*10%,-1)</f>
        <v>0</v>
      </c>
      <c r="AQ131" s="94">
        <f>IF(AB131="v",AM131+IF(Y131=8,SUMIFS(Table2[지급총액],Table2[주민등록번호],O131,Table2[월],R131,Table2[월간
근무일],"&lt;="&amp;8)-AM131,0),0)+_xlfn.NUMBERVALUE(AR131)</f>
        <v>0</v>
      </c>
      <c r="AR131" s="95"/>
      <c r="AS131" s="94" cm="1">
        <f t="array" ref="AS131">ROUNDDOWN($AQ131*_xlfn.XLOOKUP(1,(AS$5=Table8[Type])*($D131&lt;=Table8[End]),Table8[요율],0,0),0)</f>
        <v>0</v>
      </c>
      <c r="AT131" s="94" cm="1">
        <f t="array" ref="AT131">ROUNDDOWN(AS131*_xlfn.XLOOKUP(1,(AT$5=Table8[Type])*($D131&lt;=Table8[End]),Table8[요율],0,0),-1)</f>
        <v>0</v>
      </c>
      <c r="AU131" s="94" cm="1">
        <f t="array" ref="AU131">ROUNDDOWN($AQ131*_xlfn.XLOOKUP(1,(AU$5=Table8[Type])*($D131&lt;=Table8[End]),Table8[요율],0,0),-1)</f>
        <v>0</v>
      </c>
      <c r="AV131" s="94" cm="1">
        <f t="array" ref="AV131">ROUNDDOWN(AM131*_xlfn.XLOOKUP(1,(AV$5=Table8[Type])*($D131&lt;=Table8[End]),Table8[요율],0,0),-1)</f>
        <v>0</v>
      </c>
      <c r="AW131" s="94" cm="1">
        <f t="array" ref="AW131">_xlfn.XLOOKUP(1,(O131=Table2[주민등록번호])*(D131&gt;Table2[근무일자]),Table2[청구 Claim 
이월],0,0,-1)</f>
        <v>0</v>
      </c>
      <c r="AX131" s="95"/>
      <c r="AY131" s="94" cm="1">
        <f t="array" ref="AY131">MAX(SUM(AO131:AP131,AS131:AX131)-_xlfn.XLOOKUP(1,(D131&lt;=Table7[End])*(E131=Table7[근무처])*(F131=Table7[업무]),Table7[1일 공제 상한],0,0),0)</f>
        <v>0</v>
      </c>
      <c r="AZ131" s="94">
        <f t="shared" si="21"/>
        <v>0</v>
      </c>
      <c r="BA131" s="94">
        <f t="shared" si="22"/>
        <v>85440</v>
      </c>
      <c r="BB131" s="97">
        <f t="shared" si="23"/>
        <v>0</v>
      </c>
      <c r="BC131" s="98"/>
      <c r="BD131" s="94">
        <f t="shared" si="24"/>
        <v>0</v>
      </c>
      <c r="BE131" s="94">
        <f t="shared" si="25"/>
        <v>0</v>
      </c>
      <c r="BF131" s="94">
        <f t="shared" si="26"/>
        <v>0</v>
      </c>
      <c r="BG131" s="94">
        <f t="shared" si="27"/>
        <v>0</v>
      </c>
      <c r="BH131" s="94" cm="1">
        <f t="array" ref="BH131">ROUNDDOWN(AM131*_xlfn.XLOOKUP(1,(BH$5=Table8[Type])*($D131&lt;=Table8[End]),Table8[요율],0,0),-1)</f>
        <v>680</v>
      </c>
      <c r="BI131" s="93" t="str" cm="1">
        <f t="array" ref="BI131">_xlfn.XLOOKUP(1,(D131&lt;=Table7[End])*(E131=Table7[근무처])*(F131=Table7[업무]),Table7[지급옵션],0,0)</f>
        <v>차주 화</v>
      </c>
      <c r="BJ131" s="83">
        <f>IF(BK131&lt;&gt;"",BK131,IFERROR(D131+_xlfn.NUMBERVALUE(RIGHT(BI131,1)),D131-WEEKDAY(D131)+CHOOSE(MATCH(RIGHT(BI131),{"일","월","화","수","목","금","토"},0),8,9,10,11,12,13,14)))</f>
        <v>45762</v>
      </c>
      <c r="BK131" s="99"/>
    </row>
    <row r="132" spans="2:63" x14ac:dyDescent="0.35">
      <c r="B132" s="20" t="str" cm="1">
        <f t="array" ref="B132">_xlfn.IFS(BB132&lt;&gt;BC132,"Claim확인",N132&lt;&gt;"OK","확인필요",TRUE,"")</f>
        <v/>
      </c>
      <c r="C132" s="21" t="str">
        <f t="shared" si="14"/>
        <v>010-5X0X-X6X5010X57XX685907</v>
      </c>
      <c r="D132" s="26">
        <v>45753</v>
      </c>
      <c r="E132" s="91" t="s">
        <v>255</v>
      </c>
      <c r="F132" s="25" t="s">
        <v>258</v>
      </c>
      <c r="G132" s="27" t="s">
        <v>287</v>
      </c>
      <c r="H132" s="25" t="s">
        <v>301</v>
      </c>
      <c r="I132" s="25"/>
      <c r="J132" s="25" t="s">
        <v>302</v>
      </c>
      <c r="K132" s="28">
        <v>0.54166666666666663</v>
      </c>
      <c r="L132" s="28">
        <v>0.91666666666666663</v>
      </c>
      <c r="M132" s="28">
        <v>4.1666666666666664E-2</v>
      </c>
      <c r="N132" s="25" t="s">
        <v>281</v>
      </c>
      <c r="O132" s="29" t="str">
        <f>_xlfn.XLOOKUP(Table2[[#This Row],[Key]],Table1[Key],Table1[주민등록번호],"",0)</f>
        <v>980XX82XX3X25</v>
      </c>
      <c r="P132" s="29">
        <f>_xlfn.XLOOKUP(Table2[[#This Row],[Key]],Table1[Key],Table1[비자],"",0)</f>
        <v>0</v>
      </c>
      <c r="Q132" s="29">
        <f>IF(P132=0,0,_xlfn.XLOOKUP(Table2[[#This Row],[Key]],Table1[Key],Table1[고용보험 여부],0,0))</f>
        <v>0</v>
      </c>
      <c r="R132" s="29" t="str">
        <f t="shared" si="15"/>
        <v>2504</v>
      </c>
      <c r="S132" s="30" t="str">
        <f>YEAR(Table2[[#This Row],[근무일자]])&amp;TEXT(WEEKNUM(Table2[[#This Row],[근무일자]]),"00")</f>
        <v>202515</v>
      </c>
      <c r="T132" s="31">
        <f>_xlfn.XLOOKUP(Table2[[#This Row],[Key]],Table1[Key],Table1[등록일],"",0)</f>
        <v>45783</v>
      </c>
      <c r="U132" s="32">
        <f t="shared" si="16"/>
        <v>0.33333333333333331</v>
      </c>
      <c r="V132" s="92">
        <f t="shared" si="17"/>
        <v>0</v>
      </c>
      <c r="W132" s="100" t="str">
        <f>_xlfn.XLOOKUP(Table2[[#This Row],[근무일자]],Table3[Date],Table3[Holiday],"",0)</f>
        <v/>
      </c>
      <c r="X132" s="93">
        <f>IF(D132&lt;&gt;"",1,0)+IF(COUNTIFS(Table2[주민등록번호],O132,Table2[월],TEXT(EOMONTH(D132,-1),"YYMM"))&gt;0,1+IF(COUNTIFS(Table2[주민등록번호],O132,Table2[월],TEXT(EOMONTH(D132,-2),"YYMM"))&gt;0,1+IF(COUNTIFS(Table2[주민등록번호],O132,Table2[월],TEXT(EOMONTH(D132,-3),"YYMM"))&gt;0,1,0),0),0)</f>
        <v>1</v>
      </c>
      <c r="Y132" s="29">
        <f>COUNTIFS(Table2[주민등록번호],O132,Table2[월],R132,Table2[근무일자],"&lt;="&amp;D132)</f>
        <v>1</v>
      </c>
      <c r="Z132" s="29">
        <f>COUNTIFS(Table2[주민등록번호],O132,Table2[주간],S132,Table2[근무일자],"&lt;="&amp;D132)</f>
        <v>1</v>
      </c>
      <c r="AA132" s="29">
        <f>SUMIFS(Table2[근로
시간],Table2[주민등록번호],O132,Table2[주간],S132,Table2[근무일자],"&lt;="&amp;D132)*24</f>
        <v>8</v>
      </c>
      <c r="AB132" s="29" t="str">
        <f>IF(AND(Y132&gt;=8,COUNTIFS(Table2[주민등록번호],O132,Table2[근무일자],"&gt;="&amp;EOMONTH(D132,-2)+1,Table2[근무일자],"&lt;="&amp;EOMONTH(D132,-1)+1)&gt;0),"V","")</f>
        <v/>
      </c>
      <c r="AC132" s="94" cm="1">
        <f t="array" ref="AC132">IF(AD132&lt;&gt;"",AD132,_xlfn.XLOOKUP(1,(D132&lt;=Table7[End])*(E132=Table7[근무처])*(F132=Table7[업무]),Table7[시급],0,0))</f>
        <v>10680</v>
      </c>
      <c r="AD132" s="95"/>
      <c r="AE132" s="94">
        <f t="shared" si="18"/>
        <v>85440</v>
      </c>
      <c r="AF132" s="96" cm="1">
        <f t="array" ref="AF132">IF(AND(AA132&gt;=15,(AA132-U132*24)&lt;=40),IF(Z132&gt;=_xlfn.XLOOKUP(1,(D132&lt;=Table7[End])*(E132=Table7[근무처])*(F132=Table7[업무]),Table7[주휴적용일],0,0),1,0)+_xlfn.XLOOKUP(1,(Table2[주간]=Table2[[#This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32" s="96" cm="1">
        <f t="array" ref="AG132">MAX((_xlfn.IFS(AF132=0,0,AF132=1,AA132,AF132&gt;1,U132*24)-IF(AA132&gt;40,AA132-40,0))/5,0)</f>
        <v>0</v>
      </c>
      <c r="AH132" s="94">
        <f t="shared" si="19"/>
        <v>0</v>
      </c>
      <c r="AI132" s="33" cm="1">
        <f t="array" ref="AI132">IF(W132="",0,ROUND(AC132*U132*24*_xlfn.XLOOKUP(1,(D132&lt;=Table7[End])*(E132=Table7[근무처])*(F132=Table7[업무]),Table7[휴일인센티브],0,0),0))</f>
        <v>0</v>
      </c>
      <c r="AJ132" s="94" cm="1">
        <f t="array" ref="AJ132">ROUND(AC132*IF(U132&gt;=8/24,U132-8/24,0)*24*_xlfn.XLOOKUP(1,(D132&lt;=Table7[End])*(E132=Table7[근무처])*(F132=Table7[업무]),Table7[야간인센티브],0,0),0)</f>
        <v>0</v>
      </c>
      <c r="AK132" s="94" cm="1">
        <f t="array" ref="AK132">IF(V132=0,0,ROUND(AC132*V132*24*_xlfn.XLOOKUP(1,(D132&lt;=Table7[End])*(E132=Table7[근무처])*(F132=Table7[업무]),Table7[야간인센티브],0,0),0))</f>
        <v>0</v>
      </c>
      <c r="AL132" s="95"/>
      <c r="AM132" s="94">
        <f t="shared" si="20"/>
        <v>85440</v>
      </c>
      <c r="AN132" s="94" cm="1">
        <f t="array" ref="AN132">IF(AM132&gt;=_xlfn.XLOOKUP(TRUE,D132&lt;=Table5[End],Table5[비과세소득기준],0,0),AM132-_xlfn.XLOOKUP(TRUE,D132&lt;=Table5[End],Table5[비과세소득기준],0,0),0)</f>
        <v>0</v>
      </c>
      <c r="AO132" s="94" cm="1">
        <f t="array" ref="AO132">ROUNDDOWN(_xlfn.LET(_xlpm.setvalue,_xlfn.XLOOKUP(TRUE,D132&lt;=Table5[End],Table5[[요율]:[근로소득세액공제]],0,0),_xlpm.tax,AN132*PRODUCT((_xlpm.setvalue-{0,1})*{1,-1}),_xlpm.threshold,_xlfn.XLOOKUP(TRUE,D132&lt;=Table5[End],Table5[소액부징수기준],0,0),IF(_xlpm.tax&gt;=_xlpm.threshold,_xlpm.tax,0)),-1)</f>
        <v>0</v>
      </c>
      <c r="AP132" s="94">
        <f>ROUNDDOWN(Table2[[#This Row],[소득세]]*10%,-1)</f>
        <v>0</v>
      </c>
      <c r="AQ132" s="94">
        <f>IF(AB132="v",AM132+IF(Y132=8,SUMIFS(Table2[지급총액],Table2[주민등록번호],O132,Table2[월],R132,Table2[월간
근무일],"&lt;="&amp;8)-AM132,0),0)+_xlfn.NUMBERVALUE(AR132)</f>
        <v>0</v>
      </c>
      <c r="AR132" s="95"/>
      <c r="AS132" s="94" cm="1">
        <f t="array" ref="AS132">ROUNDDOWN($AQ132*_xlfn.XLOOKUP(1,(AS$5=Table8[Type])*($D132&lt;=Table8[End]),Table8[요율],0,0),0)</f>
        <v>0</v>
      </c>
      <c r="AT132" s="94" cm="1">
        <f t="array" ref="AT132">ROUNDDOWN(AS132*_xlfn.XLOOKUP(1,(AT$5=Table8[Type])*($D132&lt;=Table8[End]),Table8[요율],0,0),-1)</f>
        <v>0</v>
      </c>
      <c r="AU132" s="94" cm="1">
        <f t="array" ref="AU132">ROUNDDOWN($AQ132*_xlfn.XLOOKUP(1,(AU$5=Table8[Type])*($D132&lt;=Table8[End]),Table8[요율],0,0),-1)</f>
        <v>0</v>
      </c>
      <c r="AV132" s="94" cm="1">
        <f t="array" ref="AV132">ROUNDDOWN(AM132*_xlfn.XLOOKUP(1,(AV$5=Table8[Type])*($D132&lt;=Table8[End]),Table8[요율],0,0),-1)</f>
        <v>0</v>
      </c>
      <c r="AW132" s="94" cm="1">
        <f t="array" ref="AW132">_xlfn.XLOOKUP(1,(O132=Table2[주민등록번호])*(D132&gt;Table2[근무일자]),Table2[청구 Claim 
이월],0,0,-1)</f>
        <v>0</v>
      </c>
      <c r="AX132" s="95"/>
      <c r="AY132" s="94" cm="1">
        <f t="array" ref="AY132">MAX(SUM(AO132:AP132,AS132:AX132)-_xlfn.XLOOKUP(1,(D132&lt;=Table7[End])*(E132=Table7[근무처])*(F132=Table7[업무]),Table7[1일 공제 상한],0,0),0)</f>
        <v>0</v>
      </c>
      <c r="AZ132" s="94">
        <f t="shared" si="21"/>
        <v>0</v>
      </c>
      <c r="BA132" s="94">
        <f t="shared" si="22"/>
        <v>85440</v>
      </c>
      <c r="BB132" s="97">
        <f t="shared" si="23"/>
        <v>0</v>
      </c>
      <c r="BC132" s="98"/>
      <c r="BD132" s="94">
        <f t="shared" si="24"/>
        <v>0</v>
      </c>
      <c r="BE132" s="94">
        <f t="shared" si="25"/>
        <v>0</v>
      </c>
      <c r="BF132" s="94">
        <f t="shared" si="26"/>
        <v>0</v>
      </c>
      <c r="BG132" s="94">
        <f t="shared" si="27"/>
        <v>0</v>
      </c>
      <c r="BH132" s="94" cm="1">
        <f t="array" ref="BH132">ROUNDDOWN(AM132*_xlfn.XLOOKUP(1,(BH$5=Table8[Type])*($D132&lt;=Table8[End]),Table8[요율],0,0),-1)</f>
        <v>680</v>
      </c>
      <c r="BI132" s="93" t="str" cm="1">
        <f t="array" ref="BI132">_xlfn.XLOOKUP(1,(D132&lt;=Table7[End])*(E132=Table7[근무처])*(F132=Table7[업무]),Table7[지급옵션],0,0)</f>
        <v>차주 화</v>
      </c>
      <c r="BJ132" s="83">
        <f>IF(BK132&lt;&gt;"",BK132,IFERROR(D132+_xlfn.NUMBERVALUE(RIGHT(BI132,1)),D132-WEEKDAY(D132)+CHOOSE(MATCH(RIGHT(BI132),{"일","월","화","수","목","금","토"},0),8,9,10,11,12,13,14)))</f>
        <v>45762</v>
      </c>
      <c r="BK132" s="99"/>
    </row>
    <row r="133" spans="2:63" x14ac:dyDescent="0.35">
      <c r="B133" s="20" t="str" cm="1">
        <f t="array" ref="B133">_xlfn.IFS(BB133&lt;&gt;BC133,"Claim확인",N133&lt;&gt;"OK","확인필요",TRUE,"")</f>
        <v/>
      </c>
      <c r="C133" s="21" t="str">
        <f t="shared" si="14"/>
        <v>010-8X0X-X0X9982X03XX901018</v>
      </c>
      <c r="D133" s="26">
        <v>45754</v>
      </c>
      <c r="E133" s="91" t="s">
        <v>255</v>
      </c>
      <c r="F133" s="25" t="s">
        <v>258</v>
      </c>
      <c r="G133" s="27" t="s">
        <v>283</v>
      </c>
      <c r="H133" s="25" t="s">
        <v>291</v>
      </c>
      <c r="I133" s="25"/>
      <c r="J133" s="25" t="s">
        <v>292</v>
      </c>
      <c r="K133" s="28">
        <v>0.375</v>
      </c>
      <c r="L133" s="28">
        <v>0.75</v>
      </c>
      <c r="M133" s="28">
        <v>4.1666666666666664E-2</v>
      </c>
      <c r="N133" s="25" t="s">
        <v>281</v>
      </c>
      <c r="O133" s="29" t="str">
        <f>_xlfn.XLOOKUP(Table2[[#This Row],[Key]],Table1[Key],Table1[주민등록번호],"",0)</f>
        <v>960XX51XX9X15</v>
      </c>
      <c r="P133" s="29">
        <f>_xlfn.XLOOKUP(Table2[[#This Row],[Key]],Table1[Key],Table1[비자],"",0)</f>
        <v>0</v>
      </c>
      <c r="Q133" s="29">
        <f>IF(P133=0,0,_xlfn.XLOOKUP(Table2[[#This Row],[Key]],Table1[Key],Table1[고용보험 여부],0,0))</f>
        <v>0</v>
      </c>
      <c r="R133" s="29" t="str">
        <f t="shared" si="15"/>
        <v>2504</v>
      </c>
      <c r="S133" s="30" t="str">
        <f>YEAR(Table2[[#This Row],[근무일자]])&amp;TEXT(WEEKNUM(Table2[[#This Row],[근무일자]]),"00")</f>
        <v>202515</v>
      </c>
      <c r="T133" s="31">
        <f>_xlfn.XLOOKUP(Table2[[#This Row],[Key]],Table1[Key],Table1[등록일],"",0)</f>
        <v>45698</v>
      </c>
      <c r="U133" s="32">
        <f t="shared" si="16"/>
        <v>0.33333333333333331</v>
      </c>
      <c r="V133" s="92">
        <f t="shared" si="17"/>
        <v>0</v>
      </c>
      <c r="W133" s="100" t="str">
        <f>_xlfn.XLOOKUP(Table2[[#This Row],[근무일자]],Table3[Date],Table3[Holiday],"",0)</f>
        <v/>
      </c>
      <c r="X133" s="93">
        <f>IF(D133&lt;&gt;"",1,0)+IF(COUNTIFS(Table2[주민등록번호],O133,Table2[월],TEXT(EOMONTH(D133,-1),"YYMM"))&gt;0,1+IF(COUNTIFS(Table2[주민등록번호],O133,Table2[월],TEXT(EOMONTH(D133,-2),"YYMM"))&gt;0,1+IF(COUNTIFS(Table2[주민등록번호],O133,Table2[월],TEXT(EOMONTH(D133,-3),"YYMM"))&gt;0,1,0),0),0)</f>
        <v>3</v>
      </c>
      <c r="Y133" s="29">
        <f>COUNTIFS(Table2[주민등록번호],O133,Table2[월],R133,Table2[근무일자],"&lt;="&amp;D133)</f>
        <v>5</v>
      </c>
      <c r="Z133" s="29">
        <f>COUNTIFS(Table2[주민등록번호],O133,Table2[주간],S133,Table2[근무일자],"&lt;="&amp;D133)</f>
        <v>2</v>
      </c>
      <c r="AA133" s="29">
        <f>SUMIFS(Table2[근로
시간],Table2[주민등록번호],O133,Table2[주간],S133,Table2[근무일자],"&lt;="&amp;D133)*24</f>
        <v>16</v>
      </c>
      <c r="AB133" s="29" t="str">
        <f>IF(AND(Y133&gt;=8,COUNTIFS(Table2[주민등록번호],O133,Table2[근무일자],"&gt;="&amp;EOMONTH(D133,-2)+1,Table2[근무일자],"&lt;="&amp;EOMONTH(D133,-1)+1)&gt;0),"V","")</f>
        <v/>
      </c>
      <c r="AC133" s="94" cm="1">
        <f t="array" ref="AC133">IF(AD133&lt;&gt;"",AD133,_xlfn.XLOOKUP(1,(D133&lt;=Table7[End])*(E133=Table7[근무처])*(F133=Table7[업무]),Table7[시급],0,0))</f>
        <v>10680</v>
      </c>
      <c r="AD133" s="95"/>
      <c r="AE133" s="94">
        <f t="shared" si="18"/>
        <v>85440</v>
      </c>
      <c r="AF133" s="96" cm="1">
        <f t="array" ref="AF133">IF(AND(AA133&gt;=15,(AA133-U133*24)&lt;=40),IF(Z133&gt;=_xlfn.XLOOKUP(1,(D133&lt;=Table7[End])*(E133=Table7[근무처])*(F133=Table7[업무]),Table7[주휴적용일],0,0),1,0)+_xlfn.XLOOKUP(1,(Table2[주간]=Table2[[#This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33" s="96" cm="1">
        <f t="array" ref="AG133">MAX((_xlfn.IFS(AF133=0,0,AF133=1,AA133,AF133&gt;1,U133*24)-IF(AA133&gt;40,AA133-40,0))/5,0)</f>
        <v>3.2</v>
      </c>
      <c r="AH133" s="94">
        <f t="shared" si="19"/>
        <v>34176</v>
      </c>
      <c r="AI133" s="33" cm="1">
        <f t="array" ref="AI133">IF(W133="",0,ROUND(AC133*U133*24*_xlfn.XLOOKUP(1,(D133&lt;=Table7[End])*(E133=Table7[근무처])*(F133=Table7[업무]),Table7[휴일인센티브],0,0),0))</f>
        <v>0</v>
      </c>
      <c r="AJ133" s="94" cm="1">
        <f t="array" ref="AJ133">ROUND(AC133*IF(U133&gt;=8/24,U133-8/24,0)*24*_xlfn.XLOOKUP(1,(D133&lt;=Table7[End])*(E133=Table7[근무처])*(F133=Table7[업무]),Table7[야간인센티브],0,0),0)</f>
        <v>0</v>
      </c>
      <c r="AK133" s="94" cm="1">
        <f t="array" ref="AK133">IF(V133=0,0,ROUND(AC133*V133*24*_xlfn.XLOOKUP(1,(D133&lt;=Table7[End])*(E133=Table7[근무처])*(F133=Table7[업무]),Table7[야간인센티브],0,0),0))</f>
        <v>0</v>
      </c>
      <c r="AL133" s="95"/>
      <c r="AM133" s="94">
        <f t="shared" si="20"/>
        <v>119616</v>
      </c>
      <c r="AN133" s="94" cm="1">
        <f t="array" ref="AN133">IF(AM133&gt;=_xlfn.XLOOKUP(TRUE,D133&lt;=Table5[End],Table5[비과세소득기준],0,0),AM133-_xlfn.XLOOKUP(TRUE,D133&lt;=Table5[End],Table5[비과세소득기준],0,0),0)</f>
        <v>0</v>
      </c>
      <c r="AO133" s="94" cm="1">
        <f t="array" ref="AO133">ROUNDDOWN(_xlfn.LET(_xlpm.setvalue,_xlfn.XLOOKUP(TRUE,D133&lt;=Table5[End],Table5[[요율]:[근로소득세액공제]],0,0),_xlpm.tax,AN133*PRODUCT((_xlpm.setvalue-{0,1})*{1,-1}),_xlpm.threshold,_xlfn.XLOOKUP(TRUE,D133&lt;=Table5[End],Table5[소액부징수기준],0,0),IF(_xlpm.tax&gt;=_xlpm.threshold,_xlpm.tax,0)),-1)</f>
        <v>0</v>
      </c>
      <c r="AP133" s="94">
        <f>ROUNDDOWN(Table2[[#This Row],[소득세]]*10%,-1)</f>
        <v>0</v>
      </c>
      <c r="AQ133" s="94">
        <f>IF(AB133="v",AM133+IF(Y133=8,SUMIFS(Table2[지급총액],Table2[주민등록번호],O133,Table2[월],R133,Table2[월간
근무일],"&lt;="&amp;8)-AM133,0),0)+_xlfn.NUMBERVALUE(AR133)</f>
        <v>0</v>
      </c>
      <c r="AR133" s="95"/>
      <c r="AS133" s="94" cm="1">
        <f t="array" ref="AS133">ROUNDDOWN($AQ133*_xlfn.XLOOKUP(1,(AS$5=Table8[Type])*($D133&lt;=Table8[End]),Table8[요율],0,0),0)</f>
        <v>0</v>
      </c>
      <c r="AT133" s="94" cm="1">
        <f t="array" ref="AT133">ROUNDDOWN(AS133*_xlfn.XLOOKUP(1,(AT$5=Table8[Type])*($D133&lt;=Table8[End]),Table8[요율],0,0),-1)</f>
        <v>0</v>
      </c>
      <c r="AU133" s="94" cm="1">
        <f t="array" ref="AU133">ROUNDDOWN($AQ133*_xlfn.XLOOKUP(1,(AU$5=Table8[Type])*($D133&lt;=Table8[End]),Table8[요율],0,0),-1)</f>
        <v>0</v>
      </c>
      <c r="AV133" s="94" cm="1">
        <f t="array" ref="AV133">ROUNDDOWN(AM133*_xlfn.XLOOKUP(1,(AV$5=Table8[Type])*($D133&lt;=Table8[End]),Table8[요율],0,0),-1)</f>
        <v>0</v>
      </c>
      <c r="AW133" s="94" cm="1">
        <f t="array" ref="AW133">_xlfn.XLOOKUP(1,(O133=Table2[주민등록번호])*(D133&gt;Table2[근무일자]),Table2[청구 Claim 
이월],0,0,-1)</f>
        <v>0</v>
      </c>
      <c r="AX133" s="95"/>
      <c r="AY133" s="94" cm="1">
        <f t="array" ref="AY133">MAX(SUM(AO133:AP133,AS133:AX133)-_xlfn.XLOOKUP(1,(D133&lt;=Table7[End])*(E133=Table7[근무처])*(F133=Table7[업무]),Table7[1일 공제 상한],0,0),0)</f>
        <v>0</v>
      </c>
      <c r="AZ133" s="94">
        <f t="shared" si="21"/>
        <v>0</v>
      </c>
      <c r="BA133" s="94">
        <f t="shared" si="22"/>
        <v>119616</v>
      </c>
      <c r="BB133" s="97">
        <f t="shared" si="23"/>
        <v>0</v>
      </c>
      <c r="BC133" s="98"/>
      <c r="BD133" s="94">
        <f t="shared" si="24"/>
        <v>0</v>
      </c>
      <c r="BE133" s="94">
        <f t="shared" si="25"/>
        <v>0</v>
      </c>
      <c r="BF133" s="94">
        <f t="shared" si="26"/>
        <v>0</v>
      </c>
      <c r="BG133" s="94">
        <f t="shared" si="27"/>
        <v>0</v>
      </c>
      <c r="BH133" s="94" cm="1">
        <f t="array" ref="BH133">ROUNDDOWN(AM133*_xlfn.XLOOKUP(1,(BH$5=Table8[Type])*($D133&lt;=Table8[End]),Table8[요율],0,0),-1)</f>
        <v>950</v>
      </c>
      <c r="BI133" s="93" t="str" cm="1">
        <f t="array" ref="BI133">_xlfn.XLOOKUP(1,(D133&lt;=Table7[End])*(E133=Table7[근무처])*(F133=Table7[업무]),Table7[지급옵션],0,0)</f>
        <v>차주 화</v>
      </c>
      <c r="BJ133" s="83">
        <f>IF(BK133&lt;&gt;"",BK133,IFERROR(D133+_xlfn.NUMBERVALUE(RIGHT(BI133,1)),D133-WEEKDAY(D133)+CHOOSE(MATCH(RIGHT(BI133),{"일","월","화","수","목","금","토"},0),8,9,10,11,12,13,14)))</f>
        <v>45762</v>
      </c>
      <c r="BK133" s="99"/>
    </row>
    <row r="134" spans="2:63" x14ac:dyDescent="0.35">
      <c r="B134" s="20" t="str" cm="1">
        <f t="array" ref="B134">_xlfn.IFS(BB134&lt;&gt;BC134,"Claim확인",N134&lt;&gt;"OK","확인필요",TRUE,"")</f>
        <v/>
      </c>
      <c r="C134" s="21" t="str">
        <f t="shared" ref="C134:C197" si="28">H134&amp;J134</f>
        <v>010-6X1X-X3X0333X04XX46879</v>
      </c>
      <c r="D134" s="26">
        <v>45754</v>
      </c>
      <c r="E134" s="91" t="s">
        <v>255</v>
      </c>
      <c r="F134" s="25" t="s">
        <v>258</v>
      </c>
      <c r="G134" s="27" t="s">
        <v>284</v>
      </c>
      <c r="H134" s="25" t="s">
        <v>293</v>
      </c>
      <c r="I134" s="25"/>
      <c r="J134" s="25" t="s">
        <v>294</v>
      </c>
      <c r="K134" s="28">
        <v>0.3125</v>
      </c>
      <c r="L134" s="28">
        <v>0.6875</v>
      </c>
      <c r="M134" s="28">
        <v>4.1666666666666664E-2</v>
      </c>
      <c r="N134" s="25" t="s">
        <v>281</v>
      </c>
      <c r="O134" s="29" t="str">
        <f>_xlfn.XLOOKUP(Table2[[#This Row],[Key]],Table1[Key],Table1[주민등록번호],"",0)</f>
        <v>971XX61XX9X25</v>
      </c>
      <c r="P134" s="29">
        <f>_xlfn.XLOOKUP(Table2[[#This Row],[Key]],Table1[Key],Table1[비자],"",0)</f>
        <v>0</v>
      </c>
      <c r="Q134" s="29">
        <f>IF(P134=0,0,_xlfn.XLOOKUP(Table2[[#This Row],[Key]],Table1[Key],Table1[고용보험 여부],0,0))</f>
        <v>0</v>
      </c>
      <c r="R134" s="29" t="str">
        <f t="shared" ref="R134:R197" si="29">TEXT(D134,"YYMM")</f>
        <v>2504</v>
      </c>
      <c r="S134" s="30" t="str">
        <f>YEAR(Table2[[#This Row],[근무일자]])&amp;TEXT(WEEKNUM(Table2[[#This Row],[근무일자]]),"00")</f>
        <v>202515</v>
      </c>
      <c r="T134" s="31">
        <f>_xlfn.XLOOKUP(Table2[[#This Row],[Key]],Table1[Key],Table1[등록일],"",0)</f>
        <v>45721</v>
      </c>
      <c r="U134" s="32">
        <f t="shared" ref="U134:U197" si="30">IF(AND(K134&lt;&gt;"",L134&lt;&gt;""),IF(AND(K134&lt;&gt;L134,L134&lt;=6/24),1+L134,L134)-K134-M134,0)</f>
        <v>0.33333333333333331</v>
      </c>
      <c r="V134" s="92">
        <f t="shared" ref="V134:V197" si="31">MIN(IF(U134&gt;0,_xlfn.IFS(K134&lt;6/24,6/24-K134,L134&gt;22/24,L134-22/24,AND(K134&lt;=22/24,L134&lt;=6/24),2/24+L134,TRUE,0),0),U134)</f>
        <v>0</v>
      </c>
      <c r="W134" s="100" t="str">
        <f>_xlfn.XLOOKUP(Table2[[#This Row],[근무일자]],Table3[Date],Table3[Holiday],"",0)</f>
        <v/>
      </c>
      <c r="X134" s="93">
        <f>IF(D134&lt;&gt;"",1,0)+IF(COUNTIFS(Table2[주민등록번호],O134,Table2[월],TEXT(EOMONTH(D134,-1),"YYMM"))&gt;0,1+IF(COUNTIFS(Table2[주민등록번호],O134,Table2[월],TEXT(EOMONTH(D134,-2),"YYMM"))&gt;0,1+IF(COUNTIFS(Table2[주민등록번호],O134,Table2[월],TEXT(EOMONTH(D134,-3),"YYMM"))&gt;0,1,0),0),0)</f>
        <v>2</v>
      </c>
      <c r="Y134" s="29">
        <f>COUNTIFS(Table2[주민등록번호],O134,Table2[월],R134,Table2[근무일자],"&lt;="&amp;D134)</f>
        <v>5</v>
      </c>
      <c r="Z134" s="29">
        <f>COUNTIFS(Table2[주민등록번호],O134,Table2[주간],S134,Table2[근무일자],"&lt;="&amp;D134)</f>
        <v>1</v>
      </c>
      <c r="AA134" s="29">
        <f>SUMIFS(Table2[근로
시간],Table2[주민등록번호],O134,Table2[주간],S134,Table2[근무일자],"&lt;="&amp;D134)*24</f>
        <v>8</v>
      </c>
      <c r="AB134" s="29" t="str">
        <f>IF(AND(Y134&gt;=8,COUNTIFS(Table2[주민등록번호],O134,Table2[근무일자],"&gt;="&amp;EOMONTH(D134,-2)+1,Table2[근무일자],"&lt;="&amp;EOMONTH(D134,-1)+1)&gt;0),"V","")</f>
        <v/>
      </c>
      <c r="AC134" s="94" cm="1">
        <f t="array" ref="AC134">IF(AD134&lt;&gt;"",AD134,_xlfn.XLOOKUP(1,(D134&lt;=Table7[End])*(E134=Table7[근무처])*(F134=Table7[업무]),Table7[시급],0,0))</f>
        <v>10680</v>
      </c>
      <c r="AD134" s="95"/>
      <c r="AE134" s="94">
        <f t="shared" ref="AE134:AE197" si="32">ROUND(U134*24*AC134,0)</f>
        <v>85440</v>
      </c>
      <c r="AF134" s="96" cm="1">
        <f t="array" ref="AF134">IF(AND(AA134&gt;=15,(AA134-U134*24)&lt;=40),IF(Z134&gt;=_xlfn.XLOOKUP(1,(D134&lt;=Table7[End])*(E134=Table7[근무처])*(F134=Table7[업무]),Table7[주휴적용일],0,0),1,0)+_xlfn.XLOOKUP(1,(Table2[주간]=Table2[[#This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34" s="96" cm="1">
        <f t="array" ref="AG134">MAX((_xlfn.IFS(AF134=0,0,AF134=1,AA134,AF134&gt;1,U134*24)-IF(AA134&gt;40,AA134-40,0))/5,0)</f>
        <v>0</v>
      </c>
      <c r="AH134" s="94">
        <f t="shared" ref="AH134:AH197" si="33">ROUND(AG134*AC134,0)</f>
        <v>0</v>
      </c>
      <c r="AI134" s="33" cm="1">
        <f t="array" ref="AI134">IF(W134="",0,ROUND(AC134*U134*24*_xlfn.XLOOKUP(1,(D134&lt;=Table7[End])*(E134=Table7[근무처])*(F134=Table7[업무]),Table7[휴일인센티브],0,0),0))</f>
        <v>0</v>
      </c>
      <c r="AJ134" s="94" cm="1">
        <f t="array" ref="AJ134">ROUND(AC134*IF(U134&gt;=8/24,U134-8/24,0)*24*_xlfn.XLOOKUP(1,(D134&lt;=Table7[End])*(E134=Table7[근무처])*(F134=Table7[업무]),Table7[야간인센티브],0,0),0)</f>
        <v>0</v>
      </c>
      <c r="AK134" s="94" cm="1">
        <f t="array" ref="AK134">IF(V134=0,0,ROUND(AC134*V134*24*_xlfn.XLOOKUP(1,(D134&lt;=Table7[End])*(E134=Table7[근무처])*(F134=Table7[업무]),Table7[야간인센티브],0,0),0))</f>
        <v>0</v>
      </c>
      <c r="AL134" s="95"/>
      <c r="AM134" s="94">
        <f t="shared" ref="AM134:AM197" si="34">SUM(AE134,AH134:AL134)</f>
        <v>85440</v>
      </c>
      <c r="AN134" s="94" cm="1">
        <f t="array" ref="AN134">IF(AM134&gt;=_xlfn.XLOOKUP(TRUE,D134&lt;=Table5[End],Table5[비과세소득기준],0,0),AM134-_xlfn.XLOOKUP(TRUE,D134&lt;=Table5[End],Table5[비과세소득기준],0,0),0)</f>
        <v>0</v>
      </c>
      <c r="AO134" s="94" cm="1">
        <f t="array" ref="AO134">ROUNDDOWN(_xlfn.LET(_xlpm.setvalue,_xlfn.XLOOKUP(TRUE,D134&lt;=Table5[End],Table5[[요율]:[근로소득세액공제]],0,0),_xlpm.tax,AN134*PRODUCT((_xlpm.setvalue-{0,1})*{1,-1}),_xlpm.threshold,_xlfn.XLOOKUP(TRUE,D134&lt;=Table5[End],Table5[소액부징수기준],0,0),IF(_xlpm.tax&gt;=_xlpm.threshold,_xlpm.tax,0)),-1)</f>
        <v>0</v>
      </c>
      <c r="AP134" s="94">
        <f>ROUNDDOWN(Table2[[#This Row],[소득세]]*10%,-1)</f>
        <v>0</v>
      </c>
      <c r="AQ134" s="94">
        <f>IF(AB134="v",AM134+IF(Y134=8,SUMIFS(Table2[지급총액],Table2[주민등록번호],O134,Table2[월],R134,Table2[월간
근무일],"&lt;="&amp;8)-AM134,0),0)+_xlfn.NUMBERVALUE(AR134)</f>
        <v>0</v>
      </c>
      <c r="AR134" s="95"/>
      <c r="AS134" s="94" cm="1">
        <f t="array" ref="AS134">ROUNDDOWN($AQ134*_xlfn.XLOOKUP(1,(AS$5=Table8[Type])*($D134&lt;=Table8[End]),Table8[요율],0,0),0)</f>
        <v>0</v>
      </c>
      <c r="AT134" s="94" cm="1">
        <f t="array" ref="AT134">ROUNDDOWN(AS134*_xlfn.XLOOKUP(1,(AT$5=Table8[Type])*($D134&lt;=Table8[End]),Table8[요율],0,0),-1)</f>
        <v>0</v>
      </c>
      <c r="AU134" s="94" cm="1">
        <f t="array" ref="AU134">ROUNDDOWN($AQ134*_xlfn.XLOOKUP(1,(AU$5=Table8[Type])*($D134&lt;=Table8[End]),Table8[요율],0,0),-1)</f>
        <v>0</v>
      </c>
      <c r="AV134" s="94" cm="1">
        <f t="array" ref="AV134">ROUNDDOWN(AM134*_xlfn.XLOOKUP(1,(AV$5=Table8[Type])*($D134&lt;=Table8[End]),Table8[요율],0,0),-1)</f>
        <v>0</v>
      </c>
      <c r="AW134" s="94" cm="1">
        <f t="array" ref="AW134">_xlfn.XLOOKUP(1,(O134=Table2[주민등록번호])*(D134&gt;Table2[근무일자]),Table2[청구 Claim 
이월],0,0,-1)</f>
        <v>0</v>
      </c>
      <c r="AX134" s="95"/>
      <c r="AY134" s="94" cm="1">
        <f t="array" ref="AY134">MAX(SUM(AO134:AP134,AS134:AX134)-_xlfn.XLOOKUP(1,(D134&lt;=Table7[End])*(E134=Table7[근무처])*(F134=Table7[업무]),Table7[1일 공제 상한],0,0),0)</f>
        <v>0</v>
      </c>
      <c r="AZ134" s="94">
        <f t="shared" ref="AZ134:AZ197" si="35">SUM(AO134:AP134,AS134:AX134)-AY134</f>
        <v>0</v>
      </c>
      <c r="BA134" s="94">
        <f t="shared" ref="BA134:BA197" si="36">MAX(AM134-AZ134,0)</f>
        <v>85440</v>
      </c>
      <c r="BB134" s="97">
        <f t="shared" ref="BB134:BB197" si="37">-(MIN(AM134-AZ134,0)-AY134)</f>
        <v>0</v>
      </c>
      <c r="BC134" s="98"/>
      <c r="BD134" s="94">
        <f t="shared" ref="BD134:BD197" si="38">AS134</f>
        <v>0</v>
      </c>
      <c r="BE134" s="94">
        <f t="shared" ref="BE134:BE197" si="39">AT134</f>
        <v>0</v>
      </c>
      <c r="BF134" s="94">
        <f t="shared" ref="BF134:BF197" si="40">AU134</f>
        <v>0</v>
      </c>
      <c r="BG134" s="94">
        <f t="shared" ref="BG134:BG197" si="41">AV134</f>
        <v>0</v>
      </c>
      <c r="BH134" s="94" cm="1">
        <f t="array" ref="BH134">ROUNDDOWN(AM134*_xlfn.XLOOKUP(1,(BH$5=Table8[Type])*($D134&lt;=Table8[End]),Table8[요율],0,0),-1)</f>
        <v>680</v>
      </c>
      <c r="BI134" s="93" t="str" cm="1">
        <f t="array" ref="BI134">_xlfn.XLOOKUP(1,(D134&lt;=Table7[End])*(E134=Table7[근무처])*(F134=Table7[업무]),Table7[지급옵션],0,0)</f>
        <v>차주 화</v>
      </c>
      <c r="BJ134" s="83">
        <f>IF(BK134&lt;&gt;"",BK134,IFERROR(D134+_xlfn.NUMBERVALUE(RIGHT(BI134,1)),D134-WEEKDAY(D134)+CHOOSE(MATCH(RIGHT(BI134),{"일","월","화","수","목","금","토"},0),8,9,10,11,12,13,14)))</f>
        <v>45762</v>
      </c>
      <c r="BK134" s="99"/>
    </row>
    <row r="135" spans="2:63" x14ac:dyDescent="0.35">
      <c r="B135" s="20" t="str" cm="1">
        <f t="array" ref="B135">_xlfn.IFS(BB135&lt;&gt;BC135,"Claim확인",N135&lt;&gt;"OK","확인필요",TRUE,"")</f>
        <v/>
      </c>
      <c r="C135" s="21" t="str">
        <f t="shared" si="28"/>
        <v>010-5X8X-X4X0920X02XX253123</v>
      </c>
      <c r="D135" s="26">
        <v>45754</v>
      </c>
      <c r="E135" s="91" t="s">
        <v>255</v>
      </c>
      <c r="F135" s="25" t="s">
        <v>257</v>
      </c>
      <c r="G135" s="27" t="s">
        <v>288</v>
      </c>
      <c r="H135" s="25" t="s">
        <v>303</v>
      </c>
      <c r="I135" s="25"/>
      <c r="J135" s="25" t="s">
        <v>304</v>
      </c>
      <c r="K135" s="28">
        <v>0.45833333333333331</v>
      </c>
      <c r="L135" s="28">
        <v>0.83333333333333337</v>
      </c>
      <c r="M135" s="28">
        <v>4.1666666666666664E-2</v>
      </c>
      <c r="N135" s="25" t="s">
        <v>281</v>
      </c>
      <c r="O135" s="29" t="str">
        <f>_xlfn.XLOOKUP(Table2[[#This Row],[Key]],Table1[Key],Table1[주민등록번호],"",0)</f>
        <v>941XX31XX3X14</v>
      </c>
      <c r="P135" s="29">
        <f>_xlfn.XLOOKUP(Table2[[#This Row],[Key]],Table1[Key],Table1[비자],"",0)</f>
        <v>0</v>
      </c>
      <c r="Q135" s="29">
        <f>IF(P135=0,0,_xlfn.XLOOKUP(Table2[[#This Row],[Key]],Table1[Key],Table1[고용보험 여부],0,0))</f>
        <v>0</v>
      </c>
      <c r="R135" s="29" t="str">
        <f t="shared" si="29"/>
        <v>2504</v>
      </c>
      <c r="S135" s="30" t="str">
        <f>YEAR(Table2[[#This Row],[근무일자]])&amp;TEXT(WEEKNUM(Table2[[#This Row],[근무일자]]),"00")</f>
        <v>202515</v>
      </c>
      <c r="T135" s="31">
        <f>_xlfn.XLOOKUP(Table2[[#This Row],[Key]],Table1[Key],Table1[등록일],"",0)</f>
        <v>45846</v>
      </c>
      <c r="U135" s="32">
        <f t="shared" si="30"/>
        <v>0.33333333333333337</v>
      </c>
      <c r="V135" s="92">
        <f t="shared" si="31"/>
        <v>0</v>
      </c>
      <c r="W135" s="100" t="str">
        <f>_xlfn.XLOOKUP(Table2[[#This Row],[근무일자]],Table3[Date],Table3[Holiday],"",0)</f>
        <v/>
      </c>
      <c r="X135" s="93">
        <f>IF(D135&lt;&gt;"",1,0)+IF(COUNTIFS(Table2[주민등록번호],O135,Table2[월],TEXT(EOMONTH(D135,-1),"YYMM"))&gt;0,1+IF(COUNTIFS(Table2[주민등록번호],O135,Table2[월],TEXT(EOMONTH(D135,-2),"YYMM"))&gt;0,1+IF(COUNTIFS(Table2[주민등록번호],O135,Table2[월],TEXT(EOMONTH(D135,-3),"YYMM"))&gt;0,1,0),0),0)</f>
        <v>3</v>
      </c>
      <c r="Y135" s="29">
        <f>COUNTIFS(Table2[주민등록번호],O135,Table2[월],R135,Table2[근무일자],"&lt;="&amp;D135)</f>
        <v>4</v>
      </c>
      <c r="Z135" s="29">
        <f>COUNTIFS(Table2[주민등록번호],O135,Table2[주간],S135,Table2[근무일자],"&lt;="&amp;D135)</f>
        <v>1</v>
      </c>
      <c r="AA135" s="29">
        <f>SUMIFS(Table2[근로
시간],Table2[주민등록번호],O135,Table2[주간],S135,Table2[근무일자],"&lt;="&amp;D135)*24</f>
        <v>8</v>
      </c>
      <c r="AB135" s="29" t="str">
        <f>IF(AND(Y135&gt;=8,COUNTIFS(Table2[주민등록번호],O135,Table2[근무일자],"&gt;="&amp;EOMONTH(D135,-2)+1,Table2[근무일자],"&lt;="&amp;EOMONTH(D135,-1)+1)&gt;0),"V","")</f>
        <v/>
      </c>
      <c r="AC135" s="94" cm="1">
        <f t="array" ref="AC135">IF(AD135&lt;&gt;"",AD135,_xlfn.XLOOKUP(1,(D135&lt;=Table7[End])*(E135=Table7[근무처])*(F135=Table7[업무]),Table7[시급],0,0))</f>
        <v>10030</v>
      </c>
      <c r="AD135" s="95"/>
      <c r="AE135" s="94">
        <f t="shared" si="32"/>
        <v>80240</v>
      </c>
      <c r="AF135" s="96" cm="1">
        <f t="array" ref="AF135">IF(AND(AA135&gt;=15,(AA135-U135*24)&lt;=40),IF(Z135&gt;=_xlfn.XLOOKUP(1,(D135&lt;=Table7[End])*(E135=Table7[근무처])*(F135=Table7[업무]),Table7[주휴적용일],0,0),1,0)+_xlfn.XLOOKUP(1,(Table2[주간]=Table2[[#This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35" s="96" cm="1">
        <f t="array" ref="AG135">MAX((_xlfn.IFS(AF135=0,0,AF135=1,AA135,AF135&gt;1,U135*24)-IF(AA135&gt;40,AA135-40,0))/5,0)</f>
        <v>0</v>
      </c>
      <c r="AH135" s="94">
        <f t="shared" si="33"/>
        <v>0</v>
      </c>
      <c r="AI135" s="33" cm="1">
        <f t="array" ref="AI135">IF(W135="",0,ROUND(AC135*U135*24*_xlfn.XLOOKUP(1,(D135&lt;=Table7[End])*(E135=Table7[근무처])*(F135=Table7[업무]),Table7[휴일인센티브],0,0),0))</f>
        <v>0</v>
      </c>
      <c r="AJ135" s="94" cm="1">
        <f t="array" ref="AJ135">ROUND(AC135*IF(U135&gt;=8/24,U135-8/24,0)*24*_xlfn.XLOOKUP(1,(D135&lt;=Table7[End])*(E135=Table7[근무처])*(F135=Table7[업무]),Table7[야간인센티브],0,0),0)</f>
        <v>0</v>
      </c>
      <c r="AK135" s="94" cm="1">
        <f t="array" ref="AK135">IF(V135=0,0,ROUND(AC135*V135*24*_xlfn.XLOOKUP(1,(D135&lt;=Table7[End])*(E135=Table7[근무처])*(F135=Table7[업무]),Table7[야간인센티브],0,0),0))</f>
        <v>0</v>
      </c>
      <c r="AL135" s="95"/>
      <c r="AM135" s="94">
        <f t="shared" si="34"/>
        <v>80240</v>
      </c>
      <c r="AN135" s="94" cm="1">
        <f t="array" ref="AN135">IF(AM135&gt;=_xlfn.XLOOKUP(TRUE,D135&lt;=Table5[End],Table5[비과세소득기준],0,0),AM135-_xlfn.XLOOKUP(TRUE,D135&lt;=Table5[End],Table5[비과세소득기준],0,0),0)</f>
        <v>0</v>
      </c>
      <c r="AO135" s="94" cm="1">
        <f t="array" ref="AO135">ROUNDDOWN(_xlfn.LET(_xlpm.setvalue,_xlfn.XLOOKUP(TRUE,D135&lt;=Table5[End],Table5[[요율]:[근로소득세액공제]],0,0),_xlpm.tax,AN135*PRODUCT((_xlpm.setvalue-{0,1})*{1,-1}),_xlpm.threshold,_xlfn.XLOOKUP(TRUE,D135&lt;=Table5[End],Table5[소액부징수기준],0,0),IF(_xlpm.tax&gt;=_xlpm.threshold,_xlpm.tax,0)),-1)</f>
        <v>0</v>
      </c>
      <c r="AP135" s="94">
        <f>ROUNDDOWN(Table2[[#This Row],[소득세]]*10%,-1)</f>
        <v>0</v>
      </c>
      <c r="AQ135" s="94">
        <f>IF(AB135="v",AM135+IF(Y135=8,SUMIFS(Table2[지급총액],Table2[주민등록번호],O135,Table2[월],R135,Table2[월간
근무일],"&lt;="&amp;8)-AM135,0),0)+_xlfn.NUMBERVALUE(AR135)</f>
        <v>0</v>
      </c>
      <c r="AR135" s="95"/>
      <c r="AS135" s="94" cm="1">
        <f t="array" ref="AS135">ROUNDDOWN($AQ135*_xlfn.XLOOKUP(1,(AS$5=Table8[Type])*($D135&lt;=Table8[End]),Table8[요율],0,0),0)</f>
        <v>0</v>
      </c>
      <c r="AT135" s="94" cm="1">
        <f t="array" ref="AT135">ROUNDDOWN(AS135*_xlfn.XLOOKUP(1,(AT$5=Table8[Type])*($D135&lt;=Table8[End]),Table8[요율],0,0),-1)</f>
        <v>0</v>
      </c>
      <c r="AU135" s="94" cm="1">
        <f t="array" ref="AU135">ROUNDDOWN($AQ135*_xlfn.XLOOKUP(1,(AU$5=Table8[Type])*($D135&lt;=Table8[End]),Table8[요율],0,0),-1)</f>
        <v>0</v>
      </c>
      <c r="AV135" s="94" cm="1">
        <f t="array" ref="AV135">ROUNDDOWN(AM135*_xlfn.XLOOKUP(1,(AV$5=Table8[Type])*($D135&lt;=Table8[End]),Table8[요율],0,0),-1)</f>
        <v>0</v>
      </c>
      <c r="AW135" s="94" cm="1">
        <f t="array" ref="AW135">_xlfn.XLOOKUP(1,(O135=Table2[주민등록번호])*(D135&gt;Table2[근무일자]),Table2[청구 Claim 
이월],0,0,-1)</f>
        <v>0</v>
      </c>
      <c r="AX135" s="95"/>
      <c r="AY135" s="94" cm="1">
        <f t="array" ref="AY135">MAX(SUM(AO135:AP135,AS135:AX135)-_xlfn.XLOOKUP(1,(D135&lt;=Table7[End])*(E135=Table7[근무처])*(F135=Table7[업무]),Table7[1일 공제 상한],0,0),0)</f>
        <v>0</v>
      </c>
      <c r="AZ135" s="94">
        <f t="shared" si="35"/>
        <v>0</v>
      </c>
      <c r="BA135" s="94">
        <f t="shared" si="36"/>
        <v>80240</v>
      </c>
      <c r="BB135" s="97">
        <f t="shared" si="37"/>
        <v>0</v>
      </c>
      <c r="BC135" s="98"/>
      <c r="BD135" s="94">
        <f t="shared" si="38"/>
        <v>0</v>
      </c>
      <c r="BE135" s="94">
        <f t="shared" si="39"/>
        <v>0</v>
      </c>
      <c r="BF135" s="94">
        <f t="shared" si="40"/>
        <v>0</v>
      </c>
      <c r="BG135" s="94">
        <f t="shared" si="41"/>
        <v>0</v>
      </c>
      <c r="BH135" s="94" cm="1">
        <f t="array" ref="BH135">ROUNDDOWN(AM135*_xlfn.XLOOKUP(1,(BH$5=Table8[Type])*($D135&lt;=Table8[End]),Table8[요율],0,0),-1)</f>
        <v>640</v>
      </c>
      <c r="BI135" s="93" t="str" cm="1">
        <f t="array" ref="BI135">_xlfn.XLOOKUP(1,(D135&lt;=Table7[End])*(E135=Table7[근무처])*(F135=Table7[업무]),Table7[지급옵션],0,0)</f>
        <v>차주 화</v>
      </c>
      <c r="BJ135" s="83">
        <f>IF(BK135&lt;&gt;"",BK135,IFERROR(D135+_xlfn.NUMBERVALUE(RIGHT(BI135,1)),D135-WEEKDAY(D135)+CHOOSE(MATCH(RIGHT(BI135),{"일","월","화","수","목","금","토"},0),8,9,10,11,12,13,14)))</f>
        <v>45762</v>
      </c>
      <c r="BK135" s="99"/>
    </row>
    <row r="136" spans="2:63" x14ac:dyDescent="0.35">
      <c r="B136" s="20" t="str" cm="1">
        <f t="array" ref="B136">_xlfn.IFS(BB136&lt;&gt;BC136,"Claim확인",N136&lt;&gt;"OK","확인필요",TRUE,"")</f>
        <v/>
      </c>
      <c r="C136" s="21" t="str">
        <f t="shared" si="28"/>
        <v>010-6X1X-X3X0333X04XX46879</v>
      </c>
      <c r="D136" s="26">
        <v>45755</v>
      </c>
      <c r="E136" s="91" t="s">
        <v>255</v>
      </c>
      <c r="F136" s="25" t="s">
        <v>258</v>
      </c>
      <c r="G136" s="27" t="s">
        <v>284</v>
      </c>
      <c r="H136" s="25" t="s">
        <v>293</v>
      </c>
      <c r="I136" s="25"/>
      <c r="J136" s="25" t="s">
        <v>294</v>
      </c>
      <c r="K136" s="28">
        <v>0.3125</v>
      </c>
      <c r="L136" s="28">
        <v>0.6875</v>
      </c>
      <c r="M136" s="28">
        <v>4.1666666666666664E-2</v>
      </c>
      <c r="N136" s="25" t="s">
        <v>281</v>
      </c>
      <c r="O136" s="29" t="str">
        <f>_xlfn.XLOOKUP(Table2[[#This Row],[Key]],Table1[Key],Table1[주민등록번호],"",0)</f>
        <v>971XX61XX9X25</v>
      </c>
      <c r="P136" s="29">
        <f>_xlfn.XLOOKUP(Table2[[#This Row],[Key]],Table1[Key],Table1[비자],"",0)</f>
        <v>0</v>
      </c>
      <c r="Q136" s="29">
        <f>IF(P136=0,0,_xlfn.XLOOKUP(Table2[[#This Row],[Key]],Table1[Key],Table1[고용보험 여부],0,0))</f>
        <v>0</v>
      </c>
      <c r="R136" s="29" t="str">
        <f t="shared" si="29"/>
        <v>2504</v>
      </c>
      <c r="S136" s="30" t="str">
        <f>YEAR(Table2[[#This Row],[근무일자]])&amp;TEXT(WEEKNUM(Table2[[#This Row],[근무일자]]),"00")</f>
        <v>202515</v>
      </c>
      <c r="T136" s="31">
        <f>_xlfn.XLOOKUP(Table2[[#This Row],[Key]],Table1[Key],Table1[등록일],"",0)</f>
        <v>45721</v>
      </c>
      <c r="U136" s="32">
        <f t="shared" si="30"/>
        <v>0.33333333333333331</v>
      </c>
      <c r="V136" s="92">
        <f t="shared" si="31"/>
        <v>0</v>
      </c>
      <c r="W136" s="100" t="str">
        <f>_xlfn.XLOOKUP(Table2[[#This Row],[근무일자]],Table3[Date],Table3[Holiday],"",0)</f>
        <v/>
      </c>
      <c r="X136" s="93">
        <f>IF(D136&lt;&gt;"",1,0)+IF(COUNTIFS(Table2[주민등록번호],O136,Table2[월],TEXT(EOMONTH(D136,-1),"YYMM"))&gt;0,1+IF(COUNTIFS(Table2[주민등록번호],O136,Table2[월],TEXT(EOMONTH(D136,-2),"YYMM"))&gt;0,1+IF(COUNTIFS(Table2[주민등록번호],O136,Table2[월],TEXT(EOMONTH(D136,-3),"YYMM"))&gt;0,1,0),0),0)</f>
        <v>2</v>
      </c>
      <c r="Y136" s="29">
        <f>COUNTIFS(Table2[주민등록번호],O136,Table2[월],R136,Table2[근무일자],"&lt;="&amp;D136)</f>
        <v>6</v>
      </c>
      <c r="Z136" s="29">
        <f>COUNTIFS(Table2[주민등록번호],O136,Table2[주간],S136,Table2[근무일자],"&lt;="&amp;D136)</f>
        <v>2</v>
      </c>
      <c r="AA136" s="29">
        <f>SUMIFS(Table2[근로
시간],Table2[주민등록번호],O136,Table2[주간],S136,Table2[근무일자],"&lt;="&amp;D136)*24</f>
        <v>16</v>
      </c>
      <c r="AB136" s="29" t="str">
        <f>IF(AND(Y136&gt;=8,COUNTIFS(Table2[주민등록번호],O136,Table2[근무일자],"&gt;="&amp;EOMONTH(D136,-2)+1,Table2[근무일자],"&lt;="&amp;EOMONTH(D136,-1)+1)&gt;0),"V","")</f>
        <v/>
      </c>
      <c r="AC136" s="94" cm="1">
        <f t="array" ref="AC136">IF(AD136&lt;&gt;"",AD136,_xlfn.XLOOKUP(1,(D136&lt;=Table7[End])*(E136=Table7[근무처])*(F136=Table7[업무]),Table7[시급],0,0))</f>
        <v>10680</v>
      </c>
      <c r="AD136" s="95"/>
      <c r="AE136" s="94">
        <f t="shared" si="32"/>
        <v>85440</v>
      </c>
      <c r="AF136" s="96" cm="1">
        <f t="array" ref="AF136">IF(AND(AA136&gt;=15,(AA136-U136*24)&lt;=40),IF(Z136&gt;=_xlfn.XLOOKUP(1,(D136&lt;=Table7[End])*(E136=Table7[근무처])*(F136=Table7[업무]),Table7[주휴적용일],0,0),1,0)+_xlfn.XLOOKUP(1,(Table2[주간]=Table2[[#This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36" s="96" cm="1">
        <f t="array" ref="AG136">MAX((_xlfn.IFS(AF136=0,0,AF136=1,AA136,AF136&gt;1,U136*24)-IF(AA136&gt;40,AA136-40,0))/5,0)</f>
        <v>3.2</v>
      </c>
      <c r="AH136" s="94">
        <f t="shared" si="33"/>
        <v>34176</v>
      </c>
      <c r="AI136" s="33" cm="1">
        <f t="array" ref="AI136">IF(W136="",0,ROUND(AC136*U136*24*_xlfn.XLOOKUP(1,(D136&lt;=Table7[End])*(E136=Table7[근무처])*(F136=Table7[업무]),Table7[휴일인센티브],0,0),0))</f>
        <v>0</v>
      </c>
      <c r="AJ136" s="94" cm="1">
        <f t="array" ref="AJ136">ROUND(AC136*IF(U136&gt;=8/24,U136-8/24,0)*24*_xlfn.XLOOKUP(1,(D136&lt;=Table7[End])*(E136=Table7[근무처])*(F136=Table7[업무]),Table7[야간인센티브],0,0),0)</f>
        <v>0</v>
      </c>
      <c r="AK136" s="94" cm="1">
        <f t="array" ref="AK136">IF(V136=0,0,ROUND(AC136*V136*24*_xlfn.XLOOKUP(1,(D136&lt;=Table7[End])*(E136=Table7[근무처])*(F136=Table7[업무]),Table7[야간인센티브],0,0),0))</f>
        <v>0</v>
      </c>
      <c r="AL136" s="95"/>
      <c r="AM136" s="94">
        <f t="shared" si="34"/>
        <v>119616</v>
      </c>
      <c r="AN136" s="94" cm="1">
        <f t="array" ref="AN136">IF(AM136&gt;=_xlfn.XLOOKUP(TRUE,D136&lt;=Table5[End],Table5[비과세소득기준],0,0),AM136-_xlfn.XLOOKUP(TRUE,D136&lt;=Table5[End],Table5[비과세소득기준],0,0),0)</f>
        <v>0</v>
      </c>
      <c r="AO136" s="94" cm="1">
        <f t="array" ref="AO136">ROUNDDOWN(_xlfn.LET(_xlpm.setvalue,_xlfn.XLOOKUP(TRUE,D136&lt;=Table5[End],Table5[[요율]:[근로소득세액공제]],0,0),_xlpm.tax,AN136*PRODUCT((_xlpm.setvalue-{0,1})*{1,-1}),_xlpm.threshold,_xlfn.XLOOKUP(TRUE,D136&lt;=Table5[End],Table5[소액부징수기준],0,0),IF(_xlpm.tax&gt;=_xlpm.threshold,_xlpm.tax,0)),-1)</f>
        <v>0</v>
      </c>
      <c r="AP136" s="94">
        <f>ROUNDDOWN(Table2[[#This Row],[소득세]]*10%,-1)</f>
        <v>0</v>
      </c>
      <c r="AQ136" s="94">
        <f>IF(AB136="v",AM136+IF(Y136=8,SUMIFS(Table2[지급총액],Table2[주민등록번호],O136,Table2[월],R136,Table2[월간
근무일],"&lt;="&amp;8)-AM136,0),0)+_xlfn.NUMBERVALUE(AR136)</f>
        <v>0</v>
      </c>
      <c r="AR136" s="95"/>
      <c r="AS136" s="94" cm="1">
        <f t="array" ref="AS136">ROUNDDOWN($AQ136*_xlfn.XLOOKUP(1,(AS$5=Table8[Type])*($D136&lt;=Table8[End]),Table8[요율],0,0),0)</f>
        <v>0</v>
      </c>
      <c r="AT136" s="94" cm="1">
        <f t="array" ref="AT136">ROUNDDOWN(AS136*_xlfn.XLOOKUP(1,(AT$5=Table8[Type])*($D136&lt;=Table8[End]),Table8[요율],0,0),-1)</f>
        <v>0</v>
      </c>
      <c r="AU136" s="94" cm="1">
        <f t="array" ref="AU136">ROUNDDOWN($AQ136*_xlfn.XLOOKUP(1,(AU$5=Table8[Type])*($D136&lt;=Table8[End]),Table8[요율],0,0),-1)</f>
        <v>0</v>
      </c>
      <c r="AV136" s="94" cm="1">
        <f t="array" ref="AV136">ROUNDDOWN(AM136*_xlfn.XLOOKUP(1,(AV$5=Table8[Type])*($D136&lt;=Table8[End]),Table8[요율],0,0),-1)</f>
        <v>0</v>
      </c>
      <c r="AW136" s="94" cm="1">
        <f t="array" ref="AW136">_xlfn.XLOOKUP(1,(O136=Table2[주민등록번호])*(D136&gt;Table2[근무일자]),Table2[청구 Claim 
이월],0,0,-1)</f>
        <v>0</v>
      </c>
      <c r="AX136" s="95"/>
      <c r="AY136" s="94" cm="1">
        <f t="array" ref="AY136">MAX(SUM(AO136:AP136,AS136:AX136)-_xlfn.XLOOKUP(1,(D136&lt;=Table7[End])*(E136=Table7[근무처])*(F136=Table7[업무]),Table7[1일 공제 상한],0,0),0)</f>
        <v>0</v>
      </c>
      <c r="AZ136" s="94">
        <f t="shared" si="35"/>
        <v>0</v>
      </c>
      <c r="BA136" s="94">
        <f t="shared" si="36"/>
        <v>119616</v>
      </c>
      <c r="BB136" s="97">
        <f t="shared" si="37"/>
        <v>0</v>
      </c>
      <c r="BC136" s="98"/>
      <c r="BD136" s="94">
        <f t="shared" si="38"/>
        <v>0</v>
      </c>
      <c r="BE136" s="94">
        <f t="shared" si="39"/>
        <v>0</v>
      </c>
      <c r="BF136" s="94">
        <f t="shared" si="40"/>
        <v>0</v>
      </c>
      <c r="BG136" s="94">
        <f t="shared" si="41"/>
        <v>0</v>
      </c>
      <c r="BH136" s="94" cm="1">
        <f t="array" ref="BH136">ROUNDDOWN(AM136*_xlfn.XLOOKUP(1,(BH$5=Table8[Type])*($D136&lt;=Table8[End]),Table8[요율],0,0),-1)</f>
        <v>950</v>
      </c>
      <c r="BI136" s="93" t="str" cm="1">
        <f t="array" ref="BI136">_xlfn.XLOOKUP(1,(D136&lt;=Table7[End])*(E136=Table7[근무처])*(F136=Table7[업무]),Table7[지급옵션],0,0)</f>
        <v>차주 화</v>
      </c>
      <c r="BJ136" s="83">
        <f>IF(BK136&lt;&gt;"",BK136,IFERROR(D136+_xlfn.NUMBERVALUE(RIGHT(BI136,1)),D136-WEEKDAY(D136)+CHOOSE(MATCH(RIGHT(BI136),{"일","월","화","수","목","금","토"},0),8,9,10,11,12,13,14)))</f>
        <v>45762</v>
      </c>
      <c r="BK136" s="99"/>
    </row>
    <row r="137" spans="2:63" x14ac:dyDescent="0.35">
      <c r="B137" s="20" t="str" cm="1">
        <f t="array" ref="B137">_xlfn.IFS(BB137&lt;&gt;BC137,"Claim확인",N137&lt;&gt;"OK","확인필요",TRUE,"")</f>
        <v/>
      </c>
      <c r="C137" s="21" t="str">
        <f t="shared" si="28"/>
        <v>010-5X8X-X4X0920X02XX253123</v>
      </c>
      <c r="D137" s="26">
        <v>45755</v>
      </c>
      <c r="E137" s="91" t="s">
        <v>255</v>
      </c>
      <c r="F137" s="25" t="s">
        <v>257</v>
      </c>
      <c r="G137" s="27" t="s">
        <v>288</v>
      </c>
      <c r="H137" s="25" t="s">
        <v>303</v>
      </c>
      <c r="I137" s="25"/>
      <c r="J137" s="25" t="s">
        <v>304</v>
      </c>
      <c r="K137" s="28">
        <v>0.45833333333333331</v>
      </c>
      <c r="L137" s="28">
        <v>0.83333333333333337</v>
      </c>
      <c r="M137" s="28">
        <v>4.1666666666666664E-2</v>
      </c>
      <c r="N137" s="25" t="s">
        <v>281</v>
      </c>
      <c r="O137" s="29" t="str">
        <f>_xlfn.XLOOKUP(Table2[[#This Row],[Key]],Table1[Key],Table1[주민등록번호],"",0)</f>
        <v>941XX31XX3X14</v>
      </c>
      <c r="P137" s="29">
        <f>_xlfn.XLOOKUP(Table2[[#This Row],[Key]],Table1[Key],Table1[비자],"",0)</f>
        <v>0</v>
      </c>
      <c r="Q137" s="29">
        <f>IF(P137=0,0,_xlfn.XLOOKUP(Table2[[#This Row],[Key]],Table1[Key],Table1[고용보험 여부],0,0))</f>
        <v>0</v>
      </c>
      <c r="R137" s="29" t="str">
        <f t="shared" si="29"/>
        <v>2504</v>
      </c>
      <c r="S137" s="30" t="str">
        <f>YEAR(Table2[[#This Row],[근무일자]])&amp;TEXT(WEEKNUM(Table2[[#This Row],[근무일자]]),"00")</f>
        <v>202515</v>
      </c>
      <c r="T137" s="31">
        <f>_xlfn.XLOOKUP(Table2[[#This Row],[Key]],Table1[Key],Table1[등록일],"",0)</f>
        <v>45846</v>
      </c>
      <c r="U137" s="32">
        <f t="shared" si="30"/>
        <v>0.33333333333333337</v>
      </c>
      <c r="V137" s="92">
        <f t="shared" si="31"/>
        <v>0</v>
      </c>
      <c r="W137" s="100" t="str">
        <f>_xlfn.XLOOKUP(Table2[[#This Row],[근무일자]],Table3[Date],Table3[Holiday],"",0)</f>
        <v/>
      </c>
      <c r="X137" s="93">
        <f>IF(D137&lt;&gt;"",1,0)+IF(COUNTIFS(Table2[주민등록번호],O137,Table2[월],TEXT(EOMONTH(D137,-1),"YYMM"))&gt;0,1+IF(COUNTIFS(Table2[주민등록번호],O137,Table2[월],TEXT(EOMONTH(D137,-2),"YYMM"))&gt;0,1+IF(COUNTIFS(Table2[주민등록번호],O137,Table2[월],TEXT(EOMONTH(D137,-3),"YYMM"))&gt;0,1,0),0),0)</f>
        <v>3</v>
      </c>
      <c r="Y137" s="29">
        <f>COUNTIFS(Table2[주민등록번호],O137,Table2[월],R137,Table2[근무일자],"&lt;="&amp;D137)</f>
        <v>5</v>
      </c>
      <c r="Z137" s="29">
        <f>COUNTIFS(Table2[주민등록번호],O137,Table2[주간],S137,Table2[근무일자],"&lt;="&amp;D137)</f>
        <v>2</v>
      </c>
      <c r="AA137" s="29">
        <f>SUMIFS(Table2[근로
시간],Table2[주민등록번호],O137,Table2[주간],S137,Table2[근무일자],"&lt;="&amp;D137)*24</f>
        <v>16</v>
      </c>
      <c r="AB137" s="29" t="str">
        <f>IF(AND(Y137&gt;=8,COUNTIFS(Table2[주민등록번호],O137,Table2[근무일자],"&gt;="&amp;EOMONTH(D137,-2)+1,Table2[근무일자],"&lt;="&amp;EOMONTH(D137,-1)+1)&gt;0),"V","")</f>
        <v/>
      </c>
      <c r="AC137" s="94" cm="1">
        <f t="array" ref="AC137">IF(AD137&lt;&gt;"",AD137,_xlfn.XLOOKUP(1,(D137&lt;=Table7[End])*(E137=Table7[근무처])*(F137=Table7[업무]),Table7[시급],0,0))</f>
        <v>10030</v>
      </c>
      <c r="AD137" s="95"/>
      <c r="AE137" s="94">
        <f t="shared" si="32"/>
        <v>80240</v>
      </c>
      <c r="AF137" s="96" cm="1">
        <f t="array" ref="AF137">IF(AND(AA137&gt;=15,(AA137-U137*24)&lt;=40),IF(Z137&gt;=_xlfn.XLOOKUP(1,(D137&lt;=Table7[End])*(E137=Table7[근무처])*(F137=Table7[업무]),Table7[주휴적용일],0,0),1,0)+_xlfn.XLOOKUP(1,(Table2[주간]=Table2[[#This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37" s="96" cm="1">
        <f t="array" ref="AG137">MAX((_xlfn.IFS(AF137=0,0,AF137=1,AA137,AF137&gt;1,U137*24)-IF(AA137&gt;40,AA137-40,0))/5,0)</f>
        <v>3.2</v>
      </c>
      <c r="AH137" s="94">
        <f t="shared" si="33"/>
        <v>32096</v>
      </c>
      <c r="AI137" s="33" cm="1">
        <f t="array" ref="AI137">IF(W137="",0,ROUND(AC137*U137*24*_xlfn.XLOOKUP(1,(D137&lt;=Table7[End])*(E137=Table7[근무처])*(F137=Table7[업무]),Table7[휴일인센티브],0,0),0))</f>
        <v>0</v>
      </c>
      <c r="AJ137" s="94" cm="1">
        <f t="array" ref="AJ137">ROUND(AC137*IF(U137&gt;=8/24,U137-8/24,0)*24*_xlfn.XLOOKUP(1,(D137&lt;=Table7[End])*(E137=Table7[근무처])*(F137=Table7[업무]),Table7[야간인센티브],0,0),0)</f>
        <v>0</v>
      </c>
      <c r="AK137" s="94" cm="1">
        <f t="array" ref="AK137">IF(V137=0,0,ROUND(AC137*V137*24*_xlfn.XLOOKUP(1,(D137&lt;=Table7[End])*(E137=Table7[근무처])*(F137=Table7[업무]),Table7[야간인센티브],0,0),0))</f>
        <v>0</v>
      </c>
      <c r="AL137" s="95"/>
      <c r="AM137" s="94">
        <f t="shared" si="34"/>
        <v>112336</v>
      </c>
      <c r="AN137" s="94" cm="1">
        <f t="array" ref="AN137">IF(AM137&gt;=_xlfn.XLOOKUP(TRUE,D137&lt;=Table5[End],Table5[비과세소득기준],0,0),AM137-_xlfn.XLOOKUP(TRUE,D137&lt;=Table5[End],Table5[비과세소득기준],0,0),0)</f>
        <v>0</v>
      </c>
      <c r="AO137" s="94" cm="1">
        <f t="array" ref="AO137">ROUNDDOWN(_xlfn.LET(_xlpm.setvalue,_xlfn.XLOOKUP(TRUE,D137&lt;=Table5[End],Table5[[요율]:[근로소득세액공제]],0,0),_xlpm.tax,AN137*PRODUCT((_xlpm.setvalue-{0,1})*{1,-1}),_xlpm.threshold,_xlfn.XLOOKUP(TRUE,D137&lt;=Table5[End],Table5[소액부징수기준],0,0),IF(_xlpm.tax&gt;=_xlpm.threshold,_xlpm.tax,0)),-1)</f>
        <v>0</v>
      </c>
      <c r="AP137" s="94">
        <f>ROUNDDOWN(Table2[[#This Row],[소득세]]*10%,-1)</f>
        <v>0</v>
      </c>
      <c r="AQ137" s="94">
        <f>IF(AB137="v",AM137+IF(Y137=8,SUMIFS(Table2[지급총액],Table2[주민등록번호],O137,Table2[월],R137,Table2[월간
근무일],"&lt;="&amp;8)-AM137,0),0)+_xlfn.NUMBERVALUE(AR137)</f>
        <v>0</v>
      </c>
      <c r="AR137" s="95"/>
      <c r="AS137" s="94" cm="1">
        <f t="array" ref="AS137">ROUNDDOWN($AQ137*_xlfn.XLOOKUP(1,(AS$5=Table8[Type])*($D137&lt;=Table8[End]),Table8[요율],0,0),0)</f>
        <v>0</v>
      </c>
      <c r="AT137" s="94" cm="1">
        <f t="array" ref="AT137">ROUNDDOWN(AS137*_xlfn.XLOOKUP(1,(AT$5=Table8[Type])*($D137&lt;=Table8[End]),Table8[요율],0,0),-1)</f>
        <v>0</v>
      </c>
      <c r="AU137" s="94" cm="1">
        <f t="array" ref="AU137">ROUNDDOWN($AQ137*_xlfn.XLOOKUP(1,(AU$5=Table8[Type])*($D137&lt;=Table8[End]),Table8[요율],0,0),-1)</f>
        <v>0</v>
      </c>
      <c r="AV137" s="94" cm="1">
        <f t="array" ref="AV137">ROUNDDOWN(AM137*_xlfn.XLOOKUP(1,(AV$5=Table8[Type])*($D137&lt;=Table8[End]),Table8[요율],0,0),-1)</f>
        <v>0</v>
      </c>
      <c r="AW137" s="94" cm="1">
        <f t="array" ref="AW137">_xlfn.XLOOKUP(1,(O137=Table2[주민등록번호])*(D137&gt;Table2[근무일자]),Table2[청구 Claim 
이월],0,0,-1)</f>
        <v>0</v>
      </c>
      <c r="AX137" s="95"/>
      <c r="AY137" s="94" cm="1">
        <f t="array" ref="AY137">MAX(SUM(AO137:AP137,AS137:AX137)-_xlfn.XLOOKUP(1,(D137&lt;=Table7[End])*(E137=Table7[근무처])*(F137=Table7[업무]),Table7[1일 공제 상한],0,0),0)</f>
        <v>0</v>
      </c>
      <c r="AZ137" s="94">
        <f t="shared" si="35"/>
        <v>0</v>
      </c>
      <c r="BA137" s="94">
        <f t="shared" si="36"/>
        <v>112336</v>
      </c>
      <c r="BB137" s="97">
        <f t="shared" si="37"/>
        <v>0</v>
      </c>
      <c r="BC137" s="98"/>
      <c r="BD137" s="94">
        <f t="shared" si="38"/>
        <v>0</v>
      </c>
      <c r="BE137" s="94">
        <f t="shared" si="39"/>
        <v>0</v>
      </c>
      <c r="BF137" s="94">
        <f t="shared" si="40"/>
        <v>0</v>
      </c>
      <c r="BG137" s="94">
        <f t="shared" si="41"/>
        <v>0</v>
      </c>
      <c r="BH137" s="94" cm="1">
        <f t="array" ref="BH137">ROUNDDOWN(AM137*_xlfn.XLOOKUP(1,(BH$5=Table8[Type])*($D137&lt;=Table8[End]),Table8[요율],0,0),-1)</f>
        <v>890</v>
      </c>
      <c r="BI137" s="93" t="str" cm="1">
        <f t="array" ref="BI137">_xlfn.XLOOKUP(1,(D137&lt;=Table7[End])*(E137=Table7[근무처])*(F137=Table7[업무]),Table7[지급옵션],0,0)</f>
        <v>차주 화</v>
      </c>
      <c r="BJ137" s="83">
        <f>IF(BK137&lt;&gt;"",BK137,IFERROR(D137+_xlfn.NUMBERVALUE(RIGHT(BI137,1)),D137-WEEKDAY(D137)+CHOOSE(MATCH(RIGHT(BI137),{"일","월","화","수","목","금","토"},0),8,9,10,11,12,13,14)))</f>
        <v>45762</v>
      </c>
      <c r="BK137" s="99"/>
    </row>
    <row r="138" spans="2:63" x14ac:dyDescent="0.35">
      <c r="B138" s="20" t="str" cm="1">
        <f t="array" ref="B138">_xlfn.IFS(BB138&lt;&gt;BC138,"Claim확인",N138&lt;&gt;"OK","확인필요",TRUE,"")</f>
        <v/>
      </c>
      <c r="C138" s="21" t="str">
        <f t="shared" si="28"/>
        <v>010-6X1X-X3X0333X04XX46879</v>
      </c>
      <c r="D138" s="26">
        <v>45756</v>
      </c>
      <c r="E138" s="91" t="s">
        <v>255</v>
      </c>
      <c r="F138" s="25" t="s">
        <v>258</v>
      </c>
      <c r="G138" s="27" t="s">
        <v>284</v>
      </c>
      <c r="H138" s="25" t="s">
        <v>293</v>
      </c>
      <c r="I138" s="25"/>
      <c r="J138" s="25" t="s">
        <v>294</v>
      </c>
      <c r="K138" s="28">
        <v>0.3125</v>
      </c>
      <c r="L138" s="28">
        <v>0.6875</v>
      </c>
      <c r="M138" s="28">
        <v>4.1666666666666664E-2</v>
      </c>
      <c r="N138" s="25" t="s">
        <v>281</v>
      </c>
      <c r="O138" s="29" t="str">
        <f>_xlfn.XLOOKUP(Table2[[#This Row],[Key]],Table1[Key],Table1[주민등록번호],"",0)</f>
        <v>971XX61XX9X25</v>
      </c>
      <c r="P138" s="29">
        <f>_xlfn.XLOOKUP(Table2[[#This Row],[Key]],Table1[Key],Table1[비자],"",0)</f>
        <v>0</v>
      </c>
      <c r="Q138" s="29">
        <f>IF(P138=0,0,_xlfn.XLOOKUP(Table2[[#This Row],[Key]],Table1[Key],Table1[고용보험 여부],0,0))</f>
        <v>0</v>
      </c>
      <c r="R138" s="29" t="str">
        <f t="shared" si="29"/>
        <v>2504</v>
      </c>
      <c r="S138" s="30" t="str">
        <f>YEAR(Table2[[#This Row],[근무일자]])&amp;TEXT(WEEKNUM(Table2[[#This Row],[근무일자]]),"00")</f>
        <v>202515</v>
      </c>
      <c r="T138" s="31">
        <f>_xlfn.XLOOKUP(Table2[[#This Row],[Key]],Table1[Key],Table1[등록일],"",0)</f>
        <v>45721</v>
      </c>
      <c r="U138" s="32">
        <f t="shared" si="30"/>
        <v>0.33333333333333331</v>
      </c>
      <c r="V138" s="92">
        <f t="shared" si="31"/>
        <v>0</v>
      </c>
      <c r="W138" s="100" t="str">
        <f>_xlfn.XLOOKUP(Table2[[#This Row],[근무일자]],Table3[Date],Table3[Holiday],"",0)</f>
        <v/>
      </c>
      <c r="X138" s="93">
        <f>IF(D138&lt;&gt;"",1,0)+IF(COUNTIFS(Table2[주민등록번호],O138,Table2[월],TEXT(EOMONTH(D138,-1),"YYMM"))&gt;0,1+IF(COUNTIFS(Table2[주민등록번호],O138,Table2[월],TEXT(EOMONTH(D138,-2),"YYMM"))&gt;0,1+IF(COUNTIFS(Table2[주민등록번호],O138,Table2[월],TEXT(EOMONTH(D138,-3),"YYMM"))&gt;0,1,0),0),0)</f>
        <v>2</v>
      </c>
      <c r="Y138" s="29">
        <f>COUNTIFS(Table2[주민등록번호],O138,Table2[월],R138,Table2[근무일자],"&lt;="&amp;D138)</f>
        <v>7</v>
      </c>
      <c r="Z138" s="29">
        <f>COUNTIFS(Table2[주민등록번호],O138,Table2[주간],S138,Table2[근무일자],"&lt;="&amp;D138)</f>
        <v>3</v>
      </c>
      <c r="AA138" s="29">
        <f>SUMIFS(Table2[근로
시간],Table2[주민등록번호],O138,Table2[주간],S138,Table2[근무일자],"&lt;="&amp;D138)*24</f>
        <v>24</v>
      </c>
      <c r="AB138" s="29" t="str">
        <f>IF(AND(Y138&gt;=8,COUNTIFS(Table2[주민등록번호],O138,Table2[근무일자],"&gt;="&amp;EOMONTH(D138,-2)+1,Table2[근무일자],"&lt;="&amp;EOMONTH(D138,-1)+1)&gt;0),"V","")</f>
        <v/>
      </c>
      <c r="AC138" s="94" cm="1">
        <f t="array" ref="AC138">IF(AD138&lt;&gt;"",AD138,_xlfn.XLOOKUP(1,(D138&lt;=Table7[End])*(E138=Table7[근무처])*(F138=Table7[업무]),Table7[시급],0,0))</f>
        <v>10680</v>
      </c>
      <c r="AD138" s="95"/>
      <c r="AE138" s="94">
        <f t="shared" si="32"/>
        <v>85440</v>
      </c>
      <c r="AF138" s="96" cm="1">
        <f t="array" ref="AF138">IF(AND(AA138&gt;=15,(AA138-U138*24)&lt;=40),IF(Z138&gt;=_xlfn.XLOOKUP(1,(D138&lt;=Table7[End])*(E138=Table7[근무처])*(F138=Table7[업무]),Table7[주휴적용일],0,0),1,0)+_xlfn.XLOOKUP(1,(Table2[주간]=Table2[[#This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38" s="96" cm="1">
        <f t="array" ref="AG138">MAX((_xlfn.IFS(AF138=0,0,AF138=1,AA138,AF138&gt;1,U138*24)-IF(AA138&gt;40,AA138-40,0))/5,0)</f>
        <v>1.6</v>
      </c>
      <c r="AH138" s="94">
        <f t="shared" si="33"/>
        <v>17088</v>
      </c>
      <c r="AI138" s="33" cm="1">
        <f t="array" ref="AI138">IF(W138="",0,ROUND(AC138*U138*24*_xlfn.XLOOKUP(1,(D138&lt;=Table7[End])*(E138=Table7[근무처])*(F138=Table7[업무]),Table7[휴일인센티브],0,0),0))</f>
        <v>0</v>
      </c>
      <c r="AJ138" s="94" cm="1">
        <f t="array" ref="AJ138">ROUND(AC138*IF(U138&gt;=8/24,U138-8/24,0)*24*_xlfn.XLOOKUP(1,(D138&lt;=Table7[End])*(E138=Table7[근무처])*(F138=Table7[업무]),Table7[야간인센티브],0,0),0)</f>
        <v>0</v>
      </c>
      <c r="AK138" s="94" cm="1">
        <f t="array" ref="AK138">IF(V138=0,0,ROUND(AC138*V138*24*_xlfn.XLOOKUP(1,(D138&lt;=Table7[End])*(E138=Table7[근무처])*(F138=Table7[업무]),Table7[야간인센티브],0,0),0))</f>
        <v>0</v>
      </c>
      <c r="AL138" s="95"/>
      <c r="AM138" s="94">
        <f t="shared" si="34"/>
        <v>102528</v>
      </c>
      <c r="AN138" s="94" cm="1">
        <f t="array" ref="AN138">IF(AM138&gt;=_xlfn.XLOOKUP(TRUE,D138&lt;=Table5[End],Table5[비과세소득기준],0,0),AM138-_xlfn.XLOOKUP(TRUE,D138&lt;=Table5[End],Table5[비과세소득기준],0,0),0)</f>
        <v>0</v>
      </c>
      <c r="AO138" s="94" cm="1">
        <f t="array" ref="AO138">ROUNDDOWN(_xlfn.LET(_xlpm.setvalue,_xlfn.XLOOKUP(TRUE,D138&lt;=Table5[End],Table5[[요율]:[근로소득세액공제]],0,0),_xlpm.tax,AN138*PRODUCT((_xlpm.setvalue-{0,1})*{1,-1}),_xlpm.threshold,_xlfn.XLOOKUP(TRUE,D138&lt;=Table5[End],Table5[소액부징수기준],0,0),IF(_xlpm.tax&gt;=_xlpm.threshold,_xlpm.tax,0)),-1)</f>
        <v>0</v>
      </c>
      <c r="AP138" s="94">
        <f>ROUNDDOWN(Table2[[#This Row],[소득세]]*10%,-1)</f>
        <v>0</v>
      </c>
      <c r="AQ138" s="94">
        <f>IF(AB138="v",AM138+IF(Y138=8,SUMIFS(Table2[지급총액],Table2[주민등록번호],O138,Table2[월],R138,Table2[월간
근무일],"&lt;="&amp;8)-AM138,0),0)+_xlfn.NUMBERVALUE(AR138)</f>
        <v>0</v>
      </c>
      <c r="AR138" s="95"/>
      <c r="AS138" s="94" cm="1">
        <f t="array" ref="AS138">ROUNDDOWN($AQ138*_xlfn.XLOOKUP(1,(AS$5=Table8[Type])*($D138&lt;=Table8[End]),Table8[요율],0,0),0)</f>
        <v>0</v>
      </c>
      <c r="AT138" s="94" cm="1">
        <f t="array" ref="AT138">ROUNDDOWN(AS138*_xlfn.XLOOKUP(1,(AT$5=Table8[Type])*($D138&lt;=Table8[End]),Table8[요율],0,0),-1)</f>
        <v>0</v>
      </c>
      <c r="AU138" s="94" cm="1">
        <f t="array" ref="AU138">ROUNDDOWN($AQ138*_xlfn.XLOOKUP(1,(AU$5=Table8[Type])*($D138&lt;=Table8[End]),Table8[요율],0,0),-1)</f>
        <v>0</v>
      </c>
      <c r="AV138" s="94" cm="1">
        <f t="array" ref="AV138">ROUNDDOWN(AM138*_xlfn.XLOOKUP(1,(AV$5=Table8[Type])*($D138&lt;=Table8[End]),Table8[요율],0,0),-1)</f>
        <v>0</v>
      </c>
      <c r="AW138" s="94" cm="1">
        <f t="array" ref="AW138">_xlfn.XLOOKUP(1,(O138=Table2[주민등록번호])*(D138&gt;Table2[근무일자]),Table2[청구 Claim 
이월],0,0,-1)</f>
        <v>0</v>
      </c>
      <c r="AX138" s="95"/>
      <c r="AY138" s="94" cm="1">
        <f t="array" ref="AY138">MAX(SUM(AO138:AP138,AS138:AX138)-_xlfn.XLOOKUP(1,(D138&lt;=Table7[End])*(E138=Table7[근무처])*(F138=Table7[업무]),Table7[1일 공제 상한],0,0),0)</f>
        <v>0</v>
      </c>
      <c r="AZ138" s="94">
        <f t="shared" si="35"/>
        <v>0</v>
      </c>
      <c r="BA138" s="94">
        <f t="shared" si="36"/>
        <v>102528</v>
      </c>
      <c r="BB138" s="97">
        <f t="shared" si="37"/>
        <v>0</v>
      </c>
      <c r="BC138" s="98"/>
      <c r="BD138" s="94">
        <f t="shared" si="38"/>
        <v>0</v>
      </c>
      <c r="BE138" s="94">
        <f t="shared" si="39"/>
        <v>0</v>
      </c>
      <c r="BF138" s="94">
        <f t="shared" si="40"/>
        <v>0</v>
      </c>
      <c r="BG138" s="94">
        <f t="shared" si="41"/>
        <v>0</v>
      </c>
      <c r="BH138" s="94" cm="1">
        <f t="array" ref="BH138">ROUNDDOWN(AM138*_xlfn.XLOOKUP(1,(BH$5=Table8[Type])*($D138&lt;=Table8[End]),Table8[요율],0,0),-1)</f>
        <v>820</v>
      </c>
      <c r="BI138" s="93" t="str" cm="1">
        <f t="array" ref="BI138">_xlfn.XLOOKUP(1,(D138&lt;=Table7[End])*(E138=Table7[근무처])*(F138=Table7[업무]),Table7[지급옵션],0,0)</f>
        <v>차주 화</v>
      </c>
      <c r="BJ138" s="83">
        <f>IF(BK138&lt;&gt;"",BK138,IFERROR(D138+_xlfn.NUMBERVALUE(RIGHT(BI138,1)),D138-WEEKDAY(D138)+CHOOSE(MATCH(RIGHT(BI138),{"일","월","화","수","목","금","토"},0),8,9,10,11,12,13,14)))</f>
        <v>45762</v>
      </c>
      <c r="BK138" s="99"/>
    </row>
    <row r="139" spans="2:63" x14ac:dyDescent="0.35">
      <c r="B139" s="20" t="str" cm="1">
        <f t="array" ref="B139">_xlfn.IFS(BB139&lt;&gt;BC139,"Claim확인",N139&lt;&gt;"OK","확인필요",TRUE,"")</f>
        <v/>
      </c>
      <c r="C139" s="21" t="str">
        <f t="shared" si="28"/>
        <v>010-5X8X-X4X0920X02XX253123</v>
      </c>
      <c r="D139" s="26">
        <v>45756</v>
      </c>
      <c r="E139" s="91" t="s">
        <v>255</v>
      </c>
      <c r="F139" s="25" t="s">
        <v>257</v>
      </c>
      <c r="G139" s="27" t="s">
        <v>288</v>
      </c>
      <c r="H139" s="25" t="s">
        <v>303</v>
      </c>
      <c r="I139" s="25"/>
      <c r="J139" s="25" t="s">
        <v>304</v>
      </c>
      <c r="K139" s="28">
        <v>0.45833333333333331</v>
      </c>
      <c r="L139" s="28">
        <v>0.83333333333333337</v>
      </c>
      <c r="M139" s="28">
        <v>4.1666666666666664E-2</v>
      </c>
      <c r="N139" s="25" t="s">
        <v>281</v>
      </c>
      <c r="O139" s="29" t="str">
        <f>_xlfn.XLOOKUP(Table2[[#This Row],[Key]],Table1[Key],Table1[주민등록번호],"",0)</f>
        <v>941XX31XX3X14</v>
      </c>
      <c r="P139" s="29">
        <f>_xlfn.XLOOKUP(Table2[[#This Row],[Key]],Table1[Key],Table1[비자],"",0)</f>
        <v>0</v>
      </c>
      <c r="Q139" s="29">
        <f>IF(P139=0,0,_xlfn.XLOOKUP(Table2[[#This Row],[Key]],Table1[Key],Table1[고용보험 여부],0,0))</f>
        <v>0</v>
      </c>
      <c r="R139" s="29" t="str">
        <f t="shared" si="29"/>
        <v>2504</v>
      </c>
      <c r="S139" s="30" t="str">
        <f>YEAR(Table2[[#This Row],[근무일자]])&amp;TEXT(WEEKNUM(Table2[[#This Row],[근무일자]]),"00")</f>
        <v>202515</v>
      </c>
      <c r="T139" s="31">
        <f>_xlfn.XLOOKUP(Table2[[#This Row],[Key]],Table1[Key],Table1[등록일],"",0)</f>
        <v>45846</v>
      </c>
      <c r="U139" s="32">
        <f t="shared" si="30"/>
        <v>0.33333333333333337</v>
      </c>
      <c r="V139" s="92">
        <f t="shared" si="31"/>
        <v>0</v>
      </c>
      <c r="W139" s="100" t="str">
        <f>_xlfn.XLOOKUP(Table2[[#This Row],[근무일자]],Table3[Date],Table3[Holiday],"",0)</f>
        <v/>
      </c>
      <c r="X139" s="93">
        <f>IF(D139&lt;&gt;"",1,0)+IF(COUNTIFS(Table2[주민등록번호],O139,Table2[월],TEXT(EOMONTH(D139,-1),"YYMM"))&gt;0,1+IF(COUNTIFS(Table2[주민등록번호],O139,Table2[월],TEXT(EOMONTH(D139,-2),"YYMM"))&gt;0,1+IF(COUNTIFS(Table2[주민등록번호],O139,Table2[월],TEXT(EOMONTH(D139,-3),"YYMM"))&gt;0,1,0),0),0)</f>
        <v>3</v>
      </c>
      <c r="Y139" s="29">
        <f>COUNTIFS(Table2[주민등록번호],O139,Table2[월],R139,Table2[근무일자],"&lt;="&amp;D139)</f>
        <v>6</v>
      </c>
      <c r="Z139" s="29">
        <f>COUNTIFS(Table2[주민등록번호],O139,Table2[주간],S139,Table2[근무일자],"&lt;="&amp;D139)</f>
        <v>3</v>
      </c>
      <c r="AA139" s="29">
        <f>SUMIFS(Table2[근로
시간],Table2[주민등록번호],O139,Table2[주간],S139,Table2[근무일자],"&lt;="&amp;D139)*24</f>
        <v>24</v>
      </c>
      <c r="AB139" s="29" t="str">
        <f>IF(AND(Y139&gt;=8,COUNTIFS(Table2[주민등록번호],O139,Table2[근무일자],"&gt;="&amp;EOMONTH(D139,-2)+1,Table2[근무일자],"&lt;="&amp;EOMONTH(D139,-1)+1)&gt;0),"V","")</f>
        <v/>
      </c>
      <c r="AC139" s="94" cm="1">
        <f t="array" ref="AC139">IF(AD139&lt;&gt;"",AD139,_xlfn.XLOOKUP(1,(D139&lt;=Table7[End])*(E139=Table7[근무처])*(F139=Table7[업무]),Table7[시급],0,0))</f>
        <v>10030</v>
      </c>
      <c r="AD139" s="95"/>
      <c r="AE139" s="94">
        <f t="shared" si="32"/>
        <v>80240</v>
      </c>
      <c r="AF139" s="96" cm="1">
        <f t="array" ref="AF139">IF(AND(AA139&gt;=15,(AA139-U139*24)&lt;=40),IF(Z139&gt;=_xlfn.XLOOKUP(1,(D139&lt;=Table7[End])*(E139=Table7[근무처])*(F139=Table7[업무]),Table7[주휴적용일],0,0),1,0)+_xlfn.XLOOKUP(1,(Table2[주간]=Table2[[#This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39" s="96" cm="1">
        <f t="array" ref="AG139">MAX((_xlfn.IFS(AF139=0,0,AF139=1,AA139,AF139&gt;1,U139*24)-IF(AA139&gt;40,AA139-40,0))/5,0)</f>
        <v>1.6</v>
      </c>
      <c r="AH139" s="94">
        <f t="shared" si="33"/>
        <v>16048</v>
      </c>
      <c r="AI139" s="33" cm="1">
        <f t="array" ref="AI139">IF(W139="",0,ROUND(AC139*U139*24*_xlfn.XLOOKUP(1,(D139&lt;=Table7[End])*(E139=Table7[근무처])*(F139=Table7[업무]),Table7[휴일인센티브],0,0),0))</f>
        <v>0</v>
      </c>
      <c r="AJ139" s="94" cm="1">
        <f t="array" ref="AJ139">ROUND(AC139*IF(U139&gt;=8/24,U139-8/24,0)*24*_xlfn.XLOOKUP(1,(D139&lt;=Table7[End])*(E139=Table7[근무처])*(F139=Table7[업무]),Table7[야간인센티브],0,0),0)</f>
        <v>0</v>
      </c>
      <c r="AK139" s="94" cm="1">
        <f t="array" ref="AK139">IF(V139=0,0,ROUND(AC139*V139*24*_xlfn.XLOOKUP(1,(D139&lt;=Table7[End])*(E139=Table7[근무처])*(F139=Table7[업무]),Table7[야간인센티브],0,0),0))</f>
        <v>0</v>
      </c>
      <c r="AL139" s="95"/>
      <c r="AM139" s="94">
        <f t="shared" si="34"/>
        <v>96288</v>
      </c>
      <c r="AN139" s="94" cm="1">
        <f t="array" ref="AN139">IF(AM139&gt;=_xlfn.XLOOKUP(TRUE,D139&lt;=Table5[End],Table5[비과세소득기준],0,0),AM139-_xlfn.XLOOKUP(TRUE,D139&lt;=Table5[End],Table5[비과세소득기준],0,0),0)</f>
        <v>0</v>
      </c>
      <c r="AO139" s="94" cm="1">
        <f t="array" ref="AO139">ROUNDDOWN(_xlfn.LET(_xlpm.setvalue,_xlfn.XLOOKUP(TRUE,D139&lt;=Table5[End],Table5[[요율]:[근로소득세액공제]],0,0),_xlpm.tax,AN139*PRODUCT((_xlpm.setvalue-{0,1})*{1,-1}),_xlpm.threshold,_xlfn.XLOOKUP(TRUE,D139&lt;=Table5[End],Table5[소액부징수기준],0,0),IF(_xlpm.tax&gt;=_xlpm.threshold,_xlpm.tax,0)),-1)</f>
        <v>0</v>
      </c>
      <c r="AP139" s="94">
        <f>ROUNDDOWN(Table2[[#This Row],[소득세]]*10%,-1)</f>
        <v>0</v>
      </c>
      <c r="AQ139" s="94">
        <f>IF(AB139="v",AM139+IF(Y139=8,SUMIFS(Table2[지급총액],Table2[주민등록번호],O139,Table2[월],R139,Table2[월간
근무일],"&lt;="&amp;8)-AM139,0),0)+_xlfn.NUMBERVALUE(AR139)</f>
        <v>0</v>
      </c>
      <c r="AR139" s="95"/>
      <c r="AS139" s="94" cm="1">
        <f t="array" ref="AS139">ROUNDDOWN($AQ139*_xlfn.XLOOKUP(1,(AS$5=Table8[Type])*($D139&lt;=Table8[End]),Table8[요율],0,0),0)</f>
        <v>0</v>
      </c>
      <c r="AT139" s="94" cm="1">
        <f t="array" ref="AT139">ROUNDDOWN(AS139*_xlfn.XLOOKUP(1,(AT$5=Table8[Type])*($D139&lt;=Table8[End]),Table8[요율],0,0),-1)</f>
        <v>0</v>
      </c>
      <c r="AU139" s="94" cm="1">
        <f t="array" ref="AU139">ROUNDDOWN($AQ139*_xlfn.XLOOKUP(1,(AU$5=Table8[Type])*($D139&lt;=Table8[End]),Table8[요율],0,0),-1)</f>
        <v>0</v>
      </c>
      <c r="AV139" s="94" cm="1">
        <f t="array" ref="AV139">ROUNDDOWN(AM139*_xlfn.XLOOKUP(1,(AV$5=Table8[Type])*($D139&lt;=Table8[End]),Table8[요율],0,0),-1)</f>
        <v>0</v>
      </c>
      <c r="AW139" s="94" cm="1">
        <f t="array" ref="AW139">_xlfn.XLOOKUP(1,(O139=Table2[주민등록번호])*(D139&gt;Table2[근무일자]),Table2[청구 Claim 
이월],0,0,-1)</f>
        <v>0</v>
      </c>
      <c r="AX139" s="95"/>
      <c r="AY139" s="94" cm="1">
        <f t="array" ref="AY139">MAX(SUM(AO139:AP139,AS139:AX139)-_xlfn.XLOOKUP(1,(D139&lt;=Table7[End])*(E139=Table7[근무처])*(F139=Table7[업무]),Table7[1일 공제 상한],0,0),0)</f>
        <v>0</v>
      </c>
      <c r="AZ139" s="94">
        <f t="shared" si="35"/>
        <v>0</v>
      </c>
      <c r="BA139" s="94">
        <f t="shared" si="36"/>
        <v>96288</v>
      </c>
      <c r="BB139" s="97">
        <f t="shared" si="37"/>
        <v>0</v>
      </c>
      <c r="BC139" s="98"/>
      <c r="BD139" s="94">
        <f t="shared" si="38"/>
        <v>0</v>
      </c>
      <c r="BE139" s="94">
        <f t="shared" si="39"/>
        <v>0</v>
      </c>
      <c r="BF139" s="94">
        <f t="shared" si="40"/>
        <v>0</v>
      </c>
      <c r="BG139" s="94">
        <f t="shared" si="41"/>
        <v>0</v>
      </c>
      <c r="BH139" s="94" cm="1">
        <f t="array" ref="BH139">ROUNDDOWN(AM139*_xlfn.XLOOKUP(1,(BH$5=Table8[Type])*($D139&lt;=Table8[End]),Table8[요율],0,0),-1)</f>
        <v>770</v>
      </c>
      <c r="BI139" s="93" t="str" cm="1">
        <f t="array" ref="BI139">_xlfn.XLOOKUP(1,(D139&lt;=Table7[End])*(E139=Table7[근무처])*(F139=Table7[업무]),Table7[지급옵션],0,0)</f>
        <v>차주 화</v>
      </c>
      <c r="BJ139" s="83">
        <f>IF(BK139&lt;&gt;"",BK139,IFERROR(D139+_xlfn.NUMBERVALUE(RIGHT(BI139,1)),D139-WEEKDAY(D139)+CHOOSE(MATCH(RIGHT(BI139),{"일","월","화","수","목","금","토"},0),8,9,10,11,12,13,14)))</f>
        <v>45762</v>
      </c>
      <c r="BK139" s="99"/>
    </row>
    <row r="140" spans="2:63" x14ac:dyDescent="0.35">
      <c r="B140" s="20" t="str" cm="1">
        <f t="array" ref="B140">_xlfn.IFS(BB140&lt;&gt;BC140,"Claim확인",N140&lt;&gt;"OK","확인필요",TRUE,"")</f>
        <v/>
      </c>
      <c r="C140" s="21" t="str">
        <f t="shared" si="28"/>
        <v>010-8X0X-X0X9982X03XX901018</v>
      </c>
      <c r="D140" s="26">
        <v>45757</v>
      </c>
      <c r="E140" s="91" t="s">
        <v>255</v>
      </c>
      <c r="F140" s="25" t="s">
        <v>258</v>
      </c>
      <c r="G140" s="27" t="s">
        <v>283</v>
      </c>
      <c r="H140" s="25" t="s">
        <v>291</v>
      </c>
      <c r="I140" s="25"/>
      <c r="J140" s="25" t="s">
        <v>292</v>
      </c>
      <c r="K140" s="28">
        <v>0.375</v>
      </c>
      <c r="L140" s="28">
        <v>0.75</v>
      </c>
      <c r="M140" s="28">
        <v>4.1666666666666664E-2</v>
      </c>
      <c r="N140" s="25" t="s">
        <v>281</v>
      </c>
      <c r="O140" s="29" t="str">
        <f>_xlfn.XLOOKUP(Table2[[#This Row],[Key]],Table1[Key],Table1[주민등록번호],"",0)</f>
        <v>960XX51XX9X15</v>
      </c>
      <c r="P140" s="29">
        <f>_xlfn.XLOOKUP(Table2[[#This Row],[Key]],Table1[Key],Table1[비자],"",0)</f>
        <v>0</v>
      </c>
      <c r="Q140" s="29">
        <f>IF(P140=0,0,_xlfn.XLOOKUP(Table2[[#This Row],[Key]],Table1[Key],Table1[고용보험 여부],0,0))</f>
        <v>0</v>
      </c>
      <c r="R140" s="29" t="str">
        <f t="shared" si="29"/>
        <v>2504</v>
      </c>
      <c r="S140" s="30" t="str">
        <f>YEAR(Table2[[#This Row],[근무일자]])&amp;TEXT(WEEKNUM(Table2[[#This Row],[근무일자]]),"00")</f>
        <v>202515</v>
      </c>
      <c r="T140" s="31">
        <f>_xlfn.XLOOKUP(Table2[[#This Row],[Key]],Table1[Key],Table1[등록일],"",0)</f>
        <v>45698</v>
      </c>
      <c r="U140" s="32">
        <f t="shared" si="30"/>
        <v>0.33333333333333331</v>
      </c>
      <c r="V140" s="92">
        <f t="shared" si="31"/>
        <v>0</v>
      </c>
      <c r="W140" s="100" t="str">
        <f>_xlfn.XLOOKUP(Table2[[#This Row],[근무일자]],Table3[Date],Table3[Holiday],"",0)</f>
        <v/>
      </c>
      <c r="X140" s="93">
        <f>IF(D140&lt;&gt;"",1,0)+IF(COUNTIFS(Table2[주민등록번호],O140,Table2[월],TEXT(EOMONTH(D140,-1),"YYMM"))&gt;0,1+IF(COUNTIFS(Table2[주민등록번호],O140,Table2[월],TEXT(EOMONTH(D140,-2),"YYMM"))&gt;0,1+IF(COUNTIFS(Table2[주민등록번호],O140,Table2[월],TEXT(EOMONTH(D140,-3),"YYMM"))&gt;0,1,0),0),0)</f>
        <v>3</v>
      </c>
      <c r="Y140" s="29">
        <f>COUNTIFS(Table2[주민등록번호],O140,Table2[월],R140,Table2[근무일자],"&lt;="&amp;D140)</f>
        <v>6</v>
      </c>
      <c r="Z140" s="29">
        <f>COUNTIFS(Table2[주민등록번호],O140,Table2[주간],S140,Table2[근무일자],"&lt;="&amp;D140)</f>
        <v>3</v>
      </c>
      <c r="AA140" s="29">
        <f>SUMIFS(Table2[근로
시간],Table2[주민등록번호],O140,Table2[주간],S140,Table2[근무일자],"&lt;="&amp;D140)*24</f>
        <v>24</v>
      </c>
      <c r="AB140" s="29" t="str">
        <f>IF(AND(Y140&gt;=8,COUNTIFS(Table2[주민등록번호],O140,Table2[근무일자],"&gt;="&amp;EOMONTH(D140,-2)+1,Table2[근무일자],"&lt;="&amp;EOMONTH(D140,-1)+1)&gt;0),"V","")</f>
        <v/>
      </c>
      <c r="AC140" s="94" cm="1">
        <f t="array" ref="AC140">IF(AD140&lt;&gt;"",AD140,_xlfn.XLOOKUP(1,(D140&lt;=Table7[End])*(E140=Table7[근무처])*(F140=Table7[업무]),Table7[시급],0,0))</f>
        <v>10680</v>
      </c>
      <c r="AD140" s="95"/>
      <c r="AE140" s="94">
        <f t="shared" si="32"/>
        <v>85440</v>
      </c>
      <c r="AF140" s="96" cm="1">
        <f t="array" ref="AF140">IF(AND(AA140&gt;=15,(AA140-U140*24)&lt;=40),IF(Z140&gt;=_xlfn.XLOOKUP(1,(D140&lt;=Table7[End])*(E140=Table7[근무처])*(F140=Table7[업무]),Table7[주휴적용일],0,0),1,0)+_xlfn.XLOOKUP(1,(Table2[주간]=Table2[[#This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40" s="96" cm="1">
        <f t="array" ref="AG140">MAX((_xlfn.IFS(AF140=0,0,AF140=1,AA140,AF140&gt;1,U140*24)-IF(AA140&gt;40,AA140-40,0))/5,0)</f>
        <v>1.6</v>
      </c>
      <c r="AH140" s="94">
        <f t="shared" si="33"/>
        <v>17088</v>
      </c>
      <c r="AI140" s="33" cm="1">
        <f t="array" ref="AI140">IF(W140="",0,ROUND(AC140*U140*24*_xlfn.XLOOKUP(1,(D140&lt;=Table7[End])*(E140=Table7[근무처])*(F140=Table7[업무]),Table7[휴일인센티브],0,0),0))</f>
        <v>0</v>
      </c>
      <c r="AJ140" s="94" cm="1">
        <f t="array" ref="AJ140">ROUND(AC140*IF(U140&gt;=8/24,U140-8/24,0)*24*_xlfn.XLOOKUP(1,(D140&lt;=Table7[End])*(E140=Table7[근무처])*(F140=Table7[업무]),Table7[야간인센티브],0,0),0)</f>
        <v>0</v>
      </c>
      <c r="AK140" s="94" cm="1">
        <f t="array" ref="AK140">IF(V140=0,0,ROUND(AC140*V140*24*_xlfn.XLOOKUP(1,(D140&lt;=Table7[End])*(E140=Table7[근무처])*(F140=Table7[업무]),Table7[야간인센티브],0,0),0))</f>
        <v>0</v>
      </c>
      <c r="AL140" s="95"/>
      <c r="AM140" s="94">
        <f t="shared" si="34"/>
        <v>102528</v>
      </c>
      <c r="AN140" s="94" cm="1">
        <f t="array" ref="AN140">IF(AM140&gt;=_xlfn.XLOOKUP(TRUE,D140&lt;=Table5[End],Table5[비과세소득기준],0,0),AM140-_xlfn.XLOOKUP(TRUE,D140&lt;=Table5[End],Table5[비과세소득기준],0,0),0)</f>
        <v>0</v>
      </c>
      <c r="AO140" s="94" cm="1">
        <f t="array" ref="AO140">ROUNDDOWN(_xlfn.LET(_xlpm.setvalue,_xlfn.XLOOKUP(TRUE,D140&lt;=Table5[End],Table5[[요율]:[근로소득세액공제]],0,0),_xlpm.tax,AN140*PRODUCT((_xlpm.setvalue-{0,1})*{1,-1}),_xlpm.threshold,_xlfn.XLOOKUP(TRUE,D140&lt;=Table5[End],Table5[소액부징수기준],0,0),IF(_xlpm.tax&gt;=_xlpm.threshold,_xlpm.tax,0)),-1)</f>
        <v>0</v>
      </c>
      <c r="AP140" s="94">
        <f>ROUNDDOWN(Table2[[#This Row],[소득세]]*10%,-1)</f>
        <v>0</v>
      </c>
      <c r="AQ140" s="94">
        <f>IF(AB140="v",AM140+IF(Y140=8,SUMIFS(Table2[지급총액],Table2[주민등록번호],O140,Table2[월],R140,Table2[월간
근무일],"&lt;="&amp;8)-AM140,0),0)+_xlfn.NUMBERVALUE(AR140)</f>
        <v>0</v>
      </c>
      <c r="AR140" s="95"/>
      <c r="AS140" s="94" cm="1">
        <f t="array" ref="AS140">ROUNDDOWN($AQ140*_xlfn.XLOOKUP(1,(AS$5=Table8[Type])*($D140&lt;=Table8[End]),Table8[요율],0,0),0)</f>
        <v>0</v>
      </c>
      <c r="AT140" s="94" cm="1">
        <f t="array" ref="AT140">ROUNDDOWN(AS140*_xlfn.XLOOKUP(1,(AT$5=Table8[Type])*($D140&lt;=Table8[End]),Table8[요율],0,0),-1)</f>
        <v>0</v>
      </c>
      <c r="AU140" s="94" cm="1">
        <f t="array" ref="AU140">ROUNDDOWN($AQ140*_xlfn.XLOOKUP(1,(AU$5=Table8[Type])*($D140&lt;=Table8[End]),Table8[요율],0,0),-1)</f>
        <v>0</v>
      </c>
      <c r="AV140" s="94" cm="1">
        <f t="array" ref="AV140">ROUNDDOWN(AM140*_xlfn.XLOOKUP(1,(AV$5=Table8[Type])*($D140&lt;=Table8[End]),Table8[요율],0,0),-1)</f>
        <v>0</v>
      </c>
      <c r="AW140" s="94" cm="1">
        <f t="array" ref="AW140">_xlfn.XLOOKUP(1,(O140=Table2[주민등록번호])*(D140&gt;Table2[근무일자]),Table2[청구 Claim 
이월],0,0,-1)</f>
        <v>0</v>
      </c>
      <c r="AX140" s="95"/>
      <c r="AY140" s="94" cm="1">
        <f t="array" ref="AY140">MAX(SUM(AO140:AP140,AS140:AX140)-_xlfn.XLOOKUP(1,(D140&lt;=Table7[End])*(E140=Table7[근무처])*(F140=Table7[업무]),Table7[1일 공제 상한],0,0),0)</f>
        <v>0</v>
      </c>
      <c r="AZ140" s="94">
        <f t="shared" si="35"/>
        <v>0</v>
      </c>
      <c r="BA140" s="94">
        <f t="shared" si="36"/>
        <v>102528</v>
      </c>
      <c r="BB140" s="97">
        <f t="shared" si="37"/>
        <v>0</v>
      </c>
      <c r="BC140" s="98"/>
      <c r="BD140" s="94">
        <f t="shared" si="38"/>
        <v>0</v>
      </c>
      <c r="BE140" s="94">
        <f t="shared" si="39"/>
        <v>0</v>
      </c>
      <c r="BF140" s="94">
        <f t="shared" si="40"/>
        <v>0</v>
      </c>
      <c r="BG140" s="94">
        <f t="shared" si="41"/>
        <v>0</v>
      </c>
      <c r="BH140" s="94" cm="1">
        <f t="array" ref="BH140">ROUNDDOWN(AM140*_xlfn.XLOOKUP(1,(BH$5=Table8[Type])*($D140&lt;=Table8[End]),Table8[요율],0,0),-1)</f>
        <v>820</v>
      </c>
      <c r="BI140" s="93" t="str" cm="1">
        <f t="array" ref="BI140">_xlfn.XLOOKUP(1,(D140&lt;=Table7[End])*(E140=Table7[근무처])*(F140=Table7[업무]),Table7[지급옵션],0,0)</f>
        <v>차주 화</v>
      </c>
      <c r="BJ140" s="83">
        <f>IF(BK140&lt;&gt;"",BK140,IFERROR(D140+_xlfn.NUMBERVALUE(RIGHT(BI140,1)),D140-WEEKDAY(D140)+CHOOSE(MATCH(RIGHT(BI140),{"일","월","화","수","목","금","토"},0),8,9,10,11,12,13,14)))</f>
        <v>45762</v>
      </c>
      <c r="BK140" s="99"/>
    </row>
    <row r="141" spans="2:63" x14ac:dyDescent="0.35">
      <c r="B141" s="20" t="str" cm="1">
        <f t="array" ref="B141">_xlfn.IFS(BB141&lt;&gt;BC141,"Claim확인",N141&lt;&gt;"OK","확인필요",TRUE,"")</f>
        <v/>
      </c>
      <c r="C141" s="21" t="str">
        <f t="shared" si="28"/>
        <v>010-6X1X-X3X0333X04XX46879</v>
      </c>
      <c r="D141" s="26">
        <v>45757</v>
      </c>
      <c r="E141" s="91" t="s">
        <v>255</v>
      </c>
      <c r="F141" s="25" t="s">
        <v>258</v>
      </c>
      <c r="G141" s="27" t="s">
        <v>284</v>
      </c>
      <c r="H141" s="25" t="s">
        <v>293</v>
      </c>
      <c r="I141" s="25"/>
      <c r="J141" s="25" t="s">
        <v>294</v>
      </c>
      <c r="K141" s="28">
        <v>0.3125</v>
      </c>
      <c r="L141" s="28">
        <v>0.6875</v>
      </c>
      <c r="M141" s="28">
        <v>4.1666666666666664E-2</v>
      </c>
      <c r="N141" s="25" t="s">
        <v>281</v>
      </c>
      <c r="O141" s="29" t="str">
        <f>_xlfn.XLOOKUP(Table2[[#This Row],[Key]],Table1[Key],Table1[주민등록번호],"",0)</f>
        <v>971XX61XX9X25</v>
      </c>
      <c r="P141" s="29">
        <f>_xlfn.XLOOKUP(Table2[[#This Row],[Key]],Table1[Key],Table1[비자],"",0)</f>
        <v>0</v>
      </c>
      <c r="Q141" s="29">
        <f>IF(P141=0,0,_xlfn.XLOOKUP(Table2[[#This Row],[Key]],Table1[Key],Table1[고용보험 여부],0,0))</f>
        <v>0</v>
      </c>
      <c r="R141" s="29" t="str">
        <f t="shared" si="29"/>
        <v>2504</v>
      </c>
      <c r="S141" s="30" t="str">
        <f>YEAR(Table2[[#This Row],[근무일자]])&amp;TEXT(WEEKNUM(Table2[[#This Row],[근무일자]]),"00")</f>
        <v>202515</v>
      </c>
      <c r="T141" s="31">
        <f>_xlfn.XLOOKUP(Table2[[#This Row],[Key]],Table1[Key],Table1[등록일],"",0)</f>
        <v>45721</v>
      </c>
      <c r="U141" s="32">
        <f t="shared" si="30"/>
        <v>0.33333333333333331</v>
      </c>
      <c r="V141" s="92">
        <f t="shared" si="31"/>
        <v>0</v>
      </c>
      <c r="W141" s="100" t="str">
        <f>_xlfn.XLOOKUP(Table2[[#This Row],[근무일자]],Table3[Date],Table3[Holiday],"",0)</f>
        <v/>
      </c>
      <c r="X141" s="93">
        <f>IF(D141&lt;&gt;"",1,0)+IF(COUNTIFS(Table2[주민등록번호],O141,Table2[월],TEXT(EOMONTH(D141,-1),"YYMM"))&gt;0,1+IF(COUNTIFS(Table2[주민등록번호],O141,Table2[월],TEXT(EOMONTH(D141,-2),"YYMM"))&gt;0,1+IF(COUNTIFS(Table2[주민등록번호],O141,Table2[월],TEXT(EOMONTH(D141,-3),"YYMM"))&gt;0,1,0),0),0)</f>
        <v>2</v>
      </c>
      <c r="Y141" s="29">
        <f>COUNTIFS(Table2[주민등록번호],O141,Table2[월],R141,Table2[근무일자],"&lt;="&amp;D141)</f>
        <v>8</v>
      </c>
      <c r="Z141" s="29">
        <f>COUNTIFS(Table2[주민등록번호],O141,Table2[주간],S141,Table2[근무일자],"&lt;="&amp;D141)</f>
        <v>4</v>
      </c>
      <c r="AA141" s="29">
        <f>SUMIFS(Table2[근로
시간],Table2[주민등록번호],O141,Table2[주간],S141,Table2[근무일자],"&lt;="&amp;D141)*24</f>
        <v>32</v>
      </c>
      <c r="AB141" s="29" t="str">
        <f>IF(AND(Y141&gt;=8,COUNTIFS(Table2[주민등록번호],O141,Table2[근무일자],"&gt;="&amp;EOMONTH(D141,-2)+1,Table2[근무일자],"&lt;="&amp;EOMONTH(D141,-1)+1)&gt;0),"V","")</f>
        <v>V</v>
      </c>
      <c r="AC141" s="94" cm="1">
        <f t="array" ref="AC141">IF(AD141&lt;&gt;"",AD141,_xlfn.XLOOKUP(1,(D141&lt;=Table7[End])*(E141=Table7[근무처])*(F141=Table7[업무]),Table7[시급],0,0))</f>
        <v>10680</v>
      </c>
      <c r="AD141" s="95"/>
      <c r="AE141" s="94">
        <f t="shared" si="32"/>
        <v>85440</v>
      </c>
      <c r="AF141" s="96" cm="1">
        <f t="array" ref="AF141">IF(AND(AA141&gt;=15,(AA141-U141*24)&lt;=40),IF(Z141&gt;=_xlfn.XLOOKUP(1,(D141&lt;=Table7[End])*(E141=Table7[근무처])*(F141=Table7[업무]),Table7[주휴적용일],0,0),1,0)+_xlfn.XLOOKUP(1,(Table2[주간]=Table2[[#This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41" s="96" cm="1">
        <f t="array" ref="AG141">MAX((_xlfn.IFS(AF141=0,0,AF141=1,AA141,AF141&gt;1,U141*24)-IF(AA141&gt;40,AA141-40,0))/5,0)</f>
        <v>1.6</v>
      </c>
      <c r="AH141" s="94">
        <f t="shared" si="33"/>
        <v>17088</v>
      </c>
      <c r="AI141" s="33" cm="1">
        <f t="array" ref="AI141">IF(W141="",0,ROUND(AC141*U141*24*_xlfn.XLOOKUP(1,(D141&lt;=Table7[End])*(E141=Table7[근무처])*(F141=Table7[업무]),Table7[휴일인센티브],0,0),0))</f>
        <v>0</v>
      </c>
      <c r="AJ141" s="94" cm="1">
        <f t="array" ref="AJ141">ROUND(AC141*IF(U141&gt;=8/24,U141-8/24,0)*24*_xlfn.XLOOKUP(1,(D141&lt;=Table7[End])*(E141=Table7[근무처])*(F141=Table7[업무]),Table7[야간인센티브],0,0),0)</f>
        <v>0</v>
      </c>
      <c r="AK141" s="94" cm="1">
        <f t="array" ref="AK141">IF(V141=0,0,ROUND(AC141*V141*24*_xlfn.XLOOKUP(1,(D141&lt;=Table7[End])*(E141=Table7[근무처])*(F141=Table7[업무]),Table7[야간인센티브],0,0),0))</f>
        <v>0</v>
      </c>
      <c r="AL141" s="95"/>
      <c r="AM141" s="94">
        <f t="shared" si="34"/>
        <v>102528</v>
      </c>
      <c r="AN141" s="94" cm="1">
        <f t="array" ref="AN141">IF(AM141&gt;=_xlfn.XLOOKUP(TRUE,D141&lt;=Table5[End],Table5[비과세소득기준],0,0),AM141-_xlfn.XLOOKUP(TRUE,D141&lt;=Table5[End],Table5[비과세소득기준],0,0),0)</f>
        <v>0</v>
      </c>
      <c r="AO141" s="94" cm="1">
        <f t="array" ref="AO141">ROUNDDOWN(_xlfn.LET(_xlpm.setvalue,_xlfn.XLOOKUP(TRUE,D141&lt;=Table5[End],Table5[[요율]:[근로소득세액공제]],0,0),_xlpm.tax,AN141*PRODUCT((_xlpm.setvalue-{0,1})*{1,-1}),_xlpm.threshold,_xlfn.XLOOKUP(TRUE,D141&lt;=Table5[End],Table5[소액부징수기준],0,0),IF(_xlpm.tax&gt;=_xlpm.threshold,_xlpm.tax,0)),-1)</f>
        <v>0</v>
      </c>
      <c r="AP141" s="94">
        <f>ROUNDDOWN(Table2[[#This Row],[소득세]]*10%,-1)</f>
        <v>0</v>
      </c>
      <c r="AQ141" s="94">
        <f>IF(AB141="v",AM141+IF(Y141=8,SUMIFS(Table2[지급총액],Table2[주민등록번호],O141,Table2[월],R141,Table2[월간
근무일],"&lt;="&amp;8)-AM141,0),0)+_xlfn.NUMBERVALUE(AR141)</f>
        <v>837312</v>
      </c>
      <c r="AR141" s="95"/>
      <c r="AS141" s="94" cm="1">
        <f t="array" ref="AS141">ROUNDDOWN($AQ141*_xlfn.XLOOKUP(1,(AS$5=Table8[Type])*($D141&lt;=Table8[End]),Table8[요율],0,0),0)</f>
        <v>29682</v>
      </c>
      <c r="AT141" s="94" cm="1">
        <f t="array" ref="AT141">ROUNDDOWN(AS141*_xlfn.XLOOKUP(1,(AT$5=Table8[Type])*($D141&lt;=Table8[End]),Table8[요율],0,0),-1)</f>
        <v>3840</v>
      </c>
      <c r="AU141" s="94" cm="1">
        <f t="array" ref="AU141">ROUNDDOWN($AQ141*_xlfn.XLOOKUP(1,(AU$5=Table8[Type])*($D141&lt;=Table8[End]),Table8[요율],0,0),-1)</f>
        <v>37670</v>
      </c>
      <c r="AV141" s="94" cm="1">
        <f t="array" ref="AV141">ROUNDDOWN(AM141*_xlfn.XLOOKUP(1,(AV$5=Table8[Type])*($D141&lt;=Table8[End]),Table8[요율],0,0),-1)</f>
        <v>0</v>
      </c>
      <c r="AW141" s="94" cm="1">
        <f t="array" ref="AW141">_xlfn.XLOOKUP(1,(O141=Table2[주민등록번호])*(D141&gt;Table2[근무일자]),Table2[청구 Claim 
이월],0,0,-1)</f>
        <v>0</v>
      </c>
      <c r="AX141" s="95"/>
      <c r="AY141" s="94" cm="1">
        <f t="array" ref="AY141">MAX(SUM(AO141:AP141,AS141:AX141)-_xlfn.XLOOKUP(1,(D141&lt;=Table7[End])*(E141=Table7[근무처])*(F141=Table7[업무]),Table7[1일 공제 상한],0,0),0)</f>
        <v>0</v>
      </c>
      <c r="AZ141" s="94">
        <f t="shared" si="35"/>
        <v>71192</v>
      </c>
      <c r="BA141" s="94">
        <f t="shared" si="36"/>
        <v>31336</v>
      </c>
      <c r="BB141" s="97">
        <f t="shared" si="37"/>
        <v>0</v>
      </c>
      <c r="BC141" s="98"/>
      <c r="BD141" s="94">
        <f t="shared" si="38"/>
        <v>29682</v>
      </c>
      <c r="BE141" s="94">
        <f t="shared" si="39"/>
        <v>3840</v>
      </c>
      <c r="BF141" s="94">
        <f t="shared" si="40"/>
        <v>37670</v>
      </c>
      <c r="BG141" s="94">
        <f t="shared" si="41"/>
        <v>0</v>
      </c>
      <c r="BH141" s="94" cm="1">
        <f t="array" ref="BH141">ROUNDDOWN(AM141*_xlfn.XLOOKUP(1,(BH$5=Table8[Type])*($D141&lt;=Table8[End]),Table8[요율],0,0),-1)</f>
        <v>820</v>
      </c>
      <c r="BI141" s="93" t="str" cm="1">
        <f t="array" ref="BI141">_xlfn.XLOOKUP(1,(D141&lt;=Table7[End])*(E141=Table7[근무처])*(F141=Table7[업무]),Table7[지급옵션],0,0)</f>
        <v>차주 화</v>
      </c>
      <c r="BJ141" s="83">
        <f>IF(BK141&lt;&gt;"",BK141,IFERROR(D141+_xlfn.NUMBERVALUE(RIGHT(BI141,1)),D141-WEEKDAY(D141)+CHOOSE(MATCH(RIGHT(BI141),{"일","월","화","수","목","금","토"},0),8,9,10,11,12,13,14)))</f>
        <v>45762</v>
      </c>
      <c r="BK141" s="99"/>
    </row>
    <row r="142" spans="2:63" x14ac:dyDescent="0.35">
      <c r="B142" s="20" t="str" cm="1">
        <f t="array" ref="B142">_xlfn.IFS(BB142&lt;&gt;BC142,"Claim확인",N142&lt;&gt;"OK","확인필요",TRUE,"")</f>
        <v/>
      </c>
      <c r="C142" s="21" t="str">
        <f t="shared" si="28"/>
        <v>010-6X1X-X3X0333X04XX46879</v>
      </c>
      <c r="D142" s="26">
        <v>45758</v>
      </c>
      <c r="E142" s="91" t="s">
        <v>255</v>
      </c>
      <c r="F142" s="25" t="s">
        <v>258</v>
      </c>
      <c r="G142" s="27" t="s">
        <v>284</v>
      </c>
      <c r="H142" s="25" t="s">
        <v>293</v>
      </c>
      <c r="I142" s="25"/>
      <c r="J142" s="25" t="s">
        <v>294</v>
      </c>
      <c r="K142" s="28">
        <v>0.3125</v>
      </c>
      <c r="L142" s="28">
        <v>0.6875</v>
      </c>
      <c r="M142" s="28">
        <v>4.1666666666666664E-2</v>
      </c>
      <c r="N142" s="25" t="s">
        <v>281</v>
      </c>
      <c r="O142" s="29" t="str">
        <f>_xlfn.XLOOKUP(Table2[[#This Row],[Key]],Table1[Key],Table1[주민등록번호],"",0)</f>
        <v>971XX61XX9X25</v>
      </c>
      <c r="P142" s="29">
        <f>_xlfn.XLOOKUP(Table2[[#This Row],[Key]],Table1[Key],Table1[비자],"",0)</f>
        <v>0</v>
      </c>
      <c r="Q142" s="29">
        <f>IF(P142=0,0,_xlfn.XLOOKUP(Table2[[#This Row],[Key]],Table1[Key],Table1[고용보험 여부],0,0))</f>
        <v>0</v>
      </c>
      <c r="R142" s="29" t="str">
        <f t="shared" si="29"/>
        <v>2504</v>
      </c>
      <c r="S142" s="30" t="str">
        <f>YEAR(Table2[[#This Row],[근무일자]])&amp;TEXT(WEEKNUM(Table2[[#This Row],[근무일자]]),"00")</f>
        <v>202515</v>
      </c>
      <c r="T142" s="31">
        <f>_xlfn.XLOOKUP(Table2[[#This Row],[Key]],Table1[Key],Table1[등록일],"",0)</f>
        <v>45721</v>
      </c>
      <c r="U142" s="32">
        <f t="shared" si="30"/>
        <v>0.33333333333333331</v>
      </c>
      <c r="V142" s="92">
        <f t="shared" si="31"/>
        <v>0</v>
      </c>
      <c r="W142" s="100" t="str">
        <f>_xlfn.XLOOKUP(Table2[[#This Row],[근무일자]],Table3[Date],Table3[Holiday],"",0)</f>
        <v/>
      </c>
      <c r="X142" s="93">
        <f>IF(D142&lt;&gt;"",1,0)+IF(COUNTIFS(Table2[주민등록번호],O142,Table2[월],TEXT(EOMONTH(D142,-1),"YYMM"))&gt;0,1+IF(COUNTIFS(Table2[주민등록번호],O142,Table2[월],TEXT(EOMONTH(D142,-2),"YYMM"))&gt;0,1+IF(COUNTIFS(Table2[주민등록번호],O142,Table2[월],TEXT(EOMONTH(D142,-3),"YYMM"))&gt;0,1,0),0),0)</f>
        <v>2</v>
      </c>
      <c r="Y142" s="29">
        <f>COUNTIFS(Table2[주민등록번호],O142,Table2[월],R142,Table2[근무일자],"&lt;="&amp;D142)</f>
        <v>9</v>
      </c>
      <c r="Z142" s="29">
        <f>COUNTIFS(Table2[주민등록번호],O142,Table2[주간],S142,Table2[근무일자],"&lt;="&amp;D142)</f>
        <v>5</v>
      </c>
      <c r="AA142" s="29">
        <f>SUMIFS(Table2[근로
시간],Table2[주민등록번호],O142,Table2[주간],S142,Table2[근무일자],"&lt;="&amp;D142)*24</f>
        <v>40</v>
      </c>
      <c r="AB142" s="29" t="str">
        <f>IF(AND(Y142&gt;=8,COUNTIFS(Table2[주민등록번호],O142,Table2[근무일자],"&gt;="&amp;EOMONTH(D142,-2)+1,Table2[근무일자],"&lt;="&amp;EOMONTH(D142,-1)+1)&gt;0),"V","")</f>
        <v>V</v>
      </c>
      <c r="AC142" s="94" cm="1">
        <f t="array" ref="AC142">IF(AD142&lt;&gt;"",AD142,_xlfn.XLOOKUP(1,(D142&lt;=Table7[End])*(E142=Table7[근무처])*(F142=Table7[업무]),Table7[시급],0,0))</f>
        <v>10680</v>
      </c>
      <c r="AD142" s="95"/>
      <c r="AE142" s="94">
        <f t="shared" si="32"/>
        <v>85440</v>
      </c>
      <c r="AF142" s="96" cm="1">
        <f t="array" ref="AF142">IF(AND(AA142&gt;=15,(AA142-U142*24)&lt;=40),IF(Z142&gt;=_xlfn.XLOOKUP(1,(D142&lt;=Table7[End])*(E142=Table7[근무처])*(F142=Table7[업무]),Table7[주휴적용일],0,0),1,0)+_xlfn.XLOOKUP(1,(Table2[주간]=Table2[[#This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142" s="96" cm="1">
        <f t="array" ref="AG142">MAX((_xlfn.IFS(AF142=0,0,AF142=1,AA142,AF142&gt;1,U142*24)-IF(AA142&gt;40,AA142-40,0))/5,0)</f>
        <v>1.6</v>
      </c>
      <c r="AH142" s="94">
        <f t="shared" si="33"/>
        <v>17088</v>
      </c>
      <c r="AI142" s="33" cm="1">
        <f t="array" ref="AI142">IF(W142="",0,ROUND(AC142*U142*24*_xlfn.XLOOKUP(1,(D142&lt;=Table7[End])*(E142=Table7[근무처])*(F142=Table7[업무]),Table7[휴일인센티브],0,0),0))</f>
        <v>0</v>
      </c>
      <c r="AJ142" s="94" cm="1">
        <f t="array" ref="AJ142">ROUND(AC142*IF(U142&gt;=8/24,U142-8/24,0)*24*_xlfn.XLOOKUP(1,(D142&lt;=Table7[End])*(E142=Table7[근무처])*(F142=Table7[업무]),Table7[야간인센티브],0,0),0)</f>
        <v>0</v>
      </c>
      <c r="AK142" s="94" cm="1">
        <f t="array" ref="AK142">IF(V142=0,0,ROUND(AC142*V142*24*_xlfn.XLOOKUP(1,(D142&lt;=Table7[End])*(E142=Table7[근무처])*(F142=Table7[업무]),Table7[야간인센티브],0,0),0))</f>
        <v>0</v>
      </c>
      <c r="AL142" s="95"/>
      <c r="AM142" s="94">
        <f t="shared" si="34"/>
        <v>102528</v>
      </c>
      <c r="AN142" s="94" cm="1">
        <f t="array" ref="AN142">IF(AM142&gt;=_xlfn.XLOOKUP(TRUE,D142&lt;=Table5[End],Table5[비과세소득기준],0,0),AM142-_xlfn.XLOOKUP(TRUE,D142&lt;=Table5[End],Table5[비과세소득기준],0,0),0)</f>
        <v>0</v>
      </c>
      <c r="AO142" s="94" cm="1">
        <f t="array" ref="AO142">ROUNDDOWN(_xlfn.LET(_xlpm.setvalue,_xlfn.XLOOKUP(TRUE,D142&lt;=Table5[End],Table5[[요율]:[근로소득세액공제]],0,0),_xlpm.tax,AN142*PRODUCT((_xlpm.setvalue-{0,1})*{1,-1}),_xlpm.threshold,_xlfn.XLOOKUP(TRUE,D142&lt;=Table5[End],Table5[소액부징수기준],0,0),IF(_xlpm.tax&gt;=_xlpm.threshold,_xlpm.tax,0)),-1)</f>
        <v>0</v>
      </c>
      <c r="AP142" s="94">
        <f>ROUNDDOWN(Table2[[#This Row],[소득세]]*10%,-1)</f>
        <v>0</v>
      </c>
      <c r="AQ142" s="94">
        <f>IF(AB142="v",AM142+IF(Y142=8,SUMIFS(Table2[지급총액],Table2[주민등록번호],O142,Table2[월],R142,Table2[월간
근무일],"&lt;="&amp;8)-AM142,0),0)+_xlfn.NUMBERVALUE(AR142)</f>
        <v>102528</v>
      </c>
      <c r="AR142" s="95"/>
      <c r="AS142" s="94" cm="1">
        <f t="array" ref="AS142">ROUNDDOWN($AQ142*_xlfn.XLOOKUP(1,(AS$5=Table8[Type])*($D142&lt;=Table8[End]),Table8[요율],0,0),0)</f>
        <v>3634</v>
      </c>
      <c r="AT142" s="94" cm="1">
        <f t="array" ref="AT142">ROUNDDOWN(AS142*_xlfn.XLOOKUP(1,(AT$5=Table8[Type])*($D142&lt;=Table8[End]),Table8[요율],0,0),-1)</f>
        <v>470</v>
      </c>
      <c r="AU142" s="94" cm="1">
        <f t="array" ref="AU142">ROUNDDOWN($AQ142*_xlfn.XLOOKUP(1,(AU$5=Table8[Type])*($D142&lt;=Table8[End]),Table8[요율],0,0),-1)</f>
        <v>4610</v>
      </c>
      <c r="AV142" s="94" cm="1">
        <f t="array" ref="AV142">ROUNDDOWN(AM142*_xlfn.XLOOKUP(1,(AV$5=Table8[Type])*($D142&lt;=Table8[End]),Table8[요율],0,0),-1)</f>
        <v>0</v>
      </c>
      <c r="AW142" s="94" cm="1">
        <f t="array" ref="AW142">_xlfn.XLOOKUP(1,(O142=Table2[주민등록번호])*(D142&gt;Table2[근무일자]),Table2[청구 Claim 
이월],0,0,-1)</f>
        <v>0</v>
      </c>
      <c r="AX142" s="95"/>
      <c r="AY142" s="94" cm="1">
        <f t="array" ref="AY142">MAX(SUM(AO142:AP142,AS142:AX142)-_xlfn.XLOOKUP(1,(D142&lt;=Table7[End])*(E142=Table7[근무처])*(F142=Table7[업무]),Table7[1일 공제 상한],0,0),0)</f>
        <v>0</v>
      </c>
      <c r="AZ142" s="94">
        <f t="shared" si="35"/>
        <v>8714</v>
      </c>
      <c r="BA142" s="94">
        <f t="shared" si="36"/>
        <v>93814</v>
      </c>
      <c r="BB142" s="97">
        <f t="shared" si="37"/>
        <v>0</v>
      </c>
      <c r="BC142" s="98"/>
      <c r="BD142" s="94">
        <f t="shared" si="38"/>
        <v>3634</v>
      </c>
      <c r="BE142" s="94">
        <f t="shared" si="39"/>
        <v>470</v>
      </c>
      <c r="BF142" s="94">
        <f t="shared" si="40"/>
        <v>4610</v>
      </c>
      <c r="BG142" s="94">
        <f t="shared" si="41"/>
        <v>0</v>
      </c>
      <c r="BH142" s="94" cm="1">
        <f t="array" ref="BH142">ROUNDDOWN(AM142*_xlfn.XLOOKUP(1,(BH$5=Table8[Type])*($D142&lt;=Table8[End]),Table8[요율],0,0),-1)</f>
        <v>820</v>
      </c>
      <c r="BI142" s="93" t="str" cm="1">
        <f t="array" ref="BI142">_xlfn.XLOOKUP(1,(D142&lt;=Table7[End])*(E142=Table7[근무처])*(F142=Table7[업무]),Table7[지급옵션],0,0)</f>
        <v>차주 화</v>
      </c>
      <c r="BJ142" s="83">
        <f>IF(BK142&lt;&gt;"",BK142,IFERROR(D142+_xlfn.NUMBERVALUE(RIGHT(BI142,1)),D142-WEEKDAY(D142)+CHOOSE(MATCH(RIGHT(BI142),{"일","월","화","수","목","금","토"},0),8,9,10,11,12,13,14)))</f>
        <v>45762</v>
      </c>
      <c r="BK142" s="99"/>
    </row>
    <row r="143" spans="2:63" x14ac:dyDescent="0.35">
      <c r="B143" s="20" t="str" cm="1">
        <f t="array" ref="B143">_xlfn.IFS(BB143&lt;&gt;BC143,"Claim확인",N143&lt;&gt;"OK","확인필요",TRUE,"")</f>
        <v/>
      </c>
      <c r="C143" s="21" t="str">
        <f t="shared" si="28"/>
        <v>010-8X0X-X0X9982X03XX901018</v>
      </c>
      <c r="D143" s="26">
        <v>45759</v>
      </c>
      <c r="E143" s="91" t="s">
        <v>255</v>
      </c>
      <c r="F143" s="25" t="s">
        <v>258</v>
      </c>
      <c r="G143" s="27" t="s">
        <v>283</v>
      </c>
      <c r="H143" s="25" t="s">
        <v>291</v>
      </c>
      <c r="I143" s="25"/>
      <c r="J143" s="25" t="s">
        <v>292</v>
      </c>
      <c r="K143" s="28">
        <v>0.3125</v>
      </c>
      <c r="L143" s="28">
        <v>0.6875</v>
      </c>
      <c r="M143" s="28">
        <v>4.1666666666666664E-2</v>
      </c>
      <c r="N143" s="25" t="s">
        <v>281</v>
      </c>
      <c r="O143" s="29" t="str">
        <f>_xlfn.XLOOKUP(Table2[[#This Row],[Key]],Table1[Key],Table1[주민등록번호],"",0)</f>
        <v>960XX51XX9X15</v>
      </c>
      <c r="P143" s="29">
        <f>_xlfn.XLOOKUP(Table2[[#This Row],[Key]],Table1[Key],Table1[비자],"",0)</f>
        <v>0</v>
      </c>
      <c r="Q143" s="29">
        <f>IF(P143=0,0,_xlfn.XLOOKUP(Table2[[#This Row],[Key]],Table1[Key],Table1[고용보험 여부],0,0))</f>
        <v>0</v>
      </c>
      <c r="R143" s="29" t="str">
        <f t="shared" si="29"/>
        <v>2504</v>
      </c>
      <c r="S143" s="30" t="str">
        <f>YEAR(Table2[[#This Row],[근무일자]])&amp;TEXT(WEEKNUM(Table2[[#This Row],[근무일자]]),"00")</f>
        <v>202515</v>
      </c>
      <c r="T143" s="31">
        <f>_xlfn.XLOOKUP(Table2[[#This Row],[Key]],Table1[Key],Table1[등록일],"",0)</f>
        <v>45698</v>
      </c>
      <c r="U143" s="32">
        <f t="shared" si="30"/>
        <v>0.33333333333333331</v>
      </c>
      <c r="V143" s="92">
        <f t="shared" si="31"/>
        <v>0</v>
      </c>
      <c r="W143" s="100" t="str">
        <f>_xlfn.XLOOKUP(Table2[[#This Row],[근무일자]],Table3[Date],Table3[Holiday],"",0)</f>
        <v/>
      </c>
      <c r="X143" s="93">
        <f>IF(D143&lt;&gt;"",1,0)+IF(COUNTIFS(Table2[주민등록번호],O143,Table2[월],TEXT(EOMONTH(D143,-1),"YYMM"))&gt;0,1+IF(COUNTIFS(Table2[주민등록번호],O143,Table2[월],TEXT(EOMONTH(D143,-2),"YYMM"))&gt;0,1+IF(COUNTIFS(Table2[주민등록번호],O143,Table2[월],TEXT(EOMONTH(D143,-3),"YYMM"))&gt;0,1,0),0),0)</f>
        <v>3</v>
      </c>
      <c r="Y143" s="29">
        <f>COUNTIFS(Table2[주민등록번호],O143,Table2[월],R143,Table2[근무일자],"&lt;="&amp;D143)</f>
        <v>7</v>
      </c>
      <c r="Z143" s="29">
        <f>COUNTIFS(Table2[주민등록번호],O143,Table2[주간],S143,Table2[근무일자],"&lt;="&amp;D143)</f>
        <v>4</v>
      </c>
      <c r="AA143" s="29">
        <f>SUMIFS(Table2[근로
시간],Table2[주민등록번호],O143,Table2[주간],S143,Table2[근무일자],"&lt;="&amp;D143)*24</f>
        <v>32</v>
      </c>
      <c r="AB143" s="29" t="str">
        <f>IF(AND(Y143&gt;=8,COUNTIFS(Table2[주민등록번호],O143,Table2[근무일자],"&gt;="&amp;EOMONTH(D143,-2)+1,Table2[근무일자],"&lt;="&amp;EOMONTH(D143,-1)+1)&gt;0),"V","")</f>
        <v/>
      </c>
      <c r="AC143" s="94" cm="1">
        <f t="array" ref="AC143">IF(AD143&lt;&gt;"",AD143,_xlfn.XLOOKUP(1,(D143&lt;=Table7[End])*(E143=Table7[근무처])*(F143=Table7[업무]),Table7[시급],0,0))</f>
        <v>10680</v>
      </c>
      <c r="AD143" s="95"/>
      <c r="AE143" s="94">
        <f t="shared" si="32"/>
        <v>85440</v>
      </c>
      <c r="AF143" s="96" cm="1">
        <f t="array" ref="AF143">IF(AND(AA143&gt;=15,(AA143-U143*24)&lt;=40),IF(Z143&gt;=_xlfn.XLOOKUP(1,(D143&lt;=Table7[End])*(E143=Table7[근무처])*(F143=Table7[업무]),Table7[주휴적용일],0,0),1,0)+_xlfn.XLOOKUP(1,(Table2[주간]=Table2[[#This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43" s="96" cm="1">
        <f t="array" ref="AG143">MAX((_xlfn.IFS(AF143=0,0,AF143=1,AA143,AF143&gt;1,U143*24)-IF(AA143&gt;40,AA143-40,0))/5,0)</f>
        <v>1.6</v>
      </c>
      <c r="AH143" s="94">
        <f t="shared" si="33"/>
        <v>17088</v>
      </c>
      <c r="AI143" s="33" cm="1">
        <f t="array" ref="AI143">IF(W143="",0,ROUND(AC143*U143*24*_xlfn.XLOOKUP(1,(D143&lt;=Table7[End])*(E143=Table7[근무처])*(F143=Table7[업무]),Table7[휴일인센티브],0,0),0))</f>
        <v>0</v>
      </c>
      <c r="AJ143" s="94" cm="1">
        <f t="array" ref="AJ143">ROUND(AC143*IF(U143&gt;=8/24,U143-8/24,0)*24*_xlfn.XLOOKUP(1,(D143&lt;=Table7[End])*(E143=Table7[근무처])*(F143=Table7[업무]),Table7[야간인센티브],0,0),0)</f>
        <v>0</v>
      </c>
      <c r="AK143" s="94" cm="1">
        <f t="array" ref="AK143">IF(V143=0,0,ROUND(AC143*V143*24*_xlfn.XLOOKUP(1,(D143&lt;=Table7[End])*(E143=Table7[근무처])*(F143=Table7[업무]),Table7[야간인센티브],0,0),0))</f>
        <v>0</v>
      </c>
      <c r="AL143" s="95"/>
      <c r="AM143" s="94">
        <f t="shared" si="34"/>
        <v>102528</v>
      </c>
      <c r="AN143" s="94" cm="1">
        <f t="array" ref="AN143">IF(AM143&gt;=_xlfn.XLOOKUP(TRUE,D143&lt;=Table5[End],Table5[비과세소득기준],0,0),AM143-_xlfn.XLOOKUP(TRUE,D143&lt;=Table5[End],Table5[비과세소득기준],0,0),0)</f>
        <v>0</v>
      </c>
      <c r="AO143" s="94" cm="1">
        <f t="array" ref="AO143">ROUNDDOWN(_xlfn.LET(_xlpm.setvalue,_xlfn.XLOOKUP(TRUE,D143&lt;=Table5[End],Table5[[요율]:[근로소득세액공제]],0,0),_xlpm.tax,AN143*PRODUCT((_xlpm.setvalue-{0,1})*{1,-1}),_xlpm.threshold,_xlfn.XLOOKUP(TRUE,D143&lt;=Table5[End],Table5[소액부징수기준],0,0),IF(_xlpm.tax&gt;=_xlpm.threshold,_xlpm.tax,0)),-1)</f>
        <v>0</v>
      </c>
      <c r="AP143" s="94">
        <f>ROUNDDOWN(Table2[[#This Row],[소득세]]*10%,-1)</f>
        <v>0</v>
      </c>
      <c r="AQ143" s="94">
        <f>IF(AB143="v",AM143+IF(Y143=8,SUMIFS(Table2[지급총액],Table2[주민등록번호],O143,Table2[월],R143,Table2[월간
근무일],"&lt;="&amp;8)-AM143,0),0)+_xlfn.NUMBERVALUE(AR143)</f>
        <v>0</v>
      </c>
      <c r="AR143" s="95"/>
      <c r="AS143" s="94" cm="1">
        <f t="array" ref="AS143">ROUNDDOWN($AQ143*_xlfn.XLOOKUP(1,(AS$5=Table8[Type])*($D143&lt;=Table8[End]),Table8[요율],0,0),0)</f>
        <v>0</v>
      </c>
      <c r="AT143" s="94" cm="1">
        <f t="array" ref="AT143">ROUNDDOWN(AS143*_xlfn.XLOOKUP(1,(AT$5=Table8[Type])*($D143&lt;=Table8[End]),Table8[요율],0,0),-1)</f>
        <v>0</v>
      </c>
      <c r="AU143" s="94" cm="1">
        <f t="array" ref="AU143">ROUNDDOWN($AQ143*_xlfn.XLOOKUP(1,(AU$5=Table8[Type])*($D143&lt;=Table8[End]),Table8[요율],0,0),-1)</f>
        <v>0</v>
      </c>
      <c r="AV143" s="94" cm="1">
        <f t="array" ref="AV143">ROUNDDOWN(AM143*_xlfn.XLOOKUP(1,(AV$5=Table8[Type])*($D143&lt;=Table8[End]),Table8[요율],0,0),-1)</f>
        <v>0</v>
      </c>
      <c r="AW143" s="94" cm="1">
        <f t="array" ref="AW143">_xlfn.XLOOKUP(1,(O143=Table2[주민등록번호])*(D143&gt;Table2[근무일자]),Table2[청구 Claim 
이월],0,0,-1)</f>
        <v>0</v>
      </c>
      <c r="AX143" s="95"/>
      <c r="AY143" s="94" cm="1">
        <f t="array" ref="AY143">MAX(SUM(AO143:AP143,AS143:AX143)-_xlfn.XLOOKUP(1,(D143&lt;=Table7[End])*(E143=Table7[근무처])*(F143=Table7[업무]),Table7[1일 공제 상한],0,0),0)</f>
        <v>0</v>
      </c>
      <c r="AZ143" s="94">
        <f t="shared" si="35"/>
        <v>0</v>
      </c>
      <c r="BA143" s="94">
        <f t="shared" si="36"/>
        <v>102528</v>
      </c>
      <c r="BB143" s="97">
        <f t="shared" si="37"/>
        <v>0</v>
      </c>
      <c r="BC143" s="98"/>
      <c r="BD143" s="94">
        <f t="shared" si="38"/>
        <v>0</v>
      </c>
      <c r="BE143" s="94">
        <f t="shared" si="39"/>
        <v>0</v>
      </c>
      <c r="BF143" s="94">
        <f t="shared" si="40"/>
        <v>0</v>
      </c>
      <c r="BG143" s="94">
        <f t="shared" si="41"/>
        <v>0</v>
      </c>
      <c r="BH143" s="94" cm="1">
        <f t="array" ref="BH143">ROUNDDOWN(AM143*_xlfn.XLOOKUP(1,(BH$5=Table8[Type])*($D143&lt;=Table8[End]),Table8[요율],0,0),-1)</f>
        <v>820</v>
      </c>
      <c r="BI143" s="93" t="str" cm="1">
        <f t="array" ref="BI143">_xlfn.XLOOKUP(1,(D143&lt;=Table7[End])*(E143=Table7[근무처])*(F143=Table7[업무]),Table7[지급옵션],0,0)</f>
        <v>차주 화</v>
      </c>
      <c r="BJ143" s="83">
        <f>IF(BK143&lt;&gt;"",BK143,IFERROR(D143+_xlfn.NUMBERVALUE(RIGHT(BI143,1)),D143-WEEKDAY(D143)+CHOOSE(MATCH(RIGHT(BI143),{"일","월","화","수","목","금","토"},0),8,9,10,11,12,13,14)))</f>
        <v>45762</v>
      </c>
      <c r="BK143" s="99"/>
    </row>
    <row r="144" spans="2:63" x14ac:dyDescent="0.35">
      <c r="B144" s="20" t="str" cm="1">
        <f t="array" ref="B144">_xlfn.IFS(BB144&lt;&gt;BC144,"Claim확인",N144&lt;&gt;"OK","확인필요",TRUE,"")</f>
        <v/>
      </c>
      <c r="C144" s="21" t="str">
        <f t="shared" si="28"/>
        <v>010-7X6X-X9X5110X98XX7530</v>
      </c>
      <c r="D144" s="26">
        <v>45759</v>
      </c>
      <c r="E144" s="91" t="s">
        <v>255</v>
      </c>
      <c r="F144" s="25" t="s">
        <v>258</v>
      </c>
      <c r="G144" s="27" t="s">
        <v>282</v>
      </c>
      <c r="H144" s="25" t="s">
        <v>289</v>
      </c>
      <c r="I144" s="25"/>
      <c r="J144" s="25" t="s">
        <v>290</v>
      </c>
      <c r="K144" s="28">
        <v>0.3125</v>
      </c>
      <c r="L144" s="28">
        <v>0.6875</v>
      </c>
      <c r="M144" s="28">
        <v>4.1666666666666664E-2</v>
      </c>
      <c r="N144" s="25" t="s">
        <v>281</v>
      </c>
      <c r="O144" s="29" t="str">
        <f>_xlfn.XLOOKUP(Table2[[#This Row],[Key]],Table1[Key],Table1[주민등록번호],"",0)</f>
        <v>990XX62XX3X13</v>
      </c>
      <c r="P144" s="29">
        <f>_xlfn.XLOOKUP(Table2[[#This Row],[Key]],Table1[Key],Table1[비자],"",0)</f>
        <v>0</v>
      </c>
      <c r="Q144" s="29">
        <f>IF(P144=0,0,_xlfn.XLOOKUP(Table2[[#This Row],[Key]],Table1[Key],Table1[고용보험 여부],0,0))</f>
        <v>0</v>
      </c>
      <c r="R144" s="29" t="str">
        <f t="shared" si="29"/>
        <v>2504</v>
      </c>
      <c r="S144" s="30" t="str">
        <f>YEAR(Table2[[#This Row],[근무일자]])&amp;TEXT(WEEKNUM(Table2[[#This Row],[근무일자]]),"00")</f>
        <v>202515</v>
      </c>
      <c r="T144" s="31">
        <f>_xlfn.XLOOKUP(Table2[[#This Row],[Key]],Table1[Key],Table1[등록일],"",0)</f>
        <v>45696</v>
      </c>
      <c r="U144" s="32">
        <f t="shared" si="30"/>
        <v>0.33333333333333331</v>
      </c>
      <c r="V144" s="92">
        <f t="shared" si="31"/>
        <v>0</v>
      </c>
      <c r="W144" s="100" t="str">
        <f>_xlfn.XLOOKUP(Table2[[#This Row],[근무일자]],Table3[Date],Table3[Holiday],"",0)</f>
        <v/>
      </c>
      <c r="X144" s="93">
        <f>IF(D144&lt;&gt;"",1,0)+IF(COUNTIFS(Table2[주민등록번호],O144,Table2[월],TEXT(EOMONTH(D144,-1),"YYMM"))&gt;0,1+IF(COUNTIFS(Table2[주민등록번호],O144,Table2[월],TEXT(EOMONTH(D144,-2),"YYMM"))&gt;0,1+IF(COUNTIFS(Table2[주민등록번호],O144,Table2[월],TEXT(EOMONTH(D144,-3),"YYMM"))&gt;0,1,0),0),0)</f>
        <v>3</v>
      </c>
      <c r="Y144" s="29">
        <f>COUNTIFS(Table2[주민등록번호],O144,Table2[월],R144,Table2[근무일자],"&lt;="&amp;D144)</f>
        <v>2</v>
      </c>
      <c r="Z144" s="29">
        <f>COUNTIFS(Table2[주민등록번호],O144,Table2[주간],S144,Table2[근무일자],"&lt;="&amp;D144)</f>
        <v>2</v>
      </c>
      <c r="AA144" s="29">
        <f>SUMIFS(Table2[근로
시간],Table2[주민등록번호],O144,Table2[주간],S144,Table2[근무일자],"&lt;="&amp;D144)*24</f>
        <v>16</v>
      </c>
      <c r="AB144" s="29" t="str">
        <f>IF(AND(Y144&gt;=8,COUNTIFS(Table2[주민등록번호],O144,Table2[근무일자],"&gt;="&amp;EOMONTH(D144,-2)+1,Table2[근무일자],"&lt;="&amp;EOMONTH(D144,-1)+1)&gt;0),"V","")</f>
        <v/>
      </c>
      <c r="AC144" s="94" cm="1">
        <f t="array" ref="AC144">IF(AD144&lt;&gt;"",AD144,_xlfn.XLOOKUP(1,(D144&lt;=Table7[End])*(E144=Table7[근무처])*(F144=Table7[업무]),Table7[시급],0,0))</f>
        <v>10680</v>
      </c>
      <c r="AD144" s="95"/>
      <c r="AE144" s="94">
        <f t="shared" si="32"/>
        <v>85440</v>
      </c>
      <c r="AF144" s="96" cm="1">
        <f t="array" ref="AF144">IF(AND(AA144&gt;=15,(AA144-U144*24)&lt;=40),IF(Z144&gt;=_xlfn.XLOOKUP(1,(D144&lt;=Table7[End])*(E144=Table7[근무처])*(F144=Table7[업무]),Table7[주휴적용일],0,0),1,0)+_xlfn.XLOOKUP(1,(Table2[주간]=Table2[[#This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44" s="96" cm="1">
        <f t="array" ref="AG144">MAX((_xlfn.IFS(AF144=0,0,AF144=1,AA144,AF144&gt;1,U144*24)-IF(AA144&gt;40,AA144-40,0))/5,0)</f>
        <v>3.2</v>
      </c>
      <c r="AH144" s="94">
        <f t="shared" si="33"/>
        <v>34176</v>
      </c>
      <c r="AI144" s="33" cm="1">
        <f t="array" ref="AI144">IF(W144="",0,ROUND(AC144*U144*24*_xlfn.XLOOKUP(1,(D144&lt;=Table7[End])*(E144=Table7[근무처])*(F144=Table7[업무]),Table7[휴일인센티브],0,0),0))</f>
        <v>0</v>
      </c>
      <c r="AJ144" s="94" cm="1">
        <f t="array" ref="AJ144">ROUND(AC144*IF(U144&gt;=8/24,U144-8/24,0)*24*_xlfn.XLOOKUP(1,(D144&lt;=Table7[End])*(E144=Table7[근무처])*(F144=Table7[업무]),Table7[야간인센티브],0,0),0)</f>
        <v>0</v>
      </c>
      <c r="AK144" s="94" cm="1">
        <f t="array" ref="AK144">IF(V144=0,0,ROUND(AC144*V144*24*_xlfn.XLOOKUP(1,(D144&lt;=Table7[End])*(E144=Table7[근무처])*(F144=Table7[업무]),Table7[야간인센티브],0,0),0))</f>
        <v>0</v>
      </c>
      <c r="AL144" s="95"/>
      <c r="AM144" s="94">
        <f t="shared" si="34"/>
        <v>119616</v>
      </c>
      <c r="AN144" s="94" cm="1">
        <f t="array" ref="AN144">IF(AM144&gt;=_xlfn.XLOOKUP(TRUE,D144&lt;=Table5[End],Table5[비과세소득기준],0,0),AM144-_xlfn.XLOOKUP(TRUE,D144&lt;=Table5[End],Table5[비과세소득기준],0,0),0)</f>
        <v>0</v>
      </c>
      <c r="AO144" s="94" cm="1">
        <f t="array" ref="AO144">ROUNDDOWN(_xlfn.LET(_xlpm.setvalue,_xlfn.XLOOKUP(TRUE,D144&lt;=Table5[End],Table5[[요율]:[근로소득세액공제]],0,0),_xlpm.tax,AN144*PRODUCT((_xlpm.setvalue-{0,1})*{1,-1}),_xlpm.threshold,_xlfn.XLOOKUP(TRUE,D144&lt;=Table5[End],Table5[소액부징수기준],0,0),IF(_xlpm.tax&gt;=_xlpm.threshold,_xlpm.tax,0)),-1)</f>
        <v>0</v>
      </c>
      <c r="AP144" s="94">
        <f>ROUNDDOWN(Table2[[#This Row],[소득세]]*10%,-1)</f>
        <v>0</v>
      </c>
      <c r="AQ144" s="94">
        <f>IF(AB144="v",AM144+IF(Y144=8,SUMIFS(Table2[지급총액],Table2[주민등록번호],O144,Table2[월],R144,Table2[월간
근무일],"&lt;="&amp;8)-AM144,0),0)+_xlfn.NUMBERVALUE(AR144)</f>
        <v>0</v>
      </c>
      <c r="AR144" s="95"/>
      <c r="AS144" s="94" cm="1">
        <f t="array" ref="AS144">ROUNDDOWN($AQ144*_xlfn.XLOOKUP(1,(AS$5=Table8[Type])*($D144&lt;=Table8[End]),Table8[요율],0,0),0)</f>
        <v>0</v>
      </c>
      <c r="AT144" s="94" cm="1">
        <f t="array" ref="AT144">ROUNDDOWN(AS144*_xlfn.XLOOKUP(1,(AT$5=Table8[Type])*($D144&lt;=Table8[End]),Table8[요율],0,0),-1)</f>
        <v>0</v>
      </c>
      <c r="AU144" s="94" cm="1">
        <f t="array" ref="AU144">ROUNDDOWN($AQ144*_xlfn.XLOOKUP(1,(AU$5=Table8[Type])*($D144&lt;=Table8[End]),Table8[요율],0,0),-1)</f>
        <v>0</v>
      </c>
      <c r="AV144" s="94" cm="1">
        <f t="array" ref="AV144">ROUNDDOWN(AM144*_xlfn.XLOOKUP(1,(AV$5=Table8[Type])*($D144&lt;=Table8[End]),Table8[요율],0,0),-1)</f>
        <v>0</v>
      </c>
      <c r="AW144" s="94" cm="1">
        <f t="array" ref="AW144">_xlfn.XLOOKUP(1,(O144=Table2[주민등록번호])*(D144&gt;Table2[근무일자]),Table2[청구 Claim 
이월],0,0,-1)</f>
        <v>0</v>
      </c>
      <c r="AX144" s="95"/>
      <c r="AY144" s="94" cm="1">
        <f t="array" ref="AY144">MAX(SUM(AO144:AP144,AS144:AX144)-_xlfn.XLOOKUP(1,(D144&lt;=Table7[End])*(E144=Table7[근무처])*(F144=Table7[업무]),Table7[1일 공제 상한],0,0),0)</f>
        <v>0</v>
      </c>
      <c r="AZ144" s="94">
        <f t="shared" si="35"/>
        <v>0</v>
      </c>
      <c r="BA144" s="94">
        <f t="shared" si="36"/>
        <v>119616</v>
      </c>
      <c r="BB144" s="97">
        <f t="shared" si="37"/>
        <v>0</v>
      </c>
      <c r="BC144" s="98"/>
      <c r="BD144" s="94">
        <f t="shared" si="38"/>
        <v>0</v>
      </c>
      <c r="BE144" s="94">
        <f t="shared" si="39"/>
        <v>0</v>
      </c>
      <c r="BF144" s="94">
        <f t="shared" si="40"/>
        <v>0</v>
      </c>
      <c r="BG144" s="94">
        <f t="shared" si="41"/>
        <v>0</v>
      </c>
      <c r="BH144" s="94" cm="1">
        <f t="array" ref="BH144">ROUNDDOWN(AM144*_xlfn.XLOOKUP(1,(BH$5=Table8[Type])*($D144&lt;=Table8[End]),Table8[요율],0,0),-1)</f>
        <v>950</v>
      </c>
      <c r="BI144" s="93" t="str" cm="1">
        <f t="array" ref="BI144">_xlfn.XLOOKUP(1,(D144&lt;=Table7[End])*(E144=Table7[근무처])*(F144=Table7[업무]),Table7[지급옵션],0,0)</f>
        <v>차주 화</v>
      </c>
      <c r="BJ144" s="83">
        <f>IF(BK144&lt;&gt;"",BK144,IFERROR(D144+_xlfn.NUMBERVALUE(RIGHT(BI144,1)),D144-WEEKDAY(D144)+CHOOSE(MATCH(RIGHT(BI144),{"일","월","화","수","목","금","토"},0),8,9,10,11,12,13,14)))</f>
        <v>45762</v>
      </c>
      <c r="BK144" s="99"/>
    </row>
    <row r="145" spans="2:63" x14ac:dyDescent="0.35">
      <c r="B145" s="20" t="str" cm="1">
        <f t="array" ref="B145">_xlfn.IFS(BB145&lt;&gt;BC145,"Claim확인",N145&lt;&gt;"OK","확인필요",TRUE,"")</f>
        <v/>
      </c>
      <c r="C145" s="21" t="str">
        <f t="shared" si="28"/>
        <v>010-5X8X-X4X0920X02XX253123</v>
      </c>
      <c r="D145" s="26">
        <v>45759</v>
      </c>
      <c r="E145" s="91" t="s">
        <v>255</v>
      </c>
      <c r="F145" s="25" t="s">
        <v>257</v>
      </c>
      <c r="G145" s="27" t="s">
        <v>288</v>
      </c>
      <c r="H145" s="25" t="s">
        <v>303</v>
      </c>
      <c r="I145" s="25"/>
      <c r="J145" s="25" t="s">
        <v>304</v>
      </c>
      <c r="K145" s="28">
        <v>0.45833333333333331</v>
      </c>
      <c r="L145" s="28">
        <v>0.83333333333333337</v>
      </c>
      <c r="M145" s="28">
        <v>4.1666666666666664E-2</v>
      </c>
      <c r="N145" s="25" t="s">
        <v>281</v>
      </c>
      <c r="O145" s="29" t="str">
        <f>_xlfn.XLOOKUP(Table2[[#This Row],[Key]],Table1[Key],Table1[주민등록번호],"",0)</f>
        <v>941XX31XX3X14</v>
      </c>
      <c r="P145" s="29">
        <f>_xlfn.XLOOKUP(Table2[[#This Row],[Key]],Table1[Key],Table1[비자],"",0)</f>
        <v>0</v>
      </c>
      <c r="Q145" s="29">
        <f>IF(P145=0,0,_xlfn.XLOOKUP(Table2[[#This Row],[Key]],Table1[Key],Table1[고용보험 여부],0,0))</f>
        <v>0</v>
      </c>
      <c r="R145" s="29" t="str">
        <f t="shared" si="29"/>
        <v>2504</v>
      </c>
      <c r="S145" s="30" t="str">
        <f>YEAR(Table2[[#This Row],[근무일자]])&amp;TEXT(WEEKNUM(Table2[[#This Row],[근무일자]]),"00")</f>
        <v>202515</v>
      </c>
      <c r="T145" s="31">
        <f>_xlfn.XLOOKUP(Table2[[#This Row],[Key]],Table1[Key],Table1[등록일],"",0)</f>
        <v>45846</v>
      </c>
      <c r="U145" s="32">
        <f t="shared" si="30"/>
        <v>0.33333333333333337</v>
      </c>
      <c r="V145" s="92">
        <f t="shared" si="31"/>
        <v>0</v>
      </c>
      <c r="W145" s="100" t="str">
        <f>_xlfn.XLOOKUP(Table2[[#This Row],[근무일자]],Table3[Date],Table3[Holiday],"",0)</f>
        <v/>
      </c>
      <c r="X145" s="93">
        <f>IF(D145&lt;&gt;"",1,0)+IF(COUNTIFS(Table2[주민등록번호],O145,Table2[월],TEXT(EOMONTH(D145,-1),"YYMM"))&gt;0,1+IF(COUNTIFS(Table2[주민등록번호],O145,Table2[월],TEXT(EOMONTH(D145,-2),"YYMM"))&gt;0,1+IF(COUNTIFS(Table2[주민등록번호],O145,Table2[월],TEXT(EOMONTH(D145,-3),"YYMM"))&gt;0,1,0),0),0)</f>
        <v>3</v>
      </c>
      <c r="Y145" s="29">
        <f>COUNTIFS(Table2[주민등록번호],O145,Table2[월],R145,Table2[근무일자],"&lt;="&amp;D145)</f>
        <v>7</v>
      </c>
      <c r="Z145" s="29">
        <f>COUNTIFS(Table2[주민등록번호],O145,Table2[주간],S145,Table2[근무일자],"&lt;="&amp;D145)</f>
        <v>4</v>
      </c>
      <c r="AA145" s="29">
        <f>SUMIFS(Table2[근로
시간],Table2[주민등록번호],O145,Table2[주간],S145,Table2[근무일자],"&lt;="&amp;D145)*24</f>
        <v>32</v>
      </c>
      <c r="AB145" s="29" t="str">
        <f>IF(AND(Y145&gt;=8,COUNTIFS(Table2[주민등록번호],O145,Table2[근무일자],"&gt;="&amp;EOMONTH(D145,-2)+1,Table2[근무일자],"&lt;="&amp;EOMONTH(D145,-1)+1)&gt;0),"V","")</f>
        <v/>
      </c>
      <c r="AC145" s="94" cm="1">
        <f t="array" ref="AC145">IF(AD145&lt;&gt;"",AD145,_xlfn.XLOOKUP(1,(D145&lt;=Table7[End])*(E145=Table7[근무처])*(F145=Table7[업무]),Table7[시급],0,0))</f>
        <v>10030</v>
      </c>
      <c r="AD145" s="95"/>
      <c r="AE145" s="94">
        <f t="shared" si="32"/>
        <v>80240</v>
      </c>
      <c r="AF145" s="96" cm="1">
        <f t="array" ref="AF145">IF(AND(AA145&gt;=15,(AA145-U145*24)&lt;=40),IF(Z145&gt;=_xlfn.XLOOKUP(1,(D145&lt;=Table7[End])*(E145=Table7[근무처])*(F145=Table7[업무]),Table7[주휴적용일],0,0),1,0)+_xlfn.XLOOKUP(1,(Table2[주간]=Table2[[#This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45" s="96" cm="1">
        <f t="array" ref="AG145">MAX((_xlfn.IFS(AF145=0,0,AF145=1,AA145,AF145&gt;1,U145*24)-IF(AA145&gt;40,AA145-40,0))/5,0)</f>
        <v>1.6</v>
      </c>
      <c r="AH145" s="94">
        <f t="shared" si="33"/>
        <v>16048</v>
      </c>
      <c r="AI145" s="33" cm="1">
        <f t="array" ref="AI145">IF(W145="",0,ROUND(AC145*U145*24*_xlfn.XLOOKUP(1,(D145&lt;=Table7[End])*(E145=Table7[근무처])*(F145=Table7[업무]),Table7[휴일인센티브],0,0),0))</f>
        <v>0</v>
      </c>
      <c r="AJ145" s="94" cm="1">
        <f t="array" ref="AJ145">ROUND(AC145*IF(U145&gt;=8/24,U145-8/24,0)*24*_xlfn.XLOOKUP(1,(D145&lt;=Table7[End])*(E145=Table7[근무처])*(F145=Table7[업무]),Table7[야간인센티브],0,0),0)</f>
        <v>0</v>
      </c>
      <c r="AK145" s="94" cm="1">
        <f t="array" ref="AK145">IF(V145=0,0,ROUND(AC145*V145*24*_xlfn.XLOOKUP(1,(D145&lt;=Table7[End])*(E145=Table7[근무처])*(F145=Table7[업무]),Table7[야간인센티브],0,0),0))</f>
        <v>0</v>
      </c>
      <c r="AL145" s="95"/>
      <c r="AM145" s="94">
        <f t="shared" si="34"/>
        <v>96288</v>
      </c>
      <c r="AN145" s="94" cm="1">
        <f t="array" ref="AN145">IF(AM145&gt;=_xlfn.XLOOKUP(TRUE,D145&lt;=Table5[End],Table5[비과세소득기준],0,0),AM145-_xlfn.XLOOKUP(TRUE,D145&lt;=Table5[End],Table5[비과세소득기준],0,0),0)</f>
        <v>0</v>
      </c>
      <c r="AO145" s="94" cm="1">
        <f t="array" ref="AO145">ROUNDDOWN(_xlfn.LET(_xlpm.setvalue,_xlfn.XLOOKUP(TRUE,D145&lt;=Table5[End],Table5[[요율]:[근로소득세액공제]],0,0),_xlpm.tax,AN145*PRODUCT((_xlpm.setvalue-{0,1})*{1,-1}),_xlpm.threshold,_xlfn.XLOOKUP(TRUE,D145&lt;=Table5[End],Table5[소액부징수기준],0,0),IF(_xlpm.tax&gt;=_xlpm.threshold,_xlpm.tax,0)),-1)</f>
        <v>0</v>
      </c>
      <c r="AP145" s="94">
        <f>ROUNDDOWN(Table2[[#This Row],[소득세]]*10%,-1)</f>
        <v>0</v>
      </c>
      <c r="AQ145" s="94">
        <f>IF(AB145="v",AM145+IF(Y145=8,SUMIFS(Table2[지급총액],Table2[주민등록번호],O145,Table2[월],R145,Table2[월간
근무일],"&lt;="&amp;8)-AM145,0),0)+_xlfn.NUMBERVALUE(AR145)</f>
        <v>0</v>
      </c>
      <c r="AR145" s="95"/>
      <c r="AS145" s="94" cm="1">
        <f t="array" ref="AS145">ROUNDDOWN($AQ145*_xlfn.XLOOKUP(1,(AS$5=Table8[Type])*($D145&lt;=Table8[End]),Table8[요율],0,0),0)</f>
        <v>0</v>
      </c>
      <c r="AT145" s="94" cm="1">
        <f t="array" ref="AT145">ROUNDDOWN(AS145*_xlfn.XLOOKUP(1,(AT$5=Table8[Type])*($D145&lt;=Table8[End]),Table8[요율],0,0),-1)</f>
        <v>0</v>
      </c>
      <c r="AU145" s="94" cm="1">
        <f t="array" ref="AU145">ROUNDDOWN($AQ145*_xlfn.XLOOKUP(1,(AU$5=Table8[Type])*($D145&lt;=Table8[End]),Table8[요율],0,0),-1)</f>
        <v>0</v>
      </c>
      <c r="AV145" s="94" cm="1">
        <f t="array" ref="AV145">ROUNDDOWN(AM145*_xlfn.XLOOKUP(1,(AV$5=Table8[Type])*($D145&lt;=Table8[End]),Table8[요율],0,0),-1)</f>
        <v>0</v>
      </c>
      <c r="AW145" s="94" cm="1">
        <f t="array" ref="AW145">_xlfn.XLOOKUP(1,(O145=Table2[주민등록번호])*(D145&gt;Table2[근무일자]),Table2[청구 Claim 
이월],0,0,-1)</f>
        <v>0</v>
      </c>
      <c r="AX145" s="95"/>
      <c r="AY145" s="94" cm="1">
        <f t="array" ref="AY145">MAX(SUM(AO145:AP145,AS145:AX145)-_xlfn.XLOOKUP(1,(D145&lt;=Table7[End])*(E145=Table7[근무처])*(F145=Table7[업무]),Table7[1일 공제 상한],0,0),0)</f>
        <v>0</v>
      </c>
      <c r="AZ145" s="94">
        <f t="shared" si="35"/>
        <v>0</v>
      </c>
      <c r="BA145" s="94">
        <f t="shared" si="36"/>
        <v>96288</v>
      </c>
      <c r="BB145" s="97">
        <f t="shared" si="37"/>
        <v>0</v>
      </c>
      <c r="BC145" s="98"/>
      <c r="BD145" s="94">
        <f t="shared" si="38"/>
        <v>0</v>
      </c>
      <c r="BE145" s="94">
        <f t="shared" si="39"/>
        <v>0</v>
      </c>
      <c r="BF145" s="94">
        <f t="shared" si="40"/>
        <v>0</v>
      </c>
      <c r="BG145" s="94">
        <f t="shared" si="41"/>
        <v>0</v>
      </c>
      <c r="BH145" s="94" cm="1">
        <f t="array" ref="BH145">ROUNDDOWN(AM145*_xlfn.XLOOKUP(1,(BH$5=Table8[Type])*($D145&lt;=Table8[End]),Table8[요율],0,0),-1)</f>
        <v>770</v>
      </c>
      <c r="BI145" s="93" t="str" cm="1">
        <f t="array" ref="BI145">_xlfn.XLOOKUP(1,(D145&lt;=Table7[End])*(E145=Table7[근무처])*(F145=Table7[업무]),Table7[지급옵션],0,0)</f>
        <v>차주 화</v>
      </c>
      <c r="BJ145" s="83">
        <f>IF(BK145&lt;&gt;"",BK145,IFERROR(D145+_xlfn.NUMBERVALUE(RIGHT(BI145,1)),D145-WEEKDAY(D145)+CHOOSE(MATCH(RIGHT(BI145),{"일","월","화","수","목","금","토"},0),8,9,10,11,12,13,14)))</f>
        <v>45762</v>
      </c>
      <c r="BK145" s="99"/>
    </row>
    <row r="146" spans="2:63" x14ac:dyDescent="0.35">
      <c r="B146" s="20" t="str" cm="1">
        <f t="array" ref="B146">_xlfn.IFS(BB146&lt;&gt;BC146,"Claim확인",N146&lt;&gt;"OK","확인필요",TRUE,"")</f>
        <v/>
      </c>
      <c r="C146" s="21" t="str">
        <f t="shared" si="28"/>
        <v>010-7X6X-X9X5110X98XX7530</v>
      </c>
      <c r="D146" s="26">
        <v>45760</v>
      </c>
      <c r="E146" s="91" t="s">
        <v>255</v>
      </c>
      <c r="F146" s="25" t="s">
        <v>258</v>
      </c>
      <c r="G146" s="27" t="s">
        <v>282</v>
      </c>
      <c r="H146" s="25" t="s">
        <v>289</v>
      </c>
      <c r="I146" s="25"/>
      <c r="J146" s="25" t="s">
        <v>290</v>
      </c>
      <c r="K146" s="28">
        <v>0.3125</v>
      </c>
      <c r="L146" s="28">
        <v>0.6875</v>
      </c>
      <c r="M146" s="28">
        <v>4.1666666666666664E-2</v>
      </c>
      <c r="N146" s="25" t="s">
        <v>281</v>
      </c>
      <c r="O146" s="29" t="str">
        <f>_xlfn.XLOOKUP(Table2[[#This Row],[Key]],Table1[Key],Table1[주민등록번호],"",0)</f>
        <v>990XX62XX3X13</v>
      </c>
      <c r="P146" s="29">
        <f>_xlfn.XLOOKUP(Table2[[#This Row],[Key]],Table1[Key],Table1[비자],"",0)</f>
        <v>0</v>
      </c>
      <c r="Q146" s="29">
        <f>IF(P146=0,0,_xlfn.XLOOKUP(Table2[[#This Row],[Key]],Table1[Key],Table1[고용보험 여부],0,0))</f>
        <v>0</v>
      </c>
      <c r="R146" s="29" t="str">
        <f t="shared" si="29"/>
        <v>2504</v>
      </c>
      <c r="S146" s="30" t="str">
        <f>YEAR(Table2[[#This Row],[근무일자]])&amp;TEXT(WEEKNUM(Table2[[#This Row],[근무일자]]),"00")</f>
        <v>202516</v>
      </c>
      <c r="T146" s="31">
        <f>_xlfn.XLOOKUP(Table2[[#This Row],[Key]],Table1[Key],Table1[등록일],"",0)</f>
        <v>45696</v>
      </c>
      <c r="U146" s="32">
        <f t="shared" si="30"/>
        <v>0.33333333333333331</v>
      </c>
      <c r="V146" s="92">
        <f t="shared" si="31"/>
        <v>0</v>
      </c>
      <c r="W146" s="100" t="str">
        <f>_xlfn.XLOOKUP(Table2[[#This Row],[근무일자]],Table3[Date],Table3[Holiday],"",0)</f>
        <v/>
      </c>
      <c r="X146" s="93">
        <f>IF(D146&lt;&gt;"",1,0)+IF(COUNTIFS(Table2[주민등록번호],O146,Table2[월],TEXT(EOMONTH(D146,-1),"YYMM"))&gt;0,1+IF(COUNTIFS(Table2[주민등록번호],O146,Table2[월],TEXT(EOMONTH(D146,-2),"YYMM"))&gt;0,1+IF(COUNTIFS(Table2[주민등록번호],O146,Table2[월],TEXT(EOMONTH(D146,-3),"YYMM"))&gt;0,1,0),0),0)</f>
        <v>3</v>
      </c>
      <c r="Y146" s="29">
        <f>COUNTIFS(Table2[주민등록번호],O146,Table2[월],R146,Table2[근무일자],"&lt;="&amp;D146)</f>
        <v>3</v>
      </c>
      <c r="Z146" s="29">
        <f>COUNTIFS(Table2[주민등록번호],O146,Table2[주간],S146,Table2[근무일자],"&lt;="&amp;D146)</f>
        <v>1</v>
      </c>
      <c r="AA146" s="29">
        <f>SUMIFS(Table2[근로
시간],Table2[주민등록번호],O146,Table2[주간],S146,Table2[근무일자],"&lt;="&amp;D146)*24</f>
        <v>8</v>
      </c>
      <c r="AB146" s="29" t="str">
        <f>IF(AND(Y146&gt;=8,COUNTIFS(Table2[주민등록번호],O146,Table2[근무일자],"&gt;="&amp;EOMONTH(D146,-2)+1,Table2[근무일자],"&lt;="&amp;EOMONTH(D146,-1)+1)&gt;0),"V","")</f>
        <v/>
      </c>
      <c r="AC146" s="94" cm="1">
        <f t="array" ref="AC146">IF(AD146&lt;&gt;"",AD146,_xlfn.XLOOKUP(1,(D146&lt;=Table7[End])*(E146=Table7[근무처])*(F146=Table7[업무]),Table7[시급],0,0))</f>
        <v>10680</v>
      </c>
      <c r="AD146" s="95"/>
      <c r="AE146" s="94">
        <f t="shared" si="32"/>
        <v>85440</v>
      </c>
      <c r="AF146" s="96" cm="1">
        <f t="array" ref="AF146">IF(AND(AA146&gt;=15,(AA146-U146*24)&lt;=40),IF(Z146&gt;=_xlfn.XLOOKUP(1,(D146&lt;=Table7[End])*(E146=Table7[근무처])*(F146=Table7[업무]),Table7[주휴적용일],0,0),1,0)+_xlfn.XLOOKUP(1,(Table2[주간]=Table2[[#This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46" s="96" cm="1">
        <f t="array" ref="AG146">MAX((_xlfn.IFS(AF146=0,0,AF146=1,AA146,AF146&gt;1,U146*24)-IF(AA146&gt;40,AA146-40,0))/5,0)</f>
        <v>0</v>
      </c>
      <c r="AH146" s="94">
        <f t="shared" si="33"/>
        <v>0</v>
      </c>
      <c r="AI146" s="33" cm="1">
        <f t="array" ref="AI146">IF(W146="",0,ROUND(AC146*U146*24*_xlfn.XLOOKUP(1,(D146&lt;=Table7[End])*(E146=Table7[근무처])*(F146=Table7[업무]),Table7[휴일인센티브],0,0),0))</f>
        <v>0</v>
      </c>
      <c r="AJ146" s="94" cm="1">
        <f t="array" ref="AJ146">ROUND(AC146*IF(U146&gt;=8/24,U146-8/24,0)*24*_xlfn.XLOOKUP(1,(D146&lt;=Table7[End])*(E146=Table7[근무처])*(F146=Table7[업무]),Table7[야간인센티브],0,0),0)</f>
        <v>0</v>
      </c>
      <c r="AK146" s="94" cm="1">
        <f t="array" ref="AK146">IF(V146=0,0,ROUND(AC146*V146*24*_xlfn.XLOOKUP(1,(D146&lt;=Table7[End])*(E146=Table7[근무처])*(F146=Table7[업무]),Table7[야간인센티브],0,0),0))</f>
        <v>0</v>
      </c>
      <c r="AL146" s="95"/>
      <c r="AM146" s="94">
        <f t="shared" si="34"/>
        <v>85440</v>
      </c>
      <c r="AN146" s="94" cm="1">
        <f t="array" ref="AN146">IF(AM146&gt;=_xlfn.XLOOKUP(TRUE,D146&lt;=Table5[End],Table5[비과세소득기준],0,0),AM146-_xlfn.XLOOKUP(TRUE,D146&lt;=Table5[End],Table5[비과세소득기준],0,0),0)</f>
        <v>0</v>
      </c>
      <c r="AO146" s="94" cm="1">
        <f t="array" ref="AO146">ROUNDDOWN(_xlfn.LET(_xlpm.setvalue,_xlfn.XLOOKUP(TRUE,D146&lt;=Table5[End],Table5[[요율]:[근로소득세액공제]],0,0),_xlpm.tax,AN146*PRODUCT((_xlpm.setvalue-{0,1})*{1,-1}),_xlpm.threshold,_xlfn.XLOOKUP(TRUE,D146&lt;=Table5[End],Table5[소액부징수기준],0,0),IF(_xlpm.tax&gt;=_xlpm.threshold,_xlpm.tax,0)),-1)</f>
        <v>0</v>
      </c>
      <c r="AP146" s="94">
        <f>ROUNDDOWN(Table2[[#This Row],[소득세]]*10%,-1)</f>
        <v>0</v>
      </c>
      <c r="AQ146" s="94">
        <f>IF(AB146="v",AM146+IF(Y146=8,SUMIFS(Table2[지급총액],Table2[주민등록번호],O146,Table2[월],R146,Table2[월간
근무일],"&lt;="&amp;8)-AM146,0),0)+_xlfn.NUMBERVALUE(AR146)</f>
        <v>0</v>
      </c>
      <c r="AR146" s="95"/>
      <c r="AS146" s="94" cm="1">
        <f t="array" ref="AS146">ROUNDDOWN($AQ146*_xlfn.XLOOKUP(1,(AS$5=Table8[Type])*($D146&lt;=Table8[End]),Table8[요율],0,0),0)</f>
        <v>0</v>
      </c>
      <c r="AT146" s="94" cm="1">
        <f t="array" ref="AT146">ROUNDDOWN(AS146*_xlfn.XLOOKUP(1,(AT$5=Table8[Type])*($D146&lt;=Table8[End]),Table8[요율],0,0),-1)</f>
        <v>0</v>
      </c>
      <c r="AU146" s="94" cm="1">
        <f t="array" ref="AU146">ROUNDDOWN($AQ146*_xlfn.XLOOKUP(1,(AU$5=Table8[Type])*($D146&lt;=Table8[End]),Table8[요율],0,0),-1)</f>
        <v>0</v>
      </c>
      <c r="AV146" s="94" cm="1">
        <f t="array" ref="AV146">ROUNDDOWN(AM146*_xlfn.XLOOKUP(1,(AV$5=Table8[Type])*($D146&lt;=Table8[End]),Table8[요율],0,0),-1)</f>
        <v>0</v>
      </c>
      <c r="AW146" s="94" cm="1">
        <f t="array" ref="AW146">_xlfn.XLOOKUP(1,(O146=Table2[주민등록번호])*(D146&gt;Table2[근무일자]),Table2[청구 Claim 
이월],0,0,-1)</f>
        <v>0</v>
      </c>
      <c r="AX146" s="95"/>
      <c r="AY146" s="94" cm="1">
        <f t="array" ref="AY146">MAX(SUM(AO146:AP146,AS146:AX146)-_xlfn.XLOOKUP(1,(D146&lt;=Table7[End])*(E146=Table7[근무처])*(F146=Table7[업무]),Table7[1일 공제 상한],0,0),0)</f>
        <v>0</v>
      </c>
      <c r="AZ146" s="94">
        <f t="shared" si="35"/>
        <v>0</v>
      </c>
      <c r="BA146" s="94">
        <f t="shared" si="36"/>
        <v>85440</v>
      </c>
      <c r="BB146" s="97">
        <f t="shared" si="37"/>
        <v>0</v>
      </c>
      <c r="BC146" s="98"/>
      <c r="BD146" s="94">
        <f t="shared" si="38"/>
        <v>0</v>
      </c>
      <c r="BE146" s="94">
        <f t="shared" si="39"/>
        <v>0</v>
      </c>
      <c r="BF146" s="94">
        <f t="shared" si="40"/>
        <v>0</v>
      </c>
      <c r="BG146" s="94">
        <f t="shared" si="41"/>
        <v>0</v>
      </c>
      <c r="BH146" s="94" cm="1">
        <f t="array" ref="BH146">ROUNDDOWN(AM146*_xlfn.XLOOKUP(1,(BH$5=Table8[Type])*($D146&lt;=Table8[End]),Table8[요율],0,0),-1)</f>
        <v>680</v>
      </c>
      <c r="BI146" s="93" t="str" cm="1">
        <f t="array" ref="BI146">_xlfn.XLOOKUP(1,(D146&lt;=Table7[End])*(E146=Table7[근무처])*(F146=Table7[업무]),Table7[지급옵션],0,0)</f>
        <v>차주 화</v>
      </c>
      <c r="BJ146" s="83">
        <f>IF(BK146&lt;&gt;"",BK146,IFERROR(D146+_xlfn.NUMBERVALUE(RIGHT(BI146,1)),D146-WEEKDAY(D146)+CHOOSE(MATCH(RIGHT(BI146),{"일","월","화","수","목","금","토"},0),8,9,10,11,12,13,14)))</f>
        <v>45769</v>
      </c>
      <c r="BK146" s="99"/>
    </row>
    <row r="147" spans="2:63" x14ac:dyDescent="0.35">
      <c r="B147" s="20" t="str" cm="1">
        <f t="array" ref="B147">_xlfn.IFS(BB147&lt;&gt;BC147,"Claim확인",N147&lt;&gt;"OK","확인필요",TRUE,"")</f>
        <v/>
      </c>
      <c r="C147" s="21" t="str">
        <f t="shared" si="28"/>
        <v>010-8X0X-X0X9982X03XX901018</v>
      </c>
      <c r="D147" s="26">
        <v>45760</v>
      </c>
      <c r="E147" s="91" t="s">
        <v>255</v>
      </c>
      <c r="F147" s="25" t="s">
        <v>258</v>
      </c>
      <c r="G147" s="27" t="s">
        <v>283</v>
      </c>
      <c r="H147" s="25" t="s">
        <v>291</v>
      </c>
      <c r="I147" s="25"/>
      <c r="J147" s="25" t="s">
        <v>292</v>
      </c>
      <c r="K147" s="28">
        <v>0.3125</v>
      </c>
      <c r="L147" s="28">
        <v>0.6875</v>
      </c>
      <c r="M147" s="28">
        <v>4.1666666666666664E-2</v>
      </c>
      <c r="N147" s="25" t="s">
        <v>281</v>
      </c>
      <c r="O147" s="29" t="str">
        <f>_xlfn.XLOOKUP(Table2[[#This Row],[Key]],Table1[Key],Table1[주민등록번호],"",0)</f>
        <v>960XX51XX9X15</v>
      </c>
      <c r="P147" s="29">
        <f>_xlfn.XLOOKUP(Table2[[#This Row],[Key]],Table1[Key],Table1[비자],"",0)</f>
        <v>0</v>
      </c>
      <c r="Q147" s="29">
        <f>IF(P147=0,0,_xlfn.XLOOKUP(Table2[[#This Row],[Key]],Table1[Key],Table1[고용보험 여부],0,0))</f>
        <v>0</v>
      </c>
      <c r="R147" s="29" t="str">
        <f t="shared" si="29"/>
        <v>2504</v>
      </c>
      <c r="S147" s="30" t="str">
        <f>YEAR(Table2[[#This Row],[근무일자]])&amp;TEXT(WEEKNUM(Table2[[#This Row],[근무일자]]),"00")</f>
        <v>202516</v>
      </c>
      <c r="T147" s="31">
        <f>_xlfn.XLOOKUP(Table2[[#This Row],[Key]],Table1[Key],Table1[등록일],"",0)</f>
        <v>45698</v>
      </c>
      <c r="U147" s="32">
        <f t="shared" si="30"/>
        <v>0.33333333333333331</v>
      </c>
      <c r="V147" s="92">
        <f t="shared" si="31"/>
        <v>0</v>
      </c>
      <c r="W147" s="100" t="str">
        <f>_xlfn.XLOOKUP(Table2[[#This Row],[근무일자]],Table3[Date],Table3[Holiday],"",0)</f>
        <v/>
      </c>
      <c r="X147" s="93">
        <f>IF(D147&lt;&gt;"",1,0)+IF(COUNTIFS(Table2[주민등록번호],O147,Table2[월],TEXT(EOMONTH(D147,-1),"YYMM"))&gt;0,1+IF(COUNTIFS(Table2[주민등록번호],O147,Table2[월],TEXT(EOMONTH(D147,-2),"YYMM"))&gt;0,1+IF(COUNTIFS(Table2[주민등록번호],O147,Table2[월],TEXT(EOMONTH(D147,-3),"YYMM"))&gt;0,1,0),0),0)</f>
        <v>3</v>
      </c>
      <c r="Y147" s="29">
        <f>COUNTIFS(Table2[주민등록번호],O147,Table2[월],R147,Table2[근무일자],"&lt;="&amp;D147)</f>
        <v>8</v>
      </c>
      <c r="Z147" s="29">
        <f>COUNTIFS(Table2[주민등록번호],O147,Table2[주간],S147,Table2[근무일자],"&lt;="&amp;D147)</f>
        <v>1</v>
      </c>
      <c r="AA147" s="29">
        <f>SUMIFS(Table2[근로
시간],Table2[주민등록번호],O147,Table2[주간],S147,Table2[근무일자],"&lt;="&amp;D147)*24</f>
        <v>8</v>
      </c>
      <c r="AB147" s="29" t="str">
        <f>IF(AND(Y147&gt;=8,COUNTIFS(Table2[주민등록번호],O147,Table2[근무일자],"&gt;="&amp;EOMONTH(D147,-2)+1,Table2[근무일자],"&lt;="&amp;EOMONTH(D147,-1)+1)&gt;0),"V","")</f>
        <v>V</v>
      </c>
      <c r="AC147" s="94" cm="1">
        <f t="array" ref="AC147">IF(AD147&lt;&gt;"",AD147,_xlfn.XLOOKUP(1,(D147&lt;=Table7[End])*(E147=Table7[근무처])*(F147=Table7[업무]),Table7[시급],0,0))</f>
        <v>10680</v>
      </c>
      <c r="AD147" s="95"/>
      <c r="AE147" s="94">
        <f t="shared" si="32"/>
        <v>85440</v>
      </c>
      <c r="AF147" s="96" cm="1">
        <f t="array" ref="AF147">IF(AND(AA147&gt;=15,(AA147-U147*24)&lt;=40),IF(Z147&gt;=_xlfn.XLOOKUP(1,(D147&lt;=Table7[End])*(E147=Table7[근무처])*(F147=Table7[업무]),Table7[주휴적용일],0,0),1,0)+_xlfn.XLOOKUP(1,(Table2[주간]=Table2[[#This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47" s="96" cm="1">
        <f t="array" ref="AG147">MAX((_xlfn.IFS(AF147=0,0,AF147=1,AA147,AF147&gt;1,U147*24)-IF(AA147&gt;40,AA147-40,0))/5,0)</f>
        <v>0</v>
      </c>
      <c r="AH147" s="94">
        <f t="shared" si="33"/>
        <v>0</v>
      </c>
      <c r="AI147" s="33" cm="1">
        <f t="array" ref="AI147">IF(W147="",0,ROUND(AC147*U147*24*_xlfn.XLOOKUP(1,(D147&lt;=Table7[End])*(E147=Table7[근무처])*(F147=Table7[업무]),Table7[휴일인센티브],0,0),0))</f>
        <v>0</v>
      </c>
      <c r="AJ147" s="94" cm="1">
        <f t="array" ref="AJ147">ROUND(AC147*IF(U147&gt;=8/24,U147-8/24,0)*24*_xlfn.XLOOKUP(1,(D147&lt;=Table7[End])*(E147=Table7[근무처])*(F147=Table7[업무]),Table7[야간인센티브],0,0),0)</f>
        <v>0</v>
      </c>
      <c r="AK147" s="94" cm="1">
        <f t="array" ref="AK147">IF(V147=0,0,ROUND(AC147*V147*24*_xlfn.XLOOKUP(1,(D147&lt;=Table7[End])*(E147=Table7[근무처])*(F147=Table7[업무]),Table7[야간인센티브],0,0),0))</f>
        <v>0</v>
      </c>
      <c r="AL147" s="95"/>
      <c r="AM147" s="94">
        <f t="shared" si="34"/>
        <v>85440</v>
      </c>
      <c r="AN147" s="94" cm="1">
        <f t="array" ref="AN147">IF(AM147&gt;=_xlfn.XLOOKUP(TRUE,D147&lt;=Table5[End],Table5[비과세소득기준],0,0),AM147-_xlfn.XLOOKUP(TRUE,D147&lt;=Table5[End],Table5[비과세소득기준],0,0),0)</f>
        <v>0</v>
      </c>
      <c r="AO147" s="94" cm="1">
        <f t="array" ref="AO147">ROUNDDOWN(_xlfn.LET(_xlpm.setvalue,_xlfn.XLOOKUP(TRUE,D147&lt;=Table5[End],Table5[[요율]:[근로소득세액공제]],0,0),_xlpm.tax,AN147*PRODUCT((_xlpm.setvalue-{0,1})*{1,-1}),_xlpm.threshold,_xlfn.XLOOKUP(TRUE,D147&lt;=Table5[End],Table5[소액부징수기준],0,0),IF(_xlpm.tax&gt;=_xlpm.threshold,_xlpm.tax,0)),-1)</f>
        <v>0</v>
      </c>
      <c r="AP147" s="94">
        <f>ROUNDDOWN(Table2[[#This Row],[소득세]]*10%,-1)</f>
        <v>0</v>
      </c>
      <c r="AQ147" s="94">
        <f>IF(AB147="v",AM147+IF(Y147=8,SUMIFS(Table2[지급총액],Table2[주민등록번호],O147,Table2[월],R147,Table2[월간
근무일],"&lt;="&amp;8)-AM147,0),0)+_xlfn.NUMBERVALUE(AR147)</f>
        <v>803136</v>
      </c>
      <c r="AR147" s="95"/>
      <c r="AS147" s="94" cm="1">
        <f t="array" ref="AS147">ROUNDDOWN($AQ147*_xlfn.XLOOKUP(1,(AS$5=Table8[Type])*($D147&lt;=Table8[End]),Table8[요율],0,0),0)</f>
        <v>28471</v>
      </c>
      <c r="AT147" s="94" cm="1">
        <f t="array" ref="AT147">ROUNDDOWN(AS147*_xlfn.XLOOKUP(1,(AT$5=Table8[Type])*($D147&lt;=Table8[End]),Table8[요율],0,0),-1)</f>
        <v>3680</v>
      </c>
      <c r="AU147" s="94" cm="1">
        <f t="array" ref="AU147">ROUNDDOWN($AQ147*_xlfn.XLOOKUP(1,(AU$5=Table8[Type])*($D147&lt;=Table8[End]),Table8[요율],0,0),-1)</f>
        <v>36140</v>
      </c>
      <c r="AV147" s="94" cm="1">
        <f t="array" ref="AV147">ROUNDDOWN(AM147*_xlfn.XLOOKUP(1,(AV$5=Table8[Type])*($D147&lt;=Table8[End]),Table8[요율],0,0),-1)</f>
        <v>0</v>
      </c>
      <c r="AW147" s="94" cm="1">
        <f t="array" ref="AW147">_xlfn.XLOOKUP(1,(O147=Table2[주민등록번호])*(D147&gt;Table2[근무일자]),Table2[청구 Claim 
이월],0,0,-1)</f>
        <v>0</v>
      </c>
      <c r="AX147" s="95"/>
      <c r="AY147" s="94" cm="1">
        <f t="array" ref="AY147">MAX(SUM(AO147:AP147,AS147:AX147)-_xlfn.XLOOKUP(1,(D147&lt;=Table7[End])*(E147=Table7[근무처])*(F147=Table7[업무]),Table7[1일 공제 상한],0,0),0)</f>
        <v>0</v>
      </c>
      <c r="AZ147" s="94">
        <f t="shared" si="35"/>
        <v>68291</v>
      </c>
      <c r="BA147" s="94">
        <f t="shared" si="36"/>
        <v>17149</v>
      </c>
      <c r="BB147" s="97">
        <f t="shared" si="37"/>
        <v>0</v>
      </c>
      <c r="BC147" s="98"/>
      <c r="BD147" s="94">
        <f t="shared" si="38"/>
        <v>28471</v>
      </c>
      <c r="BE147" s="94">
        <f t="shared" si="39"/>
        <v>3680</v>
      </c>
      <c r="BF147" s="94">
        <f t="shared" si="40"/>
        <v>36140</v>
      </c>
      <c r="BG147" s="94">
        <f t="shared" si="41"/>
        <v>0</v>
      </c>
      <c r="BH147" s="94" cm="1">
        <f t="array" ref="BH147">ROUNDDOWN(AM147*_xlfn.XLOOKUP(1,(BH$5=Table8[Type])*($D147&lt;=Table8[End]),Table8[요율],0,0),-1)</f>
        <v>680</v>
      </c>
      <c r="BI147" s="93" t="str" cm="1">
        <f t="array" ref="BI147">_xlfn.XLOOKUP(1,(D147&lt;=Table7[End])*(E147=Table7[근무처])*(F147=Table7[업무]),Table7[지급옵션],0,0)</f>
        <v>차주 화</v>
      </c>
      <c r="BJ147" s="83">
        <f>IF(BK147&lt;&gt;"",BK147,IFERROR(D147+_xlfn.NUMBERVALUE(RIGHT(BI147,1)),D147-WEEKDAY(D147)+CHOOSE(MATCH(RIGHT(BI147),{"일","월","화","수","목","금","토"},0),8,9,10,11,12,13,14)))</f>
        <v>45769</v>
      </c>
      <c r="BK147" s="99"/>
    </row>
    <row r="148" spans="2:63" x14ac:dyDescent="0.35">
      <c r="B148" s="20" t="str" cm="1">
        <f t="array" ref="B148">_xlfn.IFS(BB148&lt;&gt;BC148,"Claim확인",N148&lt;&gt;"OK","확인필요",TRUE,"")</f>
        <v/>
      </c>
      <c r="C148" s="21" t="str">
        <f t="shared" si="28"/>
        <v>010-8X0X-X0X9982X03XX901018</v>
      </c>
      <c r="D148" s="26">
        <v>45761</v>
      </c>
      <c r="E148" s="91" t="s">
        <v>255</v>
      </c>
      <c r="F148" s="25" t="s">
        <v>258</v>
      </c>
      <c r="G148" s="27" t="s">
        <v>283</v>
      </c>
      <c r="H148" s="25" t="s">
        <v>291</v>
      </c>
      <c r="I148" s="25"/>
      <c r="J148" s="25" t="s">
        <v>292</v>
      </c>
      <c r="K148" s="28">
        <v>0.375</v>
      </c>
      <c r="L148" s="28">
        <v>0.75</v>
      </c>
      <c r="M148" s="28">
        <v>4.1666666666666664E-2</v>
      </c>
      <c r="N148" s="25" t="s">
        <v>281</v>
      </c>
      <c r="O148" s="29" t="str">
        <f>_xlfn.XLOOKUP(Table2[[#This Row],[Key]],Table1[Key],Table1[주민등록번호],"",0)</f>
        <v>960XX51XX9X15</v>
      </c>
      <c r="P148" s="29">
        <f>_xlfn.XLOOKUP(Table2[[#This Row],[Key]],Table1[Key],Table1[비자],"",0)</f>
        <v>0</v>
      </c>
      <c r="Q148" s="29">
        <f>IF(P148=0,0,_xlfn.XLOOKUP(Table2[[#This Row],[Key]],Table1[Key],Table1[고용보험 여부],0,0))</f>
        <v>0</v>
      </c>
      <c r="R148" s="29" t="str">
        <f t="shared" si="29"/>
        <v>2504</v>
      </c>
      <c r="S148" s="30" t="str">
        <f>YEAR(Table2[[#This Row],[근무일자]])&amp;TEXT(WEEKNUM(Table2[[#This Row],[근무일자]]),"00")</f>
        <v>202516</v>
      </c>
      <c r="T148" s="31">
        <f>_xlfn.XLOOKUP(Table2[[#This Row],[Key]],Table1[Key],Table1[등록일],"",0)</f>
        <v>45698</v>
      </c>
      <c r="U148" s="32">
        <f t="shared" si="30"/>
        <v>0.33333333333333331</v>
      </c>
      <c r="V148" s="92">
        <f t="shared" si="31"/>
        <v>0</v>
      </c>
      <c r="W148" s="100" t="str">
        <f>_xlfn.XLOOKUP(Table2[[#This Row],[근무일자]],Table3[Date],Table3[Holiday],"",0)</f>
        <v/>
      </c>
      <c r="X148" s="93">
        <f>IF(D148&lt;&gt;"",1,0)+IF(COUNTIFS(Table2[주민등록번호],O148,Table2[월],TEXT(EOMONTH(D148,-1),"YYMM"))&gt;0,1+IF(COUNTIFS(Table2[주민등록번호],O148,Table2[월],TEXT(EOMONTH(D148,-2),"YYMM"))&gt;0,1+IF(COUNTIFS(Table2[주민등록번호],O148,Table2[월],TEXT(EOMONTH(D148,-3),"YYMM"))&gt;0,1,0),0),0)</f>
        <v>3</v>
      </c>
      <c r="Y148" s="29">
        <f>COUNTIFS(Table2[주민등록번호],O148,Table2[월],R148,Table2[근무일자],"&lt;="&amp;D148)</f>
        <v>9</v>
      </c>
      <c r="Z148" s="29">
        <f>COUNTIFS(Table2[주민등록번호],O148,Table2[주간],S148,Table2[근무일자],"&lt;="&amp;D148)</f>
        <v>2</v>
      </c>
      <c r="AA148" s="29">
        <f>SUMIFS(Table2[근로
시간],Table2[주민등록번호],O148,Table2[주간],S148,Table2[근무일자],"&lt;="&amp;D148)*24</f>
        <v>16</v>
      </c>
      <c r="AB148" s="29" t="str">
        <f>IF(AND(Y148&gt;=8,COUNTIFS(Table2[주민등록번호],O148,Table2[근무일자],"&gt;="&amp;EOMONTH(D148,-2)+1,Table2[근무일자],"&lt;="&amp;EOMONTH(D148,-1)+1)&gt;0),"V","")</f>
        <v>V</v>
      </c>
      <c r="AC148" s="94" cm="1">
        <f t="array" ref="AC148">IF(AD148&lt;&gt;"",AD148,_xlfn.XLOOKUP(1,(D148&lt;=Table7[End])*(E148=Table7[근무처])*(F148=Table7[업무]),Table7[시급],0,0))</f>
        <v>10680</v>
      </c>
      <c r="AD148" s="95"/>
      <c r="AE148" s="94">
        <f t="shared" si="32"/>
        <v>85440</v>
      </c>
      <c r="AF148" s="96" cm="1">
        <f t="array" ref="AF148">IF(AND(AA148&gt;=15,(AA148-U148*24)&lt;=40),IF(Z148&gt;=_xlfn.XLOOKUP(1,(D148&lt;=Table7[End])*(E148=Table7[근무처])*(F148=Table7[업무]),Table7[주휴적용일],0,0),1,0)+_xlfn.XLOOKUP(1,(Table2[주간]=Table2[[#This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48" s="96" cm="1">
        <f t="array" ref="AG148">MAX((_xlfn.IFS(AF148=0,0,AF148=1,AA148,AF148&gt;1,U148*24)-IF(AA148&gt;40,AA148-40,0))/5,0)</f>
        <v>3.2</v>
      </c>
      <c r="AH148" s="94">
        <f t="shared" si="33"/>
        <v>34176</v>
      </c>
      <c r="AI148" s="33" cm="1">
        <f t="array" ref="AI148">IF(W148="",0,ROUND(AC148*U148*24*_xlfn.XLOOKUP(1,(D148&lt;=Table7[End])*(E148=Table7[근무처])*(F148=Table7[업무]),Table7[휴일인센티브],0,0),0))</f>
        <v>0</v>
      </c>
      <c r="AJ148" s="94" cm="1">
        <f t="array" ref="AJ148">ROUND(AC148*IF(U148&gt;=8/24,U148-8/24,0)*24*_xlfn.XLOOKUP(1,(D148&lt;=Table7[End])*(E148=Table7[근무처])*(F148=Table7[업무]),Table7[야간인센티브],0,0),0)</f>
        <v>0</v>
      </c>
      <c r="AK148" s="94" cm="1">
        <f t="array" ref="AK148">IF(V148=0,0,ROUND(AC148*V148*24*_xlfn.XLOOKUP(1,(D148&lt;=Table7[End])*(E148=Table7[근무처])*(F148=Table7[업무]),Table7[야간인센티브],0,0),0))</f>
        <v>0</v>
      </c>
      <c r="AL148" s="95"/>
      <c r="AM148" s="94">
        <f t="shared" si="34"/>
        <v>119616</v>
      </c>
      <c r="AN148" s="94" cm="1">
        <f t="array" ref="AN148">IF(AM148&gt;=_xlfn.XLOOKUP(TRUE,D148&lt;=Table5[End],Table5[비과세소득기준],0,0),AM148-_xlfn.XLOOKUP(TRUE,D148&lt;=Table5[End],Table5[비과세소득기준],0,0),0)</f>
        <v>0</v>
      </c>
      <c r="AO148" s="94" cm="1">
        <f t="array" ref="AO148">ROUNDDOWN(_xlfn.LET(_xlpm.setvalue,_xlfn.XLOOKUP(TRUE,D148&lt;=Table5[End],Table5[[요율]:[근로소득세액공제]],0,0),_xlpm.tax,AN148*PRODUCT((_xlpm.setvalue-{0,1})*{1,-1}),_xlpm.threshold,_xlfn.XLOOKUP(TRUE,D148&lt;=Table5[End],Table5[소액부징수기준],0,0),IF(_xlpm.tax&gt;=_xlpm.threshold,_xlpm.tax,0)),-1)</f>
        <v>0</v>
      </c>
      <c r="AP148" s="94">
        <f>ROUNDDOWN(Table2[[#This Row],[소득세]]*10%,-1)</f>
        <v>0</v>
      </c>
      <c r="AQ148" s="94">
        <f>IF(AB148="v",AM148+IF(Y148=8,SUMIFS(Table2[지급총액],Table2[주민등록번호],O148,Table2[월],R148,Table2[월간
근무일],"&lt;="&amp;8)-AM148,0),0)+_xlfn.NUMBERVALUE(AR148)</f>
        <v>119616</v>
      </c>
      <c r="AR148" s="95"/>
      <c r="AS148" s="94" cm="1">
        <f t="array" ref="AS148">ROUNDDOWN($AQ148*_xlfn.XLOOKUP(1,(AS$5=Table8[Type])*($D148&lt;=Table8[End]),Table8[요율],0,0),0)</f>
        <v>4240</v>
      </c>
      <c r="AT148" s="94" cm="1">
        <f t="array" ref="AT148">ROUNDDOWN(AS148*_xlfn.XLOOKUP(1,(AT$5=Table8[Type])*($D148&lt;=Table8[End]),Table8[요율],0,0),-1)</f>
        <v>540</v>
      </c>
      <c r="AU148" s="94" cm="1">
        <f t="array" ref="AU148">ROUNDDOWN($AQ148*_xlfn.XLOOKUP(1,(AU$5=Table8[Type])*($D148&lt;=Table8[End]),Table8[요율],0,0),-1)</f>
        <v>5380</v>
      </c>
      <c r="AV148" s="94" cm="1">
        <f t="array" ref="AV148">ROUNDDOWN(AM148*_xlfn.XLOOKUP(1,(AV$5=Table8[Type])*($D148&lt;=Table8[End]),Table8[요율],0,0),-1)</f>
        <v>0</v>
      </c>
      <c r="AW148" s="94" cm="1">
        <f t="array" ref="AW148">_xlfn.XLOOKUP(1,(O148=Table2[주민등록번호])*(D148&gt;Table2[근무일자]),Table2[청구 Claim 
이월],0,0,-1)</f>
        <v>0</v>
      </c>
      <c r="AX148" s="95"/>
      <c r="AY148" s="94" cm="1">
        <f t="array" ref="AY148">MAX(SUM(AO148:AP148,AS148:AX148)-_xlfn.XLOOKUP(1,(D148&lt;=Table7[End])*(E148=Table7[근무처])*(F148=Table7[업무]),Table7[1일 공제 상한],0,0),0)</f>
        <v>0</v>
      </c>
      <c r="AZ148" s="94">
        <f t="shared" si="35"/>
        <v>10160</v>
      </c>
      <c r="BA148" s="94">
        <f t="shared" si="36"/>
        <v>109456</v>
      </c>
      <c r="BB148" s="97">
        <f t="shared" si="37"/>
        <v>0</v>
      </c>
      <c r="BC148" s="98"/>
      <c r="BD148" s="94">
        <f t="shared" si="38"/>
        <v>4240</v>
      </c>
      <c r="BE148" s="94">
        <f t="shared" si="39"/>
        <v>540</v>
      </c>
      <c r="BF148" s="94">
        <f t="shared" si="40"/>
        <v>5380</v>
      </c>
      <c r="BG148" s="94">
        <f t="shared" si="41"/>
        <v>0</v>
      </c>
      <c r="BH148" s="94" cm="1">
        <f t="array" ref="BH148">ROUNDDOWN(AM148*_xlfn.XLOOKUP(1,(BH$5=Table8[Type])*($D148&lt;=Table8[End]),Table8[요율],0,0),-1)</f>
        <v>950</v>
      </c>
      <c r="BI148" s="93" t="str" cm="1">
        <f t="array" ref="BI148">_xlfn.XLOOKUP(1,(D148&lt;=Table7[End])*(E148=Table7[근무처])*(F148=Table7[업무]),Table7[지급옵션],0,0)</f>
        <v>차주 화</v>
      </c>
      <c r="BJ148" s="83">
        <f>IF(BK148&lt;&gt;"",BK148,IFERROR(D148+_xlfn.NUMBERVALUE(RIGHT(BI148,1)),D148-WEEKDAY(D148)+CHOOSE(MATCH(RIGHT(BI148),{"일","월","화","수","목","금","토"},0),8,9,10,11,12,13,14)))</f>
        <v>45769</v>
      </c>
      <c r="BK148" s="99"/>
    </row>
    <row r="149" spans="2:63" x14ac:dyDescent="0.35">
      <c r="B149" s="20" t="str" cm="1">
        <f t="array" ref="B149">_xlfn.IFS(BB149&lt;&gt;BC149,"Claim확인",N149&lt;&gt;"OK","확인필요",TRUE,"")</f>
        <v/>
      </c>
      <c r="C149" s="21" t="str">
        <f t="shared" si="28"/>
        <v>010-8X0X-X0X9982X03XX901018</v>
      </c>
      <c r="D149" s="26">
        <v>45762</v>
      </c>
      <c r="E149" s="91" t="s">
        <v>255</v>
      </c>
      <c r="F149" s="25" t="s">
        <v>258</v>
      </c>
      <c r="G149" s="27" t="s">
        <v>283</v>
      </c>
      <c r="H149" s="25" t="s">
        <v>291</v>
      </c>
      <c r="I149" s="25"/>
      <c r="J149" s="25" t="s">
        <v>292</v>
      </c>
      <c r="K149" s="28">
        <v>0.375</v>
      </c>
      <c r="L149" s="28">
        <v>0.75</v>
      </c>
      <c r="M149" s="28">
        <v>4.1666666666666664E-2</v>
      </c>
      <c r="N149" s="25" t="s">
        <v>281</v>
      </c>
      <c r="O149" s="29" t="str">
        <f>_xlfn.XLOOKUP(Table2[[#This Row],[Key]],Table1[Key],Table1[주민등록번호],"",0)</f>
        <v>960XX51XX9X15</v>
      </c>
      <c r="P149" s="29">
        <f>_xlfn.XLOOKUP(Table2[[#This Row],[Key]],Table1[Key],Table1[비자],"",0)</f>
        <v>0</v>
      </c>
      <c r="Q149" s="29">
        <f>IF(P149=0,0,_xlfn.XLOOKUP(Table2[[#This Row],[Key]],Table1[Key],Table1[고용보험 여부],0,0))</f>
        <v>0</v>
      </c>
      <c r="R149" s="29" t="str">
        <f t="shared" si="29"/>
        <v>2504</v>
      </c>
      <c r="S149" s="30" t="str">
        <f>YEAR(Table2[[#This Row],[근무일자]])&amp;TEXT(WEEKNUM(Table2[[#This Row],[근무일자]]),"00")</f>
        <v>202516</v>
      </c>
      <c r="T149" s="31">
        <f>_xlfn.XLOOKUP(Table2[[#This Row],[Key]],Table1[Key],Table1[등록일],"",0)</f>
        <v>45698</v>
      </c>
      <c r="U149" s="32">
        <f t="shared" si="30"/>
        <v>0.33333333333333331</v>
      </c>
      <c r="V149" s="92">
        <f t="shared" si="31"/>
        <v>0</v>
      </c>
      <c r="W149" s="100" t="str">
        <f>_xlfn.XLOOKUP(Table2[[#This Row],[근무일자]],Table3[Date],Table3[Holiday],"",0)</f>
        <v/>
      </c>
      <c r="X149" s="93">
        <f>IF(D149&lt;&gt;"",1,0)+IF(COUNTIFS(Table2[주민등록번호],O149,Table2[월],TEXT(EOMONTH(D149,-1),"YYMM"))&gt;0,1+IF(COUNTIFS(Table2[주민등록번호],O149,Table2[월],TEXT(EOMONTH(D149,-2),"YYMM"))&gt;0,1+IF(COUNTIFS(Table2[주민등록번호],O149,Table2[월],TEXT(EOMONTH(D149,-3),"YYMM"))&gt;0,1,0),0),0)</f>
        <v>3</v>
      </c>
      <c r="Y149" s="29">
        <f>COUNTIFS(Table2[주민등록번호],O149,Table2[월],R149,Table2[근무일자],"&lt;="&amp;D149)</f>
        <v>10</v>
      </c>
      <c r="Z149" s="29">
        <f>COUNTIFS(Table2[주민등록번호],O149,Table2[주간],S149,Table2[근무일자],"&lt;="&amp;D149)</f>
        <v>3</v>
      </c>
      <c r="AA149" s="29">
        <f>SUMIFS(Table2[근로
시간],Table2[주민등록번호],O149,Table2[주간],S149,Table2[근무일자],"&lt;="&amp;D149)*24</f>
        <v>24</v>
      </c>
      <c r="AB149" s="29" t="str">
        <f>IF(AND(Y149&gt;=8,COUNTIFS(Table2[주민등록번호],O149,Table2[근무일자],"&gt;="&amp;EOMONTH(D149,-2)+1,Table2[근무일자],"&lt;="&amp;EOMONTH(D149,-1)+1)&gt;0),"V","")</f>
        <v>V</v>
      </c>
      <c r="AC149" s="94" cm="1">
        <f t="array" ref="AC149">IF(AD149&lt;&gt;"",AD149,_xlfn.XLOOKUP(1,(D149&lt;=Table7[End])*(E149=Table7[근무처])*(F149=Table7[업무]),Table7[시급],0,0))</f>
        <v>10680</v>
      </c>
      <c r="AD149" s="95"/>
      <c r="AE149" s="94">
        <f t="shared" si="32"/>
        <v>85440</v>
      </c>
      <c r="AF149" s="96" cm="1">
        <f t="array" ref="AF149">IF(AND(AA149&gt;=15,(AA149-U149*24)&lt;=40),IF(Z149&gt;=_xlfn.XLOOKUP(1,(D149&lt;=Table7[End])*(E149=Table7[근무처])*(F149=Table7[업무]),Table7[주휴적용일],0,0),1,0)+_xlfn.XLOOKUP(1,(Table2[주간]=Table2[[#This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49" s="96" cm="1">
        <f t="array" ref="AG149">MAX((_xlfn.IFS(AF149=0,0,AF149=1,AA149,AF149&gt;1,U149*24)-IF(AA149&gt;40,AA149-40,0))/5,0)</f>
        <v>1.6</v>
      </c>
      <c r="AH149" s="94">
        <f t="shared" si="33"/>
        <v>17088</v>
      </c>
      <c r="AI149" s="33" cm="1">
        <f t="array" ref="AI149">IF(W149="",0,ROUND(AC149*U149*24*_xlfn.XLOOKUP(1,(D149&lt;=Table7[End])*(E149=Table7[근무처])*(F149=Table7[업무]),Table7[휴일인센티브],0,0),0))</f>
        <v>0</v>
      </c>
      <c r="AJ149" s="94" cm="1">
        <f t="array" ref="AJ149">ROUND(AC149*IF(U149&gt;=8/24,U149-8/24,0)*24*_xlfn.XLOOKUP(1,(D149&lt;=Table7[End])*(E149=Table7[근무처])*(F149=Table7[업무]),Table7[야간인센티브],0,0),0)</f>
        <v>0</v>
      </c>
      <c r="AK149" s="94" cm="1">
        <f t="array" ref="AK149">IF(V149=0,0,ROUND(AC149*V149*24*_xlfn.XLOOKUP(1,(D149&lt;=Table7[End])*(E149=Table7[근무처])*(F149=Table7[업무]),Table7[야간인센티브],0,0),0))</f>
        <v>0</v>
      </c>
      <c r="AL149" s="95"/>
      <c r="AM149" s="94">
        <f t="shared" si="34"/>
        <v>102528</v>
      </c>
      <c r="AN149" s="94" cm="1">
        <f t="array" ref="AN149">IF(AM149&gt;=_xlfn.XLOOKUP(TRUE,D149&lt;=Table5[End],Table5[비과세소득기준],0,0),AM149-_xlfn.XLOOKUP(TRUE,D149&lt;=Table5[End],Table5[비과세소득기준],0,0),0)</f>
        <v>0</v>
      </c>
      <c r="AO149" s="94" cm="1">
        <f t="array" ref="AO149">ROUNDDOWN(_xlfn.LET(_xlpm.setvalue,_xlfn.XLOOKUP(TRUE,D149&lt;=Table5[End],Table5[[요율]:[근로소득세액공제]],0,0),_xlpm.tax,AN149*PRODUCT((_xlpm.setvalue-{0,1})*{1,-1}),_xlpm.threshold,_xlfn.XLOOKUP(TRUE,D149&lt;=Table5[End],Table5[소액부징수기준],0,0),IF(_xlpm.tax&gt;=_xlpm.threshold,_xlpm.tax,0)),-1)</f>
        <v>0</v>
      </c>
      <c r="AP149" s="94">
        <f>ROUNDDOWN(Table2[[#This Row],[소득세]]*10%,-1)</f>
        <v>0</v>
      </c>
      <c r="AQ149" s="94">
        <f>IF(AB149="v",AM149+IF(Y149=8,SUMIFS(Table2[지급총액],Table2[주민등록번호],O149,Table2[월],R149,Table2[월간
근무일],"&lt;="&amp;8)-AM149,0),0)+_xlfn.NUMBERVALUE(AR149)</f>
        <v>102528</v>
      </c>
      <c r="AR149" s="95"/>
      <c r="AS149" s="94" cm="1">
        <f t="array" ref="AS149">ROUNDDOWN($AQ149*_xlfn.XLOOKUP(1,(AS$5=Table8[Type])*($D149&lt;=Table8[End]),Table8[요율],0,0),0)</f>
        <v>3634</v>
      </c>
      <c r="AT149" s="94" cm="1">
        <f t="array" ref="AT149">ROUNDDOWN(AS149*_xlfn.XLOOKUP(1,(AT$5=Table8[Type])*($D149&lt;=Table8[End]),Table8[요율],0,0),-1)</f>
        <v>470</v>
      </c>
      <c r="AU149" s="94" cm="1">
        <f t="array" ref="AU149">ROUNDDOWN($AQ149*_xlfn.XLOOKUP(1,(AU$5=Table8[Type])*($D149&lt;=Table8[End]),Table8[요율],0,0),-1)</f>
        <v>4610</v>
      </c>
      <c r="AV149" s="94" cm="1">
        <f t="array" ref="AV149">ROUNDDOWN(AM149*_xlfn.XLOOKUP(1,(AV$5=Table8[Type])*($D149&lt;=Table8[End]),Table8[요율],0,0),-1)</f>
        <v>0</v>
      </c>
      <c r="AW149" s="94" cm="1">
        <f t="array" ref="AW149">_xlfn.XLOOKUP(1,(O149=Table2[주민등록번호])*(D149&gt;Table2[근무일자]),Table2[청구 Claim 
이월],0,0,-1)</f>
        <v>0</v>
      </c>
      <c r="AX149" s="95"/>
      <c r="AY149" s="94" cm="1">
        <f t="array" ref="AY149">MAX(SUM(AO149:AP149,AS149:AX149)-_xlfn.XLOOKUP(1,(D149&lt;=Table7[End])*(E149=Table7[근무처])*(F149=Table7[업무]),Table7[1일 공제 상한],0,0),0)</f>
        <v>0</v>
      </c>
      <c r="AZ149" s="94">
        <f t="shared" si="35"/>
        <v>8714</v>
      </c>
      <c r="BA149" s="94">
        <f t="shared" si="36"/>
        <v>93814</v>
      </c>
      <c r="BB149" s="97">
        <f t="shared" si="37"/>
        <v>0</v>
      </c>
      <c r="BC149" s="98"/>
      <c r="BD149" s="94">
        <f t="shared" si="38"/>
        <v>3634</v>
      </c>
      <c r="BE149" s="94">
        <f t="shared" si="39"/>
        <v>470</v>
      </c>
      <c r="BF149" s="94">
        <f t="shared" si="40"/>
        <v>4610</v>
      </c>
      <c r="BG149" s="94">
        <f t="shared" si="41"/>
        <v>0</v>
      </c>
      <c r="BH149" s="94" cm="1">
        <f t="array" ref="BH149">ROUNDDOWN(AM149*_xlfn.XLOOKUP(1,(BH$5=Table8[Type])*($D149&lt;=Table8[End]),Table8[요율],0,0),-1)</f>
        <v>820</v>
      </c>
      <c r="BI149" s="93" t="str" cm="1">
        <f t="array" ref="BI149">_xlfn.XLOOKUP(1,(D149&lt;=Table7[End])*(E149=Table7[근무처])*(F149=Table7[업무]),Table7[지급옵션],0,0)</f>
        <v>차주 화</v>
      </c>
      <c r="BJ149" s="83">
        <f>IF(BK149&lt;&gt;"",BK149,IFERROR(D149+_xlfn.NUMBERVALUE(RIGHT(BI149,1)),D149-WEEKDAY(D149)+CHOOSE(MATCH(RIGHT(BI149),{"일","월","화","수","목","금","토"},0),8,9,10,11,12,13,14)))</f>
        <v>45769</v>
      </c>
      <c r="BK149" s="99"/>
    </row>
    <row r="150" spans="2:63" x14ac:dyDescent="0.35">
      <c r="B150" s="20" t="str" cm="1">
        <f t="array" ref="B150">_xlfn.IFS(BB150&lt;&gt;BC150,"Claim확인",N150&lt;&gt;"OK","확인필요",TRUE,"")</f>
        <v/>
      </c>
      <c r="C150" s="21" t="str">
        <f t="shared" si="28"/>
        <v>010-5X0X-X6X5010X57XX685907</v>
      </c>
      <c r="D150" s="26">
        <v>45762</v>
      </c>
      <c r="E150" s="91" t="s">
        <v>255</v>
      </c>
      <c r="F150" s="25" t="s">
        <v>258</v>
      </c>
      <c r="G150" s="27" t="s">
        <v>287</v>
      </c>
      <c r="H150" s="25" t="s">
        <v>301</v>
      </c>
      <c r="I150" s="25"/>
      <c r="J150" s="25" t="s">
        <v>302</v>
      </c>
      <c r="K150" s="28">
        <v>0.54166666666666663</v>
      </c>
      <c r="L150" s="28">
        <v>0.91666666666666663</v>
      </c>
      <c r="M150" s="28">
        <v>4.1666666666666664E-2</v>
      </c>
      <c r="N150" s="25" t="s">
        <v>281</v>
      </c>
      <c r="O150" s="29" t="str">
        <f>_xlfn.XLOOKUP(Table2[[#This Row],[Key]],Table1[Key],Table1[주민등록번호],"",0)</f>
        <v>980XX82XX3X25</v>
      </c>
      <c r="P150" s="29">
        <f>_xlfn.XLOOKUP(Table2[[#This Row],[Key]],Table1[Key],Table1[비자],"",0)</f>
        <v>0</v>
      </c>
      <c r="Q150" s="29">
        <f>IF(P150=0,0,_xlfn.XLOOKUP(Table2[[#This Row],[Key]],Table1[Key],Table1[고용보험 여부],0,0))</f>
        <v>0</v>
      </c>
      <c r="R150" s="29" t="str">
        <f t="shared" si="29"/>
        <v>2504</v>
      </c>
      <c r="S150" s="30" t="str">
        <f>YEAR(Table2[[#This Row],[근무일자]])&amp;TEXT(WEEKNUM(Table2[[#This Row],[근무일자]]),"00")</f>
        <v>202516</v>
      </c>
      <c r="T150" s="31">
        <f>_xlfn.XLOOKUP(Table2[[#This Row],[Key]],Table1[Key],Table1[등록일],"",0)</f>
        <v>45783</v>
      </c>
      <c r="U150" s="32">
        <f t="shared" si="30"/>
        <v>0.33333333333333331</v>
      </c>
      <c r="V150" s="92">
        <f t="shared" si="31"/>
        <v>0</v>
      </c>
      <c r="W150" s="100" t="str">
        <f>_xlfn.XLOOKUP(Table2[[#This Row],[근무일자]],Table3[Date],Table3[Holiday],"",0)</f>
        <v/>
      </c>
      <c r="X150" s="93">
        <f>IF(D150&lt;&gt;"",1,0)+IF(COUNTIFS(Table2[주민등록번호],O150,Table2[월],TEXT(EOMONTH(D150,-1),"YYMM"))&gt;0,1+IF(COUNTIFS(Table2[주민등록번호],O150,Table2[월],TEXT(EOMONTH(D150,-2),"YYMM"))&gt;0,1+IF(COUNTIFS(Table2[주민등록번호],O150,Table2[월],TEXT(EOMONTH(D150,-3),"YYMM"))&gt;0,1,0),0),0)</f>
        <v>1</v>
      </c>
      <c r="Y150" s="29">
        <f>COUNTIFS(Table2[주민등록번호],O150,Table2[월],R150,Table2[근무일자],"&lt;="&amp;D150)</f>
        <v>2</v>
      </c>
      <c r="Z150" s="29">
        <f>COUNTIFS(Table2[주민등록번호],O150,Table2[주간],S150,Table2[근무일자],"&lt;="&amp;D150)</f>
        <v>1</v>
      </c>
      <c r="AA150" s="29">
        <f>SUMIFS(Table2[근로
시간],Table2[주민등록번호],O150,Table2[주간],S150,Table2[근무일자],"&lt;="&amp;D150)*24</f>
        <v>8</v>
      </c>
      <c r="AB150" s="29" t="str">
        <f>IF(AND(Y150&gt;=8,COUNTIFS(Table2[주민등록번호],O150,Table2[근무일자],"&gt;="&amp;EOMONTH(D150,-2)+1,Table2[근무일자],"&lt;="&amp;EOMONTH(D150,-1)+1)&gt;0),"V","")</f>
        <v/>
      </c>
      <c r="AC150" s="94" cm="1">
        <f t="array" ref="AC150">IF(AD150&lt;&gt;"",AD150,_xlfn.XLOOKUP(1,(D150&lt;=Table7[End])*(E150=Table7[근무처])*(F150=Table7[업무]),Table7[시급],0,0))</f>
        <v>10680</v>
      </c>
      <c r="AD150" s="95"/>
      <c r="AE150" s="94">
        <f t="shared" si="32"/>
        <v>85440</v>
      </c>
      <c r="AF150" s="96" cm="1">
        <f t="array" ref="AF150">IF(AND(AA150&gt;=15,(AA150-U150*24)&lt;=40),IF(Z150&gt;=_xlfn.XLOOKUP(1,(D150&lt;=Table7[End])*(E150=Table7[근무처])*(F150=Table7[업무]),Table7[주휴적용일],0,0),1,0)+_xlfn.XLOOKUP(1,(Table2[주간]=Table2[[#This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50" s="96" cm="1">
        <f t="array" ref="AG150">MAX((_xlfn.IFS(AF150=0,0,AF150=1,AA150,AF150&gt;1,U150*24)-IF(AA150&gt;40,AA150-40,0))/5,0)</f>
        <v>0</v>
      </c>
      <c r="AH150" s="94">
        <f t="shared" si="33"/>
        <v>0</v>
      </c>
      <c r="AI150" s="33" cm="1">
        <f t="array" ref="AI150">IF(W150="",0,ROUND(AC150*U150*24*_xlfn.XLOOKUP(1,(D150&lt;=Table7[End])*(E150=Table7[근무처])*(F150=Table7[업무]),Table7[휴일인센티브],0,0),0))</f>
        <v>0</v>
      </c>
      <c r="AJ150" s="94" cm="1">
        <f t="array" ref="AJ150">ROUND(AC150*IF(U150&gt;=8/24,U150-8/24,0)*24*_xlfn.XLOOKUP(1,(D150&lt;=Table7[End])*(E150=Table7[근무처])*(F150=Table7[업무]),Table7[야간인센티브],0,0),0)</f>
        <v>0</v>
      </c>
      <c r="AK150" s="94" cm="1">
        <f t="array" ref="AK150">IF(V150=0,0,ROUND(AC150*V150*24*_xlfn.XLOOKUP(1,(D150&lt;=Table7[End])*(E150=Table7[근무처])*(F150=Table7[업무]),Table7[야간인센티브],0,0),0))</f>
        <v>0</v>
      </c>
      <c r="AL150" s="95"/>
      <c r="AM150" s="94">
        <f t="shared" si="34"/>
        <v>85440</v>
      </c>
      <c r="AN150" s="94" cm="1">
        <f t="array" ref="AN150">IF(AM150&gt;=_xlfn.XLOOKUP(TRUE,D150&lt;=Table5[End],Table5[비과세소득기준],0,0),AM150-_xlfn.XLOOKUP(TRUE,D150&lt;=Table5[End],Table5[비과세소득기준],0,0),0)</f>
        <v>0</v>
      </c>
      <c r="AO150" s="94" cm="1">
        <f t="array" ref="AO150">ROUNDDOWN(_xlfn.LET(_xlpm.setvalue,_xlfn.XLOOKUP(TRUE,D150&lt;=Table5[End],Table5[[요율]:[근로소득세액공제]],0,0),_xlpm.tax,AN150*PRODUCT((_xlpm.setvalue-{0,1})*{1,-1}),_xlpm.threshold,_xlfn.XLOOKUP(TRUE,D150&lt;=Table5[End],Table5[소액부징수기준],0,0),IF(_xlpm.tax&gt;=_xlpm.threshold,_xlpm.tax,0)),-1)</f>
        <v>0</v>
      </c>
      <c r="AP150" s="94">
        <f>ROUNDDOWN(Table2[[#This Row],[소득세]]*10%,-1)</f>
        <v>0</v>
      </c>
      <c r="AQ150" s="94">
        <f>IF(AB150="v",AM150+IF(Y150=8,SUMIFS(Table2[지급총액],Table2[주민등록번호],O150,Table2[월],R150,Table2[월간
근무일],"&lt;="&amp;8)-AM150,0),0)+_xlfn.NUMBERVALUE(AR150)</f>
        <v>0</v>
      </c>
      <c r="AR150" s="95"/>
      <c r="AS150" s="94" cm="1">
        <f t="array" ref="AS150">ROUNDDOWN($AQ150*_xlfn.XLOOKUP(1,(AS$5=Table8[Type])*($D150&lt;=Table8[End]),Table8[요율],0,0),0)</f>
        <v>0</v>
      </c>
      <c r="AT150" s="94" cm="1">
        <f t="array" ref="AT150">ROUNDDOWN(AS150*_xlfn.XLOOKUP(1,(AT$5=Table8[Type])*($D150&lt;=Table8[End]),Table8[요율],0,0),-1)</f>
        <v>0</v>
      </c>
      <c r="AU150" s="94" cm="1">
        <f t="array" ref="AU150">ROUNDDOWN($AQ150*_xlfn.XLOOKUP(1,(AU$5=Table8[Type])*($D150&lt;=Table8[End]),Table8[요율],0,0),-1)</f>
        <v>0</v>
      </c>
      <c r="AV150" s="94" cm="1">
        <f t="array" ref="AV150">ROUNDDOWN(AM150*_xlfn.XLOOKUP(1,(AV$5=Table8[Type])*($D150&lt;=Table8[End]),Table8[요율],0,0),-1)</f>
        <v>0</v>
      </c>
      <c r="AW150" s="94" cm="1">
        <f t="array" ref="AW150">_xlfn.XLOOKUP(1,(O150=Table2[주민등록번호])*(D150&gt;Table2[근무일자]),Table2[청구 Claim 
이월],0,0,-1)</f>
        <v>0</v>
      </c>
      <c r="AX150" s="95"/>
      <c r="AY150" s="94" cm="1">
        <f t="array" ref="AY150">MAX(SUM(AO150:AP150,AS150:AX150)-_xlfn.XLOOKUP(1,(D150&lt;=Table7[End])*(E150=Table7[근무처])*(F150=Table7[업무]),Table7[1일 공제 상한],0,0),0)</f>
        <v>0</v>
      </c>
      <c r="AZ150" s="94">
        <f t="shared" si="35"/>
        <v>0</v>
      </c>
      <c r="BA150" s="94">
        <f t="shared" si="36"/>
        <v>85440</v>
      </c>
      <c r="BB150" s="97">
        <f t="shared" si="37"/>
        <v>0</v>
      </c>
      <c r="BC150" s="98"/>
      <c r="BD150" s="94">
        <f t="shared" si="38"/>
        <v>0</v>
      </c>
      <c r="BE150" s="94">
        <f t="shared" si="39"/>
        <v>0</v>
      </c>
      <c r="BF150" s="94">
        <f t="shared" si="40"/>
        <v>0</v>
      </c>
      <c r="BG150" s="94">
        <f t="shared" si="41"/>
        <v>0</v>
      </c>
      <c r="BH150" s="94" cm="1">
        <f t="array" ref="BH150">ROUNDDOWN(AM150*_xlfn.XLOOKUP(1,(BH$5=Table8[Type])*($D150&lt;=Table8[End]),Table8[요율],0,0),-1)</f>
        <v>680</v>
      </c>
      <c r="BI150" s="93" t="str" cm="1">
        <f t="array" ref="BI150">_xlfn.XLOOKUP(1,(D150&lt;=Table7[End])*(E150=Table7[근무처])*(F150=Table7[업무]),Table7[지급옵션],0,0)</f>
        <v>차주 화</v>
      </c>
      <c r="BJ150" s="83">
        <f>IF(BK150&lt;&gt;"",BK150,IFERROR(D150+_xlfn.NUMBERVALUE(RIGHT(BI150,1)),D150-WEEKDAY(D150)+CHOOSE(MATCH(RIGHT(BI150),{"일","월","화","수","목","금","토"},0),8,9,10,11,12,13,14)))</f>
        <v>45769</v>
      </c>
      <c r="BK150" s="99"/>
    </row>
    <row r="151" spans="2:63" x14ac:dyDescent="0.35">
      <c r="B151" s="20" t="str" cm="1">
        <f t="array" ref="B151">_xlfn.IFS(BB151&lt;&gt;BC151,"Claim확인",N151&lt;&gt;"OK","확인필요",TRUE,"")</f>
        <v/>
      </c>
      <c r="C151" s="21" t="str">
        <f t="shared" si="28"/>
        <v>010-6X1X-X3X0333X04XX46879</v>
      </c>
      <c r="D151" s="26">
        <v>45763</v>
      </c>
      <c r="E151" s="91" t="s">
        <v>255</v>
      </c>
      <c r="F151" s="25" t="s">
        <v>258</v>
      </c>
      <c r="G151" s="27" t="s">
        <v>284</v>
      </c>
      <c r="H151" s="25" t="s">
        <v>293</v>
      </c>
      <c r="I151" s="25"/>
      <c r="J151" s="25" t="s">
        <v>294</v>
      </c>
      <c r="K151" s="28">
        <v>0.3125</v>
      </c>
      <c r="L151" s="28">
        <v>0.6875</v>
      </c>
      <c r="M151" s="28">
        <v>4.1666666666666664E-2</v>
      </c>
      <c r="N151" s="25" t="s">
        <v>281</v>
      </c>
      <c r="O151" s="29" t="str">
        <f>_xlfn.XLOOKUP(Table2[[#This Row],[Key]],Table1[Key],Table1[주민등록번호],"",0)</f>
        <v>971XX61XX9X25</v>
      </c>
      <c r="P151" s="29">
        <f>_xlfn.XLOOKUP(Table2[[#This Row],[Key]],Table1[Key],Table1[비자],"",0)</f>
        <v>0</v>
      </c>
      <c r="Q151" s="29">
        <f>IF(P151=0,0,_xlfn.XLOOKUP(Table2[[#This Row],[Key]],Table1[Key],Table1[고용보험 여부],0,0))</f>
        <v>0</v>
      </c>
      <c r="R151" s="29" t="str">
        <f t="shared" si="29"/>
        <v>2504</v>
      </c>
      <c r="S151" s="30" t="str">
        <f>YEAR(Table2[[#This Row],[근무일자]])&amp;TEXT(WEEKNUM(Table2[[#This Row],[근무일자]]),"00")</f>
        <v>202516</v>
      </c>
      <c r="T151" s="31">
        <f>_xlfn.XLOOKUP(Table2[[#This Row],[Key]],Table1[Key],Table1[등록일],"",0)</f>
        <v>45721</v>
      </c>
      <c r="U151" s="32">
        <f t="shared" si="30"/>
        <v>0.33333333333333331</v>
      </c>
      <c r="V151" s="92">
        <f t="shared" si="31"/>
        <v>0</v>
      </c>
      <c r="W151" s="100" t="str">
        <f>_xlfn.XLOOKUP(Table2[[#This Row],[근무일자]],Table3[Date],Table3[Holiday],"",0)</f>
        <v/>
      </c>
      <c r="X151" s="93">
        <f>IF(D151&lt;&gt;"",1,0)+IF(COUNTIFS(Table2[주민등록번호],O151,Table2[월],TEXT(EOMONTH(D151,-1),"YYMM"))&gt;0,1+IF(COUNTIFS(Table2[주민등록번호],O151,Table2[월],TEXT(EOMONTH(D151,-2),"YYMM"))&gt;0,1+IF(COUNTIFS(Table2[주민등록번호],O151,Table2[월],TEXT(EOMONTH(D151,-3),"YYMM"))&gt;0,1,0),0),0)</f>
        <v>2</v>
      </c>
      <c r="Y151" s="29">
        <f>COUNTIFS(Table2[주민등록번호],O151,Table2[월],R151,Table2[근무일자],"&lt;="&amp;D151)</f>
        <v>10</v>
      </c>
      <c r="Z151" s="29">
        <f>COUNTIFS(Table2[주민등록번호],O151,Table2[주간],S151,Table2[근무일자],"&lt;="&amp;D151)</f>
        <v>1</v>
      </c>
      <c r="AA151" s="29">
        <f>SUMIFS(Table2[근로
시간],Table2[주민등록번호],O151,Table2[주간],S151,Table2[근무일자],"&lt;="&amp;D151)*24</f>
        <v>8</v>
      </c>
      <c r="AB151" s="29" t="str">
        <f>IF(AND(Y151&gt;=8,COUNTIFS(Table2[주민등록번호],O151,Table2[근무일자],"&gt;="&amp;EOMONTH(D151,-2)+1,Table2[근무일자],"&lt;="&amp;EOMONTH(D151,-1)+1)&gt;0),"V","")</f>
        <v>V</v>
      </c>
      <c r="AC151" s="94" cm="1">
        <f t="array" ref="AC151">IF(AD151&lt;&gt;"",AD151,_xlfn.XLOOKUP(1,(D151&lt;=Table7[End])*(E151=Table7[근무처])*(F151=Table7[업무]),Table7[시급],0,0))</f>
        <v>10680</v>
      </c>
      <c r="AD151" s="95"/>
      <c r="AE151" s="94">
        <f t="shared" si="32"/>
        <v>85440</v>
      </c>
      <c r="AF151" s="96" cm="1">
        <f t="array" ref="AF151">IF(AND(AA151&gt;=15,(AA151-U151*24)&lt;=40),IF(Z151&gt;=_xlfn.XLOOKUP(1,(D151&lt;=Table7[End])*(E151=Table7[근무처])*(F151=Table7[업무]),Table7[주휴적용일],0,0),1,0)+_xlfn.XLOOKUP(1,(Table2[주간]=Table2[[#This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51" s="96" cm="1">
        <f t="array" ref="AG151">MAX((_xlfn.IFS(AF151=0,0,AF151=1,AA151,AF151&gt;1,U151*24)-IF(AA151&gt;40,AA151-40,0))/5,0)</f>
        <v>0</v>
      </c>
      <c r="AH151" s="94">
        <f t="shared" si="33"/>
        <v>0</v>
      </c>
      <c r="AI151" s="33" cm="1">
        <f t="array" ref="AI151">IF(W151="",0,ROUND(AC151*U151*24*_xlfn.XLOOKUP(1,(D151&lt;=Table7[End])*(E151=Table7[근무처])*(F151=Table7[업무]),Table7[휴일인센티브],0,0),0))</f>
        <v>0</v>
      </c>
      <c r="AJ151" s="94" cm="1">
        <f t="array" ref="AJ151">ROUND(AC151*IF(U151&gt;=8/24,U151-8/24,0)*24*_xlfn.XLOOKUP(1,(D151&lt;=Table7[End])*(E151=Table7[근무처])*(F151=Table7[업무]),Table7[야간인센티브],0,0),0)</f>
        <v>0</v>
      </c>
      <c r="AK151" s="94" cm="1">
        <f t="array" ref="AK151">IF(V151=0,0,ROUND(AC151*V151*24*_xlfn.XLOOKUP(1,(D151&lt;=Table7[End])*(E151=Table7[근무처])*(F151=Table7[업무]),Table7[야간인센티브],0,0),0))</f>
        <v>0</v>
      </c>
      <c r="AL151" s="95"/>
      <c r="AM151" s="94">
        <f t="shared" si="34"/>
        <v>85440</v>
      </c>
      <c r="AN151" s="94" cm="1">
        <f t="array" ref="AN151">IF(AM151&gt;=_xlfn.XLOOKUP(TRUE,D151&lt;=Table5[End],Table5[비과세소득기준],0,0),AM151-_xlfn.XLOOKUP(TRUE,D151&lt;=Table5[End],Table5[비과세소득기준],0,0),0)</f>
        <v>0</v>
      </c>
      <c r="AO151" s="94" cm="1">
        <f t="array" ref="AO151">ROUNDDOWN(_xlfn.LET(_xlpm.setvalue,_xlfn.XLOOKUP(TRUE,D151&lt;=Table5[End],Table5[[요율]:[근로소득세액공제]],0,0),_xlpm.tax,AN151*PRODUCT((_xlpm.setvalue-{0,1})*{1,-1}),_xlpm.threshold,_xlfn.XLOOKUP(TRUE,D151&lt;=Table5[End],Table5[소액부징수기준],0,0),IF(_xlpm.tax&gt;=_xlpm.threshold,_xlpm.tax,0)),-1)</f>
        <v>0</v>
      </c>
      <c r="AP151" s="94">
        <f>ROUNDDOWN(Table2[[#This Row],[소득세]]*10%,-1)</f>
        <v>0</v>
      </c>
      <c r="AQ151" s="94">
        <f>IF(AB151="v",AM151+IF(Y151=8,SUMIFS(Table2[지급총액],Table2[주민등록번호],O151,Table2[월],R151,Table2[월간
근무일],"&lt;="&amp;8)-AM151,0),0)+_xlfn.NUMBERVALUE(AR151)</f>
        <v>85440</v>
      </c>
      <c r="AR151" s="95"/>
      <c r="AS151" s="94" cm="1">
        <f t="array" ref="AS151">ROUNDDOWN($AQ151*_xlfn.XLOOKUP(1,(AS$5=Table8[Type])*($D151&lt;=Table8[End]),Table8[요율],0,0),0)</f>
        <v>3028</v>
      </c>
      <c r="AT151" s="94" cm="1">
        <f t="array" ref="AT151">ROUNDDOWN(AS151*_xlfn.XLOOKUP(1,(AT$5=Table8[Type])*($D151&lt;=Table8[End]),Table8[요율],0,0),-1)</f>
        <v>390</v>
      </c>
      <c r="AU151" s="94" cm="1">
        <f t="array" ref="AU151">ROUNDDOWN($AQ151*_xlfn.XLOOKUP(1,(AU$5=Table8[Type])*($D151&lt;=Table8[End]),Table8[요율],0,0),-1)</f>
        <v>3840</v>
      </c>
      <c r="AV151" s="94" cm="1">
        <f t="array" ref="AV151">ROUNDDOWN(AM151*_xlfn.XLOOKUP(1,(AV$5=Table8[Type])*($D151&lt;=Table8[End]),Table8[요율],0,0),-1)</f>
        <v>0</v>
      </c>
      <c r="AW151" s="94" cm="1">
        <f t="array" ref="AW151">_xlfn.XLOOKUP(1,(O151=Table2[주민등록번호])*(D151&gt;Table2[근무일자]),Table2[청구 Claim 
이월],0,0,-1)</f>
        <v>0</v>
      </c>
      <c r="AX151" s="95"/>
      <c r="AY151" s="94" cm="1">
        <f t="array" ref="AY151">MAX(SUM(AO151:AP151,AS151:AX151)-_xlfn.XLOOKUP(1,(D151&lt;=Table7[End])*(E151=Table7[근무처])*(F151=Table7[업무]),Table7[1일 공제 상한],0,0),0)</f>
        <v>0</v>
      </c>
      <c r="AZ151" s="94">
        <f t="shared" si="35"/>
        <v>7258</v>
      </c>
      <c r="BA151" s="94">
        <f t="shared" si="36"/>
        <v>78182</v>
      </c>
      <c r="BB151" s="97">
        <f t="shared" si="37"/>
        <v>0</v>
      </c>
      <c r="BC151" s="98"/>
      <c r="BD151" s="94">
        <f t="shared" si="38"/>
        <v>3028</v>
      </c>
      <c r="BE151" s="94">
        <f t="shared" si="39"/>
        <v>390</v>
      </c>
      <c r="BF151" s="94">
        <f t="shared" si="40"/>
        <v>3840</v>
      </c>
      <c r="BG151" s="94">
        <f t="shared" si="41"/>
        <v>0</v>
      </c>
      <c r="BH151" s="94" cm="1">
        <f t="array" ref="BH151">ROUNDDOWN(AM151*_xlfn.XLOOKUP(1,(BH$5=Table8[Type])*($D151&lt;=Table8[End]),Table8[요율],0,0),-1)</f>
        <v>680</v>
      </c>
      <c r="BI151" s="93" t="str" cm="1">
        <f t="array" ref="BI151">_xlfn.XLOOKUP(1,(D151&lt;=Table7[End])*(E151=Table7[근무처])*(F151=Table7[업무]),Table7[지급옵션],0,0)</f>
        <v>차주 화</v>
      </c>
      <c r="BJ151" s="83">
        <f>IF(BK151&lt;&gt;"",BK151,IFERROR(D151+_xlfn.NUMBERVALUE(RIGHT(BI151,1)),D151-WEEKDAY(D151)+CHOOSE(MATCH(RIGHT(BI151),{"일","월","화","수","목","금","토"},0),8,9,10,11,12,13,14)))</f>
        <v>45769</v>
      </c>
      <c r="BK151" s="99"/>
    </row>
    <row r="152" spans="2:63" x14ac:dyDescent="0.35">
      <c r="B152" s="20" t="str" cm="1">
        <f t="array" ref="B152">_xlfn.IFS(BB152&lt;&gt;BC152,"Claim확인",N152&lt;&gt;"OK","확인필요",TRUE,"")</f>
        <v/>
      </c>
      <c r="C152" s="21" t="str">
        <f t="shared" si="28"/>
        <v>010-6X1X-X3X0333X04XX46879</v>
      </c>
      <c r="D152" s="26">
        <v>45764</v>
      </c>
      <c r="E152" s="91" t="s">
        <v>255</v>
      </c>
      <c r="F152" s="25" t="s">
        <v>258</v>
      </c>
      <c r="G152" s="27" t="s">
        <v>284</v>
      </c>
      <c r="H152" s="25" t="s">
        <v>293</v>
      </c>
      <c r="I152" s="25"/>
      <c r="J152" s="25" t="s">
        <v>294</v>
      </c>
      <c r="K152" s="28">
        <v>0.3125</v>
      </c>
      <c r="L152" s="28">
        <v>0.6875</v>
      </c>
      <c r="M152" s="28">
        <v>4.1666666666666664E-2</v>
      </c>
      <c r="N152" s="25" t="s">
        <v>281</v>
      </c>
      <c r="O152" s="29" t="str">
        <f>_xlfn.XLOOKUP(Table2[[#This Row],[Key]],Table1[Key],Table1[주민등록번호],"",0)</f>
        <v>971XX61XX9X25</v>
      </c>
      <c r="P152" s="29">
        <f>_xlfn.XLOOKUP(Table2[[#This Row],[Key]],Table1[Key],Table1[비자],"",0)</f>
        <v>0</v>
      </c>
      <c r="Q152" s="29">
        <f>IF(P152=0,0,_xlfn.XLOOKUP(Table2[[#This Row],[Key]],Table1[Key],Table1[고용보험 여부],0,0))</f>
        <v>0</v>
      </c>
      <c r="R152" s="29" t="str">
        <f t="shared" si="29"/>
        <v>2504</v>
      </c>
      <c r="S152" s="30" t="str">
        <f>YEAR(Table2[[#This Row],[근무일자]])&amp;TEXT(WEEKNUM(Table2[[#This Row],[근무일자]]),"00")</f>
        <v>202516</v>
      </c>
      <c r="T152" s="31">
        <f>_xlfn.XLOOKUP(Table2[[#This Row],[Key]],Table1[Key],Table1[등록일],"",0)</f>
        <v>45721</v>
      </c>
      <c r="U152" s="32">
        <f t="shared" si="30"/>
        <v>0.33333333333333331</v>
      </c>
      <c r="V152" s="92">
        <f t="shared" si="31"/>
        <v>0</v>
      </c>
      <c r="W152" s="100" t="str">
        <f>_xlfn.XLOOKUP(Table2[[#This Row],[근무일자]],Table3[Date],Table3[Holiday],"",0)</f>
        <v/>
      </c>
      <c r="X152" s="93">
        <f>IF(D152&lt;&gt;"",1,0)+IF(COUNTIFS(Table2[주민등록번호],O152,Table2[월],TEXT(EOMONTH(D152,-1),"YYMM"))&gt;0,1+IF(COUNTIFS(Table2[주민등록번호],O152,Table2[월],TEXT(EOMONTH(D152,-2),"YYMM"))&gt;0,1+IF(COUNTIFS(Table2[주민등록번호],O152,Table2[월],TEXT(EOMONTH(D152,-3),"YYMM"))&gt;0,1,0),0),0)</f>
        <v>2</v>
      </c>
      <c r="Y152" s="29">
        <f>COUNTIFS(Table2[주민등록번호],O152,Table2[월],R152,Table2[근무일자],"&lt;="&amp;D152)</f>
        <v>11</v>
      </c>
      <c r="Z152" s="29">
        <f>COUNTIFS(Table2[주민등록번호],O152,Table2[주간],S152,Table2[근무일자],"&lt;="&amp;D152)</f>
        <v>2</v>
      </c>
      <c r="AA152" s="29">
        <f>SUMIFS(Table2[근로
시간],Table2[주민등록번호],O152,Table2[주간],S152,Table2[근무일자],"&lt;="&amp;D152)*24</f>
        <v>16</v>
      </c>
      <c r="AB152" s="29" t="str">
        <f>IF(AND(Y152&gt;=8,COUNTIFS(Table2[주민등록번호],O152,Table2[근무일자],"&gt;="&amp;EOMONTH(D152,-2)+1,Table2[근무일자],"&lt;="&amp;EOMONTH(D152,-1)+1)&gt;0),"V","")</f>
        <v>V</v>
      </c>
      <c r="AC152" s="94" cm="1">
        <f t="array" ref="AC152">IF(AD152&lt;&gt;"",AD152,_xlfn.XLOOKUP(1,(D152&lt;=Table7[End])*(E152=Table7[근무처])*(F152=Table7[업무]),Table7[시급],0,0))</f>
        <v>10680</v>
      </c>
      <c r="AD152" s="95"/>
      <c r="AE152" s="94">
        <f t="shared" si="32"/>
        <v>85440</v>
      </c>
      <c r="AF152" s="96" cm="1">
        <f t="array" ref="AF152">IF(AND(AA152&gt;=15,(AA152-U152*24)&lt;=40),IF(Z152&gt;=_xlfn.XLOOKUP(1,(D152&lt;=Table7[End])*(E152=Table7[근무처])*(F152=Table7[업무]),Table7[주휴적용일],0,0),1,0)+_xlfn.XLOOKUP(1,(Table2[주간]=Table2[[#This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52" s="96" cm="1">
        <f t="array" ref="AG152">MAX((_xlfn.IFS(AF152=0,0,AF152=1,AA152,AF152&gt;1,U152*24)-IF(AA152&gt;40,AA152-40,0))/5,0)</f>
        <v>3.2</v>
      </c>
      <c r="AH152" s="94">
        <f t="shared" si="33"/>
        <v>34176</v>
      </c>
      <c r="AI152" s="33" cm="1">
        <f t="array" ref="AI152">IF(W152="",0,ROUND(AC152*U152*24*_xlfn.XLOOKUP(1,(D152&lt;=Table7[End])*(E152=Table7[근무처])*(F152=Table7[업무]),Table7[휴일인센티브],0,0),0))</f>
        <v>0</v>
      </c>
      <c r="AJ152" s="94" cm="1">
        <f t="array" ref="AJ152">ROUND(AC152*IF(U152&gt;=8/24,U152-8/24,0)*24*_xlfn.XLOOKUP(1,(D152&lt;=Table7[End])*(E152=Table7[근무처])*(F152=Table7[업무]),Table7[야간인센티브],0,0),0)</f>
        <v>0</v>
      </c>
      <c r="AK152" s="94" cm="1">
        <f t="array" ref="AK152">IF(V152=0,0,ROUND(AC152*V152*24*_xlfn.XLOOKUP(1,(D152&lt;=Table7[End])*(E152=Table7[근무처])*(F152=Table7[업무]),Table7[야간인센티브],0,0),0))</f>
        <v>0</v>
      </c>
      <c r="AL152" s="95"/>
      <c r="AM152" s="94">
        <f t="shared" si="34"/>
        <v>119616</v>
      </c>
      <c r="AN152" s="94" cm="1">
        <f t="array" ref="AN152">IF(AM152&gt;=_xlfn.XLOOKUP(TRUE,D152&lt;=Table5[End],Table5[비과세소득기준],0,0),AM152-_xlfn.XLOOKUP(TRUE,D152&lt;=Table5[End],Table5[비과세소득기준],0,0),0)</f>
        <v>0</v>
      </c>
      <c r="AO152" s="94" cm="1">
        <f t="array" ref="AO152">ROUNDDOWN(_xlfn.LET(_xlpm.setvalue,_xlfn.XLOOKUP(TRUE,D152&lt;=Table5[End],Table5[[요율]:[근로소득세액공제]],0,0),_xlpm.tax,AN152*PRODUCT((_xlpm.setvalue-{0,1})*{1,-1}),_xlpm.threshold,_xlfn.XLOOKUP(TRUE,D152&lt;=Table5[End],Table5[소액부징수기준],0,0),IF(_xlpm.tax&gt;=_xlpm.threshold,_xlpm.tax,0)),-1)</f>
        <v>0</v>
      </c>
      <c r="AP152" s="94">
        <f>ROUNDDOWN(Table2[[#This Row],[소득세]]*10%,-1)</f>
        <v>0</v>
      </c>
      <c r="AQ152" s="94">
        <f>IF(AB152="v",AM152+IF(Y152=8,SUMIFS(Table2[지급총액],Table2[주민등록번호],O152,Table2[월],R152,Table2[월간
근무일],"&lt;="&amp;8)-AM152,0),0)+_xlfn.NUMBERVALUE(AR152)</f>
        <v>119616</v>
      </c>
      <c r="AR152" s="95"/>
      <c r="AS152" s="94" cm="1">
        <f t="array" ref="AS152">ROUNDDOWN($AQ152*_xlfn.XLOOKUP(1,(AS$5=Table8[Type])*($D152&lt;=Table8[End]),Table8[요율],0,0),0)</f>
        <v>4240</v>
      </c>
      <c r="AT152" s="94" cm="1">
        <f t="array" ref="AT152">ROUNDDOWN(AS152*_xlfn.XLOOKUP(1,(AT$5=Table8[Type])*($D152&lt;=Table8[End]),Table8[요율],0,0),-1)</f>
        <v>540</v>
      </c>
      <c r="AU152" s="94" cm="1">
        <f t="array" ref="AU152">ROUNDDOWN($AQ152*_xlfn.XLOOKUP(1,(AU$5=Table8[Type])*($D152&lt;=Table8[End]),Table8[요율],0,0),-1)</f>
        <v>5380</v>
      </c>
      <c r="AV152" s="94" cm="1">
        <f t="array" ref="AV152">ROUNDDOWN(AM152*_xlfn.XLOOKUP(1,(AV$5=Table8[Type])*($D152&lt;=Table8[End]),Table8[요율],0,0),-1)</f>
        <v>0</v>
      </c>
      <c r="AW152" s="94" cm="1">
        <f t="array" ref="AW152">_xlfn.XLOOKUP(1,(O152=Table2[주민등록번호])*(D152&gt;Table2[근무일자]),Table2[청구 Claim 
이월],0,0,-1)</f>
        <v>0</v>
      </c>
      <c r="AX152" s="95"/>
      <c r="AY152" s="94" cm="1">
        <f t="array" ref="AY152">MAX(SUM(AO152:AP152,AS152:AX152)-_xlfn.XLOOKUP(1,(D152&lt;=Table7[End])*(E152=Table7[근무처])*(F152=Table7[업무]),Table7[1일 공제 상한],0,0),0)</f>
        <v>0</v>
      </c>
      <c r="AZ152" s="94">
        <f t="shared" si="35"/>
        <v>10160</v>
      </c>
      <c r="BA152" s="94">
        <f t="shared" si="36"/>
        <v>109456</v>
      </c>
      <c r="BB152" s="97">
        <f t="shared" si="37"/>
        <v>0</v>
      </c>
      <c r="BC152" s="98"/>
      <c r="BD152" s="94">
        <f t="shared" si="38"/>
        <v>4240</v>
      </c>
      <c r="BE152" s="94">
        <f t="shared" si="39"/>
        <v>540</v>
      </c>
      <c r="BF152" s="94">
        <f t="shared" si="40"/>
        <v>5380</v>
      </c>
      <c r="BG152" s="94">
        <f t="shared" si="41"/>
        <v>0</v>
      </c>
      <c r="BH152" s="94" cm="1">
        <f t="array" ref="BH152">ROUNDDOWN(AM152*_xlfn.XLOOKUP(1,(BH$5=Table8[Type])*($D152&lt;=Table8[End]),Table8[요율],0,0),-1)</f>
        <v>950</v>
      </c>
      <c r="BI152" s="93" t="str" cm="1">
        <f t="array" ref="BI152">_xlfn.XLOOKUP(1,(D152&lt;=Table7[End])*(E152=Table7[근무처])*(F152=Table7[업무]),Table7[지급옵션],0,0)</f>
        <v>차주 화</v>
      </c>
      <c r="BJ152" s="83">
        <f>IF(BK152&lt;&gt;"",BK152,IFERROR(D152+_xlfn.NUMBERVALUE(RIGHT(BI152,1)),D152-WEEKDAY(D152)+CHOOSE(MATCH(RIGHT(BI152),{"일","월","화","수","목","금","토"},0),8,9,10,11,12,13,14)))</f>
        <v>45769</v>
      </c>
      <c r="BK152" s="99"/>
    </row>
    <row r="153" spans="2:63" x14ac:dyDescent="0.35">
      <c r="B153" s="20" t="str" cm="1">
        <f t="array" ref="B153">_xlfn.IFS(BB153&lt;&gt;BC153,"Claim확인",N153&lt;&gt;"OK","확인필요",TRUE,"")</f>
        <v/>
      </c>
      <c r="C153" s="21" t="str">
        <f t="shared" si="28"/>
        <v>010-8X0X-X0X9982X03XX901018</v>
      </c>
      <c r="D153" s="26">
        <v>45765</v>
      </c>
      <c r="E153" s="91" t="s">
        <v>255</v>
      </c>
      <c r="F153" s="25" t="s">
        <v>258</v>
      </c>
      <c r="G153" s="27" t="s">
        <v>283</v>
      </c>
      <c r="H153" s="25" t="s">
        <v>291</v>
      </c>
      <c r="I153" s="25"/>
      <c r="J153" s="25" t="s">
        <v>292</v>
      </c>
      <c r="K153" s="28">
        <v>0.375</v>
      </c>
      <c r="L153" s="28">
        <v>0.75</v>
      </c>
      <c r="M153" s="28">
        <v>4.1666666666666664E-2</v>
      </c>
      <c r="N153" s="25" t="s">
        <v>281</v>
      </c>
      <c r="O153" s="29" t="str">
        <f>_xlfn.XLOOKUP(Table2[[#This Row],[Key]],Table1[Key],Table1[주민등록번호],"",0)</f>
        <v>960XX51XX9X15</v>
      </c>
      <c r="P153" s="29">
        <f>_xlfn.XLOOKUP(Table2[[#This Row],[Key]],Table1[Key],Table1[비자],"",0)</f>
        <v>0</v>
      </c>
      <c r="Q153" s="29">
        <f>IF(P153=0,0,_xlfn.XLOOKUP(Table2[[#This Row],[Key]],Table1[Key],Table1[고용보험 여부],0,0))</f>
        <v>0</v>
      </c>
      <c r="R153" s="29" t="str">
        <f t="shared" si="29"/>
        <v>2504</v>
      </c>
      <c r="S153" s="30" t="str">
        <f>YEAR(Table2[[#This Row],[근무일자]])&amp;TEXT(WEEKNUM(Table2[[#This Row],[근무일자]]),"00")</f>
        <v>202516</v>
      </c>
      <c r="T153" s="31">
        <f>_xlfn.XLOOKUP(Table2[[#This Row],[Key]],Table1[Key],Table1[등록일],"",0)</f>
        <v>45698</v>
      </c>
      <c r="U153" s="32">
        <f t="shared" si="30"/>
        <v>0.33333333333333331</v>
      </c>
      <c r="V153" s="92">
        <f t="shared" si="31"/>
        <v>0</v>
      </c>
      <c r="W153" s="100" t="str">
        <f>_xlfn.XLOOKUP(Table2[[#This Row],[근무일자]],Table3[Date],Table3[Holiday],"",0)</f>
        <v/>
      </c>
      <c r="X153" s="93">
        <f>IF(D153&lt;&gt;"",1,0)+IF(COUNTIFS(Table2[주민등록번호],O153,Table2[월],TEXT(EOMONTH(D153,-1),"YYMM"))&gt;0,1+IF(COUNTIFS(Table2[주민등록번호],O153,Table2[월],TEXT(EOMONTH(D153,-2),"YYMM"))&gt;0,1+IF(COUNTIFS(Table2[주민등록번호],O153,Table2[월],TEXT(EOMONTH(D153,-3),"YYMM"))&gt;0,1,0),0),0)</f>
        <v>3</v>
      </c>
      <c r="Y153" s="29">
        <f>COUNTIFS(Table2[주민등록번호],O153,Table2[월],R153,Table2[근무일자],"&lt;="&amp;D153)</f>
        <v>11</v>
      </c>
      <c r="Z153" s="29">
        <f>COUNTIFS(Table2[주민등록번호],O153,Table2[주간],S153,Table2[근무일자],"&lt;="&amp;D153)</f>
        <v>4</v>
      </c>
      <c r="AA153" s="29">
        <f>SUMIFS(Table2[근로
시간],Table2[주민등록번호],O153,Table2[주간],S153,Table2[근무일자],"&lt;="&amp;D153)*24</f>
        <v>32</v>
      </c>
      <c r="AB153" s="29" t="str">
        <f>IF(AND(Y153&gt;=8,COUNTIFS(Table2[주민등록번호],O153,Table2[근무일자],"&gt;="&amp;EOMONTH(D153,-2)+1,Table2[근무일자],"&lt;="&amp;EOMONTH(D153,-1)+1)&gt;0),"V","")</f>
        <v>V</v>
      </c>
      <c r="AC153" s="94" cm="1">
        <f t="array" ref="AC153">IF(AD153&lt;&gt;"",AD153,_xlfn.XLOOKUP(1,(D153&lt;=Table7[End])*(E153=Table7[근무처])*(F153=Table7[업무]),Table7[시급],0,0))</f>
        <v>10680</v>
      </c>
      <c r="AD153" s="95"/>
      <c r="AE153" s="94">
        <f t="shared" si="32"/>
        <v>85440</v>
      </c>
      <c r="AF153" s="96" cm="1">
        <f t="array" ref="AF153">IF(AND(AA153&gt;=15,(AA153-U153*24)&lt;=40),IF(Z153&gt;=_xlfn.XLOOKUP(1,(D153&lt;=Table7[End])*(E153=Table7[근무처])*(F153=Table7[업무]),Table7[주휴적용일],0,0),1,0)+_xlfn.XLOOKUP(1,(Table2[주간]=Table2[[#This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53" s="96" cm="1">
        <f t="array" ref="AG153">MAX((_xlfn.IFS(AF153=0,0,AF153=1,AA153,AF153&gt;1,U153*24)-IF(AA153&gt;40,AA153-40,0))/5,0)</f>
        <v>1.6</v>
      </c>
      <c r="AH153" s="94">
        <f t="shared" si="33"/>
        <v>17088</v>
      </c>
      <c r="AI153" s="33" cm="1">
        <f t="array" ref="AI153">IF(W153="",0,ROUND(AC153*U153*24*_xlfn.XLOOKUP(1,(D153&lt;=Table7[End])*(E153=Table7[근무처])*(F153=Table7[업무]),Table7[휴일인센티브],0,0),0))</f>
        <v>0</v>
      </c>
      <c r="AJ153" s="94" cm="1">
        <f t="array" ref="AJ153">ROUND(AC153*IF(U153&gt;=8/24,U153-8/24,0)*24*_xlfn.XLOOKUP(1,(D153&lt;=Table7[End])*(E153=Table7[근무처])*(F153=Table7[업무]),Table7[야간인센티브],0,0),0)</f>
        <v>0</v>
      </c>
      <c r="AK153" s="94" cm="1">
        <f t="array" ref="AK153">IF(V153=0,0,ROUND(AC153*V153*24*_xlfn.XLOOKUP(1,(D153&lt;=Table7[End])*(E153=Table7[근무처])*(F153=Table7[업무]),Table7[야간인센티브],0,0),0))</f>
        <v>0</v>
      </c>
      <c r="AL153" s="95"/>
      <c r="AM153" s="94">
        <f t="shared" si="34"/>
        <v>102528</v>
      </c>
      <c r="AN153" s="94" cm="1">
        <f t="array" ref="AN153">IF(AM153&gt;=_xlfn.XLOOKUP(TRUE,D153&lt;=Table5[End],Table5[비과세소득기준],0,0),AM153-_xlfn.XLOOKUP(TRUE,D153&lt;=Table5[End],Table5[비과세소득기준],0,0),0)</f>
        <v>0</v>
      </c>
      <c r="AO153" s="94" cm="1">
        <f t="array" ref="AO153">ROUNDDOWN(_xlfn.LET(_xlpm.setvalue,_xlfn.XLOOKUP(TRUE,D153&lt;=Table5[End],Table5[[요율]:[근로소득세액공제]],0,0),_xlpm.tax,AN153*PRODUCT((_xlpm.setvalue-{0,1})*{1,-1}),_xlpm.threshold,_xlfn.XLOOKUP(TRUE,D153&lt;=Table5[End],Table5[소액부징수기준],0,0),IF(_xlpm.tax&gt;=_xlpm.threshold,_xlpm.tax,0)),-1)</f>
        <v>0</v>
      </c>
      <c r="AP153" s="94">
        <f>ROUNDDOWN(Table2[[#This Row],[소득세]]*10%,-1)</f>
        <v>0</v>
      </c>
      <c r="AQ153" s="94">
        <f>IF(AB153="v",AM153+IF(Y153=8,SUMIFS(Table2[지급총액],Table2[주민등록번호],O153,Table2[월],R153,Table2[월간
근무일],"&lt;="&amp;8)-AM153,0),0)+_xlfn.NUMBERVALUE(AR153)</f>
        <v>102528</v>
      </c>
      <c r="AR153" s="95"/>
      <c r="AS153" s="94" cm="1">
        <f t="array" ref="AS153">ROUNDDOWN($AQ153*_xlfn.XLOOKUP(1,(AS$5=Table8[Type])*($D153&lt;=Table8[End]),Table8[요율],0,0),0)</f>
        <v>3634</v>
      </c>
      <c r="AT153" s="94" cm="1">
        <f t="array" ref="AT153">ROUNDDOWN(AS153*_xlfn.XLOOKUP(1,(AT$5=Table8[Type])*($D153&lt;=Table8[End]),Table8[요율],0,0),-1)</f>
        <v>470</v>
      </c>
      <c r="AU153" s="94" cm="1">
        <f t="array" ref="AU153">ROUNDDOWN($AQ153*_xlfn.XLOOKUP(1,(AU$5=Table8[Type])*($D153&lt;=Table8[End]),Table8[요율],0,0),-1)</f>
        <v>4610</v>
      </c>
      <c r="AV153" s="94" cm="1">
        <f t="array" ref="AV153">ROUNDDOWN(AM153*_xlfn.XLOOKUP(1,(AV$5=Table8[Type])*($D153&lt;=Table8[End]),Table8[요율],0,0),-1)</f>
        <v>0</v>
      </c>
      <c r="AW153" s="94" cm="1">
        <f t="array" ref="AW153">_xlfn.XLOOKUP(1,(O153=Table2[주민등록번호])*(D153&gt;Table2[근무일자]),Table2[청구 Claim 
이월],0,0,-1)</f>
        <v>0</v>
      </c>
      <c r="AX153" s="95"/>
      <c r="AY153" s="94" cm="1">
        <f t="array" ref="AY153">MAX(SUM(AO153:AP153,AS153:AX153)-_xlfn.XLOOKUP(1,(D153&lt;=Table7[End])*(E153=Table7[근무처])*(F153=Table7[업무]),Table7[1일 공제 상한],0,0),0)</f>
        <v>0</v>
      </c>
      <c r="AZ153" s="94">
        <f t="shared" si="35"/>
        <v>8714</v>
      </c>
      <c r="BA153" s="94">
        <f t="shared" si="36"/>
        <v>93814</v>
      </c>
      <c r="BB153" s="97">
        <f t="shared" si="37"/>
        <v>0</v>
      </c>
      <c r="BC153" s="98"/>
      <c r="BD153" s="94">
        <f t="shared" si="38"/>
        <v>3634</v>
      </c>
      <c r="BE153" s="94">
        <f t="shared" si="39"/>
        <v>470</v>
      </c>
      <c r="BF153" s="94">
        <f t="shared" si="40"/>
        <v>4610</v>
      </c>
      <c r="BG153" s="94">
        <f t="shared" si="41"/>
        <v>0</v>
      </c>
      <c r="BH153" s="94" cm="1">
        <f t="array" ref="BH153">ROUNDDOWN(AM153*_xlfn.XLOOKUP(1,(BH$5=Table8[Type])*($D153&lt;=Table8[End]),Table8[요율],0,0),-1)</f>
        <v>820</v>
      </c>
      <c r="BI153" s="93" t="str" cm="1">
        <f t="array" ref="BI153">_xlfn.XLOOKUP(1,(D153&lt;=Table7[End])*(E153=Table7[근무처])*(F153=Table7[업무]),Table7[지급옵션],0,0)</f>
        <v>차주 화</v>
      </c>
      <c r="BJ153" s="83">
        <f>IF(BK153&lt;&gt;"",BK153,IFERROR(D153+_xlfn.NUMBERVALUE(RIGHT(BI153,1)),D153-WEEKDAY(D153)+CHOOSE(MATCH(RIGHT(BI153),{"일","월","화","수","목","금","토"},0),8,9,10,11,12,13,14)))</f>
        <v>45769</v>
      </c>
      <c r="BK153" s="99"/>
    </row>
    <row r="154" spans="2:63" x14ac:dyDescent="0.35">
      <c r="B154" s="20" t="str" cm="1">
        <f t="array" ref="B154">_xlfn.IFS(BB154&lt;&gt;BC154,"Claim확인",N154&lt;&gt;"OK","확인필요",TRUE,"")</f>
        <v/>
      </c>
      <c r="C154" s="21" t="str">
        <f t="shared" si="28"/>
        <v>010-6X1X-X3X0333X04XX46879</v>
      </c>
      <c r="D154" s="26">
        <v>45765</v>
      </c>
      <c r="E154" s="91" t="s">
        <v>255</v>
      </c>
      <c r="F154" s="25" t="s">
        <v>258</v>
      </c>
      <c r="G154" s="27" t="s">
        <v>284</v>
      </c>
      <c r="H154" s="25" t="s">
        <v>293</v>
      </c>
      <c r="I154" s="25"/>
      <c r="J154" s="25" t="s">
        <v>294</v>
      </c>
      <c r="K154" s="28">
        <v>0.3125</v>
      </c>
      <c r="L154" s="28">
        <v>0.6875</v>
      </c>
      <c r="M154" s="28">
        <v>4.1666666666666664E-2</v>
      </c>
      <c r="N154" s="25" t="s">
        <v>281</v>
      </c>
      <c r="O154" s="29" t="str">
        <f>_xlfn.XLOOKUP(Table2[[#This Row],[Key]],Table1[Key],Table1[주민등록번호],"",0)</f>
        <v>971XX61XX9X25</v>
      </c>
      <c r="P154" s="29">
        <f>_xlfn.XLOOKUP(Table2[[#This Row],[Key]],Table1[Key],Table1[비자],"",0)</f>
        <v>0</v>
      </c>
      <c r="Q154" s="29">
        <f>IF(P154=0,0,_xlfn.XLOOKUP(Table2[[#This Row],[Key]],Table1[Key],Table1[고용보험 여부],0,0))</f>
        <v>0</v>
      </c>
      <c r="R154" s="29" t="str">
        <f t="shared" si="29"/>
        <v>2504</v>
      </c>
      <c r="S154" s="30" t="str">
        <f>YEAR(Table2[[#This Row],[근무일자]])&amp;TEXT(WEEKNUM(Table2[[#This Row],[근무일자]]),"00")</f>
        <v>202516</v>
      </c>
      <c r="T154" s="31">
        <f>_xlfn.XLOOKUP(Table2[[#This Row],[Key]],Table1[Key],Table1[등록일],"",0)</f>
        <v>45721</v>
      </c>
      <c r="U154" s="32">
        <f t="shared" si="30"/>
        <v>0.33333333333333331</v>
      </c>
      <c r="V154" s="92">
        <f t="shared" si="31"/>
        <v>0</v>
      </c>
      <c r="W154" s="100" t="str">
        <f>_xlfn.XLOOKUP(Table2[[#This Row],[근무일자]],Table3[Date],Table3[Holiday],"",0)</f>
        <v/>
      </c>
      <c r="X154" s="93">
        <f>IF(D154&lt;&gt;"",1,0)+IF(COUNTIFS(Table2[주민등록번호],O154,Table2[월],TEXT(EOMONTH(D154,-1),"YYMM"))&gt;0,1+IF(COUNTIFS(Table2[주민등록번호],O154,Table2[월],TEXT(EOMONTH(D154,-2),"YYMM"))&gt;0,1+IF(COUNTIFS(Table2[주민등록번호],O154,Table2[월],TEXT(EOMONTH(D154,-3),"YYMM"))&gt;0,1,0),0),0)</f>
        <v>2</v>
      </c>
      <c r="Y154" s="29">
        <f>COUNTIFS(Table2[주민등록번호],O154,Table2[월],R154,Table2[근무일자],"&lt;="&amp;D154)</f>
        <v>12</v>
      </c>
      <c r="Z154" s="29">
        <f>COUNTIFS(Table2[주민등록번호],O154,Table2[주간],S154,Table2[근무일자],"&lt;="&amp;D154)</f>
        <v>3</v>
      </c>
      <c r="AA154" s="29">
        <f>SUMIFS(Table2[근로
시간],Table2[주민등록번호],O154,Table2[주간],S154,Table2[근무일자],"&lt;="&amp;D154)*24</f>
        <v>24</v>
      </c>
      <c r="AB154" s="29" t="str">
        <f>IF(AND(Y154&gt;=8,COUNTIFS(Table2[주민등록번호],O154,Table2[근무일자],"&gt;="&amp;EOMONTH(D154,-2)+1,Table2[근무일자],"&lt;="&amp;EOMONTH(D154,-1)+1)&gt;0),"V","")</f>
        <v>V</v>
      </c>
      <c r="AC154" s="94" cm="1">
        <f t="array" ref="AC154">IF(AD154&lt;&gt;"",AD154,_xlfn.XLOOKUP(1,(D154&lt;=Table7[End])*(E154=Table7[근무처])*(F154=Table7[업무]),Table7[시급],0,0))</f>
        <v>10680</v>
      </c>
      <c r="AD154" s="95"/>
      <c r="AE154" s="94">
        <f t="shared" si="32"/>
        <v>85440</v>
      </c>
      <c r="AF154" s="96" cm="1">
        <f t="array" ref="AF154">IF(AND(AA154&gt;=15,(AA154-U154*24)&lt;=40),IF(Z154&gt;=_xlfn.XLOOKUP(1,(D154&lt;=Table7[End])*(E154=Table7[근무처])*(F154=Table7[업무]),Table7[주휴적용일],0,0),1,0)+_xlfn.XLOOKUP(1,(Table2[주간]=Table2[[#This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54" s="96" cm="1">
        <f t="array" ref="AG154">MAX((_xlfn.IFS(AF154=0,0,AF154=1,AA154,AF154&gt;1,U154*24)-IF(AA154&gt;40,AA154-40,0))/5,0)</f>
        <v>1.6</v>
      </c>
      <c r="AH154" s="94">
        <f t="shared" si="33"/>
        <v>17088</v>
      </c>
      <c r="AI154" s="33" cm="1">
        <f t="array" ref="AI154">IF(W154="",0,ROUND(AC154*U154*24*_xlfn.XLOOKUP(1,(D154&lt;=Table7[End])*(E154=Table7[근무처])*(F154=Table7[업무]),Table7[휴일인센티브],0,0),0))</f>
        <v>0</v>
      </c>
      <c r="AJ154" s="94" cm="1">
        <f t="array" ref="AJ154">ROUND(AC154*IF(U154&gt;=8/24,U154-8/24,0)*24*_xlfn.XLOOKUP(1,(D154&lt;=Table7[End])*(E154=Table7[근무처])*(F154=Table7[업무]),Table7[야간인센티브],0,0),0)</f>
        <v>0</v>
      </c>
      <c r="AK154" s="94" cm="1">
        <f t="array" ref="AK154">IF(V154=0,0,ROUND(AC154*V154*24*_xlfn.XLOOKUP(1,(D154&lt;=Table7[End])*(E154=Table7[근무처])*(F154=Table7[업무]),Table7[야간인센티브],0,0),0))</f>
        <v>0</v>
      </c>
      <c r="AL154" s="95"/>
      <c r="AM154" s="94">
        <f t="shared" si="34"/>
        <v>102528</v>
      </c>
      <c r="AN154" s="94" cm="1">
        <f t="array" ref="AN154">IF(AM154&gt;=_xlfn.XLOOKUP(TRUE,D154&lt;=Table5[End],Table5[비과세소득기준],0,0),AM154-_xlfn.XLOOKUP(TRUE,D154&lt;=Table5[End],Table5[비과세소득기준],0,0),0)</f>
        <v>0</v>
      </c>
      <c r="AO154" s="94" cm="1">
        <f t="array" ref="AO154">ROUNDDOWN(_xlfn.LET(_xlpm.setvalue,_xlfn.XLOOKUP(TRUE,D154&lt;=Table5[End],Table5[[요율]:[근로소득세액공제]],0,0),_xlpm.tax,AN154*PRODUCT((_xlpm.setvalue-{0,1})*{1,-1}),_xlpm.threshold,_xlfn.XLOOKUP(TRUE,D154&lt;=Table5[End],Table5[소액부징수기준],0,0),IF(_xlpm.tax&gt;=_xlpm.threshold,_xlpm.tax,0)),-1)</f>
        <v>0</v>
      </c>
      <c r="AP154" s="94">
        <f>ROUNDDOWN(Table2[[#This Row],[소득세]]*10%,-1)</f>
        <v>0</v>
      </c>
      <c r="AQ154" s="94">
        <f>IF(AB154="v",AM154+IF(Y154=8,SUMIFS(Table2[지급총액],Table2[주민등록번호],O154,Table2[월],R154,Table2[월간
근무일],"&lt;="&amp;8)-AM154,0),0)+_xlfn.NUMBERVALUE(AR154)</f>
        <v>102528</v>
      </c>
      <c r="AR154" s="95"/>
      <c r="AS154" s="94" cm="1">
        <f t="array" ref="AS154">ROUNDDOWN($AQ154*_xlfn.XLOOKUP(1,(AS$5=Table8[Type])*($D154&lt;=Table8[End]),Table8[요율],0,0),0)</f>
        <v>3634</v>
      </c>
      <c r="AT154" s="94" cm="1">
        <f t="array" ref="AT154">ROUNDDOWN(AS154*_xlfn.XLOOKUP(1,(AT$5=Table8[Type])*($D154&lt;=Table8[End]),Table8[요율],0,0),-1)</f>
        <v>470</v>
      </c>
      <c r="AU154" s="94" cm="1">
        <f t="array" ref="AU154">ROUNDDOWN($AQ154*_xlfn.XLOOKUP(1,(AU$5=Table8[Type])*($D154&lt;=Table8[End]),Table8[요율],0,0),-1)</f>
        <v>4610</v>
      </c>
      <c r="AV154" s="94" cm="1">
        <f t="array" ref="AV154">ROUNDDOWN(AM154*_xlfn.XLOOKUP(1,(AV$5=Table8[Type])*($D154&lt;=Table8[End]),Table8[요율],0,0),-1)</f>
        <v>0</v>
      </c>
      <c r="AW154" s="94" cm="1">
        <f t="array" ref="AW154">_xlfn.XLOOKUP(1,(O154=Table2[주민등록번호])*(D154&gt;Table2[근무일자]),Table2[청구 Claim 
이월],0,0,-1)</f>
        <v>0</v>
      </c>
      <c r="AX154" s="95"/>
      <c r="AY154" s="94" cm="1">
        <f t="array" ref="AY154">MAX(SUM(AO154:AP154,AS154:AX154)-_xlfn.XLOOKUP(1,(D154&lt;=Table7[End])*(E154=Table7[근무처])*(F154=Table7[업무]),Table7[1일 공제 상한],0,0),0)</f>
        <v>0</v>
      </c>
      <c r="AZ154" s="94">
        <f t="shared" si="35"/>
        <v>8714</v>
      </c>
      <c r="BA154" s="94">
        <f t="shared" si="36"/>
        <v>93814</v>
      </c>
      <c r="BB154" s="97">
        <f t="shared" si="37"/>
        <v>0</v>
      </c>
      <c r="BC154" s="98"/>
      <c r="BD154" s="94">
        <f t="shared" si="38"/>
        <v>3634</v>
      </c>
      <c r="BE154" s="94">
        <f t="shared" si="39"/>
        <v>470</v>
      </c>
      <c r="BF154" s="94">
        <f t="shared" si="40"/>
        <v>4610</v>
      </c>
      <c r="BG154" s="94">
        <f t="shared" si="41"/>
        <v>0</v>
      </c>
      <c r="BH154" s="94" cm="1">
        <f t="array" ref="BH154">ROUNDDOWN(AM154*_xlfn.XLOOKUP(1,(BH$5=Table8[Type])*($D154&lt;=Table8[End]),Table8[요율],0,0),-1)</f>
        <v>820</v>
      </c>
      <c r="BI154" s="93" t="str" cm="1">
        <f t="array" ref="BI154">_xlfn.XLOOKUP(1,(D154&lt;=Table7[End])*(E154=Table7[근무처])*(F154=Table7[업무]),Table7[지급옵션],0,0)</f>
        <v>차주 화</v>
      </c>
      <c r="BJ154" s="83">
        <f>IF(BK154&lt;&gt;"",BK154,IFERROR(D154+_xlfn.NUMBERVALUE(RIGHT(BI154,1)),D154-WEEKDAY(D154)+CHOOSE(MATCH(RIGHT(BI154),{"일","월","화","수","목","금","토"},0),8,9,10,11,12,13,14)))</f>
        <v>45769</v>
      </c>
      <c r="BK154" s="99"/>
    </row>
    <row r="155" spans="2:63" x14ac:dyDescent="0.35">
      <c r="B155" s="20" t="str" cm="1">
        <f t="array" ref="B155">_xlfn.IFS(BB155&lt;&gt;BC155,"Claim확인",N155&lt;&gt;"OK","확인필요",TRUE,"")</f>
        <v/>
      </c>
      <c r="C155" s="21" t="str">
        <f t="shared" si="28"/>
        <v>010-5X8X-X4X0920X02XX253123</v>
      </c>
      <c r="D155" s="26">
        <v>45765</v>
      </c>
      <c r="E155" s="91" t="s">
        <v>255</v>
      </c>
      <c r="F155" s="25" t="s">
        <v>257</v>
      </c>
      <c r="G155" s="27" t="s">
        <v>288</v>
      </c>
      <c r="H155" s="25" t="s">
        <v>303</v>
      </c>
      <c r="I155" s="25"/>
      <c r="J155" s="25" t="s">
        <v>304</v>
      </c>
      <c r="K155" s="28">
        <v>0.45833333333333331</v>
      </c>
      <c r="L155" s="28">
        <v>0.83333333333333337</v>
      </c>
      <c r="M155" s="28">
        <v>4.1666666666666664E-2</v>
      </c>
      <c r="N155" s="25" t="s">
        <v>281</v>
      </c>
      <c r="O155" s="29" t="str">
        <f>_xlfn.XLOOKUP(Table2[[#This Row],[Key]],Table1[Key],Table1[주민등록번호],"",0)</f>
        <v>941XX31XX3X14</v>
      </c>
      <c r="P155" s="29">
        <f>_xlfn.XLOOKUP(Table2[[#This Row],[Key]],Table1[Key],Table1[비자],"",0)</f>
        <v>0</v>
      </c>
      <c r="Q155" s="29">
        <f>IF(P155=0,0,_xlfn.XLOOKUP(Table2[[#This Row],[Key]],Table1[Key],Table1[고용보험 여부],0,0))</f>
        <v>0</v>
      </c>
      <c r="R155" s="29" t="str">
        <f t="shared" si="29"/>
        <v>2504</v>
      </c>
      <c r="S155" s="30" t="str">
        <f>YEAR(Table2[[#This Row],[근무일자]])&amp;TEXT(WEEKNUM(Table2[[#This Row],[근무일자]]),"00")</f>
        <v>202516</v>
      </c>
      <c r="T155" s="31">
        <f>_xlfn.XLOOKUP(Table2[[#This Row],[Key]],Table1[Key],Table1[등록일],"",0)</f>
        <v>45846</v>
      </c>
      <c r="U155" s="32">
        <f t="shared" si="30"/>
        <v>0.33333333333333337</v>
      </c>
      <c r="V155" s="92">
        <f t="shared" si="31"/>
        <v>0</v>
      </c>
      <c r="W155" s="100" t="str">
        <f>_xlfn.XLOOKUP(Table2[[#This Row],[근무일자]],Table3[Date],Table3[Holiday],"",0)</f>
        <v/>
      </c>
      <c r="X155" s="93">
        <f>IF(D155&lt;&gt;"",1,0)+IF(COUNTIFS(Table2[주민등록번호],O155,Table2[월],TEXT(EOMONTH(D155,-1),"YYMM"))&gt;0,1+IF(COUNTIFS(Table2[주민등록번호],O155,Table2[월],TEXT(EOMONTH(D155,-2),"YYMM"))&gt;0,1+IF(COUNTIFS(Table2[주민등록번호],O155,Table2[월],TEXT(EOMONTH(D155,-3),"YYMM"))&gt;0,1,0),0),0)</f>
        <v>3</v>
      </c>
      <c r="Y155" s="29">
        <f>COUNTIFS(Table2[주민등록번호],O155,Table2[월],R155,Table2[근무일자],"&lt;="&amp;D155)</f>
        <v>8</v>
      </c>
      <c r="Z155" s="29">
        <f>COUNTIFS(Table2[주민등록번호],O155,Table2[주간],S155,Table2[근무일자],"&lt;="&amp;D155)</f>
        <v>1</v>
      </c>
      <c r="AA155" s="29">
        <f>SUMIFS(Table2[근로
시간],Table2[주민등록번호],O155,Table2[주간],S155,Table2[근무일자],"&lt;="&amp;D155)*24</f>
        <v>8</v>
      </c>
      <c r="AB155" s="29" t="str">
        <f>IF(AND(Y155&gt;=8,COUNTIFS(Table2[주민등록번호],O155,Table2[근무일자],"&gt;="&amp;EOMONTH(D155,-2)+1,Table2[근무일자],"&lt;="&amp;EOMONTH(D155,-1)+1)&gt;0),"V","")</f>
        <v>V</v>
      </c>
      <c r="AC155" s="94" cm="1">
        <f t="array" ref="AC155">IF(AD155&lt;&gt;"",AD155,_xlfn.XLOOKUP(1,(D155&lt;=Table7[End])*(E155=Table7[근무처])*(F155=Table7[업무]),Table7[시급],0,0))</f>
        <v>10030</v>
      </c>
      <c r="AD155" s="95"/>
      <c r="AE155" s="94">
        <f t="shared" si="32"/>
        <v>80240</v>
      </c>
      <c r="AF155" s="96" cm="1">
        <f t="array" ref="AF155">IF(AND(AA155&gt;=15,(AA155-U155*24)&lt;=40),IF(Z155&gt;=_xlfn.XLOOKUP(1,(D155&lt;=Table7[End])*(E155=Table7[근무처])*(F155=Table7[업무]),Table7[주휴적용일],0,0),1,0)+_xlfn.XLOOKUP(1,(Table2[주간]=Table2[[#This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55" s="96" cm="1">
        <f t="array" ref="AG155">MAX((_xlfn.IFS(AF155=0,0,AF155=1,AA155,AF155&gt;1,U155*24)-IF(AA155&gt;40,AA155-40,0))/5,0)</f>
        <v>0</v>
      </c>
      <c r="AH155" s="94">
        <f t="shared" si="33"/>
        <v>0</v>
      </c>
      <c r="AI155" s="33" cm="1">
        <f t="array" ref="AI155">IF(W155="",0,ROUND(AC155*U155*24*_xlfn.XLOOKUP(1,(D155&lt;=Table7[End])*(E155=Table7[근무처])*(F155=Table7[업무]),Table7[휴일인센티브],0,0),0))</f>
        <v>0</v>
      </c>
      <c r="AJ155" s="94" cm="1">
        <f t="array" ref="AJ155">ROUND(AC155*IF(U155&gt;=8/24,U155-8/24,0)*24*_xlfn.XLOOKUP(1,(D155&lt;=Table7[End])*(E155=Table7[근무처])*(F155=Table7[업무]),Table7[야간인센티브],0,0),0)</f>
        <v>0</v>
      </c>
      <c r="AK155" s="94" cm="1">
        <f t="array" ref="AK155">IF(V155=0,0,ROUND(AC155*V155*24*_xlfn.XLOOKUP(1,(D155&lt;=Table7[End])*(E155=Table7[근무처])*(F155=Table7[업무]),Table7[야간인센티브],0,0),0))</f>
        <v>0</v>
      </c>
      <c r="AL155" s="95"/>
      <c r="AM155" s="94">
        <f t="shared" si="34"/>
        <v>80240</v>
      </c>
      <c r="AN155" s="94" cm="1">
        <f t="array" ref="AN155">IF(AM155&gt;=_xlfn.XLOOKUP(TRUE,D155&lt;=Table5[End],Table5[비과세소득기준],0,0),AM155-_xlfn.XLOOKUP(TRUE,D155&lt;=Table5[End],Table5[비과세소득기준],0,0),0)</f>
        <v>0</v>
      </c>
      <c r="AO155" s="94" cm="1">
        <f t="array" ref="AO155">ROUNDDOWN(_xlfn.LET(_xlpm.setvalue,_xlfn.XLOOKUP(TRUE,D155&lt;=Table5[End],Table5[[요율]:[근로소득세액공제]],0,0),_xlpm.tax,AN155*PRODUCT((_xlpm.setvalue-{0,1})*{1,-1}),_xlpm.threshold,_xlfn.XLOOKUP(TRUE,D155&lt;=Table5[End],Table5[소액부징수기준],0,0),IF(_xlpm.tax&gt;=_xlpm.threshold,_xlpm.tax,0)),-1)</f>
        <v>0</v>
      </c>
      <c r="AP155" s="94">
        <f>ROUNDDOWN(Table2[[#This Row],[소득세]]*10%,-1)</f>
        <v>0</v>
      </c>
      <c r="AQ155" s="94">
        <f>IF(AB155="v",AM155+IF(Y155=8,SUMIFS(Table2[지급총액],Table2[주민등록번호],O155,Table2[월],R155,Table2[월간
근무일],"&lt;="&amp;8)-AM155,0),0)+_xlfn.NUMBERVALUE(AR155)</f>
        <v>754256</v>
      </c>
      <c r="AR155" s="95"/>
      <c r="AS155" s="94" cm="1">
        <f t="array" ref="AS155">ROUNDDOWN($AQ155*_xlfn.XLOOKUP(1,(AS$5=Table8[Type])*($D155&lt;=Table8[End]),Table8[요율],0,0),0)</f>
        <v>26738</v>
      </c>
      <c r="AT155" s="94" cm="1">
        <f t="array" ref="AT155">ROUNDDOWN(AS155*_xlfn.XLOOKUP(1,(AT$5=Table8[Type])*($D155&lt;=Table8[End]),Table8[요율],0,0),-1)</f>
        <v>3460</v>
      </c>
      <c r="AU155" s="94" cm="1">
        <f t="array" ref="AU155">ROUNDDOWN($AQ155*_xlfn.XLOOKUP(1,(AU$5=Table8[Type])*($D155&lt;=Table8[End]),Table8[요율],0,0),-1)</f>
        <v>33940</v>
      </c>
      <c r="AV155" s="94" cm="1">
        <f t="array" ref="AV155">ROUNDDOWN(AM155*_xlfn.XLOOKUP(1,(AV$5=Table8[Type])*($D155&lt;=Table8[End]),Table8[요율],0,0),-1)</f>
        <v>0</v>
      </c>
      <c r="AW155" s="94" cm="1">
        <f t="array" ref="AW155">_xlfn.XLOOKUP(1,(O155=Table2[주민등록번호])*(D155&gt;Table2[근무일자]),Table2[청구 Claim 
이월],0,0,-1)</f>
        <v>0</v>
      </c>
      <c r="AX155" s="95"/>
      <c r="AY155" s="94" cm="1">
        <f t="array" ref="AY155">MAX(SUM(AO155:AP155,AS155:AX155)-_xlfn.XLOOKUP(1,(D155&lt;=Table7[End])*(E155=Table7[근무처])*(F155=Table7[업무]),Table7[1일 공제 상한],0,0),0)</f>
        <v>0</v>
      </c>
      <c r="AZ155" s="94">
        <f t="shared" si="35"/>
        <v>64138</v>
      </c>
      <c r="BA155" s="94">
        <f t="shared" si="36"/>
        <v>16102</v>
      </c>
      <c r="BB155" s="97">
        <f t="shared" si="37"/>
        <v>0</v>
      </c>
      <c r="BC155" s="98"/>
      <c r="BD155" s="94">
        <f t="shared" si="38"/>
        <v>26738</v>
      </c>
      <c r="BE155" s="94">
        <f t="shared" si="39"/>
        <v>3460</v>
      </c>
      <c r="BF155" s="94">
        <f t="shared" si="40"/>
        <v>33940</v>
      </c>
      <c r="BG155" s="94">
        <f t="shared" si="41"/>
        <v>0</v>
      </c>
      <c r="BH155" s="94" cm="1">
        <f t="array" ref="BH155">ROUNDDOWN(AM155*_xlfn.XLOOKUP(1,(BH$5=Table8[Type])*($D155&lt;=Table8[End]),Table8[요율],0,0),-1)</f>
        <v>640</v>
      </c>
      <c r="BI155" s="93" t="str" cm="1">
        <f t="array" ref="BI155">_xlfn.XLOOKUP(1,(D155&lt;=Table7[End])*(E155=Table7[근무처])*(F155=Table7[업무]),Table7[지급옵션],0,0)</f>
        <v>차주 화</v>
      </c>
      <c r="BJ155" s="83">
        <f>IF(BK155&lt;&gt;"",BK155,IFERROR(D155+_xlfn.NUMBERVALUE(RIGHT(BI155,1)),D155-WEEKDAY(D155)+CHOOSE(MATCH(RIGHT(BI155),{"일","월","화","수","목","금","토"},0),8,9,10,11,12,13,14)))</f>
        <v>45769</v>
      </c>
      <c r="BK155" s="99"/>
    </row>
    <row r="156" spans="2:63" x14ac:dyDescent="0.35">
      <c r="B156" s="20" t="str" cm="1">
        <f t="array" ref="B156">_xlfn.IFS(BB156&lt;&gt;BC156,"Claim확인",N156&lt;&gt;"OK","확인필요",TRUE,"")</f>
        <v/>
      </c>
      <c r="C156" s="21" t="str">
        <f t="shared" si="28"/>
        <v>010-7X6X-X9X5110X98XX7530</v>
      </c>
      <c r="D156" s="26">
        <v>45766</v>
      </c>
      <c r="E156" s="91" t="s">
        <v>255</v>
      </c>
      <c r="F156" s="25" t="s">
        <v>258</v>
      </c>
      <c r="G156" s="27" t="s">
        <v>282</v>
      </c>
      <c r="H156" s="25" t="s">
        <v>289</v>
      </c>
      <c r="I156" s="25"/>
      <c r="J156" s="25" t="s">
        <v>290</v>
      </c>
      <c r="K156" s="28">
        <v>0.3125</v>
      </c>
      <c r="L156" s="28">
        <v>0.6875</v>
      </c>
      <c r="M156" s="28">
        <v>4.1666666666666664E-2</v>
      </c>
      <c r="N156" s="25" t="s">
        <v>281</v>
      </c>
      <c r="O156" s="29" t="str">
        <f>_xlfn.XLOOKUP(Table2[[#This Row],[Key]],Table1[Key],Table1[주민등록번호],"",0)</f>
        <v>990XX62XX3X13</v>
      </c>
      <c r="P156" s="29">
        <f>_xlfn.XLOOKUP(Table2[[#This Row],[Key]],Table1[Key],Table1[비자],"",0)</f>
        <v>0</v>
      </c>
      <c r="Q156" s="29">
        <f>IF(P156=0,0,_xlfn.XLOOKUP(Table2[[#This Row],[Key]],Table1[Key],Table1[고용보험 여부],0,0))</f>
        <v>0</v>
      </c>
      <c r="R156" s="29" t="str">
        <f t="shared" si="29"/>
        <v>2504</v>
      </c>
      <c r="S156" s="30" t="str">
        <f>YEAR(Table2[[#This Row],[근무일자]])&amp;TEXT(WEEKNUM(Table2[[#This Row],[근무일자]]),"00")</f>
        <v>202516</v>
      </c>
      <c r="T156" s="31">
        <f>_xlfn.XLOOKUP(Table2[[#This Row],[Key]],Table1[Key],Table1[등록일],"",0)</f>
        <v>45696</v>
      </c>
      <c r="U156" s="32">
        <f t="shared" si="30"/>
        <v>0.33333333333333331</v>
      </c>
      <c r="V156" s="92">
        <f t="shared" si="31"/>
        <v>0</v>
      </c>
      <c r="W156" s="100" t="str">
        <f>_xlfn.XLOOKUP(Table2[[#This Row],[근무일자]],Table3[Date],Table3[Holiday],"",0)</f>
        <v/>
      </c>
      <c r="X156" s="93">
        <f>IF(D156&lt;&gt;"",1,0)+IF(COUNTIFS(Table2[주민등록번호],O156,Table2[월],TEXT(EOMONTH(D156,-1),"YYMM"))&gt;0,1+IF(COUNTIFS(Table2[주민등록번호],O156,Table2[월],TEXT(EOMONTH(D156,-2),"YYMM"))&gt;0,1+IF(COUNTIFS(Table2[주민등록번호],O156,Table2[월],TEXT(EOMONTH(D156,-3),"YYMM"))&gt;0,1,0),0),0)</f>
        <v>3</v>
      </c>
      <c r="Y156" s="29">
        <f>COUNTIFS(Table2[주민등록번호],O156,Table2[월],R156,Table2[근무일자],"&lt;="&amp;D156)</f>
        <v>4</v>
      </c>
      <c r="Z156" s="29">
        <f>COUNTIFS(Table2[주민등록번호],O156,Table2[주간],S156,Table2[근무일자],"&lt;="&amp;D156)</f>
        <v>2</v>
      </c>
      <c r="AA156" s="29">
        <f>SUMIFS(Table2[근로
시간],Table2[주민등록번호],O156,Table2[주간],S156,Table2[근무일자],"&lt;="&amp;D156)*24</f>
        <v>16</v>
      </c>
      <c r="AB156" s="29" t="str">
        <f>IF(AND(Y156&gt;=8,COUNTIFS(Table2[주민등록번호],O156,Table2[근무일자],"&gt;="&amp;EOMONTH(D156,-2)+1,Table2[근무일자],"&lt;="&amp;EOMONTH(D156,-1)+1)&gt;0),"V","")</f>
        <v/>
      </c>
      <c r="AC156" s="94" cm="1">
        <f t="array" ref="AC156">IF(AD156&lt;&gt;"",AD156,_xlfn.XLOOKUP(1,(D156&lt;=Table7[End])*(E156=Table7[근무처])*(F156=Table7[업무]),Table7[시급],0,0))</f>
        <v>10680</v>
      </c>
      <c r="AD156" s="95"/>
      <c r="AE156" s="94">
        <f t="shared" si="32"/>
        <v>85440</v>
      </c>
      <c r="AF156" s="96" cm="1">
        <f t="array" ref="AF156">IF(AND(AA156&gt;=15,(AA156-U156*24)&lt;=40),IF(Z156&gt;=_xlfn.XLOOKUP(1,(D156&lt;=Table7[End])*(E156=Table7[근무처])*(F156=Table7[업무]),Table7[주휴적용일],0,0),1,0)+_xlfn.XLOOKUP(1,(Table2[주간]=Table2[[#This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56" s="96" cm="1">
        <f t="array" ref="AG156">MAX((_xlfn.IFS(AF156=0,0,AF156=1,AA156,AF156&gt;1,U156*24)-IF(AA156&gt;40,AA156-40,0))/5,0)</f>
        <v>3.2</v>
      </c>
      <c r="AH156" s="94">
        <f t="shared" si="33"/>
        <v>34176</v>
      </c>
      <c r="AI156" s="33" cm="1">
        <f t="array" ref="AI156">IF(W156="",0,ROUND(AC156*U156*24*_xlfn.XLOOKUP(1,(D156&lt;=Table7[End])*(E156=Table7[근무처])*(F156=Table7[업무]),Table7[휴일인센티브],0,0),0))</f>
        <v>0</v>
      </c>
      <c r="AJ156" s="94" cm="1">
        <f t="array" ref="AJ156">ROUND(AC156*IF(U156&gt;=8/24,U156-8/24,0)*24*_xlfn.XLOOKUP(1,(D156&lt;=Table7[End])*(E156=Table7[근무처])*(F156=Table7[업무]),Table7[야간인센티브],0,0),0)</f>
        <v>0</v>
      </c>
      <c r="AK156" s="94" cm="1">
        <f t="array" ref="AK156">IF(V156=0,0,ROUND(AC156*V156*24*_xlfn.XLOOKUP(1,(D156&lt;=Table7[End])*(E156=Table7[근무처])*(F156=Table7[업무]),Table7[야간인센티브],0,0),0))</f>
        <v>0</v>
      </c>
      <c r="AL156" s="95"/>
      <c r="AM156" s="94">
        <f t="shared" si="34"/>
        <v>119616</v>
      </c>
      <c r="AN156" s="94" cm="1">
        <f t="array" ref="AN156">IF(AM156&gt;=_xlfn.XLOOKUP(TRUE,D156&lt;=Table5[End],Table5[비과세소득기준],0,0),AM156-_xlfn.XLOOKUP(TRUE,D156&lt;=Table5[End],Table5[비과세소득기준],0,0),0)</f>
        <v>0</v>
      </c>
      <c r="AO156" s="94" cm="1">
        <f t="array" ref="AO156">ROUNDDOWN(_xlfn.LET(_xlpm.setvalue,_xlfn.XLOOKUP(TRUE,D156&lt;=Table5[End],Table5[[요율]:[근로소득세액공제]],0,0),_xlpm.tax,AN156*PRODUCT((_xlpm.setvalue-{0,1})*{1,-1}),_xlpm.threshold,_xlfn.XLOOKUP(TRUE,D156&lt;=Table5[End],Table5[소액부징수기준],0,0),IF(_xlpm.tax&gt;=_xlpm.threshold,_xlpm.tax,0)),-1)</f>
        <v>0</v>
      </c>
      <c r="AP156" s="94">
        <f>ROUNDDOWN(Table2[[#This Row],[소득세]]*10%,-1)</f>
        <v>0</v>
      </c>
      <c r="AQ156" s="94">
        <f>IF(AB156="v",AM156+IF(Y156=8,SUMIFS(Table2[지급총액],Table2[주민등록번호],O156,Table2[월],R156,Table2[월간
근무일],"&lt;="&amp;8)-AM156,0),0)+_xlfn.NUMBERVALUE(AR156)</f>
        <v>0</v>
      </c>
      <c r="AR156" s="95"/>
      <c r="AS156" s="94" cm="1">
        <f t="array" ref="AS156">ROUNDDOWN($AQ156*_xlfn.XLOOKUP(1,(AS$5=Table8[Type])*($D156&lt;=Table8[End]),Table8[요율],0,0),0)</f>
        <v>0</v>
      </c>
      <c r="AT156" s="94" cm="1">
        <f t="array" ref="AT156">ROUNDDOWN(AS156*_xlfn.XLOOKUP(1,(AT$5=Table8[Type])*($D156&lt;=Table8[End]),Table8[요율],0,0),-1)</f>
        <v>0</v>
      </c>
      <c r="AU156" s="94" cm="1">
        <f t="array" ref="AU156">ROUNDDOWN($AQ156*_xlfn.XLOOKUP(1,(AU$5=Table8[Type])*($D156&lt;=Table8[End]),Table8[요율],0,0),-1)</f>
        <v>0</v>
      </c>
      <c r="AV156" s="94" cm="1">
        <f t="array" ref="AV156">ROUNDDOWN(AM156*_xlfn.XLOOKUP(1,(AV$5=Table8[Type])*($D156&lt;=Table8[End]),Table8[요율],0,0),-1)</f>
        <v>0</v>
      </c>
      <c r="AW156" s="94" cm="1">
        <f t="array" ref="AW156">_xlfn.XLOOKUP(1,(O156=Table2[주민등록번호])*(D156&gt;Table2[근무일자]),Table2[청구 Claim 
이월],0,0,-1)</f>
        <v>0</v>
      </c>
      <c r="AX156" s="95"/>
      <c r="AY156" s="94" cm="1">
        <f t="array" ref="AY156">MAX(SUM(AO156:AP156,AS156:AX156)-_xlfn.XLOOKUP(1,(D156&lt;=Table7[End])*(E156=Table7[근무처])*(F156=Table7[업무]),Table7[1일 공제 상한],0,0),0)</f>
        <v>0</v>
      </c>
      <c r="AZ156" s="94">
        <f t="shared" si="35"/>
        <v>0</v>
      </c>
      <c r="BA156" s="94">
        <f t="shared" si="36"/>
        <v>119616</v>
      </c>
      <c r="BB156" s="97">
        <f t="shared" si="37"/>
        <v>0</v>
      </c>
      <c r="BC156" s="98"/>
      <c r="BD156" s="94">
        <f t="shared" si="38"/>
        <v>0</v>
      </c>
      <c r="BE156" s="94">
        <f t="shared" si="39"/>
        <v>0</v>
      </c>
      <c r="BF156" s="94">
        <f t="shared" si="40"/>
        <v>0</v>
      </c>
      <c r="BG156" s="94">
        <f t="shared" si="41"/>
        <v>0</v>
      </c>
      <c r="BH156" s="94" cm="1">
        <f t="array" ref="BH156">ROUNDDOWN(AM156*_xlfn.XLOOKUP(1,(BH$5=Table8[Type])*($D156&lt;=Table8[End]),Table8[요율],0,0),-1)</f>
        <v>950</v>
      </c>
      <c r="BI156" s="93" t="str" cm="1">
        <f t="array" ref="BI156">_xlfn.XLOOKUP(1,(D156&lt;=Table7[End])*(E156=Table7[근무처])*(F156=Table7[업무]),Table7[지급옵션],0,0)</f>
        <v>차주 화</v>
      </c>
      <c r="BJ156" s="83">
        <f>IF(BK156&lt;&gt;"",BK156,IFERROR(D156+_xlfn.NUMBERVALUE(RIGHT(BI156,1)),D156-WEEKDAY(D156)+CHOOSE(MATCH(RIGHT(BI156),{"일","월","화","수","목","금","토"},0),8,9,10,11,12,13,14)))</f>
        <v>45769</v>
      </c>
      <c r="BK156" s="99"/>
    </row>
    <row r="157" spans="2:63" x14ac:dyDescent="0.35">
      <c r="B157" s="20" t="str" cm="1">
        <f t="array" ref="B157">_xlfn.IFS(BB157&lt;&gt;BC157,"Claim확인",N157&lt;&gt;"OK","확인필요",TRUE,"")</f>
        <v/>
      </c>
      <c r="C157" s="21" t="str">
        <f t="shared" si="28"/>
        <v>010-8X0X-X0X9982X03XX901018</v>
      </c>
      <c r="D157" s="26">
        <v>45766</v>
      </c>
      <c r="E157" s="91" t="s">
        <v>255</v>
      </c>
      <c r="F157" s="25" t="s">
        <v>258</v>
      </c>
      <c r="G157" s="27" t="s">
        <v>283</v>
      </c>
      <c r="H157" s="25" t="s">
        <v>291</v>
      </c>
      <c r="I157" s="25"/>
      <c r="J157" s="25" t="s">
        <v>292</v>
      </c>
      <c r="K157" s="28">
        <v>0.3125</v>
      </c>
      <c r="L157" s="28">
        <v>0.6875</v>
      </c>
      <c r="M157" s="28">
        <v>4.1666666666666664E-2</v>
      </c>
      <c r="N157" s="25" t="s">
        <v>281</v>
      </c>
      <c r="O157" s="29" t="str">
        <f>_xlfn.XLOOKUP(Table2[[#This Row],[Key]],Table1[Key],Table1[주민등록번호],"",0)</f>
        <v>960XX51XX9X15</v>
      </c>
      <c r="P157" s="29">
        <f>_xlfn.XLOOKUP(Table2[[#This Row],[Key]],Table1[Key],Table1[비자],"",0)</f>
        <v>0</v>
      </c>
      <c r="Q157" s="29">
        <f>IF(P157=0,0,_xlfn.XLOOKUP(Table2[[#This Row],[Key]],Table1[Key],Table1[고용보험 여부],0,0))</f>
        <v>0</v>
      </c>
      <c r="R157" s="29" t="str">
        <f t="shared" si="29"/>
        <v>2504</v>
      </c>
      <c r="S157" s="30" t="str">
        <f>YEAR(Table2[[#This Row],[근무일자]])&amp;TEXT(WEEKNUM(Table2[[#This Row],[근무일자]]),"00")</f>
        <v>202516</v>
      </c>
      <c r="T157" s="31">
        <f>_xlfn.XLOOKUP(Table2[[#This Row],[Key]],Table1[Key],Table1[등록일],"",0)</f>
        <v>45698</v>
      </c>
      <c r="U157" s="32">
        <f t="shared" si="30"/>
        <v>0.33333333333333331</v>
      </c>
      <c r="V157" s="92">
        <f t="shared" si="31"/>
        <v>0</v>
      </c>
      <c r="W157" s="100" t="str">
        <f>_xlfn.XLOOKUP(Table2[[#This Row],[근무일자]],Table3[Date],Table3[Holiday],"",0)</f>
        <v/>
      </c>
      <c r="X157" s="93">
        <f>IF(D157&lt;&gt;"",1,0)+IF(COUNTIFS(Table2[주민등록번호],O157,Table2[월],TEXT(EOMONTH(D157,-1),"YYMM"))&gt;0,1+IF(COUNTIFS(Table2[주민등록번호],O157,Table2[월],TEXT(EOMONTH(D157,-2),"YYMM"))&gt;0,1+IF(COUNTIFS(Table2[주민등록번호],O157,Table2[월],TEXT(EOMONTH(D157,-3),"YYMM"))&gt;0,1,0),0),0)</f>
        <v>3</v>
      </c>
      <c r="Y157" s="29">
        <f>COUNTIFS(Table2[주민등록번호],O157,Table2[월],R157,Table2[근무일자],"&lt;="&amp;D157)</f>
        <v>12</v>
      </c>
      <c r="Z157" s="29">
        <f>COUNTIFS(Table2[주민등록번호],O157,Table2[주간],S157,Table2[근무일자],"&lt;="&amp;D157)</f>
        <v>5</v>
      </c>
      <c r="AA157" s="29">
        <f>SUMIFS(Table2[근로
시간],Table2[주민등록번호],O157,Table2[주간],S157,Table2[근무일자],"&lt;="&amp;D157)*24</f>
        <v>40</v>
      </c>
      <c r="AB157" s="29" t="str">
        <f>IF(AND(Y157&gt;=8,COUNTIFS(Table2[주민등록번호],O157,Table2[근무일자],"&gt;="&amp;EOMONTH(D157,-2)+1,Table2[근무일자],"&lt;="&amp;EOMONTH(D157,-1)+1)&gt;0),"V","")</f>
        <v>V</v>
      </c>
      <c r="AC157" s="94" cm="1">
        <f t="array" ref="AC157">IF(AD157&lt;&gt;"",AD157,_xlfn.XLOOKUP(1,(D157&lt;=Table7[End])*(E157=Table7[근무처])*(F157=Table7[업무]),Table7[시급],0,0))</f>
        <v>10680</v>
      </c>
      <c r="AD157" s="95"/>
      <c r="AE157" s="94">
        <f t="shared" si="32"/>
        <v>85440</v>
      </c>
      <c r="AF157" s="96" cm="1">
        <f t="array" ref="AF157">IF(AND(AA157&gt;=15,(AA157-U157*24)&lt;=40),IF(Z157&gt;=_xlfn.XLOOKUP(1,(D157&lt;=Table7[End])*(E157=Table7[근무처])*(F157=Table7[업무]),Table7[주휴적용일],0,0),1,0)+_xlfn.XLOOKUP(1,(Table2[주간]=Table2[[#This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157" s="96" cm="1">
        <f t="array" ref="AG157">MAX((_xlfn.IFS(AF157=0,0,AF157=1,AA157,AF157&gt;1,U157*24)-IF(AA157&gt;40,AA157-40,0))/5,0)</f>
        <v>1.6</v>
      </c>
      <c r="AH157" s="94">
        <f t="shared" si="33"/>
        <v>17088</v>
      </c>
      <c r="AI157" s="33" cm="1">
        <f t="array" ref="AI157">IF(W157="",0,ROUND(AC157*U157*24*_xlfn.XLOOKUP(1,(D157&lt;=Table7[End])*(E157=Table7[근무처])*(F157=Table7[업무]),Table7[휴일인센티브],0,0),0))</f>
        <v>0</v>
      </c>
      <c r="AJ157" s="94" cm="1">
        <f t="array" ref="AJ157">ROUND(AC157*IF(U157&gt;=8/24,U157-8/24,0)*24*_xlfn.XLOOKUP(1,(D157&lt;=Table7[End])*(E157=Table7[근무처])*(F157=Table7[업무]),Table7[야간인센티브],0,0),0)</f>
        <v>0</v>
      </c>
      <c r="AK157" s="94" cm="1">
        <f t="array" ref="AK157">IF(V157=0,0,ROUND(AC157*V157*24*_xlfn.XLOOKUP(1,(D157&lt;=Table7[End])*(E157=Table7[근무처])*(F157=Table7[업무]),Table7[야간인센티브],0,0),0))</f>
        <v>0</v>
      </c>
      <c r="AL157" s="95"/>
      <c r="AM157" s="94">
        <f t="shared" si="34"/>
        <v>102528</v>
      </c>
      <c r="AN157" s="94" cm="1">
        <f t="array" ref="AN157">IF(AM157&gt;=_xlfn.XLOOKUP(TRUE,D157&lt;=Table5[End],Table5[비과세소득기준],0,0),AM157-_xlfn.XLOOKUP(TRUE,D157&lt;=Table5[End],Table5[비과세소득기준],0,0),0)</f>
        <v>0</v>
      </c>
      <c r="AO157" s="94" cm="1">
        <f t="array" ref="AO157">ROUNDDOWN(_xlfn.LET(_xlpm.setvalue,_xlfn.XLOOKUP(TRUE,D157&lt;=Table5[End],Table5[[요율]:[근로소득세액공제]],0,0),_xlpm.tax,AN157*PRODUCT((_xlpm.setvalue-{0,1})*{1,-1}),_xlpm.threshold,_xlfn.XLOOKUP(TRUE,D157&lt;=Table5[End],Table5[소액부징수기준],0,0),IF(_xlpm.tax&gt;=_xlpm.threshold,_xlpm.tax,0)),-1)</f>
        <v>0</v>
      </c>
      <c r="AP157" s="94">
        <f>ROUNDDOWN(Table2[[#This Row],[소득세]]*10%,-1)</f>
        <v>0</v>
      </c>
      <c r="AQ157" s="94">
        <f>IF(AB157="v",AM157+IF(Y157=8,SUMIFS(Table2[지급총액],Table2[주민등록번호],O157,Table2[월],R157,Table2[월간
근무일],"&lt;="&amp;8)-AM157,0),0)+_xlfn.NUMBERVALUE(AR157)</f>
        <v>102528</v>
      </c>
      <c r="AR157" s="95"/>
      <c r="AS157" s="94" cm="1">
        <f t="array" ref="AS157">ROUNDDOWN($AQ157*_xlfn.XLOOKUP(1,(AS$5=Table8[Type])*($D157&lt;=Table8[End]),Table8[요율],0,0),0)</f>
        <v>3634</v>
      </c>
      <c r="AT157" s="94" cm="1">
        <f t="array" ref="AT157">ROUNDDOWN(AS157*_xlfn.XLOOKUP(1,(AT$5=Table8[Type])*($D157&lt;=Table8[End]),Table8[요율],0,0),-1)</f>
        <v>470</v>
      </c>
      <c r="AU157" s="94" cm="1">
        <f t="array" ref="AU157">ROUNDDOWN($AQ157*_xlfn.XLOOKUP(1,(AU$5=Table8[Type])*($D157&lt;=Table8[End]),Table8[요율],0,0),-1)</f>
        <v>4610</v>
      </c>
      <c r="AV157" s="94" cm="1">
        <f t="array" ref="AV157">ROUNDDOWN(AM157*_xlfn.XLOOKUP(1,(AV$5=Table8[Type])*($D157&lt;=Table8[End]),Table8[요율],0,0),-1)</f>
        <v>0</v>
      </c>
      <c r="AW157" s="94" cm="1">
        <f t="array" ref="AW157">_xlfn.XLOOKUP(1,(O157=Table2[주민등록번호])*(D157&gt;Table2[근무일자]),Table2[청구 Claim 
이월],0,0,-1)</f>
        <v>0</v>
      </c>
      <c r="AX157" s="95"/>
      <c r="AY157" s="94" cm="1">
        <f t="array" ref="AY157">MAX(SUM(AO157:AP157,AS157:AX157)-_xlfn.XLOOKUP(1,(D157&lt;=Table7[End])*(E157=Table7[근무처])*(F157=Table7[업무]),Table7[1일 공제 상한],0,0),0)</f>
        <v>0</v>
      </c>
      <c r="AZ157" s="94">
        <f t="shared" si="35"/>
        <v>8714</v>
      </c>
      <c r="BA157" s="94">
        <f t="shared" si="36"/>
        <v>93814</v>
      </c>
      <c r="BB157" s="97">
        <f t="shared" si="37"/>
        <v>0</v>
      </c>
      <c r="BC157" s="98"/>
      <c r="BD157" s="94">
        <f t="shared" si="38"/>
        <v>3634</v>
      </c>
      <c r="BE157" s="94">
        <f t="shared" si="39"/>
        <v>470</v>
      </c>
      <c r="BF157" s="94">
        <f t="shared" si="40"/>
        <v>4610</v>
      </c>
      <c r="BG157" s="94">
        <f t="shared" si="41"/>
        <v>0</v>
      </c>
      <c r="BH157" s="94" cm="1">
        <f t="array" ref="BH157">ROUNDDOWN(AM157*_xlfn.XLOOKUP(1,(BH$5=Table8[Type])*($D157&lt;=Table8[End]),Table8[요율],0,0),-1)</f>
        <v>820</v>
      </c>
      <c r="BI157" s="93" t="str" cm="1">
        <f t="array" ref="BI157">_xlfn.XLOOKUP(1,(D157&lt;=Table7[End])*(E157=Table7[근무처])*(F157=Table7[업무]),Table7[지급옵션],0,0)</f>
        <v>차주 화</v>
      </c>
      <c r="BJ157" s="83">
        <f>IF(BK157&lt;&gt;"",BK157,IFERROR(D157+_xlfn.NUMBERVALUE(RIGHT(BI157,1)),D157-WEEKDAY(D157)+CHOOSE(MATCH(RIGHT(BI157),{"일","월","화","수","목","금","토"},0),8,9,10,11,12,13,14)))</f>
        <v>45769</v>
      </c>
      <c r="BK157" s="99"/>
    </row>
    <row r="158" spans="2:63" x14ac:dyDescent="0.35">
      <c r="B158" s="20" t="str" cm="1">
        <f t="array" ref="B158">_xlfn.IFS(BB158&lt;&gt;BC158,"Claim확인",N158&lt;&gt;"OK","확인필요",TRUE,"")</f>
        <v/>
      </c>
      <c r="C158" s="21" t="str">
        <f t="shared" si="28"/>
        <v>010-7X6X-X9X5110X98XX7530</v>
      </c>
      <c r="D158" s="26">
        <v>45767</v>
      </c>
      <c r="E158" s="91" t="s">
        <v>255</v>
      </c>
      <c r="F158" s="25" t="s">
        <v>258</v>
      </c>
      <c r="G158" s="27" t="s">
        <v>282</v>
      </c>
      <c r="H158" s="25" t="s">
        <v>289</v>
      </c>
      <c r="I158" s="25"/>
      <c r="J158" s="25" t="s">
        <v>290</v>
      </c>
      <c r="K158" s="28">
        <v>0.3125</v>
      </c>
      <c r="L158" s="28">
        <v>0.6875</v>
      </c>
      <c r="M158" s="28">
        <v>4.1666666666666664E-2</v>
      </c>
      <c r="N158" s="25" t="s">
        <v>281</v>
      </c>
      <c r="O158" s="29" t="str">
        <f>_xlfn.XLOOKUP(Table2[[#This Row],[Key]],Table1[Key],Table1[주민등록번호],"",0)</f>
        <v>990XX62XX3X13</v>
      </c>
      <c r="P158" s="29">
        <f>_xlfn.XLOOKUP(Table2[[#This Row],[Key]],Table1[Key],Table1[비자],"",0)</f>
        <v>0</v>
      </c>
      <c r="Q158" s="29">
        <f>IF(P158=0,0,_xlfn.XLOOKUP(Table2[[#This Row],[Key]],Table1[Key],Table1[고용보험 여부],0,0))</f>
        <v>0</v>
      </c>
      <c r="R158" s="29" t="str">
        <f t="shared" si="29"/>
        <v>2504</v>
      </c>
      <c r="S158" s="30" t="str">
        <f>YEAR(Table2[[#This Row],[근무일자]])&amp;TEXT(WEEKNUM(Table2[[#This Row],[근무일자]]),"00")</f>
        <v>202517</v>
      </c>
      <c r="T158" s="31">
        <f>_xlfn.XLOOKUP(Table2[[#This Row],[Key]],Table1[Key],Table1[등록일],"",0)</f>
        <v>45696</v>
      </c>
      <c r="U158" s="32">
        <f t="shared" si="30"/>
        <v>0.33333333333333331</v>
      </c>
      <c r="V158" s="92">
        <f t="shared" si="31"/>
        <v>0</v>
      </c>
      <c r="W158" s="100" t="str">
        <f>_xlfn.XLOOKUP(Table2[[#This Row],[근무일자]],Table3[Date],Table3[Holiday],"",0)</f>
        <v/>
      </c>
      <c r="X158" s="93">
        <f>IF(D158&lt;&gt;"",1,0)+IF(COUNTIFS(Table2[주민등록번호],O158,Table2[월],TEXT(EOMONTH(D158,-1),"YYMM"))&gt;0,1+IF(COUNTIFS(Table2[주민등록번호],O158,Table2[월],TEXT(EOMONTH(D158,-2),"YYMM"))&gt;0,1+IF(COUNTIFS(Table2[주민등록번호],O158,Table2[월],TEXT(EOMONTH(D158,-3),"YYMM"))&gt;0,1,0),0),0)</f>
        <v>3</v>
      </c>
      <c r="Y158" s="29">
        <f>COUNTIFS(Table2[주민등록번호],O158,Table2[월],R158,Table2[근무일자],"&lt;="&amp;D158)</f>
        <v>5</v>
      </c>
      <c r="Z158" s="29">
        <f>COUNTIFS(Table2[주민등록번호],O158,Table2[주간],S158,Table2[근무일자],"&lt;="&amp;D158)</f>
        <v>1</v>
      </c>
      <c r="AA158" s="29">
        <f>SUMIFS(Table2[근로
시간],Table2[주민등록번호],O158,Table2[주간],S158,Table2[근무일자],"&lt;="&amp;D158)*24</f>
        <v>8</v>
      </c>
      <c r="AB158" s="29" t="str">
        <f>IF(AND(Y158&gt;=8,COUNTIFS(Table2[주민등록번호],O158,Table2[근무일자],"&gt;="&amp;EOMONTH(D158,-2)+1,Table2[근무일자],"&lt;="&amp;EOMONTH(D158,-1)+1)&gt;0),"V","")</f>
        <v/>
      </c>
      <c r="AC158" s="94" cm="1">
        <f t="array" ref="AC158">IF(AD158&lt;&gt;"",AD158,_xlfn.XLOOKUP(1,(D158&lt;=Table7[End])*(E158=Table7[근무처])*(F158=Table7[업무]),Table7[시급],0,0))</f>
        <v>10680</v>
      </c>
      <c r="AD158" s="95"/>
      <c r="AE158" s="94">
        <f t="shared" si="32"/>
        <v>85440</v>
      </c>
      <c r="AF158" s="96" cm="1">
        <f t="array" ref="AF158">IF(AND(AA158&gt;=15,(AA158-U158*24)&lt;=40),IF(Z158&gt;=_xlfn.XLOOKUP(1,(D158&lt;=Table7[End])*(E158=Table7[근무처])*(F158=Table7[업무]),Table7[주휴적용일],0,0),1,0)+_xlfn.XLOOKUP(1,(Table2[주간]=Table2[[#This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58" s="96" cm="1">
        <f t="array" ref="AG158">MAX((_xlfn.IFS(AF158=0,0,AF158=1,AA158,AF158&gt;1,U158*24)-IF(AA158&gt;40,AA158-40,0))/5,0)</f>
        <v>0</v>
      </c>
      <c r="AH158" s="94">
        <f t="shared" si="33"/>
        <v>0</v>
      </c>
      <c r="AI158" s="33" cm="1">
        <f t="array" ref="AI158">IF(W158="",0,ROUND(AC158*U158*24*_xlfn.XLOOKUP(1,(D158&lt;=Table7[End])*(E158=Table7[근무처])*(F158=Table7[업무]),Table7[휴일인센티브],0,0),0))</f>
        <v>0</v>
      </c>
      <c r="AJ158" s="94" cm="1">
        <f t="array" ref="AJ158">ROUND(AC158*IF(U158&gt;=8/24,U158-8/24,0)*24*_xlfn.XLOOKUP(1,(D158&lt;=Table7[End])*(E158=Table7[근무처])*(F158=Table7[업무]),Table7[야간인센티브],0,0),0)</f>
        <v>0</v>
      </c>
      <c r="AK158" s="94" cm="1">
        <f t="array" ref="AK158">IF(V158=0,0,ROUND(AC158*V158*24*_xlfn.XLOOKUP(1,(D158&lt;=Table7[End])*(E158=Table7[근무처])*(F158=Table7[업무]),Table7[야간인센티브],0,0),0))</f>
        <v>0</v>
      </c>
      <c r="AL158" s="95"/>
      <c r="AM158" s="94">
        <f t="shared" si="34"/>
        <v>85440</v>
      </c>
      <c r="AN158" s="94" cm="1">
        <f t="array" ref="AN158">IF(AM158&gt;=_xlfn.XLOOKUP(TRUE,D158&lt;=Table5[End],Table5[비과세소득기준],0,0),AM158-_xlfn.XLOOKUP(TRUE,D158&lt;=Table5[End],Table5[비과세소득기준],0,0),0)</f>
        <v>0</v>
      </c>
      <c r="AO158" s="94" cm="1">
        <f t="array" ref="AO158">ROUNDDOWN(_xlfn.LET(_xlpm.setvalue,_xlfn.XLOOKUP(TRUE,D158&lt;=Table5[End],Table5[[요율]:[근로소득세액공제]],0,0),_xlpm.tax,AN158*PRODUCT((_xlpm.setvalue-{0,1})*{1,-1}),_xlpm.threshold,_xlfn.XLOOKUP(TRUE,D158&lt;=Table5[End],Table5[소액부징수기준],0,0),IF(_xlpm.tax&gt;=_xlpm.threshold,_xlpm.tax,0)),-1)</f>
        <v>0</v>
      </c>
      <c r="AP158" s="94">
        <f>ROUNDDOWN(Table2[[#This Row],[소득세]]*10%,-1)</f>
        <v>0</v>
      </c>
      <c r="AQ158" s="94">
        <f>IF(AB158="v",AM158+IF(Y158=8,SUMIFS(Table2[지급총액],Table2[주민등록번호],O158,Table2[월],R158,Table2[월간
근무일],"&lt;="&amp;8)-AM158,0),0)+_xlfn.NUMBERVALUE(AR158)</f>
        <v>0</v>
      </c>
      <c r="AR158" s="95"/>
      <c r="AS158" s="94" cm="1">
        <f t="array" ref="AS158">ROUNDDOWN($AQ158*_xlfn.XLOOKUP(1,(AS$5=Table8[Type])*($D158&lt;=Table8[End]),Table8[요율],0,0),0)</f>
        <v>0</v>
      </c>
      <c r="AT158" s="94" cm="1">
        <f t="array" ref="AT158">ROUNDDOWN(AS158*_xlfn.XLOOKUP(1,(AT$5=Table8[Type])*($D158&lt;=Table8[End]),Table8[요율],0,0),-1)</f>
        <v>0</v>
      </c>
      <c r="AU158" s="94" cm="1">
        <f t="array" ref="AU158">ROUNDDOWN($AQ158*_xlfn.XLOOKUP(1,(AU$5=Table8[Type])*($D158&lt;=Table8[End]),Table8[요율],0,0),-1)</f>
        <v>0</v>
      </c>
      <c r="AV158" s="94" cm="1">
        <f t="array" ref="AV158">ROUNDDOWN(AM158*_xlfn.XLOOKUP(1,(AV$5=Table8[Type])*($D158&lt;=Table8[End]),Table8[요율],0,0),-1)</f>
        <v>0</v>
      </c>
      <c r="AW158" s="94" cm="1">
        <f t="array" ref="AW158">_xlfn.XLOOKUP(1,(O158=Table2[주민등록번호])*(D158&gt;Table2[근무일자]),Table2[청구 Claim 
이월],0,0,-1)</f>
        <v>0</v>
      </c>
      <c r="AX158" s="95"/>
      <c r="AY158" s="94" cm="1">
        <f t="array" ref="AY158">MAX(SUM(AO158:AP158,AS158:AX158)-_xlfn.XLOOKUP(1,(D158&lt;=Table7[End])*(E158=Table7[근무처])*(F158=Table7[업무]),Table7[1일 공제 상한],0,0),0)</f>
        <v>0</v>
      </c>
      <c r="AZ158" s="94">
        <f t="shared" si="35"/>
        <v>0</v>
      </c>
      <c r="BA158" s="94">
        <f t="shared" si="36"/>
        <v>85440</v>
      </c>
      <c r="BB158" s="97">
        <f t="shared" si="37"/>
        <v>0</v>
      </c>
      <c r="BC158" s="98"/>
      <c r="BD158" s="94">
        <f t="shared" si="38"/>
        <v>0</v>
      </c>
      <c r="BE158" s="94">
        <f t="shared" si="39"/>
        <v>0</v>
      </c>
      <c r="BF158" s="94">
        <f t="shared" si="40"/>
        <v>0</v>
      </c>
      <c r="BG158" s="94">
        <f t="shared" si="41"/>
        <v>0</v>
      </c>
      <c r="BH158" s="94" cm="1">
        <f t="array" ref="BH158">ROUNDDOWN(AM158*_xlfn.XLOOKUP(1,(BH$5=Table8[Type])*($D158&lt;=Table8[End]),Table8[요율],0,0),-1)</f>
        <v>680</v>
      </c>
      <c r="BI158" s="93" t="str" cm="1">
        <f t="array" ref="BI158">_xlfn.XLOOKUP(1,(D158&lt;=Table7[End])*(E158=Table7[근무처])*(F158=Table7[업무]),Table7[지급옵션],0,0)</f>
        <v>차주 화</v>
      </c>
      <c r="BJ158" s="83">
        <f>IF(BK158&lt;&gt;"",BK158,IFERROR(D158+_xlfn.NUMBERVALUE(RIGHT(BI158,1)),D158-WEEKDAY(D158)+CHOOSE(MATCH(RIGHT(BI158),{"일","월","화","수","목","금","토"},0),8,9,10,11,12,13,14)))</f>
        <v>45776</v>
      </c>
      <c r="BK158" s="99"/>
    </row>
    <row r="159" spans="2:63" x14ac:dyDescent="0.35">
      <c r="B159" s="20" t="str" cm="1">
        <f t="array" ref="B159">_xlfn.IFS(BB159&lt;&gt;BC159,"Claim확인",N159&lt;&gt;"OK","확인필요",TRUE,"")</f>
        <v/>
      </c>
      <c r="C159" s="21" t="str">
        <f t="shared" si="28"/>
        <v>010-8X0X-X0X9982X03XX901018</v>
      </c>
      <c r="D159" s="26">
        <v>45767</v>
      </c>
      <c r="E159" s="91" t="s">
        <v>255</v>
      </c>
      <c r="F159" s="25" t="s">
        <v>258</v>
      </c>
      <c r="G159" s="27" t="s">
        <v>283</v>
      </c>
      <c r="H159" s="25" t="s">
        <v>291</v>
      </c>
      <c r="I159" s="25"/>
      <c r="J159" s="25" t="s">
        <v>292</v>
      </c>
      <c r="K159" s="28">
        <v>0.3125</v>
      </c>
      <c r="L159" s="28">
        <v>0.6875</v>
      </c>
      <c r="M159" s="28">
        <v>4.1666666666666664E-2</v>
      </c>
      <c r="N159" s="25" t="s">
        <v>281</v>
      </c>
      <c r="O159" s="29" t="str">
        <f>_xlfn.XLOOKUP(Table2[[#This Row],[Key]],Table1[Key],Table1[주민등록번호],"",0)</f>
        <v>960XX51XX9X15</v>
      </c>
      <c r="P159" s="29">
        <f>_xlfn.XLOOKUP(Table2[[#This Row],[Key]],Table1[Key],Table1[비자],"",0)</f>
        <v>0</v>
      </c>
      <c r="Q159" s="29">
        <f>IF(P159=0,0,_xlfn.XLOOKUP(Table2[[#This Row],[Key]],Table1[Key],Table1[고용보험 여부],0,0))</f>
        <v>0</v>
      </c>
      <c r="R159" s="29" t="str">
        <f t="shared" si="29"/>
        <v>2504</v>
      </c>
      <c r="S159" s="30" t="str">
        <f>YEAR(Table2[[#This Row],[근무일자]])&amp;TEXT(WEEKNUM(Table2[[#This Row],[근무일자]]),"00")</f>
        <v>202517</v>
      </c>
      <c r="T159" s="31">
        <f>_xlfn.XLOOKUP(Table2[[#This Row],[Key]],Table1[Key],Table1[등록일],"",0)</f>
        <v>45698</v>
      </c>
      <c r="U159" s="32">
        <f t="shared" si="30"/>
        <v>0.33333333333333331</v>
      </c>
      <c r="V159" s="92">
        <f t="shared" si="31"/>
        <v>0</v>
      </c>
      <c r="W159" s="100" t="str">
        <f>_xlfn.XLOOKUP(Table2[[#This Row],[근무일자]],Table3[Date],Table3[Holiday],"",0)</f>
        <v/>
      </c>
      <c r="X159" s="93">
        <f>IF(D159&lt;&gt;"",1,0)+IF(COUNTIFS(Table2[주민등록번호],O159,Table2[월],TEXT(EOMONTH(D159,-1),"YYMM"))&gt;0,1+IF(COUNTIFS(Table2[주민등록번호],O159,Table2[월],TEXT(EOMONTH(D159,-2),"YYMM"))&gt;0,1+IF(COUNTIFS(Table2[주민등록번호],O159,Table2[월],TEXT(EOMONTH(D159,-3),"YYMM"))&gt;0,1,0),0),0)</f>
        <v>3</v>
      </c>
      <c r="Y159" s="29">
        <f>COUNTIFS(Table2[주민등록번호],O159,Table2[월],R159,Table2[근무일자],"&lt;="&amp;D159)</f>
        <v>13</v>
      </c>
      <c r="Z159" s="29">
        <f>COUNTIFS(Table2[주민등록번호],O159,Table2[주간],S159,Table2[근무일자],"&lt;="&amp;D159)</f>
        <v>1</v>
      </c>
      <c r="AA159" s="29">
        <f>SUMIFS(Table2[근로
시간],Table2[주민등록번호],O159,Table2[주간],S159,Table2[근무일자],"&lt;="&amp;D159)*24</f>
        <v>8</v>
      </c>
      <c r="AB159" s="29" t="str">
        <f>IF(AND(Y159&gt;=8,COUNTIFS(Table2[주민등록번호],O159,Table2[근무일자],"&gt;="&amp;EOMONTH(D159,-2)+1,Table2[근무일자],"&lt;="&amp;EOMONTH(D159,-1)+1)&gt;0),"V","")</f>
        <v>V</v>
      </c>
      <c r="AC159" s="94" cm="1">
        <f t="array" ref="AC159">IF(AD159&lt;&gt;"",AD159,_xlfn.XLOOKUP(1,(D159&lt;=Table7[End])*(E159=Table7[근무처])*(F159=Table7[업무]),Table7[시급],0,0))</f>
        <v>10680</v>
      </c>
      <c r="AD159" s="95"/>
      <c r="AE159" s="94">
        <f t="shared" si="32"/>
        <v>85440</v>
      </c>
      <c r="AF159" s="96" cm="1">
        <f t="array" ref="AF159">IF(AND(AA159&gt;=15,(AA159-U159*24)&lt;=40),IF(Z159&gt;=_xlfn.XLOOKUP(1,(D159&lt;=Table7[End])*(E159=Table7[근무처])*(F159=Table7[업무]),Table7[주휴적용일],0,0),1,0)+_xlfn.XLOOKUP(1,(Table2[주간]=Table2[[#This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59" s="96" cm="1">
        <f t="array" ref="AG159">MAX((_xlfn.IFS(AF159=0,0,AF159=1,AA159,AF159&gt;1,U159*24)-IF(AA159&gt;40,AA159-40,0))/5,0)</f>
        <v>0</v>
      </c>
      <c r="AH159" s="94">
        <f t="shared" si="33"/>
        <v>0</v>
      </c>
      <c r="AI159" s="33" cm="1">
        <f t="array" ref="AI159">IF(W159="",0,ROUND(AC159*U159*24*_xlfn.XLOOKUP(1,(D159&lt;=Table7[End])*(E159=Table7[근무처])*(F159=Table7[업무]),Table7[휴일인센티브],0,0),0))</f>
        <v>0</v>
      </c>
      <c r="AJ159" s="94" cm="1">
        <f t="array" ref="AJ159">ROUND(AC159*IF(U159&gt;=8/24,U159-8/24,0)*24*_xlfn.XLOOKUP(1,(D159&lt;=Table7[End])*(E159=Table7[근무처])*(F159=Table7[업무]),Table7[야간인센티브],0,0),0)</f>
        <v>0</v>
      </c>
      <c r="AK159" s="94" cm="1">
        <f t="array" ref="AK159">IF(V159=0,0,ROUND(AC159*V159*24*_xlfn.XLOOKUP(1,(D159&lt;=Table7[End])*(E159=Table7[근무처])*(F159=Table7[업무]),Table7[야간인센티브],0,0),0))</f>
        <v>0</v>
      </c>
      <c r="AL159" s="95"/>
      <c r="AM159" s="94">
        <f t="shared" si="34"/>
        <v>85440</v>
      </c>
      <c r="AN159" s="94" cm="1">
        <f t="array" ref="AN159">IF(AM159&gt;=_xlfn.XLOOKUP(TRUE,D159&lt;=Table5[End],Table5[비과세소득기준],0,0),AM159-_xlfn.XLOOKUP(TRUE,D159&lt;=Table5[End],Table5[비과세소득기준],0,0),0)</f>
        <v>0</v>
      </c>
      <c r="AO159" s="94" cm="1">
        <f t="array" ref="AO159">ROUNDDOWN(_xlfn.LET(_xlpm.setvalue,_xlfn.XLOOKUP(TRUE,D159&lt;=Table5[End],Table5[[요율]:[근로소득세액공제]],0,0),_xlpm.tax,AN159*PRODUCT((_xlpm.setvalue-{0,1})*{1,-1}),_xlpm.threshold,_xlfn.XLOOKUP(TRUE,D159&lt;=Table5[End],Table5[소액부징수기준],0,0),IF(_xlpm.tax&gt;=_xlpm.threshold,_xlpm.tax,0)),-1)</f>
        <v>0</v>
      </c>
      <c r="AP159" s="94">
        <f>ROUNDDOWN(Table2[[#This Row],[소득세]]*10%,-1)</f>
        <v>0</v>
      </c>
      <c r="AQ159" s="94">
        <f>IF(AB159="v",AM159+IF(Y159=8,SUMIFS(Table2[지급총액],Table2[주민등록번호],O159,Table2[월],R159,Table2[월간
근무일],"&lt;="&amp;8)-AM159,0),0)+_xlfn.NUMBERVALUE(AR159)</f>
        <v>85440</v>
      </c>
      <c r="AR159" s="95"/>
      <c r="AS159" s="94" cm="1">
        <f t="array" ref="AS159">ROUNDDOWN($AQ159*_xlfn.XLOOKUP(1,(AS$5=Table8[Type])*($D159&lt;=Table8[End]),Table8[요율],0,0),0)</f>
        <v>3028</v>
      </c>
      <c r="AT159" s="94" cm="1">
        <f t="array" ref="AT159">ROUNDDOWN(AS159*_xlfn.XLOOKUP(1,(AT$5=Table8[Type])*($D159&lt;=Table8[End]),Table8[요율],0,0),-1)</f>
        <v>390</v>
      </c>
      <c r="AU159" s="94" cm="1">
        <f t="array" ref="AU159">ROUNDDOWN($AQ159*_xlfn.XLOOKUP(1,(AU$5=Table8[Type])*($D159&lt;=Table8[End]),Table8[요율],0,0),-1)</f>
        <v>3840</v>
      </c>
      <c r="AV159" s="94" cm="1">
        <f t="array" ref="AV159">ROUNDDOWN(AM159*_xlfn.XLOOKUP(1,(AV$5=Table8[Type])*($D159&lt;=Table8[End]),Table8[요율],0,0),-1)</f>
        <v>0</v>
      </c>
      <c r="AW159" s="94" cm="1">
        <f t="array" ref="AW159">_xlfn.XLOOKUP(1,(O159=Table2[주민등록번호])*(D159&gt;Table2[근무일자]),Table2[청구 Claim 
이월],0,0,-1)</f>
        <v>0</v>
      </c>
      <c r="AX159" s="95"/>
      <c r="AY159" s="94" cm="1">
        <f t="array" ref="AY159">MAX(SUM(AO159:AP159,AS159:AX159)-_xlfn.XLOOKUP(1,(D159&lt;=Table7[End])*(E159=Table7[근무처])*(F159=Table7[업무]),Table7[1일 공제 상한],0,0),0)</f>
        <v>0</v>
      </c>
      <c r="AZ159" s="94">
        <f t="shared" si="35"/>
        <v>7258</v>
      </c>
      <c r="BA159" s="94">
        <f t="shared" si="36"/>
        <v>78182</v>
      </c>
      <c r="BB159" s="97">
        <f t="shared" si="37"/>
        <v>0</v>
      </c>
      <c r="BC159" s="98"/>
      <c r="BD159" s="94">
        <f t="shared" si="38"/>
        <v>3028</v>
      </c>
      <c r="BE159" s="94">
        <f t="shared" si="39"/>
        <v>390</v>
      </c>
      <c r="BF159" s="94">
        <f t="shared" si="40"/>
        <v>3840</v>
      </c>
      <c r="BG159" s="94">
        <f t="shared" si="41"/>
        <v>0</v>
      </c>
      <c r="BH159" s="94" cm="1">
        <f t="array" ref="BH159">ROUNDDOWN(AM159*_xlfn.XLOOKUP(1,(BH$5=Table8[Type])*($D159&lt;=Table8[End]),Table8[요율],0,0),-1)</f>
        <v>680</v>
      </c>
      <c r="BI159" s="93" t="str" cm="1">
        <f t="array" ref="BI159">_xlfn.XLOOKUP(1,(D159&lt;=Table7[End])*(E159=Table7[근무처])*(F159=Table7[업무]),Table7[지급옵션],0,0)</f>
        <v>차주 화</v>
      </c>
      <c r="BJ159" s="83">
        <f>IF(BK159&lt;&gt;"",BK159,IFERROR(D159+_xlfn.NUMBERVALUE(RIGHT(BI159,1)),D159-WEEKDAY(D159)+CHOOSE(MATCH(RIGHT(BI159),{"일","월","화","수","목","금","토"},0),8,9,10,11,12,13,14)))</f>
        <v>45776</v>
      </c>
      <c r="BK159" s="99"/>
    </row>
    <row r="160" spans="2:63" x14ac:dyDescent="0.35">
      <c r="B160" s="20" t="str" cm="1">
        <f t="array" ref="B160">_xlfn.IFS(BB160&lt;&gt;BC160,"Claim확인",N160&lt;&gt;"OK","확인필요",TRUE,"")</f>
        <v/>
      </c>
      <c r="C160" s="21" t="str">
        <f t="shared" si="28"/>
        <v>010-3X6X-X4X7757X02XX284249</v>
      </c>
      <c r="D160" s="26">
        <v>45768</v>
      </c>
      <c r="E160" s="91" t="s">
        <v>255</v>
      </c>
      <c r="F160" s="25" t="s">
        <v>258</v>
      </c>
      <c r="G160" s="27" t="s">
        <v>283</v>
      </c>
      <c r="H160" s="25" t="s">
        <v>295</v>
      </c>
      <c r="I160" s="25"/>
      <c r="J160" s="25" t="s">
        <v>296</v>
      </c>
      <c r="K160" s="28">
        <v>0.5</v>
      </c>
      <c r="L160" s="28">
        <v>0.70833333333333337</v>
      </c>
      <c r="M160" s="28">
        <v>2.0833333333333332E-2</v>
      </c>
      <c r="N160" s="25" t="s">
        <v>281</v>
      </c>
      <c r="O160" s="29" t="str">
        <f>_xlfn.XLOOKUP(Table2[[#This Row],[Key]],Table1[Key],Table1[주민등록번호],"",0)</f>
        <v>940XX41XX7X32</v>
      </c>
      <c r="P160" s="29">
        <f>_xlfn.XLOOKUP(Table2[[#This Row],[Key]],Table1[Key],Table1[비자],"",0)</f>
        <v>0</v>
      </c>
      <c r="Q160" s="29">
        <f>IF(P160=0,0,_xlfn.XLOOKUP(Table2[[#This Row],[Key]],Table1[Key],Table1[고용보험 여부],0,0))</f>
        <v>0</v>
      </c>
      <c r="R160" s="29" t="str">
        <f t="shared" si="29"/>
        <v>2504</v>
      </c>
      <c r="S160" s="30" t="str">
        <f>YEAR(Table2[[#This Row],[근무일자]])&amp;TEXT(WEEKNUM(Table2[[#This Row],[근무일자]]),"00")</f>
        <v>202517</v>
      </c>
      <c r="T160" s="31">
        <f>_xlfn.XLOOKUP(Table2[[#This Row],[Key]],Table1[Key],Table1[등록일],"",0)</f>
        <v>45751</v>
      </c>
      <c r="U160" s="32">
        <f t="shared" si="30"/>
        <v>0.18750000000000003</v>
      </c>
      <c r="V160" s="92">
        <f t="shared" si="31"/>
        <v>0</v>
      </c>
      <c r="W160" s="100" t="str">
        <f>_xlfn.XLOOKUP(Table2[[#This Row],[근무일자]],Table3[Date],Table3[Holiday],"",0)</f>
        <v/>
      </c>
      <c r="X160" s="93">
        <f>IF(D160&lt;&gt;"",1,0)+IF(COUNTIFS(Table2[주민등록번호],O160,Table2[월],TEXT(EOMONTH(D160,-1),"YYMM"))&gt;0,1+IF(COUNTIFS(Table2[주민등록번호],O160,Table2[월],TEXT(EOMONTH(D160,-2),"YYMM"))&gt;0,1+IF(COUNTIFS(Table2[주민등록번호],O160,Table2[월],TEXT(EOMONTH(D160,-3),"YYMM"))&gt;0,1,0),0),0)</f>
        <v>1</v>
      </c>
      <c r="Y160" s="29">
        <f>COUNTIFS(Table2[주민등록번호],O160,Table2[월],R160,Table2[근무일자],"&lt;="&amp;D160)</f>
        <v>1</v>
      </c>
      <c r="Z160" s="29">
        <f>COUNTIFS(Table2[주민등록번호],O160,Table2[주간],S160,Table2[근무일자],"&lt;="&amp;D160)</f>
        <v>1</v>
      </c>
      <c r="AA160" s="29">
        <f>SUMIFS(Table2[근로
시간],Table2[주민등록번호],O160,Table2[주간],S160,Table2[근무일자],"&lt;="&amp;D160)*24</f>
        <v>4.5000000000000009</v>
      </c>
      <c r="AB160" s="29" t="str">
        <f>IF(AND(Y160&gt;=8,COUNTIFS(Table2[주민등록번호],O160,Table2[근무일자],"&gt;="&amp;EOMONTH(D160,-2)+1,Table2[근무일자],"&lt;="&amp;EOMONTH(D160,-1)+1)&gt;0),"V","")</f>
        <v/>
      </c>
      <c r="AC160" s="94" cm="1">
        <f t="array" ref="AC160">IF(AD160&lt;&gt;"",AD160,_xlfn.XLOOKUP(1,(D160&lt;=Table7[End])*(E160=Table7[근무처])*(F160=Table7[업무]),Table7[시급],0,0))</f>
        <v>10680</v>
      </c>
      <c r="AD160" s="95"/>
      <c r="AE160" s="94">
        <f t="shared" si="32"/>
        <v>48060</v>
      </c>
      <c r="AF160" s="96" cm="1">
        <f t="array" ref="AF160">IF(AND(AA160&gt;=15,(AA160-U160*24)&lt;=40),IF(Z160&gt;=_xlfn.XLOOKUP(1,(D160&lt;=Table7[End])*(E160=Table7[근무처])*(F160=Table7[업무]),Table7[주휴적용일],0,0),1,0)+_xlfn.XLOOKUP(1,(Table2[주간]=Table2[[#This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60" s="96" cm="1">
        <f t="array" ref="AG160">MAX((_xlfn.IFS(AF160=0,0,AF160=1,AA160,AF160&gt;1,U160*24)-IF(AA160&gt;40,AA160-40,0))/5,0)</f>
        <v>0</v>
      </c>
      <c r="AH160" s="94">
        <f t="shared" si="33"/>
        <v>0</v>
      </c>
      <c r="AI160" s="33" cm="1">
        <f t="array" ref="AI160">IF(W160="",0,ROUND(AC160*U160*24*_xlfn.XLOOKUP(1,(D160&lt;=Table7[End])*(E160=Table7[근무처])*(F160=Table7[업무]),Table7[휴일인센티브],0,0),0))</f>
        <v>0</v>
      </c>
      <c r="AJ160" s="94" cm="1">
        <f t="array" ref="AJ160">ROUND(AC160*IF(U160&gt;=8/24,U160-8/24,0)*24*_xlfn.XLOOKUP(1,(D160&lt;=Table7[End])*(E160=Table7[근무처])*(F160=Table7[업무]),Table7[야간인센티브],0,0),0)</f>
        <v>0</v>
      </c>
      <c r="AK160" s="94" cm="1">
        <f t="array" ref="AK160">IF(V160=0,0,ROUND(AC160*V160*24*_xlfn.XLOOKUP(1,(D160&lt;=Table7[End])*(E160=Table7[근무처])*(F160=Table7[업무]),Table7[야간인센티브],0,0),0))</f>
        <v>0</v>
      </c>
      <c r="AL160" s="95"/>
      <c r="AM160" s="94">
        <f t="shared" si="34"/>
        <v>48060</v>
      </c>
      <c r="AN160" s="94" cm="1">
        <f t="array" ref="AN160">IF(AM160&gt;=_xlfn.XLOOKUP(TRUE,D160&lt;=Table5[End],Table5[비과세소득기준],0,0),AM160-_xlfn.XLOOKUP(TRUE,D160&lt;=Table5[End],Table5[비과세소득기준],0,0),0)</f>
        <v>0</v>
      </c>
      <c r="AO160" s="94" cm="1">
        <f t="array" ref="AO160">ROUNDDOWN(_xlfn.LET(_xlpm.setvalue,_xlfn.XLOOKUP(TRUE,D160&lt;=Table5[End],Table5[[요율]:[근로소득세액공제]],0,0),_xlpm.tax,AN160*PRODUCT((_xlpm.setvalue-{0,1})*{1,-1}),_xlpm.threshold,_xlfn.XLOOKUP(TRUE,D160&lt;=Table5[End],Table5[소액부징수기준],0,0),IF(_xlpm.tax&gt;=_xlpm.threshold,_xlpm.tax,0)),-1)</f>
        <v>0</v>
      </c>
      <c r="AP160" s="94">
        <f>ROUNDDOWN(Table2[[#This Row],[소득세]]*10%,-1)</f>
        <v>0</v>
      </c>
      <c r="AQ160" s="94">
        <f>IF(AB160="v",AM160+IF(Y160=8,SUMIFS(Table2[지급총액],Table2[주민등록번호],O160,Table2[월],R160,Table2[월간
근무일],"&lt;="&amp;8)-AM160,0),0)+_xlfn.NUMBERVALUE(AR160)</f>
        <v>0</v>
      </c>
      <c r="AR160" s="95"/>
      <c r="AS160" s="94" cm="1">
        <f t="array" ref="AS160">ROUNDDOWN($AQ160*_xlfn.XLOOKUP(1,(AS$5=Table8[Type])*($D160&lt;=Table8[End]),Table8[요율],0,0),0)</f>
        <v>0</v>
      </c>
      <c r="AT160" s="94" cm="1">
        <f t="array" ref="AT160">ROUNDDOWN(AS160*_xlfn.XLOOKUP(1,(AT$5=Table8[Type])*($D160&lt;=Table8[End]),Table8[요율],0,0),-1)</f>
        <v>0</v>
      </c>
      <c r="AU160" s="94" cm="1">
        <f t="array" ref="AU160">ROUNDDOWN($AQ160*_xlfn.XLOOKUP(1,(AU$5=Table8[Type])*($D160&lt;=Table8[End]),Table8[요율],0,0),-1)</f>
        <v>0</v>
      </c>
      <c r="AV160" s="94" cm="1">
        <f t="array" ref="AV160">ROUNDDOWN(AM160*_xlfn.XLOOKUP(1,(AV$5=Table8[Type])*($D160&lt;=Table8[End]),Table8[요율],0,0),-1)</f>
        <v>0</v>
      </c>
      <c r="AW160" s="94" cm="1">
        <f t="array" ref="AW160">_xlfn.XLOOKUP(1,(O160=Table2[주민등록번호])*(D160&gt;Table2[근무일자]),Table2[청구 Claim 
이월],0,0,-1)</f>
        <v>0</v>
      </c>
      <c r="AX160" s="95"/>
      <c r="AY160" s="94" cm="1">
        <f t="array" ref="AY160">MAX(SUM(AO160:AP160,AS160:AX160)-_xlfn.XLOOKUP(1,(D160&lt;=Table7[End])*(E160=Table7[근무처])*(F160=Table7[업무]),Table7[1일 공제 상한],0,0),0)</f>
        <v>0</v>
      </c>
      <c r="AZ160" s="94">
        <f t="shared" si="35"/>
        <v>0</v>
      </c>
      <c r="BA160" s="94">
        <f t="shared" si="36"/>
        <v>48060</v>
      </c>
      <c r="BB160" s="97">
        <f t="shared" si="37"/>
        <v>0</v>
      </c>
      <c r="BC160" s="98"/>
      <c r="BD160" s="94">
        <f t="shared" si="38"/>
        <v>0</v>
      </c>
      <c r="BE160" s="94">
        <f t="shared" si="39"/>
        <v>0</v>
      </c>
      <c r="BF160" s="94">
        <f t="shared" si="40"/>
        <v>0</v>
      </c>
      <c r="BG160" s="94">
        <f t="shared" si="41"/>
        <v>0</v>
      </c>
      <c r="BH160" s="94" cm="1">
        <f t="array" ref="BH160">ROUNDDOWN(AM160*_xlfn.XLOOKUP(1,(BH$5=Table8[Type])*($D160&lt;=Table8[End]),Table8[요율],0,0),-1)</f>
        <v>380</v>
      </c>
      <c r="BI160" s="93" t="str" cm="1">
        <f t="array" ref="BI160">_xlfn.XLOOKUP(1,(D160&lt;=Table7[End])*(E160=Table7[근무처])*(F160=Table7[업무]),Table7[지급옵션],0,0)</f>
        <v>차주 화</v>
      </c>
      <c r="BJ160" s="83">
        <f>IF(BK160&lt;&gt;"",BK160,IFERROR(D160+_xlfn.NUMBERVALUE(RIGHT(BI160,1)),D160-WEEKDAY(D160)+CHOOSE(MATCH(RIGHT(BI160),{"일","월","화","수","목","금","토"},0),8,9,10,11,12,13,14)))</f>
        <v>45776</v>
      </c>
      <c r="BK160" s="99"/>
    </row>
    <row r="161" spans="2:63" x14ac:dyDescent="0.35">
      <c r="B161" s="20" t="str" cm="1">
        <f t="array" ref="B161">_xlfn.IFS(BB161&lt;&gt;BC161,"Claim확인",N161&lt;&gt;"OK","확인필요",TRUE,"")</f>
        <v/>
      </c>
      <c r="C161" s="21" t="str">
        <f t="shared" si="28"/>
        <v>010-8X0X-X0X9982X03XX901018</v>
      </c>
      <c r="D161" s="26">
        <v>45768</v>
      </c>
      <c r="E161" s="91" t="s">
        <v>255</v>
      </c>
      <c r="F161" s="25" t="s">
        <v>258</v>
      </c>
      <c r="G161" s="27" t="s">
        <v>283</v>
      </c>
      <c r="H161" s="25" t="s">
        <v>291</v>
      </c>
      <c r="I161" s="25"/>
      <c r="J161" s="25" t="s">
        <v>292</v>
      </c>
      <c r="K161" s="28">
        <v>0.375</v>
      </c>
      <c r="L161" s="28">
        <v>0.75</v>
      </c>
      <c r="M161" s="28">
        <v>4.1666666666666664E-2</v>
      </c>
      <c r="N161" s="25" t="s">
        <v>281</v>
      </c>
      <c r="O161" s="29" t="str">
        <f>_xlfn.XLOOKUP(Table2[[#This Row],[Key]],Table1[Key],Table1[주민등록번호],"",0)</f>
        <v>960XX51XX9X15</v>
      </c>
      <c r="P161" s="29">
        <f>_xlfn.XLOOKUP(Table2[[#This Row],[Key]],Table1[Key],Table1[비자],"",0)</f>
        <v>0</v>
      </c>
      <c r="Q161" s="29">
        <f>IF(P161=0,0,_xlfn.XLOOKUP(Table2[[#This Row],[Key]],Table1[Key],Table1[고용보험 여부],0,0))</f>
        <v>0</v>
      </c>
      <c r="R161" s="29" t="str">
        <f t="shared" si="29"/>
        <v>2504</v>
      </c>
      <c r="S161" s="30" t="str">
        <f>YEAR(Table2[[#This Row],[근무일자]])&amp;TEXT(WEEKNUM(Table2[[#This Row],[근무일자]]),"00")</f>
        <v>202517</v>
      </c>
      <c r="T161" s="31">
        <f>_xlfn.XLOOKUP(Table2[[#This Row],[Key]],Table1[Key],Table1[등록일],"",0)</f>
        <v>45698</v>
      </c>
      <c r="U161" s="32">
        <f t="shared" si="30"/>
        <v>0.33333333333333331</v>
      </c>
      <c r="V161" s="92">
        <f t="shared" si="31"/>
        <v>0</v>
      </c>
      <c r="W161" s="100" t="str">
        <f>_xlfn.XLOOKUP(Table2[[#This Row],[근무일자]],Table3[Date],Table3[Holiday],"",0)</f>
        <v/>
      </c>
      <c r="X161" s="93">
        <f>IF(D161&lt;&gt;"",1,0)+IF(COUNTIFS(Table2[주민등록번호],O161,Table2[월],TEXT(EOMONTH(D161,-1),"YYMM"))&gt;0,1+IF(COUNTIFS(Table2[주민등록번호],O161,Table2[월],TEXT(EOMONTH(D161,-2),"YYMM"))&gt;0,1+IF(COUNTIFS(Table2[주민등록번호],O161,Table2[월],TEXT(EOMONTH(D161,-3),"YYMM"))&gt;0,1,0),0),0)</f>
        <v>3</v>
      </c>
      <c r="Y161" s="29">
        <f>COUNTIFS(Table2[주민등록번호],O161,Table2[월],R161,Table2[근무일자],"&lt;="&amp;D161)</f>
        <v>14</v>
      </c>
      <c r="Z161" s="29">
        <f>COUNTIFS(Table2[주민등록번호],O161,Table2[주간],S161,Table2[근무일자],"&lt;="&amp;D161)</f>
        <v>2</v>
      </c>
      <c r="AA161" s="29">
        <f>SUMIFS(Table2[근로
시간],Table2[주민등록번호],O161,Table2[주간],S161,Table2[근무일자],"&lt;="&amp;D161)*24</f>
        <v>16</v>
      </c>
      <c r="AB161" s="29" t="str">
        <f>IF(AND(Y161&gt;=8,COUNTIFS(Table2[주민등록번호],O161,Table2[근무일자],"&gt;="&amp;EOMONTH(D161,-2)+1,Table2[근무일자],"&lt;="&amp;EOMONTH(D161,-1)+1)&gt;0),"V","")</f>
        <v>V</v>
      </c>
      <c r="AC161" s="94" cm="1">
        <f t="array" ref="AC161">IF(AD161&lt;&gt;"",AD161,_xlfn.XLOOKUP(1,(D161&lt;=Table7[End])*(E161=Table7[근무처])*(F161=Table7[업무]),Table7[시급],0,0))</f>
        <v>10680</v>
      </c>
      <c r="AD161" s="95"/>
      <c r="AE161" s="94">
        <f t="shared" si="32"/>
        <v>85440</v>
      </c>
      <c r="AF161" s="96" cm="1">
        <f t="array" ref="AF161">IF(AND(AA161&gt;=15,(AA161-U161*24)&lt;=40),IF(Z161&gt;=_xlfn.XLOOKUP(1,(D161&lt;=Table7[End])*(E161=Table7[근무처])*(F161=Table7[업무]),Table7[주휴적용일],0,0),1,0)+_xlfn.XLOOKUP(1,(Table2[주간]=Table2[[#This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61" s="96" cm="1">
        <f t="array" ref="AG161">MAX((_xlfn.IFS(AF161=0,0,AF161=1,AA161,AF161&gt;1,U161*24)-IF(AA161&gt;40,AA161-40,0))/5,0)</f>
        <v>3.2</v>
      </c>
      <c r="AH161" s="94">
        <f t="shared" si="33"/>
        <v>34176</v>
      </c>
      <c r="AI161" s="33" cm="1">
        <f t="array" ref="AI161">IF(W161="",0,ROUND(AC161*U161*24*_xlfn.XLOOKUP(1,(D161&lt;=Table7[End])*(E161=Table7[근무처])*(F161=Table7[업무]),Table7[휴일인센티브],0,0),0))</f>
        <v>0</v>
      </c>
      <c r="AJ161" s="94" cm="1">
        <f t="array" ref="AJ161">ROUND(AC161*IF(U161&gt;=8/24,U161-8/24,0)*24*_xlfn.XLOOKUP(1,(D161&lt;=Table7[End])*(E161=Table7[근무처])*(F161=Table7[업무]),Table7[야간인센티브],0,0),0)</f>
        <v>0</v>
      </c>
      <c r="AK161" s="94" cm="1">
        <f t="array" ref="AK161">IF(V161=0,0,ROUND(AC161*V161*24*_xlfn.XLOOKUP(1,(D161&lt;=Table7[End])*(E161=Table7[근무처])*(F161=Table7[업무]),Table7[야간인센티브],0,0),0))</f>
        <v>0</v>
      </c>
      <c r="AL161" s="95"/>
      <c r="AM161" s="94">
        <f t="shared" si="34"/>
        <v>119616</v>
      </c>
      <c r="AN161" s="94" cm="1">
        <f t="array" ref="AN161">IF(AM161&gt;=_xlfn.XLOOKUP(TRUE,D161&lt;=Table5[End],Table5[비과세소득기준],0,0),AM161-_xlfn.XLOOKUP(TRUE,D161&lt;=Table5[End],Table5[비과세소득기준],0,0),0)</f>
        <v>0</v>
      </c>
      <c r="AO161" s="94" cm="1">
        <f t="array" ref="AO161">ROUNDDOWN(_xlfn.LET(_xlpm.setvalue,_xlfn.XLOOKUP(TRUE,D161&lt;=Table5[End],Table5[[요율]:[근로소득세액공제]],0,0),_xlpm.tax,AN161*PRODUCT((_xlpm.setvalue-{0,1})*{1,-1}),_xlpm.threshold,_xlfn.XLOOKUP(TRUE,D161&lt;=Table5[End],Table5[소액부징수기준],0,0),IF(_xlpm.tax&gt;=_xlpm.threshold,_xlpm.tax,0)),-1)</f>
        <v>0</v>
      </c>
      <c r="AP161" s="94">
        <f>ROUNDDOWN(Table2[[#This Row],[소득세]]*10%,-1)</f>
        <v>0</v>
      </c>
      <c r="AQ161" s="94">
        <f>IF(AB161="v",AM161+IF(Y161=8,SUMIFS(Table2[지급총액],Table2[주민등록번호],O161,Table2[월],R161,Table2[월간
근무일],"&lt;="&amp;8)-AM161,0),0)+_xlfn.NUMBERVALUE(AR161)</f>
        <v>119616</v>
      </c>
      <c r="AR161" s="95"/>
      <c r="AS161" s="94" cm="1">
        <f t="array" ref="AS161">ROUNDDOWN($AQ161*_xlfn.XLOOKUP(1,(AS$5=Table8[Type])*($D161&lt;=Table8[End]),Table8[요율],0,0),0)</f>
        <v>4240</v>
      </c>
      <c r="AT161" s="94" cm="1">
        <f t="array" ref="AT161">ROUNDDOWN(AS161*_xlfn.XLOOKUP(1,(AT$5=Table8[Type])*($D161&lt;=Table8[End]),Table8[요율],0,0),-1)</f>
        <v>540</v>
      </c>
      <c r="AU161" s="94" cm="1">
        <f t="array" ref="AU161">ROUNDDOWN($AQ161*_xlfn.XLOOKUP(1,(AU$5=Table8[Type])*($D161&lt;=Table8[End]),Table8[요율],0,0),-1)</f>
        <v>5380</v>
      </c>
      <c r="AV161" s="94" cm="1">
        <f t="array" ref="AV161">ROUNDDOWN(AM161*_xlfn.XLOOKUP(1,(AV$5=Table8[Type])*($D161&lt;=Table8[End]),Table8[요율],0,0),-1)</f>
        <v>0</v>
      </c>
      <c r="AW161" s="94" cm="1">
        <f t="array" ref="AW161">_xlfn.XLOOKUP(1,(O161=Table2[주민등록번호])*(D161&gt;Table2[근무일자]),Table2[청구 Claim 
이월],0,0,-1)</f>
        <v>0</v>
      </c>
      <c r="AX161" s="95"/>
      <c r="AY161" s="94" cm="1">
        <f t="array" ref="AY161">MAX(SUM(AO161:AP161,AS161:AX161)-_xlfn.XLOOKUP(1,(D161&lt;=Table7[End])*(E161=Table7[근무처])*(F161=Table7[업무]),Table7[1일 공제 상한],0,0),0)</f>
        <v>0</v>
      </c>
      <c r="AZ161" s="94">
        <f t="shared" si="35"/>
        <v>10160</v>
      </c>
      <c r="BA161" s="94">
        <f t="shared" si="36"/>
        <v>109456</v>
      </c>
      <c r="BB161" s="97">
        <f t="shared" si="37"/>
        <v>0</v>
      </c>
      <c r="BC161" s="98"/>
      <c r="BD161" s="94">
        <f t="shared" si="38"/>
        <v>4240</v>
      </c>
      <c r="BE161" s="94">
        <f t="shared" si="39"/>
        <v>540</v>
      </c>
      <c r="BF161" s="94">
        <f t="shared" si="40"/>
        <v>5380</v>
      </c>
      <c r="BG161" s="94">
        <f t="shared" si="41"/>
        <v>0</v>
      </c>
      <c r="BH161" s="94" cm="1">
        <f t="array" ref="BH161">ROUNDDOWN(AM161*_xlfn.XLOOKUP(1,(BH$5=Table8[Type])*($D161&lt;=Table8[End]),Table8[요율],0,0),-1)</f>
        <v>950</v>
      </c>
      <c r="BI161" s="93" t="str" cm="1">
        <f t="array" ref="BI161">_xlfn.XLOOKUP(1,(D161&lt;=Table7[End])*(E161=Table7[근무처])*(F161=Table7[업무]),Table7[지급옵션],0,0)</f>
        <v>차주 화</v>
      </c>
      <c r="BJ161" s="83">
        <f>IF(BK161&lt;&gt;"",BK161,IFERROR(D161+_xlfn.NUMBERVALUE(RIGHT(BI161,1)),D161-WEEKDAY(D161)+CHOOSE(MATCH(RIGHT(BI161),{"일","월","화","수","목","금","토"},0),8,9,10,11,12,13,14)))</f>
        <v>45776</v>
      </c>
      <c r="BK161" s="99"/>
    </row>
    <row r="162" spans="2:63" x14ac:dyDescent="0.35">
      <c r="B162" s="20" t="str" cm="1">
        <f t="array" ref="B162">_xlfn.IFS(BB162&lt;&gt;BC162,"Claim확인",N162&lt;&gt;"OK","확인필요",TRUE,"")</f>
        <v/>
      </c>
      <c r="C162" s="21" t="str">
        <f t="shared" si="28"/>
        <v>010-8X0X-X0X9982X03XX901018</v>
      </c>
      <c r="D162" s="26">
        <v>45769</v>
      </c>
      <c r="E162" s="91" t="s">
        <v>255</v>
      </c>
      <c r="F162" s="25" t="s">
        <v>258</v>
      </c>
      <c r="G162" s="27" t="s">
        <v>283</v>
      </c>
      <c r="H162" s="25" t="s">
        <v>291</v>
      </c>
      <c r="I162" s="25"/>
      <c r="J162" s="25" t="s">
        <v>292</v>
      </c>
      <c r="K162" s="28">
        <v>0.375</v>
      </c>
      <c r="L162" s="28">
        <v>0.75</v>
      </c>
      <c r="M162" s="28">
        <v>4.1666666666666664E-2</v>
      </c>
      <c r="N162" s="25" t="s">
        <v>281</v>
      </c>
      <c r="O162" s="29" t="str">
        <f>_xlfn.XLOOKUP(Table2[[#This Row],[Key]],Table1[Key],Table1[주민등록번호],"",0)</f>
        <v>960XX51XX9X15</v>
      </c>
      <c r="P162" s="29">
        <f>_xlfn.XLOOKUP(Table2[[#This Row],[Key]],Table1[Key],Table1[비자],"",0)</f>
        <v>0</v>
      </c>
      <c r="Q162" s="29">
        <f>IF(P162=0,0,_xlfn.XLOOKUP(Table2[[#This Row],[Key]],Table1[Key],Table1[고용보험 여부],0,0))</f>
        <v>0</v>
      </c>
      <c r="R162" s="29" t="str">
        <f t="shared" si="29"/>
        <v>2504</v>
      </c>
      <c r="S162" s="30" t="str">
        <f>YEAR(Table2[[#This Row],[근무일자]])&amp;TEXT(WEEKNUM(Table2[[#This Row],[근무일자]]),"00")</f>
        <v>202517</v>
      </c>
      <c r="T162" s="31">
        <f>_xlfn.XLOOKUP(Table2[[#This Row],[Key]],Table1[Key],Table1[등록일],"",0)</f>
        <v>45698</v>
      </c>
      <c r="U162" s="32">
        <f t="shared" si="30"/>
        <v>0.33333333333333331</v>
      </c>
      <c r="V162" s="92">
        <f t="shared" si="31"/>
        <v>0</v>
      </c>
      <c r="W162" s="100" t="str">
        <f>_xlfn.XLOOKUP(Table2[[#This Row],[근무일자]],Table3[Date],Table3[Holiday],"",0)</f>
        <v/>
      </c>
      <c r="X162" s="93">
        <f>IF(D162&lt;&gt;"",1,0)+IF(COUNTIFS(Table2[주민등록번호],O162,Table2[월],TEXT(EOMONTH(D162,-1),"YYMM"))&gt;0,1+IF(COUNTIFS(Table2[주민등록번호],O162,Table2[월],TEXT(EOMONTH(D162,-2),"YYMM"))&gt;0,1+IF(COUNTIFS(Table2[주민등록번호],O162,Table2[월],TEXT(EOMONTH(D162,-3),"YYMM"))&gt;0,1,0),0),0)</f>
        <v>3</v>
      </c>
      <c r="Y162" s="29">
        <f>COUNTIFS(Table2[주민등록번호],O162,Table2[월],R162,Table2[근무일자],"&lt;="&amp;D162)</f>
        <v>15</v>
      </c>
      <c r="Z162" s="29">
        <f>COUNTIFS(Table2[주민등록번호],O162,Table2[주간],S162,Table2[근무일자],"&lt;="&amp;D162)</f>
        <v>3</v>
      </c>
      <c r="AA162" s="29">
        <f>SUMIFS(Table2[근로
시간],Table2[주민등록번호],O162,Table2[주간],S162,Table2[근무일자],"&lt;="&amp;D162)*24</f>
        <v>24</v>
      </c>
      <c r="AB162" s="29" t="str">
        <f>IF(AND(Y162&gt;=8,COUNTIFS(Table2[주민등록번호],O162,Table2[근무일자],"&gt;="&amp;EOMONTH(D162,-2)+1,Table2[근무일자],"&lt;="&amp;EOMONTH(D162,-1)+1)&gt;0),"V","")</f>
        <v>V</v>
      </c>
      <c r="AC162" s="94" cm="1">
        <f t="array" ref="AC162">IF(AD162&lt;&gt;"",AD162,_xlfn.XLOOKUP(1,(D162&lt;=Table7[End])*(E162=Table7[근무처])*(F162=Table7[업무]),Table7[시급],0,0))</f>
        <v>10680</v>
      </c>
      <c r="AD162" s="95"/>
      <c r="AE162" s="94">
        <f t="shared" si="32"/>
        <v>85440</v>
      </c>
      <c r="AF162" s="96" cm="1">
        <f t="array" ref="AF162">IF(AND(AA162&gt;=15,(AA162-U162*24)&lt;=40),IF(Z162&gt;=_xlfn.XLOOKUP(1,(D162&lt;=Table7[End])*(E162=Table7[근무처])*(F162=Table7[업무]),Table7[주휴적용일],0,0),1,0)+_xlfn.XLOOKUP(1,(Table2[주간]=Table2[[#This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62" s="96" cm="1">
        <f t="array" ref="AG162">MAX((_xlfn.IFS(AF162=0,0,AF162=1,AA162,AF162&gt;1,U162*24)-IF(AA162&gt;40,AA162-40,0))/5,0)</f>
        <v>1.6</v>
      </c>
      <c r="AH162" s="94">
        <f t="shared" si="33"/>
        <v>17088</v>
      </c>
      <c r="AI162" s="33" cm="1">
        <f t="array" ref="AI162">IF(W162="",0,ROUND(AC162*U162*24*_xlfn.XLOOKUP(1,(D162&lt;=Table7[End])*(E162=Table7[근무처])*(F162=Table7[업무]),Table7[휴일인센티브],0,0),0))</f>
        <v>0</v>
      </c>
      <c r="AJ162" s="94" cm="1">
        <f t="array" ref="AJ162">ROUND(AC162*IF(U162&gt;=8/24,U162-8/24,0)*24*_xlfn.XLOOKUP(1,(D162&lt;=Table7[End])*(E162=Table7[근무처])*(F162=Table7[업무]),Table7[야간인센티브],0,0),0)</f>
        <v>0</v>
      </c>
      <c r="AK162" s="94" cm="1">
        <f t="array" ref="AK162">IF(V162=0,0,ROUND(AC162*V162*24*_xlfn.XLOOKUP(1,(D162&lt;=Table7[End])*(E162=Table7[근무처])*(F162=Table7[업무]),Table7[야간인센티브],0,0),0))</f>
        <v>0</v>
      </c>
      <c r="AL162" s="95"/>
      <c r="AM162" s="94">
        <f t="shared" si="34"/>
        <v>102528</v>
      </c>
      <c r="AN162" s="94" cm="1">
        <f t="array" ref="AN162">IF(AM162&gt;=_xlfn.XLOOKUP(TRUE,D162&lt;=Table5[End],Table5[비과세소득기준],0,0),AM162-_xlfn.XLOOKUP(TRUE,D162&lt;=Table5[End],Table5[비과세소득기준],0,0),0)</f>
        <v>0</v>
      </c>
      <c r="AO162" s="94" cm="1">
        <f t="array" ref="AO162">ROUNDDOWN(_xlfn.LET(_xlpm.setvalue,_xlfn.XLOOKUP(TRUE,D162&lt;=Table5[End],Table5[[요율]:[근로소득세액공제]],0,0),_xlpm.tax,AN162*PRODUCT((_xlpm.setvalue-{0,1})*{1,-1}),_xlpm.threshold,_xlfn.XLOOKUP(TRUE,D162&lt;=Table5[End],Table5[소액부징수기준],0,0),IF(_xlpm.tax&gt;=_xlpm.threshold,_xlpm.tax,0)),-1)</f>
        <v>0</v>
      </c>
      <c r="AP162" s="94">
        <f>ROUNDDOWN(Table2[[#This Row],[소득세]]*10%,-1)</f>
        <v>0</v>
      </c>
      <c r="AQ162" s="94">
        <f>IF(AB162="v",AM162+IF(Y162=8,SUMIFS(Table2[지급총액],Table2[주민등록번호],O162,Table2[월],R162,Table2[월간
근무일],"&lt;="&amp;8)-AM162,0),0)+_xlfn.NUMBERVALUE(AR162)</f>
        <v>102528</v>
      </c>
      <c r="AR162" s="95"/>
      <c r="AS162" s="94" cm="1">
        <f t="array" ref="AS162">ROUNDDOWN($AQ162*_xlfn.XLOOKUP(1,(AS$5=Table8[Type])*($D162&lt;=Table8[End]),Table8[요율],0,0),0)</f>
        <v>3634</v>
      </c>
      <c r="AT162" s="94" cm="1">
        <f t="array" ref="AT162">ROUNDDOWN(AS162*_xlfn.XLOOKUP(1,(AT$5=Table8[Type])*($D162&lt;=Table8[End]),Table8[요율],0,0),-1)</f>
        <v>470</v>
      </c>
      <c r="AU162" s="94" cm="1">
        <f t="array" ref="AU162">ROUNDDOWN($AQ162*_xlfn.XLOOKUP(1,(AU$5=Table8[Type])*($D162&lt;=Table8[End]),Table8[요율],0,0),-1)</f>
        <v>4610</v>
      </c>
      <c r="AV162" s="94" cm="1">
        <f t="array" ref="AV162">ROUNDDOWN(AM162*_xlfn.XLOOKUP(1,(AV$5=Table8[Type])*($D162&lt;=Table8[End]),Table8[요율],0,0),-1)</f>
        <v>0</v>
      </c>
      <c r="AW162" s="94" cm="1">
        <f t="array" ref="AW162">_xlfn.XLOOKUP(1,(O162=Table2[주민등록번호])*(D162&gt;Table2[근무일자]),Table2[청구 Claim 
이월],0,0,-1)</f>
        <v>0</v>
      </c>
      <c r="AX162" s="95"/>
      <c r="AY162" s="94" cm="1">
        <f t="array" ref="AY162">MAX(SUM(AO162:AP162,AS162:AX162)-_xlfn.XLOOKUP(1,(D162&lt;=Table7[End])*(E162=Table7[근무처])*(F162=Table7[업무]),Table7[1일 공제 상한],0,0),0)</f>
        <v>0</v>
      </c>
      <c r="AZ162" s="94">
        <f t="shared" si="35"/>
        <v>8714</v>
      </c>
      <c r="BA162" s="94">
        <f t="shared" si="36"/>
        <v>93814</v>
      </c>
      <c r="BB162" s="97">
        <f t="shared" si="37"/>
        <v>0</v>
      </c>
      <c r="BC162" s="98"/>
      <c r="BD162" s="94">
        <f t="shared" si="38"/>
        <v>3634</v>
      </c>
      <c r="BE162" s="94">
        <f t="shared" si="39"/>
        <v>470</v>
      </c>
      <c r="BF162" s="94">
        <f t="shared" si="40"/>
        <v>4610</v>
      </c>
      <c r="BG162" s="94">
        <f t="shared" si="41"/>
        <v>0</v>
      </c>
      <c r="BH162" s="94" cm="1">
        <f t="array" ref="BH162">ROUNDDOWN(AM162*_xlfn.XLOOKUP(1,(BH$5=Table8[Type])*($D162&lt;=Table8[End]),Table8[요율],0,0),-1)</f>
        <v>820</v>
      </c>
      <c r="BI162" s="93" t="str" cm="1">
        <f t="array" ref="BI162">_xlfn.XLOOKUP(1,(D162&lt;=Table7[End])*(E162=Table7[근무처])*(F162=Table7[업무]),Table7[지급옵션],0,0)</f>
        <v>차주 화</v>
      </c>
      <c r="BJ162" s="83">
        <f>IF(BK162&lt;&gt;"",BK162,IFERROR(D162+_xlfn.NUMBERVALUE(RIGHT(BI162,1)),D162-WEEKDAY(D162)+CHOOSE(MATCH(RIGHT(BI162),{"일","월","화","수","목","금","토"},0),8,9,10,11,12,13,14)))</f>
        <v>45776</v>
      </c>
      <c r="BK162" s="99"/>
    </row>
    <row r="163" spans="2:63" x14ac:dyDescent="0.35">
      <c r="B163" s="20" t="str" cm="1">
        <f t="array" ref="B163">_xlfn.IFS(BB163&lt;&gt;BC163,"Claim확인",N163&lt;&gt;"OK","확인필요",TRUE,"")</f>
        <v/>
      </c>
      <c r="C163" s="21" t="str">
        <f t="shared" si="28"/>
        <v>010-6X1X-X3X0333X04XX46879</v>
      </c>
      <c r="D163" s="26">
        <v>45771</v>
      </c>
      <c r="E163" s="91" t="s">
        <v>255</v>
      </c>
      <c r="F163" s="25" t="s">
        <v>258</v>
      </c>
      <c r="G163" s="27" t="s">
        <v>284</v>
      </c>
      <c r="H163" s="25" t="s">
        <v>293</v>
      </c>
      <c r="I163" s="25"/>
      <c r="J163" s="25" t="s">
        <v>294</v>
      </c>
      <c r="K163" s="28">
        <v>0.3125</v>
      </c>
      <c r="L163" s="28">
        <v>0.6875</v>
      </c>
      <c r="M163" s="28">
        <v>4.1666666666666664E-2</v>
      </c>
      <c r="N163" s="25" t="s">
        <v>281</v>
      </c>
      <c r="O163" s="29" t="str">
        <f>_xlfn.XLOOKUP(Table2[[#This Row],[Key]],Table1[Key],Table1[주민등록번호],"",0)</f>
        <v>971XX61XX9X25</v>
      </c>
      <c r="P163" s="29">
        <f>_xlfn.XLOOKUP(Table2[[#This Row],[Key]],Table1[Key],Table1[비자],"",0)</f>
        <v>0</v>
      </c>
      <c r="Q163" s="29">
        <f>IF(P163=0,0,_xlfn.XLOOKUP(Table2[[#This Row],[Key]],Table1[Key],Table1[고용보험 여부],0,0))</f>
        <v>0</v>
      </c>
      <c r="R163" s="29" t="str">
        <f t="shared" si="29"/>
        <v>2504</v>
      </c>
      <c r="S163" s="30" t="str">
        <f>YEAR(Table2[[#This Row],[근무일자]])&amp;TEXT(WEEKNUM(Table2[[#This Row],[근무일자]]),"00")</f>
        <v>202517</v>
      </c>
      <c r="T163" s="31">
        <f>_xlfn.XLOOKUP(Table2[[#This Row],[Key]],Table1[Key],Table1[등록일],"",0)</f>
        <v>45721</v>
      </c>
      <c r="U163" s="32">
        <f t="shared" si="30"/>
        <v>0.33333333333333331</v>
      </c>
      <c r="V163" s="92">
        <f t="shared" si="31"/>
        <v>0</v>
      </c>
      <c r="W163" s="100" t="str">
        <f>_xlfn.XLOOKUP(Table2[[#This Row],[근무일자]],Table3[Date],Table3[Holiday],"",0)</f>
        <v/>
      </c>
      <c r="X163" s="93">
        <f>IF(D163&lt;&gt;"",1,0)+IF(COUNTIFS(Table2[주민등록번호],O163,Table2[월],TEXT(EOMONTH(D163,-1),"YYMM"))&gt;0,1+IF(COUNTIFS(Table2[주민등록번호],O163,Table2[월],TEXT(EOMONTH(D163,-2),"YYMM"))&gt;0,1+IF(COUNTIFS(Table2[주민등록번호],O163,Table2[월],TEXT(EOMONTH(D163,-3),"YYMM"))&gt;0,1,0),0),0)</f>
        <v>2</v>
      </c>
      <c r="Y163" s="29">
        <f>COUNTIFS(Table2[주민등록번호],O163,Table2[월],R163,Table2[근무일자],"&lt;="&amp;D163)</f>
        <v>13</v>
      </c>
      <c r="Z163" s="29">
        <f>COUNTIFS(Table2[주민등록번호],O163,Table2[주간],S163,Table2[근무일자],"&lt;="&amp;D163)</f>
        <v>1</v>
      </c>
      <c r="AA163" s="29">
        <f>SUMIFS(Table2[근로
시간],Table2[주민등록번호],O163,Table2[주간],S163,Table2[근무일자],"&lt;="&amp;D163)*24</f>
        <v>8</v>
      </c>
      <c r="AB163" s="29" t="str">
        <f>IF(AND(Y163&gt;=8,COUNTIFS(Table2[주민등록번호],O163,Table2[근무일자],"&gt;="&amp;EOMONTH(D163,-2)+1,Table2[근무일자],"&lt;="&amp;EOMONTH(D163,-1)+1)&gt;0),"V","")</f>
        <v>V</v>
      </c>
      <c r="AC163" s="94" cm="1">
        <f t="array" ref="AC163">IF(AD163&lt;&gt;"",AD163,_xlfn.XLOOKUP(1,(D163&lt;=Table7[End])*(E163=Table7[근무처])*(F163=Table7[업무]),Table7[시급],0,0))</f>
        <v>10680</v>
      </c>
      <c r="AD163" s="95"/>
      <c r="AE163" s="94">
        <f t="shared" si="32"/>
        <v>85440</v>
      </c>
      <c r="AF163" s="96" cm="1">
        <f t="array" ref="AF163">IF(AND(AA163&gt;=15,(AA163-U163*24)&lt;=40),IF(Z163&gt;=_xlfn.XLOOKUP(1,(D163&lt;=Table7[End])*(E163=Table7[근무처])*(F163=Table7[업무]),Table7[주휴적용일],0,0),1,0)+_xlfn.XLOOKUP(1,(Table2[주간]=Table2[[#This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63" s="96" cm="1">
        <f t="array" ref="AG163">MAX((_xlfn.IFS(AF163=0,0,AF163=1,AA163,AF163&gt;1,U163*24)-IF(AA163&gt;40,AA163-40,0))/5,0)</f>
        <v>0</v>
      </c>
      <c r="AH163" s="94">
        <f t="shared" si="33"/>
        <v>0</v>
      </c>
      <c r="AI163" s="33" cm="1">
        <f t="array" ref="AI163">IF(W163="",0,ROUND(AC163*U163*24*_xlfn.XLOOKUP(1,(D163&lt;=Table7[End])*(E163=Table7[근무처])*(F163=Table7[업무]),Table7[휴일인센티브],0,0),0))</f>
        <v>0</v>
      </c>
      <c r="AJ163" s="94" cm="1">
        <f t="array" ref="AJ163">ROUND(AC163*IF(U163&gt;=8/24,U163-8/24,0)*24*_xlfn.XLOOKUP(1,(D163&lt;=Table7[End])*(E163=Table7[근무처])*(F163=Table7[업무]),Table7[야간인센티브],0,0),0)</f>
        <v>0</v>
      </c>
      <c r="AK163" s="94" cm="1">
        <f t="array" ref="AK163">IF(V163=0,0,ROUND(AC163*V163*24*_xlfn.XLOOKUP(1,(D163&lt;=Table7[End])*(E163=Table7[근무처])*(F163=Table7[업무]),Table7[야간인센티브],0,0),0))</f>
        <v>0</v>
      </c>
      <c r="AL163" s="95"/>
      <c r="AM163" s="94">
        <f t="shared" si="34"/>
        <v>85440</v>
      </c>
      <c r="AN163" s="94" cm="1">
        <f t="array" ref="AN163">IF(AM163&gt;=_xlfn.XLOOKUP(TRUE,D163&lt;=Table5[End],Table5[비과세소득기준],0,0),AM163-_xlfn.XLOOKUP(TRUE,D163&lt;=Table5[End],Table5[비과세소득기준],0,0),0)</f>
        <v>0</v>
      </c>
      <c r="AO163" s="94" cm="1">
        <f t="array" ref="AO163">ROUNDDOWN(_xlfn.LET(_xlpm.setvalue,_xlfn.XLOOKUP(TRUE,D163&lt;=Table5[End],Table5[[요율]:[근로소득세액공제]],0,0),_xlpm.tax,AN163*PRODUCT((_xlpm.setvalue-{0,1})*{1,-1}),_xlpm.threshold,_xlfn.XLOOKUP(TRUE,D163&lt;=Table5[End],Table5[소액부징수기준],0,0),IF(_xlpm.tax&gt;=_xlpm.threshold,_xlpm.tax,0)),-1)</f>
        <v>0</v>
      </c>
      <c r="AP163" s="94">
        <f>ROUNDDOWN(Table2[[#This Row],[소득세]]*10%,-1)</f>
        <v>0</v>
      </c>
      <c r="AQ163" s="94">
        <f>IF(AB163="v",AM163+IF(Y163=8,SUMIFS(Table2[지급총액],Table2[주민등록번호],O163,Table2[월],R163,Table2[월간
근무일],"&lt;="&amp;8)-AM163,0),0)+_xlfn.NUMBERVALUE(AR163)</f>
        <v>85440</v>
      </c>
      <c r="AR163" s="95"/>
      <c r="AS163" s="94" cm="1">
        <f t="array" ref="AS163">ROUNDDOWN($AQ163*_xlfn.XLOOKUP(1,(AS$5=Table8[Type])*($D163&lt;=Table8[End]),Table8[요율],0,0),0)</f>
        <v>3028</v>
      </c>
      <c r="AT163" s="94" cm="1">
        <f t="array" ref="AT163">ROUNDDOWN(AS163*_xlfn.XLOOKUP(1,(AT$5=Table8[Type])*($D163&lt;=Table8[End]),Table8[요율],0,0),-1)</f>
        <v>390</v>
      </c>
      <c r="AU163" s="94" cm="1">
        <f t="array" ref="AU163">ROUNDDOWN($AQ163*_xlfn.XLOOKUP(1,(AU$5=Table8[Type])*($D163&lt;=Table8[End]),Table8[요율],0,0),-1)</f>
        <v>3840</v>
      </c>
      <c r="AV163" s="94" cm="1">
        <f t="array" ref="AV163">ROUNDDOWN(AM163*_xlfn.XLOOKUP(1,(AV$5=Table8[Type])*($D163&lt;=Table8[End]),Table8[요율],0,0),-1)</f>
        <v>0</v>
      </c>
      <c r="AW163" s="94" cm="1">
        <f t="array" ref="AW163">_xlfn.XLOOKUP(1,(O163=Table2[주민등록번호])*(D163&gt;Table2[근무일자]),Table2[청구 Claim 
이월],0,0,-1)</f>
        <v>0</v>
      </c>
      <c r="AX163" s="95"/>
      <c r="AY163" s="94" cm="1">
        <f t="array" ref="AY163">MAX(SUM(AO163:AP163,AS163:AX163)-_xlfn.XLOOKUP(1,(D163&lt;=Table7[End])*(E163=Table7[근무처])*(F163=Table7[업무]),Table7[1일 공제 상한],0,0),0)</f>
        <v>0</v>
      </c>
      <c r="AZ163" s="94">
        <f t="shared" si="35"/>
        <v>7258</v>
      </c>
      <c r="BA163" s="94">
        <f t="shared" si="36"/>
        <v>78182</v>
      </c>
      <c r="BB163" s="97">
        <f t="shared" si="37"/>
        <v>0</v>
      </c>
      <c r="BC163" s="98"/>
      <c r="BD163" s="94">
        <f t="shared" si="38"/>
        <v>3028</v>
      </c>
      <c r="BE163" s="94">
        <f t="shared" si="39"/>
        <v>390</v>
      </c>
      <c r="BF163" s="94">
        <f t="shared" si="40"/>
        <v>3840</v>
      </c>
      <c r="BG163" s="94">
        <f t="shared" si="41"/>
        <v>0</v>
      </c>
      <c r="BH163" s="94" cm="1">
        <f t="array" ref="BH163">ROUNDDOWN(AM163*_xlfn.XLOOKUP(1,(BH$5=Table8[Type])*($D163&lt;=Table8[End]),Table8[요율],0,0),-1)</f>
        <v>680</v>
      </c>
      <c r="BI163" s="93" t="str" cm="1">
        <f t="array" ref="BI163">_xlfn.XLOOKUP(1,(D163&lt;=Table7[End])*(E163=Table7[근무처])*(F163=Table7[업무]),Table7[지급옵션],0,0)</f>
        <v>차주 화</v>
      </c>
      <c r="BJ163" s="83">
        <f>IF(BK163&lt;&gt;"",BK163,IFERROR(D163+_xlfn.NUMBERVALUE(RIGHT(BI163,1)),D163-WEEKDAY(D163)+CHOOSE(MATCH(RIGHT(BI163),{"일","월","화","수","목","금","토"},0),8,9,10,11,12,13,14)))</f>
        <v>45776</v>
      </c>
      <c r="BK163" s="99"/>
    </row>
    <row r="164" spans="2:63" x14ac:dyDescent="0.35">
      <c r="B164" s="20" t="str" cm="1">
        <f t="array" ref="B164">_xlfn.IFS(BB164&lt;&gt;BC164,"Claim확인",N164&lt;&gt;"OK","확인필요",TRUE,"")</f>
        <v/>
      </c>
      <c r="C164" s="21" t="str">
        <f t="shared" si="28"/>
        <v>010-8X0X-X0X9982X03XX901018</v>
      </c>
      <c r="D164" s="26">
        <v>45772</v>
      </c>
      <c r="E164" s="91" t="s">
        <v>255</v>
      </c>
      <c r="F164" s="25" t="s">
        <v>258</v>
      </c>
      <c r="G164" s="27" t="s">
        <v>283</v>
      </c>
      <c r="H164" s="25" t="s">
        <v>291</v>
      </c>
      <c r="I164" s="25"/>
      <c r="J164" s="25" t="s">
        <v>292</v>
      </c>
      <c r="K164" s="28">
        <v>0.375</v>
      </c>
      <c r="L164" s="28">
        <v>0.75</v>
      </c>
      <c r="M164" s="28">
        <v>4.1666666666666664E-2</v>
      </c>
      <c r="N164" s="25" t="s">
        <v>281</v>
      </c>
      <c r="O164" s="29" t="str">
        <f>_xlfn.XLOOKUP(Table2[[#This Row],[Key]],Table1[Key],Table1[주민등록번호],"",0)</f>
        <v>960XX51XX9X15</v>
      </c>
      <c r="P164" s="29">
        <f>_xlfn.XLOOKUP(Table2[[#This Row],[Key]],Table1[Key],Table1[비자],"",0)</f>
        <v>0</v>
      </c>
      <c r="Q164" s="29">
        <f>IF(P164=0,0,_xlfn.XLOOKUP(Table2[[#This Row],[Key]],Table1[Key],Table1[고용보험 여부],0,0))</f>
        <v>0</v>
      </c>
      <c r="R164" s="29" t="str">
        <f t="shared" si="29"/>
        <v>2504</v>
      </c>
      <c r="S164" s="30" t="str">
        <f>YEAR(Table2[[#This Row],[근무일자]])&amp;TEXT(WEEKNUM(Table2[[#This Row],[근무일자]]),"00")</f>
        <v>202517</v>
      </c>
      <c r="T164" s="31">
        <f>_xlfn.XLOOKUP(Table2[[#This Row],[Key]],Table1[Key],Table1[등록일],"",0)</f>
        <v>45698</v>
      </c>
      <c r="U164" s="32">
        <f t="shared" si="30"/>
        <v>0.33333333333333331</v>
      </c>
      <c r="V164" s="92">
        <f t="shared" si="31"/>
        <v>0</v>
      </c>
      <c r="W164" s="100" t="str">
        <f>_xlfn.XLOOKUP(Table2[[#This Row],[근무일자]],Table3[Date],Table3[Holiday],"",0)</f>
        <v/>
      </c>
      <c r="X164" s="93">
        <f>IF(D164&lt;&gt;"",1,0)+IF(COUNTIFS(Table2[주민등록번호],O164,Table2[월],TEXT(EOMONTH(D164,-1),"YYMM"))&gt;0,1+IF(COUNTIFS(Table2[주민등록번호],O164,Table2[월],TEXT(EOMONTH(D164,-2),"YYMM"))&gt;0,1+IF(COUNTIFS(Table2[주민등록번호],O164,Table2[월],TEXT(EOMONTH(D164,-3),"YYMM"))&gt;0,1,0),0),0)</f>
        <v>3</v>
      </c>
      <c r="Y164" s="29">
        <f>COUNTIFS(Table2[주민등록번호],O164,Table2[월],R164,Table2[근무일자],"&lt;="&amp;D164)</f>
        <v>16</v>
      </c>
      <c r="Z164" s="29">
        <f>COUNTIFS(Table2[주민등록번호],O164,Table2[주간],S164,Table2[근무일자],"&lt;="&amp;D164)</f>
        <v>4</v>
      </c>
      <c r="AA164" s="29">
        <f>SUMIFS(Table2[근로
시간],Table2[주민등록번호],O164,Table2[주간],S164,Table2[근무일자],"&lt;="&amp;D164)*24</f>
        <v>32</v>
      </c>
      <c r="AB164" s="29" t="str">
        <f>IF(AND(Y164&gt;=8,COUNTIFS(Table2[주민등록번호],O164,Table2[근무일자],"&gt;="&amp;EOMONTH(D164,-2)+1,Table2[근무일자],"&lt;="&amp;EOMONTH(D164,-1)+1)&gt;0),"V","")</f>
        <v>V</v>
      </c>
      <c r="AC164" s="94" cm="1">
        <f t="array" ref="AC164">IF(AD164&lt;&gt;"",AD164,_xlfn.XLOOKUP(1,(D164&lt;=Table7[End])*(E164=Table7[근무처])*(F164=Table7[업무]),Table7[시급],0,0))</f>
        <v>10680</v>
      </c>
      <c r="AD164" s="95"/>
      <c r="AE164" s="94">
        <f t="shared" si="32"/>
        <v>85440</v>
      </c>
      <c r="AF164" s="96" cm="1">
        <f t="array" ref="AF164">IF(AND(AA164&gt;=15,(AA164-U164*24)&lt;=40),IF(Z164&gt;=_xlfn.XLOOKUP(1,(D164&lt;=Table7[End])*(E164=Table7[근무처])*(F164=Table7[업무]),Table7[주휴적용일],0,0),1,0)+_xlfn.XLOOKUP(1,(Table2[주간]=Table2[[#This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64" s="96" cm="1">
        <f t="array" ref="AG164">MAX((_xlfn.IFS(AF164=0,0,AF164=1,AA164,AF164&gt;1,U164*24)-IF(AA164&gt;40,AA164-40,0))/5,0)</f>
        <v>1.6</v>
      </c>
      <c r="AH164" s="94">
        <f t="shared" si="33"/>
        <v>17088</v>
      </c>
      <c r="AI164" s="33" cm="1">
        <f t="array" ref="AI164">IF(W164="",0,ROUND(AC164*U164*24*_xlfn.XLOOKUP(1,(D164&lt;=Table7[End])*(E164=Table7[근무처])*(F164=Table7[업무]),Table7[휴일인센티브],0,0),0))</f>
        <v>0</v>
      </c>
      <c r="AJ164" s="94" cm="1">
        <f t="array" ref="AJ164">ROUND(AC164*IF(U164&gt;=8/24,U164-8/24,0)*24*_xlfn.XLOOKUP(1,(D164&lt;=Table7[End])*(E164=Table7[근무처])*(F164=Table7[업무]),Table7[야간인센티브],0,0),0)</f>
        <v>0</v>
      </c>
      <c r="AK164" s="94" cm="1">
        <f t="array" ref="AK164">IF(V164=0,0,ROUND(AC164*V164*24*_xlfn.XLOOKUP(1,(D164&lt;=Table7[End])*(E164=Table7[근무처])*(F164=Table7[업무]),Table7[야간인센티브],0,0),0))</f>
        <v>0</v>
      </c>
      <c r="AL164" s="95"/>
      <c r="AM164" s="94">
        <f t="shared" si="34"/>
        <v>102528</v>
      </c>
      <c r="AN164" s="94" cm="1">
        <f t="array" ref="AN164">IF(AM164&gt;=_xlfn.XLOOKUP(TRUE,D164&lt;=Table5[End],Table5[비과세소득기준],0,0),AM164-_xlfn.XLOOKUP(TRUE,D164&lt;=Table5[End],Table5[비과세소득기준],0,0),0)</f>
        <v>0</v>
      </c>
      <c r="AO164" s="94" cm="1">
        <f t="array" ref="AO164">ROUNDDOWN(_xlfn.LET(_xlpm.setvalue,_xlfn.XLOOKUP(TRUE,D164&lt;=Table5[End],Table5[[요율]:[근로소득세액공제]],0,0),_xlpm.tax,AN164*PRODUCT((_xlpm.setvalue-{0,1})*{1,-1}),_xlpm.threshold,_xlfn.XLOOKUP(TRUE,D164&lt;=Table5[End],Table5[소액부징수기준],0,0),IF(_xlpm.tax&gt;=_xlpm.threshold,_xlpm.tax,0)),-1)</f>
        <v>0</v>
      </c>
      <c r="AP164" s="94">
        <f>ROUNDDOWN(Table2[[#This Row],[소득세]]*10%,-1)</f>
        <v>0</v>
      </c>
      <c r="AQ164" s="94">
        <f>IF(AB164="v",AM164+IF(Y164=8,SUMIFS(Table2[지급총액],Table2[주민등록번호],O164,Table2[월],R164,Table2[월간
근무일],"&lt;="&amp;8)-AM164,0),0)+_xlfn.NUMBERVALUE(AR164)</f>
        <v>102528</v>
      </c>
      <c r="AR164" s="95"/>
      <c r="AS164" s="94" cm="1">
        <f t="array" ref="AS164">ROUNDDOWN($AQ164*_xlfn.XLOOKUP(1,(AS$5=Table8[Type])*($D164&lt;=Table8[End]),Table8[요율],0,0),0)</f>
        <v>3634</v>
      </c>
      <c r="AT164" s="94" cm="1">
        <f t="array" ref="AT164">ROUNDDOWN(AS164*_xlfn.XLOOKUP(1,(AT$5=Table8[Type])*($D164&lt;=Table8[End]),Table8[요율],0,0),-1)</f>
        <v>470</v>
      </c>
      <c r="AU164" s="94" cm="1">
        <f t="array" ref="AU164">ROUNDDOWN($AQ164*_xlfn.XLOOKUP(1,(AU$5=Table8[Type])*($D164&lt;=Table8[End]),Table8[요율],0,0),-1)</f>
        <v>4610</v>
      </c>
      <c r="AV164" s="94" cm="1">
        <f t="array" ref="AV164">ROUNDDOWN(AM164*_xlfn.XLOOKUP(1,(AV$5=Table8[Type])*($D164&lt;=Table8[End]),Table8[요율],0,0),-1)</f>
        <v>0</v>
      </c>
      <c r="AW164" s="94" cm="1">
        <f t="array" ref="AW164">_xlfn.XLOOKUP(1,(O164=Table2[주민등록번호])*(D164&gt;Table2[근무일자]),Table2[청구 Claim 
이월],0,0,-1)</f>
        <v>0</v>
      </c>
      <c r="AX164" s="95"/>
      <c r="AY164" s="94" cm="1">
        <f t="array" ref="AY164">MAX(SUM(AO164:AP164,AS164:AX164)-_xlfn.XLOOKUP(1,(D164&lt;=Table7[End])*(E164=Table7[근무처])*(F164=Table7[업무]),Table7[1일 공제 상한],0,0),0)</f>
        <v>0</v>
      </c>
      <c r="AZ164" s="94">
        <f t="shared" si="35"/>
        <v>8714</v>
      </c>
      <c r="BA164" s="94">
        <f t="shared" si="36"/>
        <v>93814</v>
      </c>
      <c r="BB164" s="97">
        <f t="shared" si="37"/>
        <v>0</v>
      </c>
      <c r="BC164" s="98"/>
      <c r="BD164" s="94">
        <f t="shared" si="38"/>
        <v>3634</v>
      </c>
      <c r="BE164" s="94">
        <f t="shared" si="39"/>
        <v>470</v>
      </c>
      <c r="BF164" s="94">
        <f t="shared" si="40"/>
        <v>4610</v>
      </c>
      <c r="BG164" s="94">
        <f t="shared" si="41"/>
        <v>0</v>
      </c>
      <c r="BH164" s="94" cm="1">
        <f t="array" ref="BH164">ROUNDDOWN(AM164*_xlfn.XLOOKUP(1,(BH$5=Table8[Type])*($D164&lt;=Table8[End]),Table8[요율],0,0),-1)</f>
        <v>820</v>
      </c>
      <c r="BI164" s="93" t="str" cm="1">
        <f t="array" ref="BI164">_xlfn.XLOOKUP(1,(D164&lt;=Table7[End])*(E164=Table7[근무처])*(F164=Table7[업무]),Table7[지급옵션],0,0)</f>
        <v>차주 화</v>
      </c>
      <c r="BJ164" s="83">
        <f>IF(BK164&lt;&gt;"",BK164,IFERROR(D164+_xlfn.NUMBERVALUE(RIGHT(BI164,1)),D164-WEEKDAY(D164)+CHOOSE(MATCH(RIGHT(BI164),{"일","월","화","수","목","금","토"},0),8,9,10,11,12,13,14)))</f>
        <v>45776</v>
      </c>
      <c r="BK164" s="99"/>
    </row>
    <row r="165" spans="2:63" x14ac:dyDescent="0.35">
      <c r="B165" s="20" t="str" cm="1">
        <f t="array" ref="B165">_xlfn.IFS(BB165&lt;&gt;BC165,"Claim확인",N165&lt;&gt;"OK","확인필요",TRUE,"")</f>
        <v/>
      </c>
      <c r="C165" s="21" t="str">
        <f t="shared" si="28"/>
        <v>010-6X1X-X3X0333X04XX46879</v>
      </c>
      <c r="D165" s="26">
        <v>45772</v>
      </c>
      <c r="E165" s="91" t="s">
        <v>255</v>
      </c>
      <c r="F165" s="25" t="s">
        <v>258</v>
      </c>
      <c r="G165" s="27" t="s">
        <v>284</v>
      </c>
      <c r="H165" s="25" t="s">
        <v>293</v>
      </c>
      <c r="I165" s="25"/>
      <c r="J165" s="25" t="s">
        <v>294</v>
      </c>
      <c r="K165" s="28">
        <v>0.375</v>
      </c>
      <c r="L165" s="28">
        <v>0.75</v>
      </c>
      <c r="M165" s="28">
        <v>4.1666666666666664E-2</v>
      </c>
      <c r="N165" s="25" t="s">
        <v>281</v>
      </c>
      <c r="O165" s="29" t="str">
        <f>_xlfn.XLOOKUP(Table2[[#This Row],[Key]],Table1[Key],Table1[주민등록번호],"",0)</f>
        <v>971XX61XX9X25</v>
      </c>
      <c r="P165" s="29">
        <f>_xlfn.XLOOKUP(Table2[[#This Row],[Key]],Table1[Key],Table1[비자],"",0)</f>
        <v>0</v>
      </c>
      <c r="Q165" s="29">
        <f>IF(P165=0,0,_xlfn.XLOOKUP(Table2[[#This Row],[Key]],Table1[Key],Table1[고용보험 여부],0,0))</f>
        <v>0</v>
      </c>
      <c r="R165" s="29" t="str">
        <f t="shared" si="29"/>
        <v>2504</v>
      </c>
      <c r="S165" s="30" t="str">
        <f>YEAR(Table2[[#This Row],[근무일자]])&amp;TEXT(WEEKNUM(Table2[[#This Row],[근무일자]]),"00")</f>
        <v>202517</v>
      </c>
      <c r="T165" s="31">
        <f>_xlfn.XLOOKUP(Table2[[#This Row],[Key]],Table1[Key],Table1[등록일],"",0)</f>
        <v>45721</v>
      </c>
      <c r="U165" s="32">
        <f t="shared" si="30"/>
        <v>0.33333333333333331</v>
      </c>
      <c r="V165" s="92">
        <f t="shared" si="31"/>
        <v>0</v>
      </c>
      <c r="W165" s="100" t="str">
        <f>_xlfn.XLOOKUP(Table2[[#This Row],[근무일자]],Table3[Date],Table3[Holiday],"",0)</f>
        <v/>
      </c>
      <c r="X165" s="93">
        <f>IF(D165&lt;&gt;"",1,0)+IF(COUNTIFS(Table2[주민등록번호],O165,Table2[월],TEXT(EOMONTH(D165,-1),"YYMM"))&gt;0,1+IF(COUNTIFS(Table2[주민등록번호],O165,Table2[월],TEXT(EOMONTH(D165,-2),"YYMM"))&gt;0,1+IF(COUNTIFS(Table2[주민등록번호],O165,Table2[월],TEXT(EOMONTH(D165,-3),"YYMM"))&gt;0,1,0),0),0)</f>
        <v>2</v>
      </c>
      <c r="Y165" s="29">
        <f>COUNTIFS(Table2[주민등록번호],O165,Table2[월],R165,Table2[근무일자],"&lt;="&amp;D165)</f>
        <v>14</v>
      </c>
      <c r="Z165" s="29">
        <f>COUNTIFS(Table2[주민등록번호],O165,Table2[주간],S165,Table2[근무일자],"&lt;="&amp;D165)</f>
        <v>2</v>
      </c>
      <c r="AA165" s="29">
        <f>SUMIFS(Table2[근로
시간],Table2[주민등록번호],O165,Table2[주간],S165,Table2[근무일자],"&lt;="&amp;D165)*24</f>
        <v>16</v>
      </c>
      <c r="AB165" s="29" t="str">
        <f>IF(AND(Y165&gt;=8,COUNTIFS(Table2[주민등록번호],O165,Table2[근무일자],"&gt;="&amp;EOMONTH(D165,-2)+1,Table2[근무일자],"&lt;="&amp;EOMONTH(D165,-1)+1)&gt;0),"V","")</f>
        <v>V</v>
      </c>
      <c r="AC165" s="94" cm="1">
        <f t="array" ref="AC165">IF(AD165&lt;&gt;"",AD165,_xlfn.XLOOKUP(1,(D165&lt;=Table7[End])*(E165=Table7[근무처])*(F165=Table7[업무]),Table7[시급],0,0))</f>
        <v>10680</v>
      </c>
      <c r="AD165" s="95"/>
      <c r="AE165" s="94">
        <f t="shared" si="32"/>
        <v>85440</v>
      </c>
      <c r="AF165" s="96" cm="1">
        <f t="array" ref="AF165">IF(AND(AA165&gt;=15,(AA165-U165*24)&lt;=40),IF(Z165&gt;=_xlfn.XLOOKUP(1,(D165&lt;=Table7[End])*(E165=Table7[근무처])*(F165=Table7[업무]),Table7[주휴적용일],0,0),1,0)+_xlfn.XLOOKUP(1,(Table2[주간]=Table2[[#This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65" s="96" cm="1">
        <f t="array" ref="AG165">MAX((_xlfn.IFS(AF165=0,0,AF165=1,AA165,AF165&gt;1,U165*24)-IF(AA165&gt;40,AA165-40,0))/5,0)</f>
        <v>3.2</v>
      </c>
      <c r="AH165" s="94">
        <f t="shared" si="33"/>
        <v>34176</v>
      </c>
      <c r="AI165" s="33" cm="1">
        <f t="array" ref="AI165">IF(W165="",0,ROUND(AC165*U165*24*_xlfn.XLOOKUP(1,(D165&lt;=Table7[End])*(E165=Table7[근무처])*(F165=Table7[업무]),Table7[휴일인센티브],0,0),0))</f>
        <v>0</v>
      </c>
      <c r="AJ165" s="94" cm="1">
        <f t="array" ref="AJ165">ROUND(AC165*IF(U165&gt;=8/24,U165-8/24,0)*24*_xlfn.XLOOKUP(1,(D165&lt;=Table7[End])*(E165=Table7[근무처])*(F165=Table7[업무]),Table7[야간인센티브],0,0),0)</f>
        <v>0</v>
      </c>
      <c r="AK165" s="94" cm="1">
        <f t="array" ref="AK165">IF(V165=0,0,ROUND(AC165*V165*24*_xlfn.XLOOKUP(1,(D165&lt;=Table7[End])*(E165=Table7[근무처])*(F165=Table7[업무]),Table7[야간인센티브],0,0),0))</f>
        <v>0</v>
      </c>
      <c r="AL165" s="95"/>
      <c r="AM165" s="94">
        <f t="shared" si="34"/>
        <v>119616</v>
      </c>
      <c r="AN165" s="94" cm="1">
        <f t="array" ref="AN165">IF(AM165&gt;=_xlfn.XLOOKUP(TRUE,D165&lt;=Table5[End],Table5[비과세소득기준],0,0),AM165-_xlfn.XLOOKUP(TRUE,D165&lt;=Table5[End],Table5[비과세소득기준],0,0),0)</f>
        <v>0</v>
      </c>
      <c r="AO165" s="94" cm="1">
        <f t="array" ref="AO165">ROUNDDOWN(_xlfn.LET(_xlpm.setvalue,_xlfn.XLOOKUP(TRUE,D165&lt;=Table5[End],Table5[[요율]:[근로소득세액공제]],0,0),_xlpm.tax,AN165*PRODUCT((_xlpm.setvalue-{0,1})*{1,-1}),_xlpm.threshold,_xlfn.XLOOKUP(TRUE,D165&lt;=Table5[End],Table5[소액부징수기준],0,0),IF(_xlpm.tax&gt;=_xlpm.threshold,_xlpm.tax,0)),-1)</f>
        <v>0</v>
      </c>
      <c r="AP165" s="94">
        <f>ROUNDDOWN(Table2[[#This Row],[소득세]]*10%,-1)</f>
        <v>0</v>
      </c>
      <c r="AQ165" s="94">
        <f>IF(AB165="v",AM165+IF(Y165=8,SUMIFS(Table2[지급총액],Table2[주민등록번호],O165,Table2[월],R165,Table2[월간
근무일],"&lt;="&amp;8)-AM165,0),0)+_xlfn.NUMBERVALUE(AR165)</f>
        <v>119616</v>
      </c>
      <c r="AR165" s="95"/>
      <c r="AS165" s="94" cm="1">
        <f t="array" ref="AS165">ROUNDDOWN($AQ165*_xlfn.XLOOKUP(1,(AS$5=Table8[Type])*($D165&lt;=Table8[End]),Table8[요율],0,0),0)</f>
        <v>4240</v>
      </c>
      <c r="AT165" s="94" cm="1">
        <f t="array" ref="AT165">ROUNDDOWN(AS165*_xlfn.XLOOKUP(1,(AT$5=Table8[Type])*($D165&lt;=Table8[End]),Table8[요율],0,0),-1)</f>
        <v>540</v>
      </c>
      <c r="AU165" s="94" cm="1">
        <f t="array" ref="AU165">ROUNDDOWN($AQ165*_xlfn.XLOOKUP(1,(AU$5=Table8[Type])*($D165&lt;=Table8[End]),Table8[요율],0,0),-1)</f>
        <v>5380</v>
      </c>
      <c r="AV165" s="94" cm="1">
        <f t="array" ref="AV165">ROUNDDOWN(AM165*_xlfn.XLOOKUP(1,(AV$5=Table8[Type])*($D165&lt;=Table8[End]),Table8[요율],0,0),-1)</f>
        <v>0</v>
      </c>
      <c r="AW165" s="94" cm="1">
        <f t="array" ref="AW165">_xlfn.XLOOKUP(1,(O165=Table2[주민등록번호])*(D165&gt;Table2[근무일자]),Table2[청구 Claim 
이월],0,0,-1)</f>
        <v>0</v>
      </c>
      <c r="AX165" s="95"/>
      <c r="AY165" s="94" cm="1">
        <f t="array" ref="AY165">MAX(SUM(AO165:AP165,AS165:AX165)-_xlfn.XLOOKUP(1,(D165&lt;=Table7[End])*(E165=Table7[근무처])*(F165=Table7[업무]),Table7[1일 공제 상한],0,0),0)</f>
        <v>0</v>
      </c>
      <c r="AZ165" s="94">
        <f t="shared" si="35"/>
        <v>10160</v>
      </c>
      <c r="BA165" s="94">
        <f t="shared" si="36"/>
        <v>109456</v>
      </c>
      <c r="BB165" s="97">
        <f t="shared" si="37"/>
        <v>0</v>
      </c>
      <c r="BC165" s="98"/>
      <c r="BD165" s="94">
        <f t="shared" si="38"/>
        <v>4240</v>
      </c>
      <c r="BE165" s="94">
        <f t="shared" si="39"/>
        <v>540</v>
      </c>
      <c r="BF165" s="94">
        <f t="shared" si="40"/>
        <v>5380</v>
      </c>
      <c r="BG165" s="94">
        <f t="shared" si="41"/>
        <v>0</v>
      </c>
      <c r="BH165" s="94" cm="1">
        <f t="array" ref="BH165">ROUNDDOWN(AM165*_xlfn.XLOOKUP(1,(BH$5=Table8[Type])*($D165&lt;=Table8[End]),Table8[요율],0,0),-1)</f>
        <v>950</v>
      </c>
      <c r="BI165" s="93" t="str" cm="1">
        <f t="array" ref="BI165">_xlfn.XLOOKUP(1,(D165&lt;=Table7[End])*(E165=Table7[근무처])*(F165=Table7[업무]),Table7[지급옵션],0,0)</f>
        <v>차주 화</v>
      </c>
      <c r="BJ165" s="83">
        <f>IF(BK165&lt;&gt;"",BK165,IFERROR(D165+_xlfn.NUMBERVALUE(RIGHT(BI165,1)),D165-WEEKDAY(D165)+CHOOSE(MATCH(RIGHT(BI165),{"일","월","화","수","목","금","토"},0),8,9,10,11,12,13,14)))</f>
        <v>45776</v>
      </c>
      <c r="BK165" s="99"/>
    </row>
    <row r="166" spans="2:63" x14ac:dyDescent="0.35">
      <c r="B166" s="20" t="str" cm="1">
        <f t="array" ref="B166">_xlfn.IFS(BB166&lt;&gt;BC166,"Claim확인",N166&lt;&gt;"OK","확인필요",TRUE,"")</f>
        <v/>
      </c>
      <c r="C166" s="21" t="str">
        <f t="shared" si="28"/>
        <v>010-3X6X-X4X7757X02XX284249</v>
      </c>
      <c r="D166" s="26">
        <v>45772</v>
      </c>
      <c r="E166" s="91" t="s">
        <v>255</v>
      </c>
      <c r="F166" s="25" t="s">
        <v>258</v>
      </c>
      <c r="G166" s="27" t="s">
        <v>283</v>
      </c>
      <c r="H166" s="25" t="s">
        <v>295</v>
      </c>
      <c r="I166" s="25"/>
      <c r="J166" s="25" t="s">
        <v>296</v>
      </c>
      <c r="K166" s="28">
        <v>0.29166666666666669</v>
      </c>
      <c r="L166" s="28">
        <v>0.5</v>
      </c>
      <c r="M166" s="28">
        <v>2.0833333333333332E-2</v>
      </c>
      <c r="N166" s="25" t="s">
        <v>281</v>
      </c>
      <c r="O166" s="29" t="str">
        <f>_xlfn.XLOOKUP(Table2[[#This Row],[Key]],Table1[Key],Table1[주민등록번호],"",0)</f>
        <v>940XX41XX7X32</v>
      </c>
      <c r="P166" s="29">
        <f>_xlfn.XLOOKUP(Table2[[#This Row],[Key]],Table1[Key],Table1[비자],"",0)</f>
        <v>0</v>
      </c>
      <c r="Q166" s="29">
        <f>IF(P166=0,0,_xlfn.XLOOKUP(Table2[[#This Row],[Key]],Table1[Key],Table1[고용보험 여부],0,0))</f>
        <v>0</v>
      </c>
      <c r="R166" s="29" t="str">
        <f t="shared" si="29"/>
        <v>2504</v>
      </c>
      <c r="S166" s="30" t="str">
        <f>YEAR(Table2[[#This Row],[근무일자]])&amp;TEXT(WEEKNUM(Table2[[#This Row],[근무일자]]),"00")</f>
        <v>202517</v>
      </c>
      <c r="T166" s="31">
        <f>_xlfn.XLOOKUP(Table2[[#This Row],[Key]],Table1[Key],Table1[등록일],"",0)</f>
        <v>45751</v>
      </c>
      <c r="U166" s="32">
        <f t="shared" si="30"/>
        <v>0.18749999999999997</v>
      </c>
      <c r="V166" s="92">
        <f t="shared" si="31"/>
        <v>0</v>
      </c>
      <c r="W166" s="100" t="str">
        <f>_xlfn.XLOOKUP(Table2[[#This Row],[근무일자]],Table3[Date],Table3[Holiday],"",0)</f>
        <v/>
      </c>
      <c r="X166" s="93">
        <f>IF(D166&lt;&gt;"",1,0)+IF(COUNTIFS(Table2[주민등록번호],O166,Table2[월],TEXT(EOMONTH(D166,-1),"YYMM"))&gt;0,1+IF(COUNTIFS(Table2[주민등록번호],O166,Table2[월],TEXT(EOMONTH(D166,-2),"YYMM"))&gt;0,1+IF(COUNTIFS(Table2[주민등록번호],O166,Table2[월],TEXT(EOMONTH(D166,-3),"YYMM"))&gt;0,1,0),0),0)</f>
        <v>1</v>
      </c>
      <c r="Y166" s="29">
        <f>COUNTIFS(Table2[주민등록번호],O166,Table2[월],R166,Table2[근무일자],"&lt;="&amp;D166)</f>
        <v>2</v>
      </c>
      <c r="Z166" s="29">
        <f>COUNTIFS(Table2[주민등록번호],O166,Table2[주간],S166,Table2[근무일자],"&lt;="&amp;D166)</f>
        <v>2</v>
      </c>
      <c r="AA166" s="29">
        <f>SUMIFS(Table2[근로
시간],Table2[주민등록번호],O166,Table2[주간],S166,Table2[근무일자],"&lt;="&amp;D166)*24</f>
        <v>9</v>
      </c>
      <c r="AB166" s="29" t="str">
        <f>IF(AND(Y166&gt;=8,COUNTIFS(Table2[주민등록번호],O166,Table2[근무일자],"&gt;="&amp;EOMONTH(D166,-2)+1,Table2[근무일자],"&lt;="&amp;EOMONTH(D166,-1)+1)&gt;0),"V","")</f>
        <v/>
      </c>
      <c r="AC166" s="94" cm="1">
        <f t="array" ref="AC166">IF(AD166&lt;&gt;"",AD166,_xlfn.XLOOKUP(1,(D166&lt;=Table7[End])*(E166=Table7[근무처])*(F166=Table7[업무]),Table7[시급],0,0))</f>
        <v>10680</v>
      </c>
      <c r="AD166" s="95"/>
      <c r="AE166" s="94">
        <f t="shared" si="32"/>
        <v>48060</v>
      </c>
      <c r="AF166" s="96" cm="1">
        <f t="array" ref="AF166">IF(AND(AA166&gt;=15,(AA166-U166*24)&lt;=40),IF(Z166&gt;=_xlfn.XLOOKUP(1,(D166&lt;=Table7[End])*(E166=Table7[근무처])*(F166=Table7[업무]),Table7[주휴적용일],0,0),1,0)+_xlfn.XLOOKUP(1,(Table2[주간]=Table2[[#This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66" s="96" cm="1">
        <f t="array" ref="AG166">MAX((_xlfn.IFS(AF166=0,0,AF166=1,AA166,AF166&gt;1,U166*24)-IF(AA166&gt;40,AA166-40,0))/5,0)</f>
        <v>0</v>
      </c>
      <c r="AH166" s="94">
        <f t="shared" si="33"/>
        <v>0</v>
      </c>
      <c r="AI166" s="33" cm="1">
        <f t="array" ref="AI166">IF(W166="",0,ROUND(AC166*U166*24*_xlfn.XLOOKUP(1,(D166&lt;=Table7[End])*(E166=Table7[근무처])*(F166=Table7[업무]),Table7[휴일인센티브],0,0),0))</f>
        <v>0</v>
      </c>
      <c r="AJ166" s="94" cm="1">
        <f t="array" ref="AJ166">ROUND(AC166*IF(U166&gt;=8/24,U166-8/24,0)*24*_xlfn.XLOOKUP(1,(D166&lt;=Table7[End])*(E166=Table7[근무처])*(F166=Table7[업무]),Table7[야간인센티브],0,0),0)</f>
        <v>0</v>
      </c>
      <c r="AK166" s="94" cm="1">
        <f t="array" ref="AK166">IF(V166=0,0,ROUND(AC166*V166*24*_xlfn.XLOOKUP(1,(D166&lt;=Table7[End])*(E166=Table7[근무처])*(F166=Table7[업무]),Table7[야간인센티브],0,0),0))</f>
        <v>0</v>
      </c>
      <c r="AL166" s="95"/>
      <c r="AM166" s="94">
        <f t="shared" si="34"/>
        <v>48060</v>
      </c>
      <c r="AN166" s="94" cm="1">
        <f t="array" ref="AN166">IF(AM166&gt;=_xlfn.XLOOKUP(TRUE,D166&lt;=Table5[End],Table5[비과세소득기준],0,0),AM166-_xlfn.XLOOKUP(TRUE,D166&lt;=Table5[End],Table5[비과세소득기준],0,0),0)</f>
        <v>0</v>
      </c>
      <c r="AO166" s="94" cm="1">
        <f t="array" ref="AO166">ROUNDDOWN(_xlfn.LET(_xlpm.setvalue,_xlfn.XLOOKUP(TRUE,D166&lt;=Table5[End],Table5[[요율]:[근로소득세액공제]],0,0),_xlpm.tax,AN166*PRODUCT((_xlpm.setvalue-{0,1})*{1,-1}),_xlpm.threshold,_xlfn.XLOOKUP(TRUE,D166&lt;=Table5[End],Table5[소액부징수기준],0,0),IF(_xlpm.tax&gt;=_xlpm.threshold,_xlpm.tax,0)),-1)</f>
        <v>0</v>
      </c>
      <c r="AP166" s="94">
        <f>ROUNDDOWN(Table2[[#This Row],[소득세]]*10%,-1)</f>
        <v>0</v>
      </c>
      <c r="AQ166" s="94">
        <f>IF(AB166="v",AM166+IF(Y166=8,SUMIFS(Table2[지급총액],Table2[주민등록번호],O166,Table2[월],R166,Table2[월간
근무일],"&lt;="&amp;8)-AM166,0),0)+_xlfn.NUMBERVALUE(AR166)</f>
        <v>0</v>
      </c>
      <c r="AR166" s="95"/>
      <c r="AS166" s="94" cm="1">
        <f t="array" ref="AS166">ROUNDDOWN($AQ166*_xlfn.XLOOKUP(1,(AS$5=Table8[Type])*($D166&lt;=Table8[End]),Table8[요율],0,0),0)</f>
        <v>0</v>
      </c>
      <c r="AT166" s="94" cm="1">
        <f t="array" ref="AT166">ROUNDDOWN(AS166*_xlfn.XLOOKUP(1,(AT$5=Table8[Type])*($D166&lt;=Table8[End]),Table8[요율],0,0),-1)</f>
        <v>0</v>
      </c>
      <c r="AU166" s="94" cm="1">
        <f t="array" ref="AU166">ROUNDDOWN($AQ166*_xlfn.XLOOKUP(1,(AU$5=Table8[Type])*($D166&lt;=Table8[End]),Table8[요율],0,0),-1)</f>
        <v>0</v>
      </c>
      <c r="AV166" s="94" cm="1">
        <f t="array" ref="AV166">ROUNDDOWN(AM166*_xlfn.XLOOKUP(1,(AV$5=Table8[Type])*($D166&lt;=Table8[End]),Table8[요율],0,0),-1)</f>
        <v>0</v>
      </c>
      <c r="AW166" s="94" cm="1">
        <f t="array" ref="AW166">_xlfn.XLOOKUP(1,(O166=Table2[주민등록번호])*(D166&gt;Table2[근무일자]),Table2[청구 Claim 
이월],0,0,-1)</f>
        <v>0</v>
      </c>
      <c r="AX166" s="95"/>
      <c r="AY166" s="94" cm="1">
        <f t="array" ref="AY166">MAX(SUM(AO166:AP166,AS166:AX166)-_xlfn.XLOOKUP(1,(D166&lt;=Table7[End])*(E166=Table7[근무처])*(F166=Table7[업무]),Table7[1일 공제 상한],0,0),0)</f>
        <v>0</v>
      </c>
      <c r="AZ166" s="94">
        <f t="shared" si="35"/>
        <v>0</v>
      </c>
      <c r="BA166" s="94">
        <f t="shared" si="36"/>
        <v>48060</v>
      </c>
      <c r="BB166" s="97">
        <f t="shared" si="37"/>
        <v>0</v>
      </c>
      <c r="BC166" s="98"/>
      <c r="BD166" s="94">
        <f t="shared" si="38"/>
        <v>0</v>
      </c>
      <c r="BE166" s="94">
        <f t="shared" si="39"/>
        <v>0</v>
      </c>
      <c r="BF166" s="94">
        <f t="shared" si="40"/>
        <v>0</v>
      </c>
      <c r="BG166" s="94">
        <f t="shared" si="41"/>
        <v>0</v>
      </c>
      <c r="BH166" s="94" cm="1">
        <f t="array" ref="BH166">ROUNDDOWN(AM166*_xlfn.XLOOKUP(1,(BH$5=Table8[Type])*($D166&lt;=Table8[End]),Table8[요율],0,0),-1)</f>
        <v>380</v>
      </c>
      <c r="BI166" s="93" t="str" cm="1">
        <f t="array" ref="BI166">_xlfn.XLOOKUP(1,(D166&lt;=Table7[End])*(E166=Table7[근무처])*(F166=Table7[업무]),Table7[지급옵션],0,0)</f>
        <v>차주 화</v>
      </c>
      <c r="BJ166" s="83">
        <f>IF(BK166&lt;&gt;"",BK166,IFERROR(D166+_xlfn.NUMBERVALUE(RIGHT(BI166,1)),D166-WEEKDAY(D166)+CHOOSE(MATCH(RIGHT(BI166),{"일","월","화","수","목","금","토"},0),8,9,10,11,12,13,14)))</f>
        <v>45776</v>
      </c>
      <c r="BK166" s="99"/>
    </row>
    <row r="167" spans="2:63" x14ac:dyDescent="0.35">
      <c r="B167" s="20" t="str" cm="1">
        <f t="array" ref="B167">_xlfn.IFS(BB167&lt;&gt;BC167,"Claim확인",N167&lt;&gt;"OK","확인필요",TRUE,"")</f>
        <v/>
      </c>
      <c r="C167" s="21" t="str">
        <f t="shared" si="28"/>
        <v>010-7X6X-X9X5110X98XX7530</v>
      </c>
      <c r="D167" s="26">
        <v>45773</v>
      </c>
      <c r="E167" s="91" t="s">
        <v>255</v>
      </c>
      <c r="F167" s="25" t="s">
        <v>258</v>
      </c>
      <c r="G167" s="27" t="s">
        <v>282</v>
      </c>
      <c r="H167" s="25" t="s">
        <v>289</v>
      </c>
      <c r="I167" s="25"/>
      <c r="J167" s="25" t="s">
        <v>290</v>
      </c>
      <c r="K167" s="28">
        <v>0.3125</v>
      </c>
      <c r="L167" s="28">
        <v>0.6875</v>
      </c>
      <c r="M167" s="28">
        <v>4.1666666666666664E-2</v>
      </c>
      <c r="N167" s="25" t="s">
        <v>281</v>
      </c>
      <c r="O167" s="29" t="str">
        <f>_xlfn.XLOOKUP(Table2[[#This Row],[Key]],Table1[Key],Table1[주민등록번호],"",0)</f>
        <v>990XX62XX3X13</v>
      </c>
      <c r="P167" s="29">
        <f>_xlfn.XLOOKUP(Table2[[#This Row],[Key]],Table1[Key],Table1[비자],"",0)</f>
        <v>0</v>
      </c>
      <c r="Q167" s="29">
        <f>IF(P167=0,0,_xlfn.XLOOKUP(Table2[[#This Row],[Key]],Table1[Key],Table1[고용보험 여부],0,0))</f>
        <v>0</v>
      </c>
      <c r="R167" s="29" t="str">
        <f t="shared" si="29"/>
        <v>2504</v>
      </c>
      <c r="S167" s="30" t="str">
        <f>YEAR(Table2[[#This Row],[근무일자]])&amp;TEXT(WEEKNUM(Table2[[#This Row],[근무일자]]),"00")</f>
        <v>202517</v>
      </c>
      <c r="T167" s="31">
        <f>_xlfn.XLOOKUP(Table2[[#This Row],[Key]],Table1[Key],Table1[등록일],"",0)</f>
        <v>45696</v>
      </c>
      <c r="U167" s="32">
        <f t="shared" si="30"/>
        <v>0.33333333333333331</v>
      </c>
      <c r="V167" s="92">
        <f t="shared" si="31"/>
        <v>0</v>
      </c>
      <c r="W167" s="100" t="str">
        <f>_xlfn.XLOOKUP(Table2[[#This Row],[근무일자]],Table3[Date],Table3[Holiday],"",0)</f>
        <v/>
      </c>
      <c r="X167" s="93">
        <f>IF(D167&lt;&gt;"",1,0)+IF(COUNTIFS(Table2[주민등록번호],O167,Table2[월],TEXT(EOMONTH(D167,-1),"YYMM"))&gt;0,1+IF(COUNTIFS(Table2[주민등록번호],O167,Table2[월],TEXT(EOMONTH(D167,-2),"YYMM"))&gt;0,1+IF(COUNTIFS(Table2[주민등록번호],O167,Table2[월],TEXT(EOMONTH(D167,-3),"YYMM"))&gt;0,1,0),0),0)</f>
        <v>3</v>
      </c>
      <c r="Y167" s="29">
        <f>COUNTIFS(Table2[주민등록번호],O167,Table2[월],R167,Table2[근무일자],"&lt;="&amp;D167)</f>
        <v>6</v>
      </c>
      <c r="Z167" s="29">
        <f>COUNTIFS(Table2[주민등록번호],O167,Table2[주간],S167,Table2[근무일자],"&lt;="&amp;D167)</f>
        <v>2</v>
      </c>
      <c r="AA167" s="29">
        <f>SUMIFS(Table2[근로
시간],Table2[주민등록번호],O167,Table2[주간],S167,Table2[근무일자],"&lt;="&amp;D167)*24</f>
        <v>16</v>
      </c>
      <c r="AB167" s="29" t="str">
        <f>IF(AND(Y167&gt;=8,COUNTIFS(Table2[주민등록번호],O167,Table2[근무일자],"&gt;="&amp;EOMONTH(D167,-2)+1,Table2[근무일자],"&lt;="&amp;EOMONTH(D167,-1)+1)&gt;0),"V","")</f>
        <v/>
      </c>
      <c r="AC167" s="94" cm="1">
        <f t="array" ref="AC167">IF(AD167&lt;&gt;"",AD167,_xlfn.XLOOKUP(1,(D167&lt;=Table7[End])*(E167=Table7[근무처])*(F167=Table7[업무]),Table7[시급],0,0))</f>
        <v>10680</v>
      </c>
      <c r="AD167" s="95"/>
      <c r="AE167" s="94">
        <f t="shared" si="32"/>
        <v>85440</v>
      </c>
      <c r="AF167" s="96" cm="1">
        <f t="array" ref="AF167">IF(AND(AA167&gt;=15,(AA167-U167*24)&lt;=40),IF(Z167&gt;=_xlfn.XLOOKUP(1,(D167&lt;=Table7[End])*(E167=Table7[근무처])*(F167=Table7[업무]),Table7[주휴적용일],0,0),1,0)+_xlfn.XLOOKUP(1,(Table2[주간]=Table2[[#This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67" s="96" cm="1">
        <f t="array" ref="AG167">MAX((_xlfn.IFS(AF167=0,0,AF167=1,AA167,AF167&gt;1,U167*24)-IF(AA167&gt;40,AA167-40,0))/5,0)</f>
        <v>3.2</v>
      </c>
      <c r="AH167" s="94">
        <f t="shared" si="33"/>
        <v>34176</v>
      </c>
      <c r="AI167" s="33" cm="1">
        <f t="array" ref="AI167">IF(W167="",0,ROUND(AC167*U167*24*_xlfn.XLOOKUP(1,(D167&lt;=Table7[End])*(E167=Table7[근무처])*(F167=Table7[업무]),Table7[휴일인센티브],0,0),0))</f>
        <v>0</v>
      </c>
      <c r="AJ167" s="94" cm="1">
        <f t="array" ref="AJ167">ROUND(AC167*IF(U167&gt;=8/24,U167-8/24,0)*24*_xlfn.XLOOKUP(1,(D167&lt;=Table7[End])*(E167=Table7[근무처])*(F167=Table7[업무]),Table7[야간인센티브],0,0),0)</f>
        <v>0</v>
      </c>
      <c r="AK167" s="94" cm="1">
        <f t="array" ref="AK167">IF(V167=0,0,ROUND(AC167*V167*24*_xlfn.XLOOKUP(1,(D167&lt;=Table7[End])*(E167=Table7[근무처])*(F167=Table7[업무]),Table7[야간인센티브],0,0),0))</f>
        <v>0</v>
      </c>
      <c r="AL167" s="95"/>
      <c r="AM167" s="94">
        <f t="shared" si="34"/>
        <v>119616</v>
      </c>
      <c r="AN167" s="94" cm="1">
        <f t="array" ref="AN167">IF(AM167&gt;=_xlfn.XLOOKUP(TRUE,D167&lt;=Table5[End],Table5[비과세소득기준],0,0),AM167-_xlfn.XLOOKUP(TRUE,D167&lt;=Table5[End],Table5[비과세소득기준],0,0),0)</f>
        <v>0</v>
      </c>
      <c r="AO167" s="94" cm="1">
        <f t="array" ref="AO167">ROUNDDOWN(_xlfn.LET(_xlpm.setvalue,_xlfn.XLOOKUP(TRUE,D167&lt;=Table5[End],Table5[[요율]:[근로소득세액공제]],0,0),_xlpm.tax,AN167*PRODUCT((_xlpm.setvalue-{0,1})*{1,-1}),_xlpm.threshold,_xlfn.XLOOKUP(TRUE,D167&lt;=Table5[End],Table5[소액부징수기준],0,0),IF(_xlpm.tax&gt;=_xlpm.threshold,_xlpm.tax,0)),-1)</f>
        <v>0</v>
      </c>
      <c r="AP167" s="94">
        <f>ROUNDDOWN(Table2[[#This Row],[소득세]]*10%,-1)</f>
        <v>0</v>
      </c>
      <c r="AQ167" s="94">
        <f>IF(AB167="v",AM167+IF(Y167=8,SUMIFS(Table2[지급총액],Table2[주민등록번호],O167,Table2[월],R167,Table2[월간
근무일],"&lt;="&amp;8)-AM167,0),0)+_xlfn.NUMBERVALUE(AR167)</f>
        <v>0</v>
      </c>
      <c r="AR167" s="95"/>
      <c r="AS167" s="94" cm="1">
        <f t="array" ref="AS167">ROUNDDOWN($AQ167*_xlfn.XLOOKUP(1,(AS$5=Table8[Type])*($D167&lt;=Table8[End]),Table8[요율],0,0),0)</f>
        <v>0</v>
      </c>
      <c r="AT167" s="94" cm="1">
        <f t="array" ref="AT167">ROUNDDOWN(AS167*_xlfn.XLOOKUP(1,(AT$5=Table8[Type])*($D167&lt;=Table8[End]),Table8[요율],0,0),-1)</f>
        <v>0</v>
      </c>
      <c r="AU167" s="94" cm="1">
        <f t="array" ref="AU167">ROUNDDOWN($AQ167*_xlfn.XLOOKUP(1,(AU$5=Table8[Type])*($D167&lt;=Table8[End]),Table8[요율],0,0),-1)</f>
        <v>0</v>
      </c>
      <c r="AV167" s="94" cm="1">
        <f t="array" ref="AV167">ROUNDDOWN(AM167*_xlfn.XLOOKUP(1,(AV$5=Table8[Type])*($D167&lt;=Table8[End]),Table8[요율],0,0),-1)</f>
        <v>0</v>
      </c>
      <c r="AW167" s="94" cm="1">
        <f t="array" ref="AW167">_xlfn.XLOOKUP(1,(O167=Table2[주민등록번호])*(D167&gt;Table2[근무일자]),Table2[청구 Claim 
이월],0,0,-1)</f>
        <v>0</v>
      </c>
      <c r="AX167" s="95"/>
      <c r="AY167" s="94" cm="1">
        <f t="array" ref="AY167">MAX(SUM(AO167:AP167,AS167:AX167)-_xlfn.XLOOKUP(1,(D167&lt;=Table7[End])*(E167=Table7[근무처])*(F167=Table7[업무]),Table7[1일 공제 상한],0,0),0)</f>
        <v>0</v>
      </c>
      <c r="AZ167" s="94">
        <f t="shared" si="35"/>
        <v>0</v>
      </c>
      <c r="BA167" s="94">
        <f t="shared" si="36"/>
        <v>119616</v>
      </c>
      <c r="BB167" s="97">
        <f t="shared" si="37"/>
        <v>0</v>
      </c>
      <c r="BC167" s="98"/>
      <c r="BD167" s="94">
        <f t="shared" si="38"/>
        <v>0</v>
      </c>
      <c r="BE167" s="94">
        <f t="shared" si="39"/>
        <v>0</v>
      </c>
      <c r="BF167" s="94">
        <f t="shared" si="40"/>
        <v>0</v>
      </c>
      <c r="BG167" s="94">
        <f t="shared" si="41"/>
        <v>0</v>
      </c>
      <c r="BH167" s="94" cm="1">
        <f t="array" ref="BH167">ROUNDDOWN(AM167*_xlfn.XLOOKUP(1,(BH$5=Table8[Type])*($D167&lt;=Table8[End]),Table8[요율],0,0),-1)</f>
        <v>950</v>
      </c>
      <c r="BI167" s="93" t="str" cm="1">
        <f t="array" ref="BI167">_xlfn.XLOOKUP(1,(D167&lt;=Table7[End])*(E167=Table7[근무처])*(F167=Table7[업무]),Table7[지급옵션],0,0)</f>
        <v>차주 화</v>
      </c>
      <c r="BJ167" s="83">
        <f>IF(BK167&lt;&gt;"",BK167,IFERROR(D167+_xlfn.NUMBERVALUE(RIGHT(BI167,1)),D167-WEEKDAY(D167)+CHOOSE(MATCH(RIGHT(BI167),{"일","월","화","수","목","금","토"},0),8,9,10,11,12,13,14)))</f>
        <v>45776</v>
      </c>
      <c r="BK167" s="99"/>
    </row>
    <row r="168" spans="2:63" x14ac:dyDescent="0.35">
      <c r="B168" s="20" t="str" cm="1">
        <f t="array" ref="B168">_xlfn.IFS(BB168&lt;&gt;BC168,"Claim확인",N168&lt;&gt;"OK","확인필요",TRUE,"")</f>
        <v/>
      </c>
      <c r="C168" s="21" t="str">
        <f t="shared" si="28"/>
        <v>010-8X0X-X0X9982X03XX901018</v>
      </c>
      <c r="D168" s="26">
        <v>45773</v>
      </c>
      <c r="E168" s="91" t="s">
        <v>255</v>
      </c>
      <c r="F168" s="25" t="s">
        <v>258</v>
      </c>
      <c r="G168" s="27" t="s">
        <v>283</v>
      </c>
      <c r="H168" s="25" t="s">
        <v>291</v>
      </c>
      <c r="I168" s="25"/>
      <c r="J168" s="25" t="s">
        <v>292</v>
      </c>
      <c r="K168" s="28">
        <v>0.3125</v>
      </c>
      <c r="L168" s="28">
        <v>0.6875</v>
      </c>
      <c r="M168" s="28">
        <v>4.1666666666666664E-2</v>
      </c>
      <c r="N168" s="25" t="s">
        <v>281</v>
      </c>
      <c r="O168" s="29" t="str">
        <f>_xlfn.XLOOKUP(Table2[[#This Row],[Key]],Table1[Key],Table1[주민등록번호],"",0)</f>
        <v>960XX51XX9X15</v>
      </c>
      <c r="P168" s="29">
        <f>_xlfn.XLOOKUP(Table2[[#This Row],[Key]],Table1[Key],Table1[비자],"",0)</f>
        <v>0</v>
      </c>
      <c r="Q168" s="29">
        <f>IF(P168=0,0,_xlfn.XLOOKUP(Table2[[#This Row],[Key]],Table1[Key],Table1[고용보험 여부],0,0))</f>
        <v>0</v>
      </c>
      <c r="R168" s="29" t="str">
        <f t="shared" si="29"/>
        <v>2504</v>
      </c>
      <c r="S168" s="30" t="str">
        <f>YEAR(Table2[[#This Row],[근무일자]])&amp;TEXT(WEEKNUM(Table2[[#This Row],[근무일자]]),"00")</f>
        <v>202517</v>
      </c>
      <c r="T168" s="31">
        <f>_xlfn.XLOOKUP(Table2[[#This Row],[Key]],Table1[Key],Table1[등록일],"",0)</f>
        <v>45698</v>
      </c>
      <c r="U168" s="32">
        <f t="shared" si="30"/>
        <v>0.33333333333333331</v>
      </c>
      <c r="V168" s="92">
        <f t="shared" si="31"/>
        <v>0</v>
      </c>
      <c r="W168" s="100" t="str">
        <f>_xlfn.XLOOKUP(Table2[[#This Row],[근무일자]],Table3[Date],Table3[Holiday],"",0)</f>
        <v/>
      </c>
      <c r="X168" s="93">
        <f>IF(D168&lt;&gt;"",1,0)+IF(COUNTIFS(Table2[주민등록번호],O168,Table2[월],TEXT(EOMONTH(D168,-1),"YYMM"))&gt;0,1+IF(COUNTIFS(Table2[주민등록번호],O168,Table2[월],TEXT(EOMONTH(D168,-2),"YYMM"))&gt;0,1+IF(COUNTIFS(Table2[주민등록번호],O168,Table2[월],TEXT(EOMONTH(D168,-3),"YYMM"))&gt;0,1,0),0),0)</f>
        <v>3</v>
      </c>
      <c r="Y168" s="29">
        <f>COUNTIFS(Table2[주민등록번호],O168,Table2[월],R168,Table2[근무일자],"&lt;="&amp;D168)</f>
        <v>17</v>
      </c>
      <c r="Z168" s="29">
        <f>COUNTIFS(Table2[주민등록번호],O168,Table2[주간],S168,Table2[근무일자],"&lt;="&amp;D168)</f>
        <v>5</v>
      </c>
      <c r="AA168" s="29">
        <f>SUMIFS(Table2[근로
시간],Table2[주민등록번호],O168,Table2[주간],S168,Table2[근무일자],"&lt;="&amp;D168)*24</f>
        <v>40</v>
      </c>
      <c r="AB168" s="29" t="str">
        <f>IF(AND(Y168&gt;=8,COUNTIFS(Table2[주민등록번호],O168,Table2[근무일자],"&gt;="&amp;EOMONTH(D168,-2)+1,Table2[근무일자],"&lt;="&amp;EOMONTH(D168,-1)+1)&gt;0),"V","")</f>
        <v>V</v>
      </c>
      <c r="AC168" s="94" cm="1">
        <f t="array" ref="AC168">IF(AD168&lt;&gt;"",AD168,_xlfn.XLOOKUP(1,(D168&lt;=Table7[End])*(E168=Table7[근무처])*(F168=Table7[업무]),Table7[시급],0,0))</f>
        <v>10680</v>
      </c>
      <c r="AD168" s="95"/>
      <c r="AE168" s="94">
        <f t="shared" si="32"/>
        <v>85440</v>
      </c>
      <c r="AF168" s="96" cm="1">
        <f t="array" ref="AF168">IF(AND(AA168&gt;=15,(AA168-U168*24)&lt;=40),IF(Z168&gt;=_xlfn.XLOOKUP(1,(D168&lt;=Table7[End])*(E168=Table7[근무처])*(F168=Table7[업무]),Table7[주휴적용일],0,0),1,0)+_xlfn.XLOOKUP(1,(Table2[주간]=Table2[[#This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168" s="96" cm="1">
        <f t="array" ref="AG168">MAX((_xlfn.IFS(AF168=0,0,AF168=1,AA168,AF168&gt;1,U168*24)-IF(AA168&gt;40,AA168-40,0))/5,0)</f>
        <v>1.6</v>
      </c>
      <c r="AH168" s="94">
        <f t="shared" si="33"/>
        <v>17088</v>
      </c>
      <c r="AI168" s="33" cm="1">
        <f t="array" ref="AI168">IF(W168="",0,ROUND(AC168*U168*24*_xlfn.XLOOKUP(1,(D168&lt;=Table7[End])*(E168=Table7[근무처])*(F168=Table7[업무]),Table7[휴일인센티브],0,0),0))</f>
        <v>0</v>
      </c>
      <c r="AJ168" s="94" cm="1">
        <f t="array" ref="AJ168">ROUND(AC168*IF(U168&gt;=8/24,U168-8/24,0)*24*_xlfn.XLOOKUP(1,(D168&lt;=Table7[End])*(E168=Table7[근무처])*(F168=Table7[업무]),Table7[야간인센티브],0,0),0)</f>
        <v>0</v>
      </c>
      <c r="AK168" s="94" cm="1">
        <f t="array" ref="AK168">IF(V168=0,0,ROUND(AC168*V168*24*_xlfn.XLOOKUP(1,(D168&lt;=Table7[End])*(E168=Table7[근무처])*(F168=Table7[업무]),Table7[야간인센티브],0,0),0))</f>
        <v>0</v>
      </c>
      <c r="AL168" s="95"/>
      <c r="AM168" s="94">
        <f t="shared" si="34"/>
        <v>102528</v>
      </c>
      <c r="AN168" s="94" cm="1">
        <f t="array" ref="AN168">IF(AM168&gt;=_xlfn.XLOOKUP(TRUE,D168&lt;=Table5[End],Table5[비과세소득기준],0,0),AM168-_xlfn.XLOOKUP(TRUE,D168&lt;=Table5[End],Table5[비과세소득기준],0,0),0)</f>
        <v>0</v>
      </c>
      <c r="AO168" s="94" cm="1">
        <f t="array" ref="AO168">ROUNDDOWN(_xlfn.LET(_xlpm.setvalue,_xlfn.XLOOKUP(TRUE,D168&lt;=Table5[End],Table5[[요율]:[근로소득세액공제]],0,0),_xlpm.tax,AN168*PRODUCT((_xlpm.setvalue-{0,1})*{1,-1}),_xlpm.threshold,_xlfn.XLOOKUP(TRUE,D168&lt;=Table5[End],Table5[소액부징수기준],0,0),IF(_xlpm.tax&gt;=_xlpm.threshold,_xlpm.tax,0)),-1)</f>
        <v>0</v>
      </c>
      <c r="AP168" s="94">
        <f>ROUNDDOWN(Table2[[#This Row],[소득세]]*10%,-1)</f>
        <v>0</v>
      </c>
      <c r="AQ168" s="94">
        <f>IF(AB168="v",AM168+IF(Y168=8,SUMIFS(Table2[지급총액],Table2[주민등록번호],O168,Table2[월],R168,Table2[월간
근무일],"&lt;="&amp;8)-AM168,0),0)+_xlfn.NUMBERVALUE(AR168)</f>
        <v>102528</v>
      </c>
      <c r="AR168" s="95"/>
      <c r="AS168" s="94" cm="1">
        <f t="array" ref="AS168">ROUNDDOWN($AQ168*_xlfn.XLOOKUP(1,(AS$5=Table8[Type])*($D168&lt;=Table8[End]),Table8[요율],0,0),0)</f>
        <v>3634</v>
      </c>
      <c r="AT168" s="94" cm="1">
        <f t="array" ref="AT168">ROUNDDOWN(AS168*_xlfn.XLOOKUP(1,(AT$5=Table8[Type])*($D168&lt;=Table8[End]),Table8[요율],0,0),-1)</f>
        <v>470</v>
      </c>
      <c r="AU168" s="94" cm="1">
        <f t="array" ref="AU168">ROUNDDOWN($AQ168*_xlfn.XLOOKUP(1,(AU$5=Table8[Type])*($D168&lt;=Table8[End]),Table8[요율],0,0),-1)</f>
        <v>4610</v>
      </c>
      <c r="AV168" s="94" cm="1">
        <f t="array" ref="AV168">ROUNDDOWN(AM168*_xlfn.XLOOKUP(1,(AV$5=Table8[Type])*($D168&lt;=Table8[End]),Table8[요율],0,0),-1)</f>
        <v>0</v>
      </c>
      <c r="AW168" s="94" cm="1">
        <f t="array" ref="AW168">_xlfn.XLOOKUP(1,(O168=Table2[주민등록번호])*(D168&gt;Table2[근무일자]),Table2[청구 Claim 
이월],0,0,-1)</f>
        <v>0</v>
      </c>
      <c r="AX168" s="95"/>
      <c r="AY168" s="94" cm="1">
        <f t="array" ref="AY168">MAX(SUM(AO168:AP168,AS168:AX168)-_xlfn.XLOOKUP(1,(D168&lt;=Table7[End])*(E168=Table7[근무처])*(F168=Table7[업무]),Table7[1일 공제 상한],0,0),0)</f>
        <v>0</v>
      </c>
      <c r="AZ168" s="94">
        <f t="shared" si="35"/>
        <v>8714</v>
      </c>
      <c r="BA168" s="94">
        <f t="shared" si="36"/>
        <v>93814</v>
      </c>
      <c r="BB168" s="97">
        <f t="shared" si="37"/>
        <v>0</v>
      </c>
      <c r="BC168" s="98"/>
      <c r="BD168" s="94">
        <f t="shared" si="38"/>
        <v>3634</v>
      </c>
      <c r="BE168" s="94">
        <f t="shared" si="39"/>
        <v>470</v>
      </c>
      <c r="BF168" s="94">
        <f t="shared" si="40"/>
        <v>4610</v>
      </c>
      <c r="BG168" s="94">
        <f t="shared" si="41"/>
        <v>0</v>
      </c>
      <c r="BH168" s="94" cm="1">
        <f t="array" ref="BH168">ROUNDDOWN(AM168*_xlfn.XLOOKUP(1,(BH$5=Table8[Type])*($D168&lt;=Table8[End]),Table8[요율],0,0),-1)</f>
        <v>820</v>
      </c>
      <c r="BI168" s="93" t="str" cm="1">
        <f t="array" ref="BI168">_xlfn.XLOOKUP(1,(D168&lt;=Table7[End])*(E168=Table7[근무처])*(F168=Table7[업무]),Table7[지급옵션],0,0)</f>
        <v>차주 화</v>
      </c>
      <c r="BJ168" s="83">
        <f>IF(BK168&lt;&gt;"",BK168,IFERROR(D168+_xlfn.NUMBERVALUE(RIGHT(BI168,1)),D168-WEEKDAY(D168)+CHOOSE(MATCH(RIGHT(BI168),{"일","월","화","수","목","금","토"},0),8,9,10,11,12,13,14)))</f>
        <v>45776</v>
      </c>
      <c r="BK168" s="99"/>
    </row>
    <row r="169" spans="2:63" x14ac:dyDescent="0.35">
      <c r="B169" s="20" t="str" cm="1">
        <f t="array" ref="B169">_xlfn.IFS(BB169&lt;&gt;BC169,"Claim확인",N169&lt;&gt;"OK","확인필요",TRUE,"")</f>
        <v/>
      </c>
      <c r="C169" s="21" t="str">
        <f t="shared" si="28"/>
        <v>010-6X1X-X3X0333X04XX46879</v>
      </c>
      <c r="D169" s="26">
        <v>45773</v>
      </c>
      <c r="E169" s="91" t="s">
        <v>255</v>
      </c>
      <c r="F169" s="25" t="s">
        <v>258</v>
      </c>
      <c r="G169" s="27" t="s">
        <v>284</v>
      </c>
      <c r="H169" s="25" t="s">
        <v>293</v>
      </c>
      <c r="I169" s="25"/>
      <c r="J169" s="25" t="s">
        <v>294</v>
      </c>
      <c r="K169" s="28">
        <v>0.375</v>
      </c>
      <c r="L169" s="28">
        <v>0.75</v>
      </c>
      <c r="M169" s="28">
        <v>4.1666666666666664E-2</v>
      </c>
      <c r="N169" s="25" t="s">
        <v>281</v>
      </c>
      <c r="O169" s="29" t="str">
        <f>_xlfn.XLOOKUP(Table2[[#This Row],[Key]],Table1[Key],Table1[주민등록번호],"",0)</f>
        <v>971XX61XX9X25</v>
      </c>
      <c r="P169" s="29">
        <f>_xlfn.XLOOKUP(Table2[[#This Row],[Key]],Table1[Key],Table1[비자],"",0)</f>
        <v>0</v>
      </c>
      <c r="Q169" s="29">
        <f>IF(P169=0,0,_xlfn.XLOOKUP(Table2[[#This Row],[Key]],Table1[Key],Table1[고용보험 여부],0,0))</f>
        <v>0</v>
      </c>
      <c r="R169" s="29" t="str">
        <f t="shared" si="29"/>
        <v>2504</v>
      </c>
      <c r="S169" s="30" t="str">
        <f>YEAR(Table2[[#This Row],[근무일자]])&amp;TEXT(WEEKNUM(Table2[[#This Row],[근무일자]]),"00")</f>
        <v>202517</v>
      </c>
      <c r="T169" s="31">
        <f>_xlfn.XLOOKUP(Table2[[#This Row],[Key]],Table1[Key],Table1[등록일],"",0)</f>
        <v>45721</v>
      </c>
      <c r="U169" s="32">
        <f t="shared" si="30"/>
        <v>0.33333333333333331</v>
      </c>
      <c r="V169" s="92">
        <f t="shared" si="31"/>
        <v>0</v>
      </c>
      <c r="W169" s="100" t="str">
        <f>_xlfn.XLOOKUP(Table2[[#This Row],[근무일자]],Table3[Date],Table3[Holiday],"",0)</f>
        <v/>
      </c>
      <c r="X169" s="93">
        <f>IF(D169&lt;&gt;"",1,0)+IF(COUNTIFS(Table2[주민등록번호],O169,Table2[월],TEXT(EOMONTH(D169,-1),"YYMM"))&gt;0,1+IF(COUNTIFS(Table2[주민등록번호],O169,Table2[월],TEXT(EOMONTH(D169,-2),"YYMM"))&gt;0,1+IF(COUNTIFS(Table2[주민등록번호],O169,Table2[월],TEXT(EOMONTH(D169,-3),"YYMM"))&gt;0,1,0),0),0)</f>
        <v>2</v>
      </c>
      <c r="Y169" s="29">
        <f>COUNTIFS(Table2[주민등록번호],O169,Table2[월],R169,Table2[근무일자],"&lt;="&amp;D169)</f>
        <v>15</v>
      </c>
      <c r="Z169" s="29">
        <f>COUNTIFS(Table2[주민등록번호],O169,Table2[주간],S169,Table2[근무일자],"&lt;="&amp;D169)</f>
        <v>3</v>
      </c>
      <c r="AA169" s="29">
        <f>SUMIFS(Table2[근로
시간],Table2[주민등록번호],O169,Table2[주간],S169,Table2[근무일자],"&lt;="&amp;D169)*24</f>
        <v>24</v>
      </c>
      <c r="AB169" s="29" t="str">
        <f>IF(AND(Y169&gt;=8,COUNTIFS(Table2[주민등록번호],O169,Table2[근무일자],"&gt;="&amp;EOMONTH(D169,-2)+1,Table2[근무일자],"&lt;="&amp;EOMONTH(D169,-1)+1)&gt;0),"V","")</f>
        <v>V</v>
      </c>
      <c r="AC169" s="94" cm="1">
        <f t="array" ref="AC169">IF(AD169&lt;&gt;"",AD169,_xlfn.XLOOKUP(1,(D169&lt;=Table7[End])*(E169=Table7[근무처])*(F169=Table7[업무]),Table7[시급],0,0))</f>
        <v>10680</v>
      </c>
      <c r="AD169" s="95"/>
      <c r="AE169" s="94">
        <f t="shared" si="32"/>
        <v>85440</v>
      </c>
      <c r="AF169" s="96" cm="1">
        <f t="array" ref="AF169">IF(AND(AA169&gt;=15,(AA169-U169*24)&lt;=40),IF(Z169&gt;=_xlfn.XLOOKUP(1,(D169&lt;=Table7[End])*(E169=Table7[근무처])*(F169=Table7[업무]),Table7[주휴적용일],0,0),1,0)+_xlfn.XLOOKUP(1,(Table2[주간]=Table2[[#This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69" s="96" cm="1">
        <f t="array" ref="AG169">MAX((_xlfn.IFS(AF169=0,0,AF169=1,AA169,AF169&gt;1,U169*24)-IF(AA169&gt;40,AA169-40,0))/5,0)</f>
        <v>1.6</v>
      </c>
      <c r="AH169" s="94">
        <f t="shared" si="33"/>
        <v>17088</v>
      </c>
      <c r="AI169" s="33" cm="1">
        <f t="array" ref="AI169">IF(W169="",0,ROUND(AC169*U169*24*_xlfn.XLOOKUP(1,(D169&lt;=Table7[End])*(E169=Table7[근무처])*(F169=Table7[업무]),Table7[휴일인센티브],0,0),0))</f>
        <v>0</v>
      </c>
      <c r="AJ169" s="94" cm="1">
        <f t="array" ref="AJ169">ROUND(AC169*IF(U169&gt;=8/24,U169-8/24,0)*24*_xlfn.XLOOKUP(1,(D169&lt;=Table7[End])*(E169=Table7[근무처])*(F169=Table7[업무]),Table7[야간인센티브],0,0),0)</f>
        <v>0</v>
      </c>
      <c r="AK169" s="94" cm="1">
        <f t="array" ref="AK169">IF(V169=0,0,ROUND(AC169*V169*24*_xlfn.XLOOKUP(1,(D169&lt;=Table7[End])*(E169=Table7[근무처])*(F169=Table7[업무]),Table7[야간인센티브],0,0),0))</f>
        <v>0</v>
      </c>
      <c r="AL169" s="95"/>
      <c r="AM169" s="94">
        <f t="shared" si="34"/>
        <v>102528</v>
      </c>
      <c r="AN169" s="94" cm="1">
        <f t="array" ref="AN169">IF(AM169&gt;=_xlfn.XLOOKUP(TRUE,D169&lt;=Table5[End],Table5[비과세소득기준],0,0),AM169-_xlfn.XLOOKUP(TRUE,D169&lt;=Table5[End],Table5[비과세소득기준],0,0),0)</f>
        <v>0</v>
      </c>
      <c r="AO169" s="94" cm="1">
        <f t="array" ref="AO169">ROUNDDOWN(_xlfn.LET(_xlpm.setvalue,_xlfn.XLOOKUP(TRUE,D169&lt;=Table5[End],Table5[[요율]:[근로소득세액공제]],0,0),_xlpm.tax,AN169*PRODUCT((_xlpm.setvalue-{0,1})*{1,-1}),_xlpm.threshold,_xlfn.XLOOKUP(TRUE,D169&lt;=Table5[End],Table5[소액부징수기준],0,0),IF(_xlpm.tax&gt;=_xlpm.threshold,_xlpm.tax,0)),-1)</f>
        <v>0</v>
      </c>
      <c r="AP169" s="94">
        <f>ROUNDDOWN(Table2[[#This Row],[소득세]]*10%,-1)</f>
        <v>0</v>
      </c>
      <c r="AQ169" s="94">
        <f>IF(AB169="v",AM169+IF(Y169=8,SUMIFS(Table2[지급총액],Table2[주민등록번호],O169,Table2[월],R169,Table2[월간
근무일],"&lt;="&amp;8)-AM169,0),0)+_xlfn.NUMBERVALUE(AR169)</f>
        <v>102528</v>
      </c>
      <c r="AR169" s="95"/>
      <c r="AS169" s="94" cm="1">
        <f t="array" ref="AS169">ROUNDDOWN($AQ169*_xlfn.XLOOKUP(1,(AS$5=Table8[Type])*($D169&lt;=Table8[End]),Table8[요율],0,0),0)</f>
        <v>3634</v>
      </c>
      <c r="AT169" s="94" cm="1">
        <f t="array" ref="AT169">ROUNDDOWN(AS169*_xlfn.XLOOKUP(1,(AT$5=Table8[Type])*($D169&lt;=Table8[End]),Table8[요율],0,0),-1)</f>
        <v>470</v>
      </c>
      <c r="AU169" s="94" cm="1">
        <f t="array" ref="AU169">ROUNDDOWN($AQ169*_xlfn.XLOOKUP(1,(AU$5=Table8[Type])*($D169&lt;=Table8[End]),Table8[요율],0,0),-1)</f>
        <v>4610</v>
      </c>
      <c r="AV169" s="94" cm="1">
        <f t="array" ref="AV169">ROUNDDOWN(AM169*_xlfn.XLOOKUP(1,(AV$5=Table8[Type])*($D169&lt;=Table8[End]),Table8[요율],0,0),-1)</f>
        <v>0</v>
      </c>
      <c r="AW169" s="94" cm="1">
        <f t="array" ref="AW169">_xlfn.XLOOKUP(1,(O169=Table2[주민등록번호])*(D169&gt;Table2[근무일자]),Table2[청구 Claim 
이월],0,0,-1)</f>
        <v>0</v>
      </c>
      <c r="AX169" s="95"/>
      <c r="AY169" s="94" cm="1">
        <f t="array" ref="AY169">MAX(SUM(AO169:AP169,AS169:AX169)-_xlfn.XLOOKUP(1,(D169&lt;=Table7[End])*(E169=Table7[근무처])*(F169=Table7[업무]),Table7[1일 공제 상한],0,0),0)</f>
        <v>0</v>
      </c>
      <c r="AZ169" s="94">
        <f t="shared" si="35"/>
        <v>8714</v>
      </c>
      <c r="BA169" s="94">
        <f t="shared" si="36"/>
        <v>93814</v>
      </c>
      <c r="BB169" s="97">
        <f t="shared" si="37"/>
        <v>0</v>
      </c>
      <c r="BC169" s="98"/>
      <c r="BD169" s="94">
        <f t="shared" si="38"/>
        <v>3634</v>
      </c>
      <c r="BE169" s="94">
        <f t="shared" si="39"/>
        <v>470</v>
      </c>
      <c r="BF169" s="94">
        <f t="shared" si="40"/>
        <v>4610</v>
      </c>
      <c r="BG169" s="94">
        <f t="shared" si="41"/>
        <v>0</v>
      </c>
      <c r="BH169" s="94" cm="1">
        <f t="array" ref="BH169">ROUNDDOWN(AM169*_xlfn.XLOOKUP(1,(BH$5=Table8[Type])*($D169&lt;=Table8[End]),Table8[요율],0,0),-1)</f>
        <v>820</v>
      </c>
      <c r="BI169" s="93" t="str" cm="1">
        <f t="array" ref="BI169">_xlfn.XLOOKUP(1,(D169&lt;=Table7[End])*(E169=Table7[근무처])*(F169=Table7[업무]),Table7[지급옵션],0,0)</f>
        <v>차주 화</v>
      </c>
      <c r="BJ169" s="83">
        <f>IF(BK169&lt;&gt;"",BK169,IFERROR(D169+_xlfn.NUMBERVALUE(RIGHT(BI169,1)),D169-WEEKDAY(D169)+CHOOSE(MATCH(RIGHT(BI169),{"일","월","화","수","목","금","토"},0),8,9,10,11,12,13,14)))</f>
        <v>45776</v>
      </c>
      <c r="BK169" s="99"/>
    </row>
    <row r="170" spans="2:63" x14ac:dyDescent="0.35">
      <c r="B170" s="20" t="str" cm="1">
        <f t="array" ref="B170">_xlfn.IFS(BB170&lt;&gt;BC170,"Claim확인",N170&lt;&gt;"OK","확인필요",TRUE,"")</f>
        <v/>
      </c>
      <c r="C170" s="21" t="str">
        <f t="shared" si="28"/>
        <v>010-3X4X-X9X7219X02XX284640</v>
      </c>
      <c r="D170" s="26">
        <v>45773</v>
      </c>
      <c r="E170" s="91" t="s">
        <v>255</v>
      </c>
      <c r="F170" s="25" t="s">
        <v>258</v>
      </c>
      <c r="G170" s="27" t="s">
        <v>286</v>
      </c>
      <c r="H170" s="25" t="s">
        <v>299</v>
      </c>
      <c r="I170" s="25"/>
      <c r="J170" s="25" t="s">
        <v>300</v>
      </c>
      <c r="K170" s="28">
        <v>0.29166666666666669</v>
      </c>
      <c r="L170" s="28">
        <v>0.5</v>
      </c>
      <c r="M170" s="28">
        <v>2.0833333333333332E-2</v>
      </c>
      <c r="N170" s="25" t="s">
        <v>281</v>
      </c>
      <c r="O170" s="29" t="str">
        <f>_xlfn.XLOOKUP(Table2[[#This Row],[Key]],Table1[Key],Table1[주민등록번호],"",0)</f>
        <v>931XX31XX3X14</v>
      </c>
      <c r="P170" s="29">
        <f>_xlfn.XLOOKUP(Table2[[#This Row],[Key]],Table1[Key],Table1[비자],"",0)</f>
        <v>0</v>
      </c>
      <c r="Q170" s="29">
        <f>IF(P170=0,0,_xlfn.XLOOKUP(Table2[[#This Row],[Key]],Table1[Key],Table1[고용보험 여부],0,0))</f>
        <v>0</v>
      </c>
      <c r="R170" s="29" t="str">
        <f t="shared" si="29"/>
        <v>2504</v>
      </c>
      <c r="S170" s="30" t="str">
        <f>YEAR(Table2[[#This Row],[근무일자]])&amp;TEXT(WEEKNUM(Table2[[#This Row],[근무일자]]),"00")</f>
        <v>202517</v>
      </c>
      <c r="T170" s="31">
        <f>_xlfn.XLOOKUP(Table2[[#This Row],[Key]],Table1[Key],Table1[등록일],"",0)</f>
        <v>45773</v>
      </c>
      <c r="U170" s="32">
        <f t="shared" si="30"/>
        <v>0.18749999999999997</v>
      </c>
      <c r="V170" s="92">
        <f t="shared" si="31"/>
        <v>0</v>
      </c>
      <c r="W170" s="100" t="str">
        <f>_xlfn.XLOOKUP(Table2[[#This Row],[근무일자]],Table3[Date],Table3[Holiday],"",0)</f>
        <v/>
      </c>
      <c r="X170" s="93">
        <f>IF(D170&lt;&gt;"",1,0)+IF(COUNTIFS(Table2[주민등록번호],O170,Table2[월],TEXT(EOMONTH(D170,-1),"YYMM"))&gt;0,1+IF(COUNTIFS(Table2[주민등록번호],O170,Table2[월],TEXT(EOMONTH(D170,-2),"YYMM"))&gt;0,1+IF(COUNTIFS(Table2[주민등록번호],O170,Table2[월],TEXT(EOMONTH(D170,-3),"YYMM"))&gt;0,1,0),0),0)</f>
        <v>3</v>
      </c>
      <c r="Y170" s="29">
        <f>COUNTIFS(Table2[주민등록번호],O170,Table2[월],R170,Table2[근무일자],"&lt;="&amp;D170)</f>
        <v>1</v>
      </c>
      <c r="Z170" s="29">
        <f>COUNTIFS(Table2[주민등록번호],O170,Table2[주간],S170,Table2[근무일자],"&lt;="&amp;D170)</f>
        <v>1</v>
      </c>
      <c r="AA170" s="29">
        <f>SUMIFS(Table2[근로
시간],Table2[주민등록번호],O170,Table2[주간],S170,Table2[근무일자],"&lt;="&amp;D170)*24</f>
        <v>4.4999999999999991</v>
      </c>
      <c r="AB170" s="29" t="str">
        <f>IF(AND(Y170&gt;=8,COUNTIFS(Table2[주민등록번호],O170,Table2[근무일자],"&gt;="&amp;EOMONTH(D170,-2)+1,Table2[근무일자],"&lt;="&amp;EOMONTH(D170,-1)+1)&gt;0),"V","")</f>
        <v/>
      </c>
      <c r="AC170" s="94" cm="1">
        <f t="array" ref="AC170">IF(AD170&lt;&gt;"",AD170,_xlfn.XLOOKUP(1,(D170&lt;=Table7[End])*(E170=Table7[근무처])*(F170=Table7[업무]),Table7[시급],0,0))</f>
        <v>10680</v>
      </c>
      <c r="AD170" s="95"/>
      <c r="AE170" s="94">
        <f t="shared" si="32"/>
        <v>48060</v>
      </c>
      <c r="AF170" s="96" cm="1">
        <f t="array" ref="AF170">IF(AND(AA170&gt;=15,(AA170-U170*24)&lt;=40),IF(Z170&gt;=_xlfn.XLOOKUP(1,(D170&lt;=Table7[End])*(E170=Table7[근무처])*(F170=Table7[업무]),Table7[주휴적용일],0,0),1,0)+_xlfn.XLOOKUP(1,(Table2[주간]=Table2[[#This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70" s="96" cm="1">
        <f t="array" ref="AG170">MAX((_xlfn.IFS(AF170=0,0,AF170=1,AA170,AF170&gt;1,U170*24)-IF(AA170&gt;40,AA170-40,0))/5,0)</f>
        <v>0</v>
      </c>
      <c r="AH170" s="94">
        <f t="shared" si="33"/>
        <v>0</v>
      </c>
      <c r="AI170" s="33" cm="1">
        <f t="array" ref="AI170">IF(W170="",0,ROUND(AC170*U170*24*_xlfn.XLOOKUP(1,(D170&lt;=Table7[End])*(E170=Table7[근무처])*(F170=Table7[업무]),Table7[휴일인센티브],0,0),0))</f>
        <v>0</v>
      </c>
      <c r="AJ170" s="94" cm="1">
        <f t="array" ref="AJ170">ROUND(AC170*IF(U170&gt;=8/24,U170-8/24,0)*24*_xlfn.XLOOKUP(1,(D170&lt;=Table7[End])*(E170=Table7[근무처])*(F170=Table7[업무]),Table7[야간인센티브],0,0),0)</f>
        <v>0</v>
      </c>
      <c r="AK170" s="94" cm="1">
        <f t="array" ref="AK170">IF(V170=0,0,ROUND(AC170*V170*24*_xlfn.XLOOKUP(1,(D170&lt;=Table7[End])*(E170=Table7[근무처])*(F170=Table7[업무]),Table7[야간인센티브],0,0),0))</f>
        <v>0</v>
      </c>
      <c r="AL170" s="95"/>
      <c r="AM170" s="94">
        <f t="shared" si="34"/>
        <v>48060</v>
      </c>
      <c r="AN170" s="94" cm="1">
        <f t="array" ref="AN170">IF(AM170&gt;=_xlfn.XLOOKUP(TRUE,D170&lt;=Table5[End],Table5[비과세소득기준],0,0),AM170-_xlfn.XLOOKUP(TRUE,D170&lt;=Table5[End],Table5[비과세소득기준],0,0),0)</f>
        <v>0</v>
      </c>
      <c r="AO170" s="94" cm="1">
        <f t="array" ref="AO170">ROUNDDOWN(_xlfn.LET(_xlpm.setvalue,_xlfn.XLOOKUP(TRUE,D170&lt;=Table5[End],Table5[[요율]:[근로소득세액공제]],0,0),_xlpm.tax,AN170*PRODUCT((_xlpm.setvalue-{0,1})*{1,-1}),_xlpm.threshold,_xlfn.XLOOKUP(TRUE,D170&lt;=Table5[End],Table5[소액부징수기준],0,0),IF(_xlpm.tax&gt;=_xlpm.threshold,_xlpm.tax,0)),-1)</f>
        <v>0</v>
      </c>
      <c r="AP170" s="94">
        <f>ROUNDDOWN(Table2[[#This Row],[소득세]]*10%,-1)</f>
        <v>0</v>
      </c>
      <c r="AQ170" s="94">
        <f>IF(AB170="v",AM170+IF(Y170=8,SUMIFS(Table2[지급총액],Table2[주민등록번호],O170,Table2[월],R170,Table2[월간
근무일],"&lt;="&amp;8)-AM170,0),0)+_xlfn.NUMBERVALUE(AR170)</f>
        <v>0</v>
      </c>
      <c r="AR170" s="95"/>
      <c r="AS170" s="94" cm="1">
        <f t="array" ref="AS170">ROUNDDOWN($AQ170*_xlfn.XLOOKUP(1,(AS$5=Table8[Type])*($D170&lt;=Table8[End]),Table8[요율],0,0),0)</f>
        <v>0</v>
      </c>
      <c r="AT170" s="94" cm="1">
        <f t="array" ref="AT170">ROUNDDOWN(AS170*_xlfn.XLOOKUP(1,(AT$5=Table8[Type])*($D170&lt;=Table8[End]),Table8[요율],0,0),-1)</f>
        <v>0</v>
      </c>
      <c r="AU170" s="94" cm="1">
        <f t="array" ref="AU170">ROUNDDOWN($AQ170*_xlfn.XLOOKUP(1,(AU$5=Table8[Type])*($D170&lt;=Table8[End]),Table8[요율],0,0),-1)</f>
        <v>0</v>
      </c>
      <c r="AV170" s="94" cm="1">
        <f t="array" ref="AV170">ROUNDDOWN(AM170*_xlfn.XLOOKUP(1,(AV$5=Table8[Type])*($D170&lt;=Table8[End]),Table8[요율],0,0),-1)</f>
        <v>0</v>
      </c>
      <c r="AW170" s="94" cm="1">
        <f t="array" ref="AW170">_xlfn.XLOOKUP(1,(O170=Table2[주민등록번호])*(D170&gt;Table2[근무일자]),Table2[청구 Claim 
이월],0,0,-1)</f>
        <v>0</v>
      </c>
      <c r="AX170" s="95"/>
      <c r="AY170" s="94" cm="1">
        <f t="array" ref="AY170">MAX(SUM(AO170:AP170,AS170:AX170)-_xlfn.XLOOKUP(1,(D170&lt;=Table7[End])*(E170=Table7[근무처])*(F170=Table7[업무]),Table7[1일 공제 상한],0,0),0)</f>
        <v>0</v>
      </c>
      <c r="AZ170" s="94">
        <f t="shared" si="35"/>
        <v>0</v>
      </c>
      <c r="BA170" s="94">
        <f t="shared" si="36"/>
        <v>48060</v>
      </c>
      <c r="BB170" s="97">
        <f t="shared" si="37"/>
        <v>0</v>
      </c>
      <c r="BC170" s="98"/>
      <c r="BD170" s="94">
        <f t="shared" si="38"/>
        <v>0</v>
      </c>
      <c r="BE170" s="94">
        <f t="shared" si="39"/>
        <v>0</v>
      </c>
      <c r="BF170" s="94">
        <f t="shared" si="40"/>
        <v>0</v>
      </c>
      <c r="BG170" s="94">
        <f t="shared" si="41"/>
        <v>0</v>
      </c>
      <c r="BH170" s="94" cm="1">
        <f t="array" ref="BH170">ROUNDDOWN(AM170*_xlfn.XLOOKUP(1,(BH$5=Table8[Type])*($D170&lt;=Table8[End]),Table8[요율],0,0),-1)</f>
        <v>380</v>
      </c>
      <c r="BI170" s="93" t="str" cm="1">
        <f t="array" ref="BI170">_xlfn.XLOOKUP(1,(D170&lt;=Table7[End])*(E170=Table7[근무처])*(F170=Table7[업무]),Table7[지급옵션],0,0)</f>
        <v>차주 화</v>
      </c>
      <c r="BJ170" s="83">
        <f>IF(BK170&lt;&gt;"",BK170,IFERROR(D170+_xlfn.NUMBERVALUE(RIGHT(BI170,1)),D170-WEEKDAY(D170)+CHOOSE(MATCH(RIGHT(BI170),{"일","월","화","수","목","금","토"},0),8,9,10,11,12,13,14)))</f>
        <v>45776</v>
      </c>
      <c r="BK170" s="99"/>
    </row>
    <row r="171" spans="2:63" x14ac:dyDescent="0.35">
      <c r="B171" s="20" t="str" cm="1">
        <f t="array" ref="B171">_xlfn.IFS(BB171&lt;&gt;BC171,"Claim확인",N171&lt;&gt;"OK","확인필요",TRUE,"")</f>
        <v/>
      </c>
      <c r="C171" s="21" t="str">
        <f t="shared" si="28"/>
        <v>010-7X6X-X9X5110X98XX7530</v>
      </c>
      <c r="D171" s="26">
        <v>45774</v>
      </c>
      <c r="E171" s="91" t="s">
        <v>255</v>
      </c>
      <c r="F171" s="25" t="s">
        <v>258</v>
      </c>
      <c r="G171" s="27" t="s">
        <v>282</v>
      </c>
      <c r="H171" s="25" t="s">
        <v>289</v>
      </c>
      <c r="I171" s="25"/>
      <c r="J171" s="25" t="s">
        <v>290</v>
      </c>
      <c r="K171" s="28">
        <v>0.3125</v>
      </c>
      <c r="L171" s="28">
        <v>0.6875</v>
      </c>
      <c r="M171" s="28">
        <v>4.1666666666666664E-2</v>
      </c>
      <c r="N171" s="25" t="s">
        <v>281</v>
      </c>
      <c r="O171" s="29" t="str">
        <f>_xlfn.XLOOKUP(Table2[[#This Row],[Key]],Table1[Key],Table1[주민등록번호],"",0)</f>
        <v>990XX62XX3X13</v>
      </c>
      <c r="P171" s="29">
        <f>_xlfn.XLOOKUP(Table2[[#This Row],[Key]],Table1[Key],Table1[비자],"",0)</f>
        <v>0</v>
      </c>
      <c r="Q171" s="29">
        <f>IF(P171=0,0,_xlfn.XLOOKUP(Table2[[#This Row],[Key]],Table1[Key],Table1[고용보험 여부],0,0))</f>
        <v>0</v>
      </c>
      <c r="R171" s="29" t="str">
        <f t="shared" si="29"/>
        <v>2504</v>
      </c>
      <c r="S171" s="30" t="str">
        <f>YEAR(Table2[[#This Row],[근무일자]])&amp;TEXT(WEEKNUM(Table2[[#This Row],[근무일자]]),"00")</f>
        <v>202518</v>
      </c>
      <c r="T171" s="31">
        <f>_xlfn.XLOOKUP(Table2[[#This Row],[Key]],Table1[Key],Table1[등록일],"",0)</f>
        <v>45696</v>
      </c>
      <c r="U171" s="32">
        <f t="shared" si="30"/>
        <v>0.33333333333333331</v>
      </c>
      <c r="V171" s="92">
        <f t="shared" si="31"/>
        <v>0</v>
      </c>
      <c r="W171" s="100" t="str">
        <f>_xlfn.XLOOKUP(Table2[[#This Row],[근무일자]],Table3[Date],Table3[Holiday],"",0)</f>
        <v/>
      </c>
      <c r="X171" s="93">
        <f>IF(D171&lt;&gt;"",1,0)+IF(COUNTIFS(Table2[주민등록번호],O171,Table2[월],TEXT(EOMONTH(D171,-1),"YYMM"))&gt;0,1+IF(COUNTIFS(Table2[주민등록번호],O171,Table2[월],TEXT(EOMONTH(D171,-2),"YYMM"))&gt;0,1+IF(COUNTIFS(Table2[주민등록번호],O171,Table2[월],TEXT(EOMONTH(D171,-3),"YYMM"))&gt;0,1,0),0),0)</f>
        <v>3</v>
      </c>
      <c r="Y171" s="29">
        <f>COUNTIFS(Table2[주민등록번호],O171,Table2[월],R171,Table2[근무일자],"&lt;="&amp;D171)</f>
        <v>7</v>
      </c>
      <c r="Z171" s="29">
        <f>COUNTIFS(Table2[주민등록번호],O171,Table2[주간],S171,Table2[근무일자],"&lt;="&amp;D171)</f>
        <v>1</v>
      </c>
      <c r="AA171" s="29">
        <f>SUMIFS(Table2[근로
시간],Table2[주민등록번호],O171,Table2[주간],S171,Table2[근무일자],"&lt;="&amp;D171)*24</f>
        <v>8</v>
      </c>
      <c r="AB171" s="29" t="str">
        <f>IF(AND(Y171&gt;=8,COUNTIFS(Table2[주민등록번호],O171,Table2[근무일자],"&gt;="&amp;EOMONTH(D171,-2)+1,Table2[근무일자],"&lt;="&amp;EOMONTH(D171,-1)+1)&gt;0),"V","")</f>
        <v/>
      </c>
      <c r="AC171" s="94" cm="1">
        <f t="array" ref="AC171">IF(AD171&lt;&gt;"",AD171,_xlfn.XLOOKUP(1,(D171&lt;=Table7[End])*(E171=Table7[근무처])*(F171=Table7[업무]),Table7[시급],0,0))</f>
        <v>10680</v>
      </c>
      <c r="AD171" s="95"/>
      <c r="AE171" s="94">
        <f t="shared" si="32"/>
        <v>85440</v>
      </c>
      <c r="AF171" s="96" cm="1">
        <f t="array" ref="AF171">IF(AND(AA171&gt;=15,(AA171-U171*24)&lt;=40),IF(Z171&gt;=_xlfn.XLOOKUP(1,(D171&lt;=Table7[End])*(E171=Table7[근무처])*(F171=Table7[업무]),Table7[주휴적용일],0,0),1,0)+_xlfn.XLOOKUP(1,(Table2[주간]=Table2[[#This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71" s="96" cm="1">
        <f t="array" ref="AG171">MAX((_xlfn.IFS(AF171=0,0,AF171=1,AA171,AF171&gt;1,U171*24)-IF(AA171&gt;40,AA171-40,0))/5,0)</f>
        <v>0</v>
      </c>
      <c r="AH171" s="94">
        <f t="shared" si="33"/>
        <v>0</v>
      </c>
      <c r="AI171" s="33" cm="1">
        <f t="array" ref="AI171">IF(W171="",0,ROUND(AC171*U171*24*_xlfn.XLOOKUP(1,(D171&lt;=Table7[End])*(E171=Table7[근무처])*(F171=Table7[업무]),Table7[휴일인센티브],0,0),0))</f>
        <v>0</v>
      </c>
      <c r="AJ171" s="94" cm="1">
        <f t="array" ref="AJ171">ROUND(AC171*IF(U171&gt;=8/24,U171-8/24,0)*24*_xlfn.XLOOKUP(1,(D171&lt;=Table7[End])*(E171=Table7[근무처])*(F171=Table7[업무]),Table7[야간인센티브],0,0),0)</f>
        <v>0</v>
      </c>
      <c r="AK171" s="94" cm="1">
        <f t="array" ref="AK171">IF(V171=0,0,ROUND(AC171*V171*24*_xlfn.XLOOKUP(1,(D171&lt;=Table7[End])*(E171=Table7[근무처])*(F171=Table7[업무]),Table7[야간인센티브],0,0),0))</f>
        <v>0</v>
      </c>
      <c r="AL171" s="95"/>
      <c r="AM171" s="94">
        <f t="shared" si="34"/>
        <v>85440</v>
      </c>
      <c r="AN171" s="94" cm="1">
        <f t="array" ref="AN171">IF(AM171&gt;=_xlfn.XLOOKUP(TRUE,D171&lt;=Table5[End],Table5[비과세소득기준],0,0),AM171-_xlfn.XLOOKUP(TRUE,D171&lt;=Table5[End],Table5[비과세소득기준],0,0),0)</f>
        <v>0</v>
      </c>
      <c r="AO171" s="94" cm="1">
        <f t="array" ref="AO171">ROUNDDOWN(_xlfn.LET(_xlpm.setvalue,_xlfn.XLOOKUP(TRUE,D171&lt;=Table5[End],Table5[[요율]:[근로소득세액공제]],0,0),_xlpm.tax,AN171*PRODUCT((_xlpm.setvalue-{0,1})*{1,-1}),_xlpm.threshold,_xlfn.XLOOKUP(TRUE,D171&lt;=Table5[End],Table5[소액부징수기준],0,0),IF(_xlpm.tax&gt;=_xlpm.threshold,_xlpm.tax,0)),-1)</f>
        <v>0</v>
      </c>
      <c r="AP171" s="94">
        <f>ROUNDDOWN(Table2[[#This Row],[소득세]]*10%,-1)</f>
        <v>0</v>
      </c>
      <c r="AQ171" s="94">
        <f>IF(AB171="v",AM171+IF(Y171=8,SUMIFS(Table2[지급총액],Table2[주민등록번호],O171,Table2[월],R171,Table2[월간
근무일],"&lt;="&amp;8)-AM171,0),0)+_xlfn.NUMBERVALUE(AR171)</f>
        <v>0</v>
      </c>
      <c r="AR171" s="95"/>
      <c r="AS171" s="94" cm="1">
        <f t="array" ref="AS171">ROUNDDOWN($AQ171*_xlfn.XLOOKUP(1,(AS$5=Table8[Type])*($D171&lt;=Table8[End]),Table8[요율],0,0),0)</f>
        <v>0</v>
      </c>
      <c r="AT171" s="94" cm="1">
        <f t="array" ref="AT171">ROUNDDOWN(AS171*_xlfn.XLOOKUP(1,(AT$5=Table8[Type])*($D171&lt;=Table8[End]),Table8[요율],0,0),-1)</f>
        <v>0</v>
      </c>
      <c r="AU171" s="94" cm="1">
        <f t="array" ref="AU171">ROUNDDOWN($AQ171*_xlfn.XLOOKUP(1,(AU$5=Table8[Type])*($D171&lt;=Table8[End]),Table8[요율],0,0),-1)</f>
        <v>0</v>
      </c>
      <c r="AV171" s="94" cm="1">
        <f t="array" ref="AV171">ROUNDDOWN(AM171*_xlfn.XLOOKUP(1,(AV$5=Table8[Type])*($D171&lt;=Table8[End]),Table8[요율],0,0),-1)</f>
        <v>0</v>
      </c>
      <c r="AW171" s="94" cm="1">
        <f t="array" ref="AW171">_xlfn.XLOOKUP(1,(O171=Table2[주민등록번호])*(D171&gt;Table2[근무일자]),Table2[청구 Claim 
이월],0,0,-1)</f>
        <v>0</v>
      </c>
      <c r="AX171" s="95"/>
      <c r="AY171" s="94" cm="1">
        <f t="array" ref="AY171">MAX(SUM(AO171:AP171,AS171:AX171)-_xlfn.XLOOKUP(1,(D171&lt;=Table7[End])*(E171=Table7[근무처])*(F171=Table7[업무]),Table7[1일 공제 상한],0,0),0)</f>
        <v>0</v>
      </c>
      <c r="AZ171" s="94">
        <f t="shared" si="35"/>
        <v>0</v>
      </c>
      <c r="BA171" s="94">
        <f t="shared" si="36"/>
        <v>85440</v>
      </c>
      <c r="BB171" s="97">
        <f t="shared" si="37"/>
        <v>0</v>
      </c>
      <c r="BC171" s="98"/>
      <c r="BD171" s="94">
        <f t="shared" si="38"/>
        <v>0</v>
      </c>
      <c r="BE171" s="94">
        <f t="shared" si="39"/>
        <v>0</v>
      </c>
      <c r="BF171" s="94">
        <f t="shared" si="40"/>
        <v>0</v>
      </c>
      <c r="BG171" s="94">
        <f t="shared" si="41"/>
        <v>0</v>
      </c>
      <c r="BH171" s="94" cm="1">
        <f t="array" ref="BH171">ROUNDDOWN(AM171*_xlfn.XLOOKUP(1,(BH$5=Table8[Type])*($D171&lt;=Table8[End]),Table8[요율],0,0),-1)</f>
        <v>680</v>
      </c>
      <c r="BI171" s="93" t="str" cm="1">
        <f t="array" ref="BI171">_xlfn.XLOOKUP(1,(D171&lt;=Table7[End])*(E171=Table7[근무처])*(F171=Table7[업무]),Table7[지급옵션],0,0)</f>
        <v>차주 화</v>
      </c>
      <c r="BJ171" s="83">
        <f>IF(BK171&lt;&gt;"",BK171,IFERROR(D171+_xlfn.NUMBERVALUE(RIGHT(BI171,1)),D171-WEEKDAY(D171)+CHOOSE(MATCH(RIGHT(BI171),{"일","월","화","수","목","금","토"},0),8,9,10,11,12,13,14)))</f>
        <v>45783</v>
      </c>
      <c r="BK171" s="99"/>
    </row>
    <row r="172" spans="2:63" x14ac:dyDescent="0.35">
      <c r="B172" s="20" t="str" cm="1">
        <f t="array" ref="B172">_xlfn.IFS(BB172&lt;&gt;BC172,"Claim확인",N172&lt;&gt;"OK","확인필요",TRUE,"")</f>
        <v/>
      </c>
      <c r="C172" s="21" t="str">
        <f t="shared" si="28"/>
        <v>010-8X0X-X0X9982X03XX901018</v>
      </c>
      <c r="D172" s="26">
        <v>45774</v>
      </c>
      <c r="E172" s="91" t="s">
        <v>255</v>
      </c>
      <c r="F172" s="25" t="s">
        <v>258</v>
      </c>
      <c r="G172" s="27" t="s">
        <v>283</v>
      </c>
      <c r="H172" s="25" t="s">
        <v>291</v>
      </c>
      <c r="I172" s="25"/>
      <c r="J172" s="25" t="s">
        <v>292</v>
      </c>
      <c r="K172" s="28">
        <v>0.3125</v>
      </c>
      <c r="L172" s="28">
        <v>0.6875</v>
      </c>
      <c r="M172" s="28">
        <v>4.1666666666666664E-2</v>
      </c>
      <c r="N172" s="25" t="s">
        <v>281</v>
      </c>
      <c r="O172" s="29" t="str">
        <f>_xlfn.XLOOKUP(Table2[[#This Row],[Key]],Table1[Key],Table1[주민등록번호],"",0)</f>
        <v>960XX51XX9X15</v>
      </c>
      <c r="P172" s="29">
        <f>_xlfn.XLOOKUP(Table2[[#This Row],[Key]],Table1[Key],Table1[비자],"",0)</f>
        <v>0</v>
      </c>
      <c r="Q172" s="29">
        <f>IF(P172=0,0,_xlfn.XLOOKUP(Table2[[#This Row],[Key]],Table1[Key],Table1[고용보험 여부],0,0))</f>
        <v>0</v>
      </c>
      <c r="R172" s="29" t="str">
        <f t="shared" si="29"/>
        <v>2504</v>
      </c>
      <c r="S172" s="30" t="str">
        <f>YEAR(Table2[[#This Row],[근무일자]])&amp;TEXT(WEEKNUM(Table2[[#This Row],[근무일자]]),"00")</f>
        <v>202518</v>
      </c>
      <c r="T172" s="31">
        <f>_xlfn.XLOOKUP(Table2[[#This Row],[Key]],Table1[Key],Table1[등록일],"",0)</f>
        <v>45698</v>
      </c>
      <c r="U172" s="32">
        <f t="shared" si="30"/>
        <v>0.33333333333333331</v>
      </c>
      <c r="V172" s="92">
        <f t="shared" si="31"/>
        <v>0</v>
      </c>
      <c r="W172" s="100" t="str">
        <f>_xlfn.XLOOKUP(Table2[[#This Row],[근무일자]],Table3[Date],Table3[Holiday],"",0)</f>
        <v/>
      </c>
      <c r="X172" s="93">
        <f>IF(D172&lt;&gt;"",1,0)+IF(COUNTIFS(Table2[주민등록번호],O172,Table2[월],TEXT(EOMONTH(D172,-1),"YYMM"))&gt;0,1+IF(COUNTIFS(Table2[주민등록번호],O172,Table2[월],TEXT(EOMONTH(D172,-2),"YYMM"))&gt;0,1+IF(COUNTIFS(Table2[주민등록번호],O172,Table2[월],TEXT(EOMONTH(D172,-3),"YYMM"))&gt;0,1,0),0),0)</f>
        <v>3</v>
      </c>
      <c r="Y172" s="29">
        <f>COUNTIFS(Table2[주민등록번호],O172,Table2[월],R172,Table2[근무일자],"&lt;="&amp;D172)</f>
        <v>18</v>
      </c>
      <c r="Z172" s="29">
        <f>COUNTIFS(Table2[주민등록번호],O172,Table2[주간],S172,Table2[근무일자],"&lt;="&amp;D172)</f>
        <v>1</v>
      </c>
      <c r="AA172" s="29">
        <f>SUMIFS(Table2[근로
시간],Table2[주민등록번호],O172,Table2[주간],S172,Table2[근무일자],"&lt;="&amp;D172)*24</f>
        <v>8</v>
      </c>
      <c r="AB172" s="29" t="str">
        <f>IF(AND(Y172&gt;=8,COUNTIFS(Table2[주민등록번호],O172,Table2[근무일자],"&gt;="&amp;EOMONTH(D172,-2)+1,Table2[근무일자],"&lt;="&amp;EOMONTH(D172,-1)+1)&gt;0),"V","")</f>
        <v>V</v>
      </c>
      <c r="AC172" s="94" cm="1">
        <f t="array" ref="AC172">IF(AD172&lt;&gt;"",AD172,_xlfn.XLOOKUP(1,(D172&lt;=Table7[End])*(E172=Table7[근무처])*(F172=Table7[업무]),Table7[시급],0,0))</f>
        <v>10680</v>
      </c>
      <c r="AD172" s="95"/>
      <c r="AE172" s="94">
        <f t="shared" si="32"/>
        <v>85440</v>
      </c>
      <c r="AF172" s="96" cm="1">
        <f t="array" ref="AF172">IF(AND(AA172&gt;=15,(AA172-U172*24)&lt;=40),IF(Z172&gt;=_xlfn.XLOOKUP(1,(D172&lt;=Table7[End])*(E172=Table7[근무처])*(F172=Table7[업무]),Table7[주휴적용일],0,0),1,0)+_xlfn.XLOOKUP(1,(Table2[주간]=Table2[[#This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72" s="96" cm="1">
        <f t="array" ref="AG172">MAX((_xlfn.IFS(AF172=0,0,AF172=1,AA172,AF172&gt;1,U172*24)-IF(AA172&gt;40,AA172-40,0))/5,0)</f>
        <v>0</v>
      </c>
      <c r="AH172" s="94">
        <f t="shared" si="33"/>
        <v>0</v>
      </c>
      <c r="AI172" s="33" cm="1">
        <f t="array" ref="AI172">IF(W172="",0,ROUND(AC172*U172*24*_xlfn.XLOOKUP(1,(D172&lt;=Table7[End])*(E172=Table7[근무처])*(F172=Table7[업무]),Table7[휴일인센티브],0,0),0))</f>
        <v>0</v>
      </c>
      <c r="AJ172" s="94" cm="1">
        <f t="array" ref="AJ172">ROUND(AC172*IF(U172&gt;=8/24,U172-8/24,0)*24*_xlfn.XLOOKUP(1,(D172&lt;=Table7[End])*(E172=Table7[근무처])*(F172=Table7[업무]),Table7[야간인센티브],0,0),0)</f>
        <v>0</v>
      </c>
      <c r="AK172" s="94" cm="1">
        <f t="array" ref="AK172">IF(V172=0,0,ROUND(AC172*V172*24*_xlfn.XLOOKUP(1,(D172&lt;=Table7[End])*(E172=Table7[근무처])*(F172=Table7[업무]),Table7[야간인센티브],0,0),0))</f>
        <v>0</v>
      </c>
      <c r="AL172" s="95"/>
      <c r="AM172" s="94">
        <f t="shared" si="34"/>
        <v>85440</v>
      </c>
      <c r="AN172" s="94" cm="1">
        <f t="array" ref="AN172">IF(AM172&gt;=_xlfn.XLOOKUP(TRUE,D172&lt;=Table5[End],Table5[비과세소득기준],0,0),AM172-_xlfn.XLOOKUP(TRUE,D172&lt;=Table5[End],Table5[비과세소득기준],0,0),0)</f>
        <v>0</v>
      </c>
      <c r="AO172" s="94" cm="1">
        <f t="array" ref="AO172">ROUNDDOWN(_xlfn.LET(_xlpm.setvalue,_xlfn.XLOOKUP(TRUE,D172&lt;=Table5[End],Table5[[요율]:[근로소득세액공제]],0,0),_xlpm.tax,AN172*PRODUCT((_xlpm.setvalue-{0,1})*{1,-1}),_xlpm.threshold,_xlfn.XLOOKUP(TRUE,D172&lt;=Table5[End],Table5[소액부징수기준],0,0),IF(_xlpm.tax&gt;=_xlpm.threshold,_xlpm.tax,0)),-1)</f>
        <v>0</v>
      </c>
      <c r="AP172" s="94">
        <f>ROUNDDOWN(Table2[[#This Row],[소득세]]*10%,-1)</f>
        <v>0</v>
      </c>
      <c r="AQ172" s="94">
        <f>IF(AB172="v",AM172+IF(Y172=8,SUMIFS(Table2[지급총액],Table2[주민등록번호],O172,Table2[월],R172,Table2[월간
근무일],"&lt;="&amp;8)-AM172,0),0)+_xlfn.NUMBERVALUE(AR172)</f>
        <v>85440</v>
      </c>
      <c r="AR172" s="95"/>
      <c r="AS172" s="94" cm="1">
        <f t="array" ref="AS172">ROUNDDOWN($AQ172*_xlfn.XLOOKUP(1,(AS$5=Table8[Type])*($D172&lt;=Table8[End]),Table8[요율],0,0),0)</f>
        <v>3028</v>
      </c>
      <c r="AT172" s="94" cm="1">
        <f t="array" ref="AT172">ROUNDDOWN(AS172*_xlfn.XLOOKUP(1,(AT$5=Table8[Type])*($D172&lt;=Table8[End]),Table8[요율],0,0),-1)</f>
        <v>390</v>
      </c>
      <c r="AU172" s="94" cm="1">
        <f t="array" ref="AU172">ROUNDDOWN($AQ172*_xlfn.XLOOKUP(1,(AU$5=Table8[Type])*($D172&lt;=Table8[End]),Table8[요율],0,0),-1)</f>
        <v>3840</v>
      </c>
      <c r="AV172" s="94" cm="1">
        <f t="array" ref="AV172">ROUNDDOWN(AM172*_xlfn.XLOOKUP(1,(AV$5=Table8[Type])*($D172&lt;=Table8[End]),Table8[요율],0,0),-1)</f>
        <v>0</v>
      </c>
      <c r="AW172" s="94" cm="1">
        <f t="array" ref="AW172">_xlfn.XLOOKUP(1,(O172=Table2[주민등록번호])*(D172&gt;Table2[근무일자]),Table2[청구 Claim 
이월],0,0,-1)</f>
        <v>0</v>
      </c>
      <c r="AX172" s="95"/>
      <c r="AY172" s="94" cm="1">
        <f t="array" ref="AY172">MAX(SUM(AO172:AP172,AS172:AX172)-_xlfn.XLOOKUP(1,(D172&lt;=Table7[End])*(E172=Table7[근무처])*(F172=Table7[업무]),Table7[1일 공제 상한],0,0),0)</f>
        <v>0</v>
      </c>
      <c r="AZ172" s="94">
        <f t="shared" si="35"/>
        <v>7258</v>
      </c>
      <c r="BA172" s="94">
        <f t="shared" si="36"/>
        <v>78182</v>
      </c>
      <c r="BB172" s="97">
        <f t="shared" si="37"/>
        <v>0</v>
      </c>
      <c r="BC172" s="98"/>
      <c r="BD172" s="94">
        <f t="shared" si="38"/>
        <v>3028</v>
      </c>
      <c r="BE172" s="94">
        <f t="shared" si="39"/>
        <v>390</v>
      </c>
      <c r="BF172" s="94">
        <f t="shared" si="40"/>
        <v>3840</v>
      </c>
      <c r="BG172" s="94">
        <f t="shared" si="41"/>
        <v>0</v>
      </c>
      <c r="BH172" s="94" cm="1">
        <f t="array" ref="BH172">ROUNDDOWN(AM172*_xlfn.XLOOKUP(1,(BH$5=Table8[Type])*($D172&lt;=Table8[End]),Table8[요율],0,0),-1)</f>
        <v>680</v>
      </c>
      <c r="BI172" s="93" t="str" cm="1">
        <f t="array" ref="BI172">_xlfn.XLOOKUP(1,(D172&lt;=Table7[End])*(E172=Table7[근무처])*(F172=Table7[업무]),Table7[지급옵션],0,0)</f>
        <v>차주 화</v>
      </c>
      <c r="BJ172" s="83">
        <f>IF(BK172&lt;&gt;"",BK172,IFERROR(D172+_xlfn.NUMBERVALUE(RIGHT(BI172,1)),D172-WEEKDAY(D172)+CHOOSE(MATCH(RIGHT(BI172),{"일","월","화","수","목","금","토"},0),8,9,10,11,12,13,14)))</f>
        <v>45783</v>
      </c>
      <c r="BK172" s="99"/>
    </row>
    <row r="173" spans="2:63" x14ac:dyDescent="0.35">
      <c r="B173" s="20" t="str" cm="1">
        <f t="array" ref="B173">_xlfn.IFS(BB173&lt;&gt;BC173,"Claim확인",N173&lt;&gt;"OK","확인필요",TRUE,"")</f>
        <v/>
      </c>
      <c r="C173" s="21" t="str">
        <f t="shared" si="28"/>
        <v>010-3X4X-X9X7219X02XX284640</v>
      </c>
      <c r="D173" s="26">
        <v>45774</v>
      </c>
      <c r="E173" s="91" t="s">
        <v>255</v>
      </c>
      <c r="F173" s="25" t="s">
        <v>258</v>
      </c>
      <c r="G173" s="27" t="s">
        <v>286</v>
      </c>
      <c r="H173" s="25" t="s">
        <v>299</v>
      </c>
      <c r="I173" s="25"/>
      <c r="J173" s="25" t="s">
        <v>300</v>
      </c>
      <c r="K173" s="28">
        <v>0.29166666666666669</v>
      </c>
      <c r="L173" s="28">
        <v>0.5</v>
      </c>
      <c r="M173" s="28">
        <v>2.0833333333333332E-2</v>
      </c>
      <c r="N173" s="25" t="s">
        <v>281</v>
      </c>
      <c r="O173" s="29" t="str">
        <f>_xlfn.XLOOKUP(Table2[[#This Row],[Key]],Table1[Key],Table1[주민등록번호],"",0)</f>
        <v>931XX31XX3X14</v>
      </c>
      <c r="P173" s="29">
        <f>_xlfn.XLOOKUP(Table2[[#This Row],[Key]],Table1[Key],Table1[비자],"",0)</f>
        <v>0</v>
      </c>
      <c r="Q173" s="29">
        <f>IF(P173=0,0,_xlfn.XLOOKUP(Table2[[#This Row],[Key]],Table1[Key],Table1[고용보험 여부],0,0))</f>
        <v>0</v>
      </c>
      <c r="R173" s="29" t="str">
        <f t="shared" si="29"/>
        <v>2504</v>
      </c>
      <c r="S173" s="30" t="str">
        <f>YEAR(Table2[[#This Row],[근무일자]])&amp;TEXT(WEEKNUM(Table2[[#This Row],[근무일자]]),"00")</f>
        <v>202518</v>
      </c>
      <c r="T173" s="31">
        <f>_xlfn.XLOOKUP(Table2[[#This Row],[Key]],Table1[Key],Table1[등록일],"",0)</f>
        <v>45773</v>
      </c>
      <c r="U173" s="32">
        <f t="shared" si="30"/>
        <v>0.18749999999999997</v>
      </c>
      <c r="V173" s="92">
        <f t="shared" si="31"/>
        <v>0</v>
      </c>
      <c r="W173" s="100" t="str">
        <f>_xlfn.XLOOKUP(Table2[[#This Row],[근무일자]],Table3[Date],Table3[Holiday],"",0)</f>
        <v/>
      </c>
      <c r="X173" s="93">
        <f>IF(D173&lt;&gt;"",1,0)+IF(COUNTIFS(Table2[주민등록번호],O173,Table2[월],TEXT(EOMONTH(D173,-1),"YYMM"))&gt;0,1+IF(COUNTIFS(Table2[주민등록번호],O173,Table2[월],TEXT(EOMONTH(D173,-2),"YYMM"))&gt;0,1+IF(COUNTIFS(Table2[주민등록번호],O173,Table2[월],TEXT(EOMONTH(D173,-3),"YYMM"))&gt;0,1,0),0),0)</f>
        <v>3</v>
      </c>
      <c r="Y173" s="29">
        <f>COUNTIFS(Table2[주민등록번호],O173,Table2[월],R173,Table2[근무일자],"&lt;="&amp;D173)</f>
        <v>2</v>
      </c>
      <c r="Z173" s="29">
        <f>COUNTIFS(Table2[주민등록번호],O173,Table2[주간],S173,Table2[근무일자],"&lt;="&amp;D173)</f>
        <v>1</v>
      </c>
      <c r="AA173" s="29">
        <f>SUMIFS(Table2[근로
시간],Table2[주민등록번호],O173,Table2[주간],S173,Table2[근무일자],"&lt;="&amp;D173)*24</f>
        <v>4.4999999999999991</v>
      </c>
      <c r="AB173" s="29" t="str">
        <f>IF(AND(Y173&gt;=8,COUNTIFS(Table2[주민등록번호],O173,Table2[근무일자],"&gt;="&amp;EOMONTH(D173,-2)+1,Table2[근무일자],"&lt;="&amp;EOMONTH(D173,-1)+1)&gt;0),"V","")</f>
        <v/>
      </c>
      <c r="AC173" s="94" cm="1">
        <f t="array" ref="AC173">IF(AD173&lt;&gt;"",AD173,_xlfn.XLOOKUP(1,(D173&lt;=Table7[End])*(E173=Table7[근무처])*(F173=Table7[업무]),Table7[시급],0,0))</f>
        <v>10680</v>
      </c>
      <c r="AD173" s="95"/>
      <c r="AE173" s="94">
        <f t="shared" si="32"/>
        <v>48060</v>
      </c>
      <c r="AF173" s="96" cm="1">
        <f t="array" ref="AF173">IF(AND(AA173&gt;=15,(AA173-U173*24)&lt;=40),IF(Z173&gt;=_xlfn.XLOOKUP(1,(D173&lt;=Table7[End])*(E173=Table7[근무처])*(F173=Table7[업무]),Table7[주휴적용일],0,0),1,0)+_xlfn.XLOOKUP(1,(Table2[주간]=Table2[[#This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73" s="96" cm="1">
        <f t="array" ref="AG173">MAX((_xlfn.IFS(AF173=0,0,AF173=1,AA173,AF173&gt;1,U173*24)-IF(AA173&gt;40,AA173-40,0))/5,0)</f>
        <v>0</v>
      </c>
      <c r="AH173" s="94">
        <f t="shared" si="33"/>
        <v>0</v>
      </c>
      <c r="AI173" s="33" cm="1">
        <f t="array" ref="AI173">IF(W173="",0,ROUND(AC173*U173*24*_xlfn.XLOOKUP(1,(D173&lt;=Table7[End])*(E173=Table7[근무처])*(F173=Table7[업무]),Table7[휴일인센티브],0,0),0))</f>
        <v>0</v>
      </c>
      <c r="AJ173" s="94" cm="1">
        <f t="array" ref="AJ173">ROUND(AC173*IF(U173&gt;=8/24,U173-8/24,0)*24*_xlfn.XLOOKUP(1,(D173&lt;=Table7[End])*(E173=Table7[근무처])*(F173=Table7[업무]),Table7[야간인센티브],0,0),0)</f>
        <v>0</v>
      </c>
      <c r="AK173" s="94" cm="1">
        <f t="array" ref="AK173">IF(V173=0,0,ROUND(AC173*V173*24*_xlfn.XLOOKUP(1,(D173&lt;=Table7[End])*(E173=Table7[근무처])*(F173=Table7[업무]),Table7[야간인센티브],0,0),0))</f>
        <v>0</v>
      </c>
      <c r="AL173" s="95"/>
      <c r="AM173" s="94">
        <f t="shared" si="34"/>
        <v>48060</v>
      </c>
      <c r="AN173" s="94" cm="1">
        <f t="array" ref="AN173">IF(AM173&gt;=_xlfn.XLOOKUP(TRUE,D173&lt;=Table5[End],Table5[비과세소득기준],0,0),AM173-_xlfn.XLOOKUP(TRUE,D173&lt;=Table5[End],Table5[비과세소득기준],0,0),0)</f>
        <v>0</v>
      </c>
      <c r="AO173" s="94" cm="1">
        <f t="array" ref="AO173">ROUNDDOWN(_xlfn.LET(_xlpm.setvalue,_xlfn.XLOOKUP(TRUE,D173&lt;=Table5[End],Table5[[요율]:[근로소득세액공제]],0,0),_xlpm.tax,AN173*PRODUCT((_xlpm.setvalue-{0,1})*{1,-1}),_xlpm.threshold,_xlfn.XLOOKUP(TRUE,D173&lt;=Table5[End],Table5[소액부징수기준],0,0),IF(_xlpm.tax&gt;=_xlpm.threshold,_xlpm.tax,0)),-1)</f>
        <v>0</v>
      </c>
      <c r="AP173" s="94">
        <f>ROUNDDOWN(Table2[[#This Row],[소득세]]*10%,-1)</f>
        <v>0</v>
      </c>
      <c r="AQ173" s="94">
        <f>IF(AB173="v",AM173+IF(Y173=8,SUMIFS(Table2[지급총액],Table2[주민등록번호],O173,Table2[월],R173,Table2[월간
근무일],"&lt;="&amp;8)-AM173,0),0)+_xlfn.NUMBERVALUE(AR173)</f>
        <v>0</v>
      </c>
      <c r="AR173" s="95"/>
      <c r="AS173" s="94" cm="1">
        <f t="array" ref="AS173">ROUNDDOWN($AQ173*_xlfn.XLOOKUP(1,(AS$5=Table8[Type])*($D173&lt;=Table8[End]),Table8[요율],0,0),0)</f>
        <v>0</v>
      </c>
      <c r="AT173" s="94" cm="1">
        <f t="array" ref="AT173">ROUNDDOWN(AS173*_xlfn.XLOOKUP(1,(AT$5=Table8[Type])*($D173&lt;=Table8[End]),Table8[요율],0,0),-1)</f>
        <v>0</v>
      </c>
      <c r="AU173" s="94" cm="1">
        <f t="array" ref="AU173">ROUNDDOWN($AQ173*_xlfn.XLOOKUP(1,(AU$5=Table8[Type])*($D173&lt;=Table8[End]),Table8[요율],0,0),-1)</f>
        <v>0</v>
      </c>
      <c r="AV173" s="94" cm="1">
        <f t="array" ref="AV173">ROUNDDOWN(AM173*_xlfn.XLOOKUP(1,(AV$5=Table8[Type])*($D173&lt;=Table8[End]),Table8[요율],0,0),-1)</f>
        <v>0</v>
      </c>
      <c r="AW173" s="94" cm="1">
        <f t="array" ref="AW173">_xlfn.XLOOKUP(1,(O173=Table2[주민등록번호])*(D173&gt;Table2[근무일자]),Table2[청구 Claim 
이월],0,0,-1)</f>
        <v>0</v>
      </c>
      <c r="AX173" s="95"/>
      <c r="AY173" s="94" cm="1">
        <f t="array" ref="AY173">MAX(SUM(AO173:AP173,AS173:AX173)-_xlfn.XLOOKUP(1,(D173&lt;=Table7[End])*(E173=Table7[근무처])*(F173=Table7[업무]),Table7[1일 공제 상한],0,0),0)</f>
        <v>0</v>
      </c>
      <c r="AZ173" s="94">
        <f t="shared" si="35"/>
        <v>0</v>
      </c>
      <c r="BA173" s="94">
        <f t="shared" si="36"/>
        <v>48060</v>
      </c>
      <c r="BB173" s="97">
        <f t="shared" si="37"/>
        <v>0</v>
      </c>
      <c r="BC173" s="98"/>
      <c r="BD173" s="94">
        <f t="shared" si="38"/>
        <v>0</v>
      </c>
      <c r="BE173" s="94">
        <f t="shared" si="39"/>
        <v>0</v>
      </c>
      <c r="BF173" s="94">
        <f t="shared" si="40"/>
        <v>0</v>
      </c>
      <c r="BG173" s="94">
        <f t="shared" si="41"/>
        <v>0</v>
      </c>
      <c r="BH173" s="94" cm="1">
        <f t="array" ref="BH173">ROUNDDOWN(AM173*_xlfn.XLOOKUP(1,(BH$5=Table8[Type])*($D173&lt;=Table8[End]),Table8[요율],0,0),-1)</f>
        <v>380</v>
      </c>
      <c r="BI173" s="93" t="str" cm="1">
        <f t="array" ref="BI173">_xlfn.XLOOKUP(1,(D173&lt;=Table7[End])*(E173=Table7[근무처])*(F173=Table7[업무]),Table7[지급옵션],0,0)</f>
        <v>차주 화</v>
      </c>
      <c r="BJ173" s="83">
        <f>IF(BK173&lt;&gt;"",BK173,IFERROR(D173+_xlfn.NUMBERVALUE(RIGHT(BI173,1)),D173-WEEKDAY(D173)+CHOOSE(MATCH(RIGHT(BI173),{"일","월","화","수","목","금","토"},0),8,9,10,11,12,13,14)))</f>
        <v>45783</v>
      </c>
      <c r="BK173" s="99"/>
    </row>
    <row r="174" spans="2:63" x14ac:dyDescent="0.35">
      <c r="B174" s="20" t="str" cm="1">
        <f t="array" ref="B174">_xlfn.IFS(BB174&lt;&gt;BC174,"Claim확인",N174&lt;&gt;"OK","확인필요",TRUE,"")</f>
        <v/>
      </c>
      <c r="C174" s="21" t="str">
        <f t="shared" si="28"/>
        <v>010-2X2X-X2X2945X02XX268466</v>
      </c>
      <c r="D174" s="26">
        <v>45774</v>
      </c>
      <c r="E174" s="91" t="s">
        <v>255</v>
      </c>
      <c r="F174" s="25" t="s">
        <v>258</v>
      </c>
      <c r="G174" s="27" t="s">
        <v>285</v>
      </c>
      <c r="H174" s="25" t="s">
        <v>297</v>
      </c>
      <c r="I174" s="25"/>
      <c r="J174" s="25" t="s">
        <v>298</v>
      </c>
      <c r="K174" s="28">
        <v>0.5</v>
      </c>
      <c r="L174" s="28">
        <v>0.875</v>
      </c>
      <c r="M174" s="28">
        <v>4.1666666666666664E-2</v>
      </c>
      <c r="N174" s="25" t="s">
        <v>281</v>
      </c>
      <c r="O174" s="29" t="str">
        <f>_xlfn.XLOOKUP(Table2[[#This Row],[Key]],Table1[Key],Table1[주민등록번호],"",0)</f>
        <v>980XX81XX7X17</v>
      </c>
      <c r="P174" s="86">
        <f>_xlfn.XLOOKUP(Table2[[#This Row],[Key]],Table1[Key],Table1[비자],"",0)</f>
        <v>0</v>
      </c>
      <c r="Q174" s="86">
        <f>IF(P174=0,0,_xlfn.XLOOKUP(Table2[[#This Row],[Key]],Table1[Key],Table1[고용보험 여부],0,0))</f>
        <v>0</v>
      </c>
      <c r="R174" s="29" t="str">
        <f t="shared" si="29"/>
        <v>2504</v>
      </c>
      <c r="S174" s="30" t="str">
        <f>YEAR(Table2[[#This Row],[근무일자]])&amp;TEXT(WEEKNUM(Table2[[#This Row],[근무일자]]),"00")</f>
        <v>202518</v>
      </c>
      <c r="T174" s="31">
        <f>_xlfn.XLOOKUP(Table2[[#This Row],[Key]],Table1[Key],Table1[등록일],"",0)</f>
        <v>45752</v>
      </c>
      <c r="U174" s="32">
        <f t="shared" si="30"/>
        <v>0.33333333333333331</v>
      </c>
      <c r="V174" s="92">
        <f t="shared" si="31"/>
        <v>0</v>
      </c>
      <c r="W174" s="100" t="str">
        <f>_xlfn.XLOOKUP(Table2[[#This Row],[근무일자]],Table3[Date],Table3[Holiday],"",0)</f>
        <v/>
      </c>
      <c r="X174" s="93">
        <f>IF(D174&lt;&gt;"",1,0)+IF(COUNTIFS(Table2[주민등록번호],O174,Table2[월],TEXT(EOMONTH(D174,-1),"YYMM"))&gt;0,1+IF(COUNTIFS(Table2[주민등록번호],O174,Table2[월],TEXT(EOMONTH(D174,-2),"YYMM"))&gt;0,1+IF(COUNTIFS(Table2[주민등록번호],O174,Table2[월],TEXT(EOMONTH(D174,-3),"YYMM"))&gt;0,1,0),0),0)</f>
        <v>1</v>
      </c>
      <c r="Y174" s="29">
        <f>COUNTIFS(Table2[주민등록번호],O174,Table2[월],R174,Table2[근무일자],"&lt;="&amp;D174)</f>
        <v>3</v>
      </c>
      <c r="Z174" s="29">
        <f>COUNTIFS(Table2[주민등록번호],O174,Table2[주간],S174,Table2[근무일자],"&lt;="&amp;D174)</f>
        <v>1</v>
      </c>
      <c r="AA174" s="29">
        <f>SUMIFS(Table2[근로
시간],Table2[주민등록번호],O174,Table2[주간],S174,Table2[근무일자],"&lt;="&amp;D174)*24</f>
        <v>8</v>
      </c>
      <c r="AB174" s="29" t="str">
        <f>IF(AND(Y174&gt;=8,COUNTIFS(Table2[주민등록번호],O174,Table2[근무일자],"&gt;="&amp;EOMONTH(D174,-2)+1,Table2[근무일자],"&lt;="&amp;EOMONTH(D174,-1)+1)&gt;0),"V","")</f>
        <v/>
      </c>
      <c r="AC174" s="94" cm="1">
        <f t="array" ref="AC174">IF(AD174&lt;&gt;"",AD174,_xlfn.XLOOKUP(1,(D174&lt;=Table7[End])*(E174=Table7[근무처])*(F174=Table7[업무]),Table7[시급],0,0))</f>
        <v>10680</v>
      </c>
      <c r="AD174" s="95"/>
      <c r="AE174" s="94">
        <f t="shared" si="32"/>
        <v>85440</v>
      </c>
      <c r="AF174" s="96" cm="1">
        <f t="array" ref="AF174">IF(AND(AA174&gt;=15,(AA174-U174*24)&lt;=40),IF(Z174&gt;=_xlfn.XLOOKUP(1,(D174&lt;=Table7[End])*(E174=Table7[근무처])*(F174=Table7[업무]),Table7[주휴적용일],0,0),1,0)+_xlfn.XLOOKUP(1,(Table2[주간]=Table2[[#This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74" s="96" cm="1">
        <f t="array" ref="AG174">MAX((_xlfn.IFS(AF174=0,0,AF174=1,AA174,AF174&gt;1,U174*24)-IF(AA174&gt;40,AA174-40,0))/5,0)</f>
        <v>0</v>
      </c>
      <c r="AH174" s="94">
        <f t="shared" si="33"/>
        <v>0</v>
      </c>
      <c r="AI174" s="33" cm="1">
        <f t="array" ref="AI174">IF(W174="",0,ROUND(AC174*U174*24*_xlfn.XLOOKUP(1,(D174&lt;=Table7[End])*(E174=Table7[근무처])*(F174=Table7[업무]),Table7[휴일인센티브],0,0),0))</f>
        <v>0</v>
      </c>
      <c r="AJ174" s="94" cm="1">
        <f t="array" ref="AJ174">ROUND(AC174*IF(U174&gt;=8/24,U174-8/24,0)*24*_xlfn.XLOOKUP(1,(D174&lt;=Table7[End])*(E174=Table7[근무처])*(F174=Table7[업무]),Table7[야간인센티브],0,0),0)</f>
        <v>0</v>
      </c>
      <c r="AK174" s="94" cm="1">
        <f t="array" ref="AK174">IF(V174=0,0,ROUND(AC174*V174*24*_xlfn.XLOOKUP(1,(D174&lt;=Table7[End])*(E174=Table7[근무처])*(F174=Table7[업무]),Table7[야간인센티브],0,0),0))</f>
        <v>0</v>
      </c>
      <c r="AL174" s="95"/>
      <c r="AM174" s="94">
        <f t="shared" si="34"/>
        <v>85440</v>
      </c>
      <c r="AN174" s="94" cm="1">
        <f t="array" ref="AN174">IF(AM174&gt;=_xlfn.XLOOKUP(TRUE,D174&lt;=Table5[End],Table5[비과세소득기준],0,0),AM174-_xlfn.XLOOKUP(TRUE,D174&lt;=Table5[End],Table5[비과세소득기준],0,0),0)</f>
        <v>0</v>
      </c>
      <c r="AO174" s="94" cm="1">
        <f t="array" ref="AO174">ROUNDDOWN(_xlfn.LET(_xlpm.setvalue,_xlfn.XLOOKUP(TRUE,D174&lt;=Table5[End],Table5[[요율]:[근로소득세액공제]],0,0),_xlpm.tax,AN174*PRODUCT((_xlpm.setvalue-{0,1})*{1,-1}),_xlpm.threshold,_xlfn.XLOOKUP(TRUE,D174&lt;=Table5[End],Table5[소액부징수기준],0,0),IF(_xlpm.tax&gt;=_xlpm.threshold,_xlpm.tax,0)),-1)</f>
        <v>0</v>
      </c>
      <c r="AP174" s="94">
        <f>ROUNDDOWN(Table2[[#This Row],[소득세]]*10%,-1)</f>
        <v>0</v>
      </c>
      <c r="AQ174" s="94">
        <f>IF(AB174="v",AM174+IF(Y174=8,SUMIFS(Table2[지급총액],Table2[주민등록번호],O174,Table2[월],R174,Table2[월간
근무일],"&lt;="&amp;8)-AM174,0),0)+_xlfn.NUMBERVALUE(AR174)</f>
        <v>0</v>
      </c>
      <c r="AR174" s="95"/>
      <c r="AS174" s="94" cm="1">
        <f t="array" ref="AS174">ROUNDDOWN($AQ174*_xlfn.XLOOKUP(1,(AS$5=Table8[Type])*($D174&lt;=Table8[End]),Table8[요율],0,0),0)</f>
        <v>0</v>
      </c>
      <c r="AT174" s="94" cm="1">
        <f t="array" ref="AT174">ROUNDDOWN(AS174*_xlfn.XLOOKUP(1,(AT$5=Table8[Type])*($D174&lt;=Table8[End]),Table8[요율],0,0),-1)</f>
        <v>0</v>
      </c>
      <c r="AU174" s="94" cm="1">
        <f t="array" ref="AU174">ROUNDDOWN($AQ174*_xlfn.XLOOKUP(1,(AU$5=Table8[Type])*($D174&lt;=Table8[End]),Table8[요율],0,0),-1)</f>
        <v>0</v>
      </c>
      <c r="AV174" s="94" cm="1">
        <f t="array" ref="AV174">ROUNDDOWN(AM174*_xlfn.XLOOKUP(1,(AV$5=Table8[Type])*($D174&lt;=Table8[End]),Table8[요율],0,0),-1)</f>
        <v>0</v>
      </c>
      <c r="AW174" s="94" cm="1">
        <f t="array" ref="AW174">_xlfn.XLOOKUP(1,(O174=Table2[주민등록번호])*(D174&gt;Table2[근무일자]),Table2[청구 Claim 
이월],0,0,-1)</f>
        <v>0</v>
      </c>
      <c r="AX174" s="95"/>
      <c r="AY174" s="94" cm="1">
        <f t="array" ref="AY174">MAX(SUM(AO174:AP174,AS174:AX174)-_xlfn.XLOOKUP(1,(D174&lt;=Table7[End])*(E174=Table7[근무처])*(F174=Table7[업무]),Table7[1일 공제 상한],0,0),0)</f>
        <v>0</v>
      </c>
      <c r="AZ174" s="94">
        <f t="shared" si="35"/>
        <v>0</v>
      </c>
      <c r="BA174" s="94">
        <f t="shared" si="36"/>
        <v>85440</v>
      </c>
      <c r="BB174" s="97">
        <f t="shared" si="37"/>
        <v>0</v>
      </c>
      <c r="BC174" s="98"/>
      <c r="BD174" s="94">
        <f t="shared" si="38"/>
        <v>0</v>
      </c>
      <c r="BE174" s="94">
        <f t="shared" si="39"/>
        <v>0</v>
      </c>
      <c r="BF174" s="94">
        <f t="shared" si="40"/>
        <v>0</v>
      </c>
      <c r="BG174" s="94">
        <f t="shared" si="41"/>
        <v>0</v>
      </c>
      <c r="BH174" s="94" cm="1">
        <f t="array" ref="BH174">ROUNDDOWN(AM174*_xlfn.XLOOKUP(1,(BH$5=Table8[Type])*($D174&lt;=Table8[End]),Table8[요율],0,0),-1)</f>
        <v>680</v>
      </c>
      <c r="BI174" s="93" t="str" cm="1">
        <f t="array" ref="BI174">_xlfn.XLOOKUP(1,(D174&lt;=Table7[End])*(E174=Table7[근무처])*(F174=Table7[업무]),Table7[지급옵션],0,0)</f>
        <v>차주 화</v>
      </c>
      <c r="BJ174" s="83">
        <f>IF(BK174&lt;&gt;"",BK174,IFERROR(D174+_xlfn.NUMBERVALUE(RIGHT(BI174,1)),D174-WEEKDAY(D174)+CHOOSE(MATCH(RIGHT(BI174),{"일","월","화","수","목","금","토"},0),8,9,10,11,12,13,14)))</f>
        <v>45783</v>
      </c>
      <c r="BK174" s="99"/>
    </row>
    <row r="175" spans="2:63" x14ac:dyDescent="0.35">
      <c r="B175" s="20" t="str" cm="1">
        <f t="array" ref="B175">_xlfn.IFS(BB175&lt;&gt;BC175,"Claim확인",N175&lt;&gt;"OK","확인필요",TRUE,"")</f>
        <v/>
      </c>
      <c r="C175" s="21" t="str">
        <f t="shared" si="28"/>
        <v>010-6X1X-X3X0333X04XX46879</v>
      </c>
      <c r="D175" s="26">
        <v>45775</v>
      </c>
      <c r="E175" s="91" t="s">
        <v>255</v>
      </c>
      <c r="F175" s="25" t="s">
        <v>258</v>
      </c>
      <c r="G175" s="27" t="s">
        <v>284</v>
      </c>
      <c r="H175" s="25" t="s">
        <v>293</v>
      </c>
      <c r="I175" s="25"/>
      <c r="J175" s="25" t="s">
        <v>294</v>
      </c>
      <c r="K175" s="28">
        <v>0.3125</v>
      </c>
      <c r="L175" s="28">
        <v>0.6875</v>
      </c>
      <c r="M175" s="28">
        <v>4.1666666666666664E-2</v>
      </c>
      <c r="N175" s="25" t="s">
        <v>281</v>
      </c>
      <c r="O175" s="29" t="str">
        <f>_xlfn.XLOOKUP(Table2[[#This Row],[Key]],Table1[Key],Table1[주민등록번호],"",0)</f>
        <v>971XX61XX9X25</v>
      </c>
      <c r="P175" s="29">
        <f>_xlfn.XLOOKUP(Table2[[#This Row],[Key]],Table1[Key],Table1[비자],"",0)</f>
        <v>0</v>
      </c>
      <c r="Q175" s="29">
        <f>IF(P175=0,0,_xlfn.XLOOKUP(Table2[[#This Row],[Key]],Table1[Key],Table1[고용보험 여부],0,0))</f>
        <v>0</v>
      </c>
      <c r="R175" s="29" t="str">
        <f t="shared" si="29"/>
        <v>2504</v>
      </c>
      <c r="S175" s="30" t="str">
        <f>YEAR(Table2[[#This Row],[근무일자]])&amp;TEXT(WEEKNUM(Table2[[#This Row],[근무일자]]),"00")</f>
        <v>202518</v>
      </c>
      <c r="T175" s="31">
        <f>_xlfn.XLOOKUP(Table2[[#This Row],[Key]],Table1[Key],Table1[등록일],"",0)</f>
        <v>45721</v>
      </c>
      <c r="U175" s="32">
        <f t="shared" si="30"/>
        <v>0.33333333333333331</v>
      </c>
      <c r="V175" s="92">
        <f t="shared" si="31"/>
        <v>0</v>
      </c>
      <c r="W175" s="100" t="str">
        <f>_xlfn.XLOOKUP(Table2[[#This Row],[근무일자]],Table3[Date],Table3[Holiday],"",0)</f>
        <v/>
      </c>
      <c r="X175" s="93">
        <f>IF(D175&lt;&gt;"",1,0)+IF(COUNTIFS(Table2[주민등록번호],O175,Table2[월],TEXT(EOMONTH(D175,-1),"YYMM"))&gt;0,1+IF(COUNTIFS(Table2[주민등록번호],O175,Table2[월],TEXT(EOMONTH(D175,-2),"YYMM"))&gt;0,1+IF(COUNTIFS(Table2[주민등록번호],O175,Table2[월],TEXT(EOMONTH(D175,-3),"YYMM"))&gt;0,1,0),0),0)</f>
        <v>2</v>
      </c>
      <c r="Y175" s="29">
        <f>COUNTIFS(Table2[주민등록번호],O175,Table2[월],R175,Table2[근무일자],"&lt;="&amp;D175)</f>
        <v>16</v>
      </c>
      <c r="Z175" s="29">
        <f>COUNTIFS(Table2[주민등록번호],O175,Table2[주간],S175,Table2[근무일자],"&lt;="&amp;D175)</f>
        <v>1</v>
      </c>
      <c r="AA175" s="29">
        <f>SUMIFS(Table2[근로
시간],Table2[주민등록번호],O175,Table2[주간],S175,Table2[근무일자],"&lt;="&amp;D175)*24</f>
        <v>8</v>
      </c>
      <c r="AB175" s="29" t="str">
        <f>IF(AND(Y175&gt;=8,COUNTIFS(Table2[주민등록번호],O175,Table2[근무일자],"&gt;="&amp;EOMONTH(D175,-2)+1,Table2[근무일자],"&lt;="&amp;EOMONTH(D175,-1)+1)&gt;0),"V","")</f>
        <v>V</v>
      </c>
      <c r="AC175" s="94" cm="1">
        <f t="array" ref="AC175">IF(AD175&lt;&gt;"",AD175,_xlfn.XLOOKUP(1,(D175&lt;=Table7[End])*(E175=Table7[근무처])*(F175=Table7[업무]),Table7[시급],0,0))</f>
        <v>10680</v>
      </c>
      <c r="AD175" s="95"/>
      <c r="AE175" s="94">
        <f t="shared" si="32"/>
        <v>85440</v>
      </c>
      <c r="AF175" s="96" cm="1">
        <f t="array" ref="AF175">IF(AND(AA175&gt;=15,(AA175-U175*24)&lt;=40),IF(Z175&gt;=_xlfn.XLOOKUP(1,(D175&lt;=Table7[End])*(E175=Table7[근무처])*(F175=Table7[업무]),Table7[주휴적용일],0,0),1,0)+_xlfn.XLOOKUP(1,(Table2[주간]=Table2[[#This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75" s="96" cm="1">
        <f t="array" ref="AG175">MAX((_xlfn.IFS(AF175=0,0,AF175=1,AA175,AF175&gt;1,U175*24)-IF(AA175&gt;40,AA175-40,0))/5,0)</f>
        <v>0</v>
      </c>
      <c r="AH175" s="94">
        <f t="shared" si="33"/>
        <v>0</v>
      </c>
      <c r="AI175" s="33" cm="1">
        <f t="array" ref="AI175">IF(W175="",0,ROUND(AC175*U175*24*_xlfn.XLOOKUP(1,(D175&lt;=Table7[End])*(E175=Table7[근무처])*(F175=Table7[업무]),Table7[휴일인센티브],0,0),0))</f>
        <v>0</v>
      </c>
      <c r="AJ175" s="94" cm="1">
        <f t="array" ref="AJ175">ROUND(AC175*IF(U175&gt;=8/24,U175-8/24,0)*24*_xlfn.XLOOKUP(1,(D175&lt;=Table7[End])*(E175=Table7[근무처])*(F175=Table7[업무]),Table7[야간인센티브],0,0),0)</f>
        <v>0</v>
      </c>
      <c r="AK175" s="94" cm="1">
        <f t="array" ref="AK175">IF(V175=0,0,ROUND(AC175*V175*24*_xlfn.XLOOKUP(1,(D175&lt;=Table7[End])*(E175=Table7[근무처])*(F175=Table7[업무]),Table7[야간인센티브],0,0),0))</f>
        <v>0</v>
      </c>
      <c r="AL175" s="95"/>
      <c r="AM175" s="94">
        <f t="shared" si="34"/>
        <v>85440</v>
      </c>
      <c r="AN175" s="94" cm="1">
        <f t="array" ref="AN175">IF(AM175&gt;=_xlfn.XLOOKUP(TRUE,D175&lt;=Table5[End],Table5[비과세소득기준],0,0),AM175-_xlfn.XLOOKUP(TRUE,D175&lt;=Table5[End],Table5[비과세소득기준],0,0),0)</f>
        <v>0</v>
      </c>
      <c r="AO175" s="94" cm="1">
        <f t="array" ref="AO175">ROUNDDOWN(_xlfn.LET(_xlpm.setvalue,_xlfn.XLOOKUP(TRUE,D175&lt;=Table5[End],Table5[[요율]:[근로소득세액공제]],0,0),_xlpm.tax,AN175*PRODUCT((_xlpm.setvalue-{0,1})*{1,-1}),_xlpm.threshold,_xlfn.XLOOKUP(TRUE,D175&lt;=Table5[End],Table5[소액부징수기준],0,0),IF(_xlpm.tax&gt;=_xlpm.threshold,_xlpm.tax,0)),-1)</f>
        <v>0</v>
      </c>
      <c r="AP175" s="94">
        <f>ROUNDDOWN(Table2[[#This Row],[소득세]]*10%,-1)</f>
        <v>0</v>
      </c>
      <c r="AQ175" s="94">
        <f>IF(AB175="v",AM175+IF(Y175=8,SUMIFS(Table2[지급총액],Table2[주민등록번호],O175,Table2[월],R175,Table2[월간
근무일],"&lt;="&amp;8)-AM175,0),0)+_xlfn.NUMBERVALUE(AR175)</f>
        <v>85440</v>
      </c>
      <c r="AR175" s="95"/>
      <c r="AS175" s="94" cm="1">
        <f t="array" ref="AS175">ROUNDDOWN($AQ175*_xlfn.XLOOKUP(1,(AS$5=Table8[Type])*($D175&lt;=Table8[End]),Table8[요율],0,0),0)</f>
        <v>3028</v>
      </c>
      <c r="AT175" s="94" cm="1">
        <f t="array" ref="AT175">ROUNDDOWN(AS175*_xlfn.XLOOKUP(1,(AT$5=Table8[Type])*($D175&lt;=Table8[End]),Table8[요율],0,0),-1)</f>
        <v>390</v>
      </c>
      <c r="AU175" s="94" cm="1">
        <f t="array" ref="AU175">ROUNDDOWN($AQ175*_xlfn.XLOOKUP(1,(AU$5=Table8[Type])*($D175&lt;=Table8[End]),Table8[요율],0,0),-1)</f>
        <v>3840</v>
      </c>
      <c r="AV175" s="94" cm="1">
        <f t="array" ref="AV175">ROUNDDOWN(AM175*_xlfn.XLOOKUP(1,(AV$5=Table8[Type])*($D175&lt;=Table8[End]),Table8[요율],0,0),-1)</f>
        <v>0</v>
      </c>
      <c r="AW175" s="94" cm="1">
        <f t="array" ref="AW175">_xlfn.XLOOKUP(1,(O175=Table2[주민등록번호])*(D175&gt;Table2[근무일자]),Table2[청구 Claim 
이월],0,0,-1)</f>
        <v>0</v>
      </c>
      <c r="AX175" s="95"/>
      <c r="AY175" s="94" cm="1">
        <f t="array" ref="AY175">MAX(SUM(AO175:AP175,AS175:AX175)-_xlfn.XLOOKUP(1,(D175&lt;=Table7[End])*(E175=Table7[근무처])*(F175=Table7[업무]),Table7[1일 공제 상한],0,0),0)</f>
        <v>0</v>
      </c>
      <c r="AZ175" s="94">
        <f t="shared" si="35"/>
        <v>7258</v>
      </c>
      <c r="BA175" s="94">
        <f t="shared" si="36"/>
        <v>78182</v>
      </c>
      <c r="BB175" s="97">
        <f t="shared" si="37"/>
        <v>0</v>
      </c>
      <c r="BC175" s="98"/>
      <c r="BD175" s="94">
        <f t="shared" si="38"/>
        <v>3028</v>
      </c>
      <c r="BE175" s="94">
        <f t="shared" si="39"/>
        <v>390</v>
      </c>
      <c r="BF175" s="94">
        <f t="shared" si="40"/>
        <v>3840</v>
      </c>
      <c r="BG175" s="94">
        <f t="shared" si="41"/>
        <v>0</v>
      </c>
      <c r="BH175" s="94" cm="1">
        <f t="array" ref="BH175">ROUNDDOWN(AM175*_xlfn.XLOOKUP(1,(BH$5=Table8[Type])*($D175&lt;=Table8[End]),Table8[요율],0,0),-1)</f>
        <v>680</v>
      </c>
      <c r="BI175" s="93" t="str" cm="1">
        <f t="array" ref="BI175">_xlfn.XLOOKUP(1,(D175&lt;=Table7[End])*(E175=Table7[근무처])*(F175=Table7[업무]),Table7[지급옵션],0,0)</f>
        <v>차주 화</v>
      </c>
      <c r="BJ175" s="83">
        <f>IF(BK175&lt;&gt;"",BK175,IFERROR(D175+_xlfn.NUMBERVALUE(RIGHT(BI175,1)),D175-WEEKDAY(D175)+CHOOSE(MATCH(RIGHT(BI175),{"일","월","화","수","목","금","토"},0),8,9,10,11,12,13,14)))</f>
        <v>45783</v>
      </c>
      <c r="BK175" s="99"/>
    </row>
    <row r="176" spans="2:63" x14ac:dyDescent="0.35">
      <c r="B176" s="20" t="str" cm="1">
        <f t="array" ref="B176">_xlfn.IFS(BB176&lt;&gt;BC176,"Claim확인",N176&lt;&gt;"OK","확인필요",TRUE,"")</f>
        <v/>
      </c>
      <c r="C176" s="21" t="str">
        <f t="shared" si="28"/>
        <v>010-8X0X-X0X9982X03XX901018</v>
      </c>
      <c r="D176" s="26">
        <v>45775</v>
      </c>
      <c r="E176" s="91" t="s">
        <v>255</v>
      </c>
      <c r="F176" s="25" t="s">
        <v>258</v>
      </c>
      <c r="G176" s="27" t="s">
        <v>283</v>
      </c>
      <c r="H176" s="25" t="s">
        <v>291</v>
      </c>
      <c r="I176" s="25"/>
      <c r="J176" s="25" t="s">
        <v>292</v>
      </c>
      <c r="K176" s="28">
        <v>0.375</v>
      </c>
      <c r="L176" s="28">
        <v>0.75</v>
      </c>
      <c r="M176" s="28">
        <v>4.1666666666666664E-2</v>
      </c>
      <c r="N176" s="25" t="s">
        <v>281</v>
      </c>
      <c r="O176" s="29" t="str">
        <f>_xlfn.XLOOKUP(Table2[[#This Row],[Key]],Table1[Key],Table1[주민등록번호],"",0)</f>
        <v>960XX51XX9X15</v>
      </c>
      <c r="P176" s="29">
        <f>_xlfn.XLOOKUP(Table2[[#This Row],[Key]],Table1[Key],Table1[비자],"",0)</f>
        <v>0</v>
      </c>
      <c r="Q176" s="29">
        <f>IF(P176=0,0,_xlfn.XLOOKUP(Table2[[#This Row],[Key]],Table1[Key],Table1[고용보험 여부],0,0))</f>
        <v>0</v>
      </c>
      <c r="R176" s="29" t="str">
        <f t="shared" si="29"/>
        <v>2504</v>
      </c>
      <c r="S176" s="30" t="str">
        <f>YEAR(Table2[[#This Row],[근무일자]])&amp;TEXT(WEEKNUM(Table2[[#This Row],[근무일자]]),"00")</f>
        <v>202518</v>
      </c>
      <c r="T176" s="31">
        <f>_xlfn.XLOOKUP(Table2[[#This Row],[Key]],Table1[Key],Table1[등록일],"",0)</f>
        <v>45698</v>
      </c>
      <c r="U176" s="32">
        <f t="shared" si="30"/>
        <v>0.33333333333333331</v>
      </c>
      <c r="V176" s="92">
        <f t="shared" si="31"/>
        <v>0</v>
      </c>
      <c r="W176" s="100" t="str">
        <f>_xlfn.XLOOKUP(Table2[[#This Row],[근무일자]],Table3[Date],Table3[Holiday],"",0)</f>
        <v/>
      </c>
      <c r="X176" s="93">
        <f>IF(D176&lt;&gt;"",1,0)+IF(COUNTIFS(Table2[주민등록번호],O176,Table2[월],TEXT(EOMONTH(D176,-1),"YYMM"))&gt;0,1+IF(COUNTIFS(Table2[주민등록번호],O176,Table2[월],TEXT(EOMONTH(D176,-2),"YYMM"))&gt;0,1+IF(COUNTIFS(Table2[주민등록번호],O176,Table2[월],TEXT(EOMONTH(D176,-3),"YYMM"))&gt;0,1,0),0),0)</f>
        <v>3</v>
      </c>
      <c r="Y176" s="29">
        <f>COUNTIFS(Table2[주민등록번호],O176,Table2[월],R176,Table2[근무일자],"&lt;="&amp;D176)</f>
        <v>19</v>
      </c>
      <c r="Z176" s="29">
        <f>COUNTIFS(Table2[주민등록번호],O176,Table2[주간],S176,Table2[근무일자],"&lt;="&amp;D176)</f>
        <v>2</v>
      </c>
      <c r="AA176" s="29">
        <f>SUMIFS(Table2[근로
시간],Table2[주민등록번호],O176,Table2[주간],S176,Table2[근무일자],"&lt;="&amp;D176)*24</f>
        <v>16</v>
      </c>
      <c r="AB176" s="29" t="str">
        <f>IF(AND(Y176&gt;=8,COUNTIFS(Table2[주민등록번호],O176,Table2[근무일자],"&gt;="&amp;EOMONTH(D176,-2)+1,Table2[근무일자],"&lt;="&amp;EOMONTH(D176,-1)+1)&gt;0),"V","")</f>
        <v>V</v>
      </c>
      <c r="AC176" s="94" cm="1">
        <f t="array" ref="AC176">IF(AD176&lt;&gt;"",AD176,_xlfn.XLOOKUP(1,(D176&lt;=Table7[End])*(E176=Table7[근무처])*(F176=Table7[업무]),Table7[시급],0,0))</f>
        <v>10680</v>
      </c>
      <c r="AD176" s="95"/>
      <c r="AE176" s="94">
        <f t="shared" si="32"/>
        <v>85440</v>
      </c>
      <c r="AF176" s="96" cm="1">
        <f t="array" ref="AF176">IF(AND(AA176&gt;=15,(AA176-U176*24)&lt;=40),IF(Z176&gt;=_xlfn.XLOOKUP(1,(D176&lt;=Table7[End])*(E176=Table7[근무처])*(F176=Table7[업무]),Table7[주휴적용일],0,0),1,0)+_xlfn.XLOOKUP(1,(Table2[주간]=Table2[[#This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76" s="96" cm="1">
        <f t="array" ref="AG176">MAX((_xlfn.IFS(AF176=0,0,AF176=1,AA176,AF176&gt;1,U176*24)-IF(AA176&gt;40,AA176-40,0))/5,0)</f>
        <v>3.2</v>
      </c>
      <c r="AH176" s="94">
        <f t="shared" si="33"/>
        <v>34176</v>
      </c>
      <c r="AI176" s="33" cm="1">
        <f t="array" ref="AI176">IF(W176="",0,ROUND(AC176*U176*24*_xlfn.XLOOKUP(1,(D176&lt;=Table7[End])*(E176=Table7[근무처])*(F176=Table7[업무]),Table7[휴일인센티브],0,0),0))</f>
        <v>0</v>
      </c>
      <c r="AJ176" s="94" cm="1">
        <f t="array" ref="AJ176">ROUND(AC176*IF(U176&gt;=8/24,U176-8/24,0)*24*_xlfn.XLOOKUP(1,(D176&lt;=Table7[End])*(E176=Table7[근무처])*(F176=Table7[업무]),Table7[야간인센티브],0,0),0)</f>
        <v>0</v>
      </c>
      <c r="AK176" s="94" cm="1">
        <f t="array" ref="AK176">IF(V176=0,0,ROUND(AC176*V176*24*_xlfn.XLOOKUP(1,(D176&lt;=Table7[End])*(E176=Table7[근무처])*(F176=Table7[업무]),Table7[야간인센티브],0,0),0))</f>
        <v>0</v>
      </c>
      <c r="AL176" s="95"/>
      <c r="AM176" s="94">
        <f t="shared" si="34"/>
        <v>119616</v>
      </c>
      <c r="AN176" s="94" cm="1">
        <f t="array" ref="AN176">IF(AM176&gt;=_xlfn.XLOOKUP(TRUE,D176&lt;=Table5[End],Table5[비과세소득기준],0,0),AM176-_xlfn.XLOOKUP(TRUE,D176&lt;=Table5[End],Table5[비과세소득기준],0,0),0)</f>
        <v>0</v>
      </c>
      <c r="AO176" s="94" cm="1">
        <f t="array" ref="AO176">ROUNDDOWN(_xlfn.LET(_xlpm.setvalue,_xlfn.XLOOKUP(TRUE,D176&lt;=Table5[End],Table5[[요율]:[근로소득세액공제]],0,0),_xlpm.tax,AN176*PRODUCT((_xlpm.setvalue-{0,1})*{1,-1}),_xlpm.threshold,_xlfn.XLOOKUP(TRUE,D176&lt;=Table5[End],Table5[소액부징수기준],0,0),IF(_xlpm.tax&gt;=_xlpm.threshold,_xlpm.tax,0)),-1)</f>
        <v>0</v>
      </c>
      <c r="AP176" s="94">
        <f>ROUNDDOWN(Table2[[#This Row],[소득세]]*10%,-1)</f>
        <v>0</v>
      </c>
      <c r="AQ176" s="94">
        <f>IF(AB176="v",AM176+IF(Y176=8,SUMIFS(Table2[지급총액],Table2[주민등록번호],O176,Table2[월],R176,Table2[월간
근무일],"&lt;="&amp;8)-AM176,0),0)+_xlfn.NUMBERVALUE(AR176)</f>
        <v>119616</v>
      </c>
      <c r="AR176" s="95"/>
      <c r="AS176" s="94" cm="1">
        <f t="array" ref="AS176">ROUNDDOWN($AQ176*_xlfn.XLOOKUP(1,(AS$5=Table8[Type])*($D176&lt;=Table8[End]),Table8[요율],0,0),0)</f>
        <v>4240</v>
      </c>
      <c r="AT176" s="94" cm="1">
        <f t="array" ref="AT176">ROUNDDOWN(AS176*_xlfn.XLOOKUP(1,(AT$5=Table8[Type])*($D176&lt;=Table8[End]),Table8[요율],0,0),-1)</f>
        <v>540</v>
      </c>
      <c r="AU176" s="94" cm="1">
        <f t="array" ref="AU176">ROUNDDOWN($AQ176*_xlfn.XLOOKUP(1,(AU$5=Table8[Type])*($D176&lt;=Table8[End]),Table8[요율],0,0),-1)</f>
        <v>5380</v>
      </c>
      <c r="AV176" s="94" cm="1">
        <f t="array" ref="AV176">ROUNDDOWN(AM176*_xlfn.XLOOKUP(1,(AV$5=Table8[Type])*($D176&lt;=Table8[End]),Table8[요율],0,0),-1)</f>
        <v>0</v>
      </c>
      <c r="AW176" s="94" cm="1">
        <f t="array" ref="AW176">_xlfn.XLOOKUP(1,(O176=Table2[주민등록번호])*(D176&gt;Table2[근무일자]),Table2[청구 Claim 
이월],0,0,-1)</f>
        <v>0</v>
      </c>
      <c r="AX176" s="95"/>
      <c r="AY176" s="94" cm="1">
        <f t="array" ref="AY176">MAX(SUM(AO176:AP176,AS176:AX176)-_xlfn.XLOOKUP(1,(D176&lt;=Table7[End])*(E176=Table7[근무처])*(F176=Table7[업무]),Table7[1일 공제 상한],0,0),0)</f>
        <v>0</v>
      </c>
      <c r="AZ176" s="94">
        <f t="shared" si="35"/>
        <v>10160</v>
      </c>
      <c r="BA176" s="94">
        <f t="shared" si="36"/>
        <v>109456</v>
      </c>
      <c r="BB176" s="97">
        <f t="shared" si="37"/>
        <v>0</v>
      </c>
      <c r="BC176" s="98"/>
      <c r="BD176" s="94">
        <f t="shared" si="38"/>
        <v>4240</v>
      </c>
      <c r="BE176" s="94">
        <f t="shared" si="39"/>
        <v>540</v>
      </c>
      <c r="BF176" s="94">
        <f t="shared" si="40"/>
        <v>5380</v>
      </c>
      <c r="BG176" s="94">
        <f t="shared" si="41"/>
        <v>0</v>
      </c>
      <c r="BH176" s="94" cm="1">
        <f t="array" ref="BH176">ROUNDDOWN(AM176*_xlfn.XLOOKUP(1,(BH$5=Table8[Type])*($D176&lt;=Table8[End]),Table8[요율],0,0),-1)</f>
        <v>950</v>
      </c>
      <c r="BI176" s="93" t="str" cm="1">
        <f t="array" ref="BI176">_xlfn.XLOOKUP(1,(D176&lt;=Table7[End])*(E176=Table7[근무처])*(F176=Table7[업무]),Table7[지급옵션],0,0)</f>
        <v>차주 화</v>
      </c>
      <c r="BJ176" s="83">
        <f>IF(BK176&lt;&gt;"",BK176,IFERROR(D176+_xlfn.NUMBERVALUE(RIGHT(BI176,1)),D176-WEEKDAY(D176)+CHOOSE(MATCH(RIGHT(BI176),{"일","월","화","수","목","금","토"},0),8,9,10,11,12,13,14)))</f>
        <v>45783</v>
      </c>
      <c r="BK176" s="99"/>
    </row>
    <row r="177" spans="2:63" x14ac:dyDescent="0.35">
      <c r="B177" s="20" t="str" cm="1">
        <f t="array" ref="B177">_xlfn.IFS(BB177&lt;&gt;BC177,"Claim확인",N177&lt;&gt;"OK","확인필요",TRUE,"")</f>
        <v/>
      </c>
      <c r="C177" s="21" t="str">
        <f t="shared" si="28"/>
        <v>010-3X6X-X4X7757X02XX284249</v>
      </c>
      <c r="D177" s="26">
        <v>45775</v>
      </c>
      <c r="E177" s="91" t="s">
        <v>255</v>
      </c>
      <c r="F177" s="25" t="s">
        <v>258</v>
      </c>
      <c r="G177" s="27" t="s">
        <v>283</v>
      </c>
      <c r="H177" s="25" t="s">
        <v>295</v>
      </c>
      <c r="I177" s="25"/>
      <c r="J177" s="25" t="s">
        <v>296</v>
      </c>
      <c r="K177" s="28">
        <v>0.29166666666666669</v>
      </c>
      <c r="L177" s="28">
        <v>0.5</v>
      </c>
      <c r="M177" s="28">
        <v>2.0833333333333332E-2</v>
      </c>
      <c r="N177" s="25" t="s">
        <v>281</v>
      </c>
      <c r="O177" s="29" t="str">
        <f>_xlfn.XLOOKUP(Table2[[#This Row],[Key]],Table1[Key],Table1[주민등록번호],"",0)</f>
        <v>940XX41XX7X32</v>
      </c>
      <c r="P177" s="29">
        <f>_xlfn.XLOOKUP(Table2[[#This Row],[Key]],Table1[Key],Table1[비자],"",0)</f>
        <v>0</v>
      </c>
      <c r="Q177" s="29">
        <f>IF(P177=0,0,_xlfn.XLOOKUP(Table2[[#This Row],[Key]],Table1[Key],Table1[고용보험 여부],0,0))</f>
        <v>0</v>
      </c>
      <c r="R177" s="29" t="str">
        <f t="shared" si="29"/>
        <v>2504</v>
      </c>
      <c r="S177" s="30" t="str">
        <f>YEAR(Table2[[#This Row],[근무일자]])&amp;TEXT(WEEKNUM(Table2[[#This Row],[근무일자]]),"00")</f>
        <v>202518</v>
      </c>
      <c r="T177" s="31">
        <f>_xlfn.XLOOKUP(Table2[[#This Row],[Key]],Table1[Key],Table1[등록일],"",0)</f>
        <v>45751</v>
      </c>
      <c r="U177" s="32">
        <f t="shared" si="30"/>
        <v>0.18749999999999997</v>
      </c>
      <c r="V177" s="92">
        <f t="shared" si="31"/>
        <v>0</v>
      </c>
      <c r="W177" s="100" t="str">
        <f>_xlfn.XLOOKUP(Table2[[#This Row],[근무일자]],Table3[Date],Table3[Holiday],"",0)</f>
        <v/>
      </c>
      <c r="X177" s="93">
        <f>IF(D177&lt;&gt;"",1,0)+IF(COUNTIFS(Table2[주민등록번호],O177,Table2[월],TEXT(EOMONTH(D177,-1),"YYMM"))&gt;0,1+IF(COUNTIFS(Table2[주민등록번호],O177,Table2[월],TEXT(EOMONTH(D177,-2),"YYMM"))&gt;0,1+IF(COUNTIFS(Table2[주민등록번호],O177,Table2[월],TEXT(EOMONTH(D177,-3),"YYMM"))&gt;0,1,0),0),0)</f>
        <v>1</v>
      </c>
      <c r="Y177" s="29">
        <f>COUNTIFS(Table2[주민등록번호],O177,Table2[월],R177,Table2[근무일자],"&lt;="&amp;D177)</f>
        <v>3</v>
      </c>
      <c r="Z177" s="29">
        <f>COUNTIFS(Table2[주민등록번호],O177,Table2[주간],S177,Table2[근무일자],"&lt;="&amp;D177)</f>
        <v>1</v>
      </c>
      <c r="AA177" s="29">
        <f>SUMIFS(Table2[근로
시간],Table2[주민등록번호],O177,Table2[주간],S177,Table2[근무일자],"&lt;="&amp;D177)*24</f>
        <v>4.4999999999999991</v>
      </c>
      <c r="AB177" s="29" t="str">
        <f>IF(AND(Y177&gt;=8,COUNTIFS(Table2[주민등록번호],O177,Table2[근무일자],"&gt;="&amp;EOMONTH(D177,-2)+1,Table2[근무일자],"&lt;="&amp;EOMONTH(D177,-1)+1)&gt;0),"V","")</f>
        <v/>
      </c>
      <c r="AC177" s="94" cm="1">
        <f t="array" ref="AC177">IF(AD177&lt;&gt;"",AD177,_xlfn.XLOOKUP(1,(D177&lt;=Table7[End])*(E177=Table7[근무처])*(F177=Table7[업무]),Table7[시급],0,0))</f>
        <v>10680</v>
      </c>
      <c r="AD177" s="95"/>
      <c r="AE177" s="94">
        <f t="shared" si="32"/>
        <v>48060</v>
      </c>
      <c r="AF177" s="96" cm="1">
        <f t="array" ref="AF177">IF(AND(AA177&gt;=15,(AA177-U177*24)&lt;=40),IF(Z177&gt;=_xlfn.XLOOKUP(1,(D177&lt;=Table7[End])*(E177=Table7[근무처])*(F177=Table7[업무]),Table7[주휴적용일],0,0),1,0)+_xlfn.XLOOKUP(1,(Table2[주간]=Table2[[#This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77" s="96" cm="1">
        <f t="array" ref="AG177">MAX((_xlfn.IFS(AF177=0,0,AF177=1,AA177,AF177&gt;1,U177*24)-IF(AA177&gt;40,AA177-40,0))/5,0)</f>
        <v>0</v>
      </c>
      <c r="AH177" s="94">
        <f t="shared" si="33"/>
        <v>0</v>
      </c>
      <c r="AI177" s="33" cm="1">
        <f t="array" ref="AI177">IF(W177="",0,ROUND(AC177*U177*24*_xlfn.XLOOKUP(1,(D177&lt;=Table7[End])*(E177=Table7[근무처])*(F177=Table7[업무]),Table7[휴일인센티브],0,0),0))</f>
        <v>0</v>
      </c>
      <c r="AJ177" s="94" cm="1">
        <f t="array" ref="AJ177">ROUND(AC177*IF(U177&gt;=8/24,U177-8/24,0)*24*_xlfn.XLOOKUP(1,(D177&lt;=Table7[End])*(E177=Table7[근무처])*(F177=Table7[업무]),Table7[야간인센티브],0,0),0)</f>
        <v>0</v>
      </c>
      <c r="AK177" s="94" cm="1">
        <f t="array" ref="AK177">IF(V177=0,0,ROUND(AC177*V177*24*_xlfn.XLOOKUP(1,(D177&lt;=Table7[End])*(E177=Table7[근무처])*(F177=Table7[업무]),Table7[야간인센티브],0,0),0))</f>
        <v>0</v>
      </c>
      <c r="AL177" s="95"/>
      <c r="AM177" s="94">
        <f t="shared" si="34"/>
        <v>48060</v>
      </c>
      <c r="AN177" s="94" cm="1">
        <f t="array" ref="AN177">IF(AM177&gt;=_xlfn.XLOOKUP(TRUE,D177&lt;=Table5[End],Table5[비과세소득기준],0,0),AM177-_xlfn.XLOOKUP(TRUE,D177&lt;=Table5[End],Table5[비과세소득기준],0,0),0)</f>
        <v>0</v>
      </c>
      <c r="AO177" s="94" cm="1">
        <f t="array" ref="AO177">ROUNDDOWN(_xlfn.LET(_xlpm.setvalue,_xlfn.XLOOKUP(TRUE,D177&lt;=Table5[End],Table5[[요율]:[근로소득세액공제]],0,0),_xlpm.tax,AN177*PRODUCT((_xlpm.setvalue-{0,1})*{1,-1}),_xlpm.threshold,_xlfn.XLOOKUP(TRUE,D177&lt;=Table5[End],Table5[소액부징수기준],0,0),IF(_xlpm.tax&gt;=_xlpm.threshold,_xlpm.tax,0)),-1)</f>
        <v>0</v>
      </c>
      <c r="AP177" s="94">
        <f>ROUNDDOWN(Table2[[#This Row],[소득세]]*10%,-1)</f>
        <v>0</v>
      </c>
      <c r="AQ177" s="94">
        <f>IF(AB177="v",AM177+IF(Y177=8,SUMIFS(Table2[지급총액],Table2[주민등록번호],O177,Table2[월],R177,Table2[월간
근무일],"&lt;="&amp;8)-AM177,0),0)+_xlfn.NUMBERVALUE(AR177)</f>
        <v>0</v>
      </c>
      <c r="AR177" s="95"/>
      <c r="AS177" s="94" cm="1">
        <f t="array" ref="AS177">ROUNDDOWN($AQ177*_xlfn.XLOOKUP(1,(AS$5=Table8[Type])*($D177&lt;=Table8[End]),Table8[요율],0,0),0)</f>
        <v>0</v>
      </c>
      <c r="AT177" s="94" cm="1">
        <f t="array" ref="AT177">ROUNDDOWN(AS177*_xlfn.XLOOKUP(1,(AT$5=Table8[Type])*($D177&lt;=Table8[End]),Table8[요율],0,0),-1)</f>
        <v>0</v>
      </c>
      <c r="AU177" s="94" cm="1">
        <f t="array" ref="AU177">ROUNDDOWN($AQ177*_xlfn.XLOOKUP(1,(AU$5=Table8[Type])*($D177&lt;=Table8[End]),Table8[요율],0,0),-1)</f>
        <v>0</v>
      </c>
      <c r="AV177" s="94" cm="1">
        <f t="array" ref="AV177">ROUNDDOWN(AM177*_xlfn.XLOOKUP(1,(AV$5=Table8[Type])*($D177&lt;=Table8[End]),Table8[요율],0,0),-1)</f>
        <v>0</v>
      </c>
      <c r="AW177" s="94" cm="1">
        <f t="array" ref="AW177">_xlfn.XLOOKUP(1,(O177=Table2[주민등록번호])*(D177&gt;Table2[근무일자]),Table2[청구 Claim 
이월],0,0,-1)</f>
        <v>0</v>
      </c>
      <c r="AX177" s="95"/>
      <c r="AY177" s="94" cm="1">
        <f t="array" ref="AY177">MAX(SUM(AO177:AP177,AS177:AX177)-_xlfn.XLOOKUP(1,(D177&lt;=Table7[End])*(E177=Table7[근무처])*(F177=Table7[업무]),Table7[1일 공제 상한],0,0),0)</f>
        <v>0</v>
      </c>
      <c r="AZ177" s="94">
        <f t="shared" si="35"/>
        <v>0</v>
      </c>
      <c r="BA177" s="94">
        <f t="shared" si="36"/>
        <v>48060</v>
      </c>
      <c r="BB177" s="97">
        <f t="shared" si="37"/>
        <v>0</v>
      </c>
      <c r="BC177" s="98"/>
      <c r="BD177" s="94">
        <f t="shared" si="38"/>
        <v>0</v>
      </c>
      <c r="BE177" s="94">
        <f t="shared" si="39"/>
        <v>0</v>
      </c>
      <c r="BF177" s="94">
        <f t="shared" si="40"/>
        <v>0</v>
      </c>
      <c r="BG177" s="94">
        <f t="shared" si="41"/>
        <v>0</v>
      </c>
      <c r="BH177" s="94" cm="1">
        <f t="array" ref="BH177">ROUNDDOWN(AM177*_xlfn.XLOOKUP(1,(BH$5=Table8[Type])*($D177&lt;=Table8[End]),Table8[요율],0,0),-1)</f>
        <v>380</v>
      </c>
      <c r="BI177" s="93" t="str" cm="1">
        <f t="array" ref="BI177">_xlfn.XLOOKUP(1,(D177&lt;=Table7[End])*(E177=Table7[근무처])*(F177=Table7[업무]),Table7[지급옵션],0,0)</f>
        <v>차주 화</v>
      </c>
      <c r="BJ177" s="83">
        <f>IF(BK177&lt;&gt;"",BK177,IFERROR(D177+_xlfn.NUMBERVALUE(RIGHT(BI177,1)),D177-WEEKDAY(D177)+CHOOSE(MATCH(RIGHT(BI177),{"일","월","화","수","목","금","토"},0),8,9,10,11,12,13,14)))</f>
        <v>45783</v>
      </c>
      <c r="BK177" s="99"/>
    </row>
    <row r="178" spans="2:63" x14ac:dyDescent="0.35">
      <c r="B178" s="20" t="str" cm="1">
        <f t="array" ref="B178">_xlfn.IFS(BB178&lt;&gt;BC178,"Claim확인",N178&lt;&gt;"OK","확인필요",TRUE,"")</f>
        <v/>
      </c>
      <c r="C178" s="21" t="str">
        <f t="shared" si="28"/>
        <v>010-2X2X-X2X2945X02XX268466</v>
      </c>
      <c r="D178" s="26">
        <v>45775</v>
      </c>
      <c r="E178" s="91" t="s">
        <v>255</v>
      </c>
      <c r="F178" s="25" t="s">
        <v>258</v>
      </c>
      <c r="G178" s="27" t="s">
        <v>285</v>
      </c>
      <c r="H178" s="25" t="s">
        <v>297</v>
      </c>
      <c r="I178" s="25"/>
      <c r="J178" s="25" t="s">
        <v>298</v>
      </c>
      <c r="K178" s="28">
        <v>0.5</v>
      </c>
      <c r="L178" s="28">
        <v>0.875</v>
      </c>
      <c r="M178" s="28">
        <v>4.1666666666666664E-2</v>
      </c>
      <c r="N178" s="25" t="s">
        <v>281</v>
      </c>
      <c r="O178" s="29" t="str">
        <f>_xlfn.XLOOKUP(Table2[[#This Row],[Key]],Table1[Key],Table1[주민등록번호],"",0)</f>
        <v>980XX81XX7X17</v>
      </c>
      <c r="P178" s="86">
        <f>_xlfn.XLOOKUP(Table2[[#This Row],[Key]],Table1[Key],Table1[비자],"",0)</f>
        <v>0</v>
      </c>
      <c r="Q178" s="86">
        <f>IF(P178=0,0,_xlfn.XLOOKUP(Table2[[#This Row],[Key]],Table1[Key],Table1[고용보험 여부],0,0))</f>
        <v>0</v>
      </c>
      <c r="R178" s="29" t="str">
        <f t="shared" si="29"/>
        <v>2504</v>
      </c>
      <c r="S178" s="30" t="str">
        <f>YEAR(Table2[[#This Row],[근무일자]])&amp;TEXT(WEEKNUM(Table2[[#This Row],[근무일자]]),"00")</f>
        <v>202518</v>
      </c>
      <c r="T178" s="31">
        <f>_xlfn.XLOOKUP(Table2[[#This Row],[Key]],Table1[Key],Table1[등록일],"",0)</f>
        <v>45752</v>
      </c>
      <c r="U178" s="32">
        <f t="shared" si="30"/>
        <v>0.33333333333333331</v>
      </c>
      <c r="V178" s="92">
        <f t="shared" si="31"/>
        <v>0</v>
      </c>
      <c r="W178" s="100" t="str">
        <f>_xlfn.XLOOKUP(Table2[[#This Row],[근무일자]],Table3[Date],Table3[Holiday],"",0)</f>
        <v/>
      </c>
      <c r="X178" s="93">
        <f>IF(D178&lt;&gt;"",1,0)+IF(COUNTIFS(Table2[주민등록번호],O178,Table2[월],TEXT(EOMONTH(D178,-1),"YYMM"))&gt;0,1+IF(COUNTIFS(Table2[주민등록번호],O178,Table2[월],TEXT(EOMONTH(D178,-2),"YYMM"))&gt;0,1+IF(COUNTIFS(Table2[주민등록번호],O178,Table2[월],TEXT(EOMONTH(D178,-3),"YYMM"))&gt;0,1,0),0),0)</f>
        <v>1</v>
      </c>
      <c r="Y178" s="29">
        <f>COUNTIFS(Table2[주민등록번호],O178,Table2[월],R178,Table2[근무일자],"&lt;="&amp;D178)</f>
        <v>4</v>
      </c>
      <c r="Z178" s="29">
        <f>COUNTIFS(Table2[주민등록번호],O178,Table2[주간],S178,Table2[근무일자],"&lt;="&amp;D178)</f>
        <v>2</v>
      </c>
      <c r="AA178" s="29">
        <f>SUMIFS(Table2[근로
시간],Table2[주민등록번호],O178,Table2[주간],S178,Table2[근무일자],"&lt;="&amp;D178)*24</f>
        <v>16</v>
      </c>
      <c r="AB178" s="29" t="str">
        <f>IF(AND(Y178&gt;=8,COUNTIFS(Table2[주민등록번호],O178,Table2[근무일자],"&gt;="&amp;EOMONTH(D178,-2)+1,Table2[근무일자],"&lt;="&amp;EOMONTH(D178,-1)+1)&gt;0),"V","")</f>
        <v/>
      </c>
      <c r="AC178" s="94" cm="1">
        <f t="array" ref="AC178">IF(AD178&lt;&gt;"",AD178,_xlfn.XLOOKUP(1,(D178&lt;=Table7[End])*(E178=Table7[근무처])*(F178=Table7[업무]),Table7[시급],0,0))</f>
        <v>10680</v>
      </c>
      <c r="AD178" s="95"/>
      <c r="AE178" s="94">
        <f t="shared" si="32"/>
        <v>85440</v>
      </c>
      <c r="AF178" s="96" cm="1">
        <f t="array" ref="AF178">IF(AND(AA178&gt;=15,(AA178-U178*24)&lt;=40),IF(Z178&gt;=_xlfn.XLOOKUP(1,(D178&lt;=Table7[End])*(E178=Table7[근무처])*(F178=Table7[업무]),Table7[주휴적용일],0,0),1,0)+_xlfn.XLOOKUP(1,(Table2[주간]=Table2[[#This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78" s="96" cm="1">
        <f t="array" ref="AG178">MAX((_xlfn.IFS(AF178=0,0,AF178=1,AA178,AF178&gt;1,U178*24)-IF(AA178&gt;40,AA178-40,0))/5,0)</f>
        <v>3.2</v>
      </c>
      <c r="AH178" s="94">
        <f t="shared" si="33"/>
        <v>34176</v>
      </c>
      <c r="AI178" s="33" cm="1">
        <f t="array" ref="AI178">IF(W178="",0,ROUND(AC178*U178*24*_xlfn.XLOOKUP(1,(D178&lt;=Table7[End])*(E178=Table7[근무처])*(F178=Table7[업무]),Table7[휴일인센티브],0,0),0))</f>
        <v>0</v>
      </c>
      <c r="AJ178" s="94" cm="1">
        <f t="array" ref="AJ178">ROUND(AC178*IF(U178&gt;=8/24,U178-8/24,0)*24*_xlfn.XLOOKUP(1,(D178&lt;=Table7[End])*(E178=Table7[근무처])*(F178=Table7[업무]),Table7[야간인센티브],0,0),0)</f>
        <v>0</v>
      </c>
      <c r="AK178" s="94" cm="1">
        <f t="array" ref="AK178">IF(V178=0,0,ROUND(AC178*V178*24*_xlfn.XLOOKUP(1,(D178&lt;=Table7[End])*(E178=Table7[근무처])*(F178=Table7[업무]),Table7[야간인센티브],0,0),0))</f>
        <v>0</v>
      </c>
      <c r="AL178" s="95"/>
      <c r="AM178" s="94">
        <f t="shared" si="34"/>
        <v>119616</v>
      </c>
      <c r="AN178" s="94" cm="1">
        <f t="array" ref="AN178">IF(AM178&gt;=_xlfn.XLOOKUP(TRUE,D178&lt;=Table5[End],Table5[비과세소득기준],0,0),AM178-_xlfn.XLOOKUP(TRUE,D178&lt;=Table5[End],Table5[비과세소득기준],0,0),0)</f>
        <v>0</v>
      </c>
      <c r="AO178" s="94" cm="1">
        <f t="array" ref="AO178">ROUNDDOWN(_xlfn.LET(_xlpm.setvalue,_xlfn.XLOOKUP(TRUE,D178&lt;=Table5[End],Table5[[요율]:[근로소득세액공제]],0,0),_xlpm.tax,AN178*PRODUCT((_xlpm.setvalue-{0,1})*{1,-1}),_xlpm.threshold,_xlfn.XLOOKUP(TRUE,D178&lt;=Table5[End],Table5[소액부징수기준],0,0),IF(_xlpm.tax&gt;=_xlpm.threshold,_xlpm.tax,0)),-1)</f>
        <v>0</v>
      </c>
      <c r="AP178" s="94">
        <f>ROUNDDOWN(Table2[[#This Row],[소득세]]*10%,-1)</f>
        <v>0</v>
      </c>
      <c r="AQ178" s="94">
        <f>IF(AB178="v",AM178+IF(Y178=8,SUMIFS(Table2[지급총액],Table2[주민등록번호],O178,Table2[월],R178,Table2[월간
근무일],"&lt;="&amp;8)-AM178,0),0)+_xlfn.NUMBERVALUE(AR178)</f>
        <v>0</v>
      </c>
      <c r="AR178" s="95"/>
      <c r="AS178" s="94" cm="1">
        <f t="array" ref="AS178">ROUNDDOWN($AQ178*_xlfn.XLOOKUP(1,(AS$5=Table8[Type])*($D178&lt;=Table8[End]),Table8[요율],0,0),0)</f>
        <v>0</v>
      </c>
      <c r="AT178" s="94" cm="1">
        <f t="array" ref="AT178">ROUNDDOWN(AS178*_xlfn.XLOOKUP(1,(AT$5=Table8[Type])*($D178&lt;=Table8[End]),Table8[요율],0,0),-1)</f>
        <v>0</v>
      </c>
      <c r="AU178" s="94" cm="1">
        <f t="array" ref="AU178">ROUNDDOWN($AQ178*_xlfn.XLOOKUP(1,(AU$5=Table8[Type])*($D178&lt;=Table8[End]),Table8[요율],0,0),-1)</f>
        <v>0</v>
      </c>
      <c r="AV178" s="94" cm="1">
        <f t="array" ref="AV178">ROUNDDOWN(AM178*_xlfn.XLOOKUP(1,(AV$5=Table8[Type])*($D178&lt;=Table8[End]),Table8[요율],0,0),-1)</f>
        <v>0</v>
      </c>
      <c r="AW178" s="94" cm="1">
        <f t="array" ref="AW178">_xlfn.XLOOKUP(1,(O178=Table2[주민등록번호])*(D178&gt;Table2[근무일자]),Table2[청구 Claim 
이월],0,0,-1)</f>
        <v>0</v>
      </c>
      <c r="AX178" s="95"/>
      <c r="AY178" s="94" cm="1">
        <f t="array" ref="AY178">MAX(SUM(AO178:AP178,AS178:AX178)-_xlfn.XLOOKUP(1,(D178&lt;=Table7[End])*(E178=Table7[근무처])*(F178=Table7[업무]),Table7[1일 공제 상한],0,0),0)</f>
        <v>0</v>
      </c>
      <c r="AZ178" s="94">
        <f t="shared" si="35"/>
        <v>0</v>
      </c>
      <c r="BA178" s="94">
        <f t="shared" si="36"/>
        <v>119616</v>
      </c>
      <c r="BB178" s="97">
        <f t="shared" si="37"/>
        <v>0</v>
      </c>
      <c r="BC178" s="98"/>
      <c r="BD178" s="94">
        <f t="shared" si="38"/>
        <v>0</v>
      </c>
      <c r="BE178" s="94">
        <f t="shared" si="39"/>
        <v>0</v>
      </c>
      <c r="BF178" s="94">
        <f t="shared" si="40"/>
        <v>0</v>
      </c>
      <c r="BG178" s="94">
        <f t="shared" si="41"/>
        <v>0</v>
      </c>
      <c r="BH178" s="94" cm="1">
        <f t="array" ref="BH178">ROUNDDOWN(AM178*_xlfn.XLOOKUP(1,(BH$5=Table8[Type])*($D178&lt;=Table8[End]),Table8[요율],0,0),-1)</f>
        <v>950</v>
      </c>
      <c r="BI178" s="93" t="str" cm="1">
        <f t="array" ref="BI178">_xlfn.XLOOKUP(1,(D178&lt;=Table7[End])*(E178=Table7[근무처])*(F178=Table7[업무]),Table7[지급옵션],0,0)</f>
        <v>차주 화</v>
      </c>
      <c r="BJ178" s="83">
        <f>IF(BK178&lt;&gt;"",BK178,IFERROR(D178+_xlfn.NUMBERVALUE(RIGHT(BI178,1)),D178-WEEKDAY(D178)+CHOOSE(MATCH(RIGHT(BI178),{"일","월","화","수","목","금","토"},0),8,9,10,11,12,13,14)))</f>
        <v>45783</v>
      </c>
      <c r="BK178" s="99"/>
    </row>
    <row r="179" spans="2:63" x14ac:dyDescent="0.35">
      <c r="B179" s="20" t="str" cm="1">
        <f t="array" ref="B179">_xlfn.IFS(BB179&lt;&gt;BC179,"Claim확인",N179&lt;&gt;"OK","확인필요",TRUE,"")</f>
        <v/>
      </c>
      <c r="C179" s="21" t="str">
        <f t="shared" si="28"/>
        <v>010-6X1X-X3X0333X04XX46879</v>
      </c>
      <c r="D179" s="26">
        <v>45776</v>
      </c>
      <c r="E179" s="91" t="s">
        <v>255</v>
      </c>
      <c r="F179" s="25" t="s">
        <v>258</v>
      </c>
      <c r="G179" s="27" t="s">
        <v>284</v>
      </c>
      <c r="H179" s="25" t="s">
        <v>293</v>
      </c>
      <c r="I179" s="25"/>
      <c r="J179" s="25" t="s">
        <v>294</v>
      </c>
      <c r="K179" s="28">
        <v>0.3125</v>
      </c>
      <c r="L179" s="28">
        <v>0.6875</v>
      </c>
      <c r="M179" s="28">
        <v>4.1666666666666664E-2</v>
      </c>
      <c r="N179" s="25" t="s">
        <v>281</v>
      </c>
      <c r="O179" s="29" t="str">
        <f>_xlfn.XLOOKUP(Table2[[#This Row],[Key]],Table1[Key],Table1[주민등록번호],"",0)</f>
        <v>971XX61XX9X25</v>
      </c>
      <c r="P179" s="29">
        <f>_xlfn.XLOOKUP(Table2[[#This Row],[Key]],Table1[Key],Table1[비자],"",0)</f>
        <v>0</v>
      </c>
      <c r="Q179" s="29">
        <f>IF(P179=0,0,_xlfn.XLOOKUP(Table2[[#This Row],[Key]],Table1[Key],Table1[고용보험 여부],0,0))</f>
        <v>0</v>
      </c>
      <c r="R179" s="29" t="str">
        <f t="shared" si="29"/>
        <v>2504</v>
      </c>
      <c r="S179" s="30" t="str">
        <f>YEAR(Table2[[#This Row],[근무일자]])&amp;TEXT(WEEKNUM(Table2[[#This Row],[근무일자]]),"00")</f>
        <v>202518</v>
      </c>
      <c r="T179" s="31">
        <f>_xlfn.XLOOKUP(Table2[[#This Row],[Key]],Table1[Key],Table1[등록일],"",0)</f>
        <v>45721</v>
      </c>
      <c r="U179" s="32">
        <f t="shared" si="30"/>
        <v>0.33333333333333331</v>
      </c>
      <c r="V179" s="92">
        <f t="shared" si="31"/>
        <v>0</v>
      </c>
      <c r="W179" s="100" t="str">
        <f>_xlfn.XLOOKUP(Table2[[#This Row],[근무일자]],Table3[Date],Table3[Holiday],"",0)</f>
        <v/>
      </c>
      <c r="X179" s="93">
        <f>IF(D179&lt;&gt;"",1,0)+IF(COUNTIFS(Table2[주민등록번호],O179,Table2[월],TEXT(EOMONTH(D179,-1),"YYMM"))&gt;0,1+IF(COUNTIFS(Table2[주민등록번호],O179,Table2[월],TEXT(EOMONTH(D179,-2),"YYMM"))&gt;0,1+IF(COUNTIFS(Table2[주민등록번호],O179,Table2[월],TEXT(EOMONTH(D179,-3),"YYMM"))&gt;0,1,0),0),0)</f>
        <v>2</v>
      </c>
      <c r="Y179" s="29">
        <f>COUNTIFS(Table2[주민등록번호],O179,Table2[월],R179,Table2[근무일자],"&lt;="&amp;D179)</f>
        <v>17</v>
      </c>
      <c r="Z179" s="29">
        <f>COUNTIFS(Table2[주민등록번호],O179,Table2[주간],S179,Table2[근무일자],"&lt;="&amp;D179)</f>
        <v>2</v>
      </c>
      <c r="AA179" s="29">
        <f>SUMIFS(Table2[근로
시간],Table2[주민등록번호],O179,Table2[주간],S179,Table2[근무일자],"&lt;="&amp;D179)*24</f>
        <v>16</v>
      </c>
      <c r="AB179" s="29" t="str">
        <f>IF(AND(Y179&gt;=8,COUNTIFS(Table2[주민등록번호],O179,Table2[근무일자],"&gt;="&amp;EOMONTH(D179,-2)+1,Table2[근무일자],"&lt;="&amp;EOMONTH(D179,-1)+1)&gt;0),"V","")</f>
        <v>V</v>
      </c>
      <c r="AC179" s="94" cm="1">
        <f t="array" ref="AC179">IF(AD179&lt;&gt;"",AD179,_xlfn.XLOOKUP(1,(D179&lt;=Table7[End])*(E179=Table7[근무처])*(F179=Table7[업무]),Table7[시급],0,0))</f>
        <v>10680</v>
      </c>
      <c r="AD179" s="95"/>
      <c r="AE179" s="94">
        <f t="shared" si="32"/>
        <v>85440</v>
      </c>
      <c r="AF179" s="96" cm="1">
        <f t="array" ref="AF179">IF(AND(AA179&gt;=15,(AA179-U179*24)&lt;=40),IF(Z179&gt;=_xlfn.XLOOKUP(1,(D179&lt;=Table7[End])*(E179=Table7[근무처])*(F179=Table7[업무]),Table7[주휴적용일],0,0),1,0)+_xlfn.XLOOKUP(1,(Table2[주간]=Table2[[#This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79" s="96" cm="1">
        <f t="array" ref="AG179">MAX((_xlfn.IFS(AF179=0,0,AF179=1,AA179,AF179&gt;1,U179*24)-IF(AA179&gt;40,AA179-40,0))/5,0)</f>
        <v>3.2</v>
      </c>
      <c r="AH179" s="94">
        <f t="shared" si="33"/>
        <v>34176</v>
      </c>
      <c r="AI179" s="33" cm="1">
        <f t="array" ref="AI179">IF(W179="",0,ROUND(AC179*U179*24*_xlfn.XLOOKUP(1,(D179&lt;=Table7[End])*(E179=Table7[근무처])*(F179=Table7[업무]),Table7[휴일인센티브],0,0),0))</f>
        <v>0</v>
      </c>
      <c r="AJ179" s="94" cm="1">
        <f t="array" ref="AJ179">ROUND(AC179*IF(U179&gt;=8/24,U179-8/24,0)*24*_xlfn.XLOOKUP(1,(D179&lt;=Table7[End])*(E179=Table7[근무처])*(F179=Table7[업무]),Table7[야간인센티브],0,0),0)</f>
        <v>0</v>
      </c>
      <c r="AK179" s="94" cm="1">
        <f t="array" ref="AK179">IF(V179=0,0,ROUND(AC179*V179*24*_xlfn.XLOOKUP(1,(D179&lt;=Table7[End])*(E179=Table7[근무처])*(F179=Table7[업무]),Table7[야간인센티브],0,0),0))</f>
        <v>0</v>
      </c>
      <c r="AL179" s="95"/>
      <c r="AM179" s="94">
        <f t="shared" si="34"/>
        <v>119616</v>
      </c>
      <c r="AN179" s="94" cm="1">
        <f t="array" ref="AN179">IF(AM179&gt;=_xlfn.XLOOKUP(TRUE,D179&lt;=Table5[End],Table5[비과세소득기준],0,0),AM179-_xlfn.XLOOKUP(TRUE,D179&lt;=Table5[End],Table5[비과세소득기준],0,0),0)</f>
        <v>0</v>
      </c>
      <c r="AO179" s="94" cm="1">
        <f t="array" ref="AO179">ROUNDDOWN(_xlfn.LET(_xlpm.setvalue,_xlfn.XLOOKUP(TRUE,D179&lt;=Table5[End],Table5[[요율]:[근로소득세액공제]],0,0),_xlpm.tax,AN179*PRODUCT((_xlpm.setvalue-{0,1})*{1,-1}),_xlpm.threshold,_xlfn.XLOOKUP(TRUE,D179&lt;=Table5[End],Table5[소액부징수기준],0,0),IF(_xlpm.tax&gt;=_xlpm.threshold,_xlpm.tax,0)),-1)</f>
        <v>0</v>
      </c>
      <c r="AP179" s="94">
        <f>ROUNDDOWN(Table2[[#This Row],[소득세]]*10%,-1)</f>
        <v>0</v>
      </c>
      <c r="AQ179" s="94">
        <f>IF(AB179="v",AM179+IF(Y179=8,SUMIFS(Table2[지급총액],Table2[주민등록번호],O179,Table2[월],R179,Table2[월간
근무일],"&lt;="&amp;8)-AM179,0),0)+_xlfn.NUMBERVALUE(AR179)</f>
        <v>119616</v>
      </c>
      <c r="AR179" s="95"/>
      <c r="AS179" s="94" cm="1">
        <f t="array" ref="AS179">ROUNDDOWN($AQ179*_xlfn.XLOOKUP(1,(AS$5=Table8[Type])*($D179&lt;=Table8[End]),Table8[요율],0,0),0)</f>
        <v>4240</v>
      </c>
      <c r="AT179" s="94" cm="1">
        <f t="array" ref="AT179">ROUNDDOWN(AS179*_xlfn.XLOOKUP(1,(AT$5=Table8[Type])*($D179&lt;=Table8[End]),Table8[요율],0,0),-1)</f>
        <v>540</v>
      </c>
      <c r="AU179" s="94" cm="1">
        <f t="array" ref="AU179">ROUNDDOWN($AQ179*_xlfn.XLOOKUP(1,(AU$5=Table8[Type])*($D179&lt;=Table8[End]),Table8[요율],0,0),-1)</f>
        <v>5380</v>
      </c>
      <c r="AV179" s="94" cm="1">
        <f t="array" ref="AV179">ROUNDDOWN(AM179*_xlfn.XLOOKUP(1,(AV$5=Table8[Type])*($D179&lt;=Table8[End]),Table8[요율],0,0),-1)</f>
        <v>0</v>
      </c>
      <c r="AW179" s="94" cm="1">
        <f t="array" ref="AW179">_xlfn.XLOOKUP(1,(O179=Table2[주민등록번호])*(D179&gt;Table2[근무일자]),Table2[청구 Claim 
이월],0,0,-1)</f>
        <v>0</v>
      </c>
      <c r="AX179" s="95"/>
      <c r="AY179" s="94" cm="1">
        <f t="array" ref="AY179">MAX(SUM(AO179:AP179,AS179:AX179)-_xlfn.XLOOKUP(1,(D179&lt;=Table7[End])*(E179=Table7[근무처])*(F179=Table7[업무]),Table7[1일 공제 상한],0,0),0)</f>
        <v>0</v>
      </c>
      <c r="AZ179" s="94">
        <f t="shared" si="35"/>
        <v>10160</v>
      </c>
      <c r="BA179" s="94">
        <f t="shared" si="36"/>
        <v>109456</v>
      </c>
      <c r="BB179" s="97">
        <f t="shared" si="37"/>
        <v>0</v>
      </c>
      <c r="BC179" s="98"/>
      <c r="BD179" s="94">
        <f t="shared" si="38"/>
        <v>4240</v>
      </c>
      <c r="BE179" s="94">
        <f t="shared" si="39"/>
        <v>540</v>
      </c>
      <c r="BF179" s="94">
        <f t="shared" si="40"/>
        <v>5380</v>
      </c>
      <c r="BG179" s="94">
        <f t="shared" si="41"/>
        <v>0</v>
      </c>
      <c r="BH179" s="94" cm="1">
        <f t="array" ref="BH179">ROUNDDOWN(AM179*_xlfn.XLOOKUP(1,(BH$5=Table8[Type])*($D179&lt;=Table8[End]),Table8[요율],0,0),-1)</f>
        <v>950</v>
      </c>
      <c r="BI179" s="93" t="str" cm="1">
        <f t="array" ref="BI179">_xlfn.XLOOKUP(1,(D179&lt;=Table7[End])*(E179=Table7[근무처])*(F179=Table7[업무]),Table7[지급옵션],0,0)</f>
        <v>차주 화</v>
      </c>
      <c r="BJ179" s="83">
        <f>IF(BK179&lt;&gt;"",BK179,IFERROR(D179+_xlfn.NUMBERVALUE(RIGHT(BI179,1)),D179-WEEKDAY(D179)+CHOOSE(MATCH(RIGHT(BI179),{"일","월","화","수","목","금","토"},0),8,9,10,11,12,13,14)))</f>
        <v>45783</v>
      </c>
      <c r="BK179" s="99"/>
    </row>
    <row r="180" spans="2:63" x14ac:dyDescent="0.35">
      <c r="B180" s="20" t="str" cm="1">
        <f t="array" ref="B180">_xlfn.IFS(BB180&lt;&gt;BC180,"Claim확인",N180&lt;&gt;"OK","확인필요",TRUE,"")</f>
        <v/>
      </c>
      <c r="C180" s="21" t="str">
        <f t="shared" si="28"/>
        <v>010-2X2X-X2X2945X02XX268466</v>
      </c>
      <c r="D180" s="26">
        <v>45776</v>
      </c>
      <c r="E180" s="91" t="s">
        <v>255</v>
      </c>
      <c r="F180" s="25" t="s">
        <v>258</v>
      </c>
      <c r="G180" s="27" t="s">
        <v>285</v>
      </c>
      <c r="H180" s="25" t="s">
        <v>297</v>
      </c>
      <c r="I180" s="25"/>
      <c r="J180" s="25" t="s">
        <v>298</v>
      </c>
      <c r="K180" s="28">
        <v>0.29166666666666669</v>
      </c>
      <c r="L180" s="28">
        <v>0.5</v>
      </c>
      <c r="M180" s="28">
        <v>2.0833333333333332E-2</v>
      </c>
      <c r="N180" s="25" t="s">
        <v>281</v>
      </c>
      <c r="O180" s="29" t="str">
        <f>_xlfn.XLOOKUP(Table2[[#This Row],[Key]],Table1[Key],Table1[주민등록번호],"",0)</f>
        <v>980XX81XX7X17</v>
      </c>
      <c r="P180" s="86">
        <f>_xlfn.XLOOKUP(Table2[[#This Row],[Key]],Table1[Key],Table1[비자],"",0)</f>
        <v>0</v>
      </c>
      <c r="Q180" s="86">
        <f>IF(P180=0,0,_xlfn.XLOOKUP(Table2[[#This Row],[Key]],Table1[Key],Table1[고용보험 여부],0,0))</f>
        <v>0</v>
      </c>
      <c r="R180" s="29" t="str">
        <f t="shared" si="29"/>
        <v>2504</v>
      </c>
      <c r="S180" s="30" t="str">
        <f>YEAR(Table2[[#This Row],[근무일자]])&amp;TEXT(WEEKNUM(Table2[[#This Row],[근무일자]]),"00")</f>
        <v>202518</v>
      </c>
      <c r="T180" s="31">
        <f>_xlfn.XLOOKUP(Table2[[#This Row],[Key]],Table1[Key],Table1[등록일],"",0)</f>
        <v>45752</v>
      </c>
      <c r="U180" s="32">
        <f t="shared" si="30"/>
        <v>0.18749999999999997</v>
      </c>
      <c r="V180" s="92">
        <f t="shared" si="31"/>
        <v>0</v>
      </c>
      <c r="W180" s="100" t="str">
        <f>_xlfn.XLOOKUP(Table2[[#This Row],[근무일자]],Table3[Date],Table3[Holiday],"",0)</f>
        <v/>
      </c>
      <c r="X180" s="93">
        <f>IF(D180&lt;&gt;"",1,0)+IF(COUNTIFS(Table2[주민등록번호],O180,Table2[월],TEXT(EOMONTH(D180,-1),"YYMM"))&gt;0,1+IF(COUNTIFS(Table2[주민등록번호],O180,Table2[월],TEXT(EOMONTH(D180,-2),"YYMM"))&gt;0,1+IF(COUNTIFS(Table2[주민등록번호],O180,Table2[월],TEXT(EOMONTH(D180,-3),"YYMM"))&gt;0,1,0),0),0)</f>
        <v>1</v>
      </c>
      <c r="Y180" s="29">
        <f>COUNTIFS(Table2[주민등록번호],O180,Table2[월],R180,Table2[근무일자],"&lt;="&amp;D180)</f>
        <v>5</v>
      </c>
      <c r="Z180" s="29">
        <f>COUNTIFS(Table2[주민등록번호],O180,Table2[주간],S180,Table2[근무일자],"&lt;="&amp;D180)</f>
        <v>3</v>
      </c>
      <c r="AA180" s="29">
        <f>SUMIFS(Table2[근로
시간],Table2[주민등록번호],O180,Table2[주간],S180,Table2[근무일자],"&lt;="&amp;D180)*24</f>
        <v>20.5</v>
      </c>
      <c r="AB180" s="29" t="str">
        <f>IF(AND(Y180&gt;=8,COUNTIFS(Table2[주민등록번호],O180,Table2[근무일자],"&gt;="&amp;EOMONTH(D180,-2)+1,Table2[근무일자],"&lt;="&amp;EOMONTH(D180,-1)+1)&gt;0),"V","")</f>
        <v/>
      </c>
      <c r="AC180" s="94" cm="1">
        <f t="array" ref="AC180">IF(AD180&lt;&gt;"",AD180,_xlfn.XLOOKUP(1,(D180&lt;=Table7[End])*(E180=Table7[근무처])*(F180=Table7[업무]),Table7[시급],0,0))</f>
        <v>10680</v>
      </c>
      <c r="AD180" s="95"/>
      <c r="AE180" s="94">
        <f t="shared" si="32"/>
        <v>48060</v>
      </c>
      <c r="AF180" s="96" cm="1">
        <f t="array" ref="AF180">IF(AND(AA180&gt;=15,(AA180-U180*24)&lt;=40),IF(Z180&gt;=_xlfn.XLOOKUP(1,(D180&lt;=Table7[End])*(E180=Table7[근무처])*(F180=Table7[업무]),Table7[주휴적용일],0,0),1,0)+_xlfn.XLOOKUP(1,(Table2[주간]=Table2[[#This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80" s="96" cm="1">
        <f t="array" ref="AG180">MAX((_xlfn.IFS(AF180=0,0,AF180=1,AA180,AF180&gt;1,U180*24)-IF(AA180&gt;40,AA180-40,0))/5,0)</f>
        <v>0.8999999999999998</v>
      </c>
      <c r="AH180" s="94">
        <f t="shared" si="33"/>
        <v>9612</v>
      </c>
      <c r="AI180" s="33" cm="1">
        <f t="array" ref="AI180">IF(W180="",0,ROUND(AC180*U180*24*_xlfn.XLOOKUP(1,(D180&lt;=Table7[End])*(E180=Table7[근무처])*(F180=Table7[업무]),Table7[휴일인센티브],0,0),0))</f>
        <v>0</v>
      </c>
      <c r="AJ180" s="94" cm="1">
        <f t="array" ref="AJ180">ROUND(AC180*IF(U180&gt;=8/24,U180-8/24,0)*24*_xlfn.XLOOKUP(1,(D180&lt;=Table7[End])*(E180=Table7[근무처])*(F180=Table7[업무]),Table7[야간인센티브],0,0),0)</f>
        <v>0</v>
      </c>
      <c r="AK180" s="94" cm="1">
        <f t="array" ref="AK180">IF(V180=0,0,ROUND(AC180*V180*24*_xlfn.XLOOKUP(1,(D180&lt;=Table7[End])*(E180=Table7[근무처])*(F180=Table7[업무]),Table7[야간인센티브],0,0),0))</f>
        <v>0</v>
      </c>
      <c r="AL180" s="95"/>
      <c r="AM180" s="94">
        <f t="shared" si="34"/>
        <v>57672</v>
      </c>
      <c r="AN180" s="94" cm="1">
        <f t="array" ref="AN180">IF(AM180&gt;=_xlfn.XLOOKUP(TRUE,D180&lt;=Table5[End],Table5[비과세소득기준],0,0),AM180-_xlfn.XLOOKUP(TRUE,D180&lt;=Table5[End],Table5[비과세소득기준],0,0),0)</f>
        <v>0</v>
      </c>
      <c r="AO180" s="94" cm="1">
        <f t="array" ref="AO180">ROUNDDOWN(_xlfn.LET(_xlpm.setvalue,_xlfn.XLOOKUP(TRUE,D180&lt;=Table5[End],Table5[[요율]:[근로소득세액공제]],0,0),_xlpm.tax,AN180*PRODUCT((_xlpm.setvalue-{0,1})*{1,-1}),_xlpm.threshold,_xlfn.XLOOKUP(TRUE,D180&lt;=Table5[End],Table5[소액부징수기준],0,0),IF(_xlpm.tax&gt;=_xlpm.threshold,_xlpm.tax,0)),-1)</f>
        <v>0</v>
      </c>
      <c r="AP180" s="94">
        <f>ROUNDDOWN(Table2[[#This Row],[소득세]]*10%,-1)</f>
        <v>0</v>
      </c>
      <c r="AQ180" s="94">
        <f>IF(AB180="v",AM180+IF(Y180=8,SUMIFS(Table2[지급총액],Table2[주민등록번호],O180,Table2[월],R180,Table2[월간
근무일],"&lt;="&amp;8)-AM180,0),0)+_xlfn.NUMBERVALUE(AR180)</f>
        <v>0</v>
      </c>
      <c r="AR180" s="95"/>
      <c r="AS180" s="94" cm="1">
        <f t="array" ref="AS180">ROUNDDOWN($AQ180*_xlfn.XLOOKUP(1,(AS$5=Table8[Type])*($D180&lt;=Table8[End]),Table8[요율],0,0),0)</f>
        <v>0</v>
      </c>
      <c r="AT180" s="94" cm="1">
        <f t="array" ref="AT180">ROUNDDOWN(AS180*_xlfn.XLOOKUP(1,(AT$5=Table8[Type])*($D180&lt;=Table8[End]),Table8[요율],0,0),-1)</f>
        <v>0</v>
      </c>
      <c r="AU180" s="94" cm="1">
        <f t="array" ref="AU180">ROUNDDOWN($AQ180*_xlfn.XLOOKUP(1,(AU$5=Table8[Type])*($D180&lt;=Table8[End]),Table8[요율],0,0),-1)</f>
        <v>0</v>
      </c>
      <c r="AV180" s="94" cm="1">
        <f t="array" ref="AV180">ROUNDDOWN(AM180*_xlfn.XLOOKUP(1,(AV$5=Table8[Type])*($D180&lt;=Table8[End]),Table8[요율],0,0),-1)</f>
        <v>0</v>
      </c>
      <c r="AW180" s="94" cm="1">
        <f t="array" ref="AW180">_xlfn.XLOOKUP(1,(O180=Table2[주민등록번호])*(D180&gt;Table2[근무일자]),Table2[청구 Claim 
이월],0,0,-1)</f>
        <v>0</v>
      </c>
      <c r="AX180" s="95"/>
      <c r="AY180" s="94" cm="1">
        <f t="array" ref="AY180">MAX(SUM(AO180:AP180,AS180:AX180)-_xlfn.XLOOKUP(1,(D180&lt;=Table7[End])*(E180=Table7[근무처])*(F180=Table7[업무]),Table7[1일 공제 상한],0,0),0)</f>
        <v>0</v>
      </c>
      <c r="AZ180" s="94">
        <f t="shared" si="35"/>
        <v>0</v>
      </c>
      <c r="BA180" s="94">
        <f t="shared" si="36"/>
        <v>57672</v>
      </c>
      <c r="BB180" s="97">
        <f t="shared" si="37"/>
        <v>0</v>
      </c>
      <c r="BC180" s="98"/>
      <c r="BD180" s="94">
        <f t="shared" si="38"/>
        <v>0</v>
      </c>
      <c r="BE180" s="94">
        <f t="shared" si="39"/>
        <v>0</v>
      </c>
      <c r="BF180" s="94">
        <f t="shared" si="40"/>
        <v>0</v>
      </c>
      <c r="BG180" s="94">
        <f t="shared" si="41"/>
        <v>0</v>
      </c>
      <c r="BH180" s="94" cm="1">
        <f t="array" ref="BH180">ROUNDDOWN(AM180*_xlfn.XLOOKUP(1,(BH$5=Table8[Type])*($D180&lt;=Table8[End]),Table8[요율],0,0),-1)</f>
        <v>460</v>
      </c>
      <c r="BI180" s="93" t="str" cm="1">
        <f t="array" ref="BI180">_xlfn.XLOOKUP(1,(D180&lt;=Table7[End])*(E180=Table7[근무처])*(F180=Table7[업무]),Table7[지급옵션],0,0)</f>
        <v>차주 화</v>
      </c>
      <c r="BJ180" s="83">
        <f>IF(BK180&lt;&gt;"",BK180,IFERROR(D180+_xlfn.NUMBERVALUE(RIGHT(BI180,1)),D180-WEEKDAY(D180)+CHOOSE(MATCH(RIGHT(BI180),{"일","월","화","수","목","금","토"},0),8,9,10,11,12,13,14)))</f>
        <v>45783</v>
      </c>
      <c r="BK180" s="99"/>
    </row>
    <row r="181" spans="2:63" x14ac:dyDescent="0.35">
      <c r="B181" s="20" t="str" cm="1">
        <f t="array" ref="B181">_xlfn.IFS(BB181&lt;&gt;BC181,"Claim확인",N181&lt;&gt;"OK","확인필요",TRUE,"")</f>
        <v/>
      </c>
      <c r="C181" s="21" t="str">
        <f t="shared" si="28"/>
        <v>010-3X6X-X4X7757X02XX284249</v>
      </c>
      <c r="D181" s="26">
        <v>45776</v>
      </c>
      <c r="E181" s="91" t="s">
        <v>255</v>
      </c>
      <c r="F181" s="25" t="s">
        <v>258</v>
      </c>
      <c r="G181" s="27" t="s">
        <v>283</v>
      </c>
      <c r="H181" s="25" t="s">
        <v>295</v>
      </c>
      <c r="I181" s="25"/>
      <c r="J181" s="25" t="s">
        <v>296</v>
      </c>
      <c r="K181" s="28">
        <v>0.39583333333333331</v>
      </c>
      <c r="L181" s="28">
        <v>0.77083333333333337</v>
      </c>
      <c r="M181" s="28">
        <v>4.1666666666666664E-2</v>
      </c>
      <c r="N181" s="25" t="s">
        <v>281</v>
      </c>
      <c r="O181" s="29" t="str">
        <f>_xlfn.XLOOKUP(Table2[[#This Row],[Key]],Table1[Key],Table1[주민등록번호],"",0)</f>
        <v>940XX41XX7X32</v>
      </c>
      <c r="P181" s="29">
        <f>_xlfn.XLOOKUP(Table2[[#This Row],[Key]],Table1[Key],Table1[비자],"",0)</f>
        <v>0</v>
      </c>
      <c r="Q181" s="29">
        <f>IF(P181=0,0,_xlfn.XLOOKUP(Table2[[#This Row],[Key]],Table1[Key],Table1[고용보험 여부],0,0))</f>
        <v>0</v>
      </c>
      <c r="R181" s="29" t="str">
        <f t="shared" si="29"/>
        <v>2504</v>
      </c>
      <c r="S181" s="30" t="str">
        <f>YEAR(Table2[[#This Row],[근무일자]])&amp;TEXT(WEEKNUM(Table2[[#This Row],[근무일자]]),"00")</f>
        <v>202518</v>
      </c>
      <c r="T181" s="31">
        <f>_xlfn.XLOOKUP(Table2[[#This Row],[Key]],Table1[Key],Table1[등록일],"",0)</f>
        <v>45751</v>
      </c>
      <c r="U181" s="32">
        <f t="shared" si="30"/>
        <v>0.33333333333333337</v>
      </c>
      <c r="V181" s="92">
        <f t="shared" si="31"/>
        <v>0</v>
      </c>
      <c r="W181" s="100" t="str">
        <f>_xlfn.XLOOKUP(Table2[[#This Row],[근무일자]],Table3[Date],Table3[Holiday],"",0)</f>
        <v/>
      </c>
      <c r="X181" s="93">
        <f>IF(D181&lt;&gt;"",1,0)+IF(COUNTIFS(Table2[주민등록번호],O181,Table2[월],TEXT(EOMONTH(D181,-1),"YYMM"))&gt;0,1+IF(COUNTIFS(Table2[주민등록번호],O181,Table2[월],TEXT(EOMONTH(D181,-2),"YYMM"))&gt;0,1+IF(COUNTIFS(Table2[주민등록번호],O181,Table2[월],TEXT(EOMONTH(D181,-3),"YYMM"))&gt;0,1,0),0),0)</f>
        <v>1</v>
      </c>
      <c r="Y181" s="29">
        <f>COUNTIFS(Table2[주민등록번호],O181,Table2[월],R181,Table2[근무일자],"&lt;="&amp;D181)</f>
        <v>4</v>
      </c>
      <c r="Z181" s="29">
        <f>COUNTIFS(Table2[주민등록번호],O181,Table2[주간],S181,Table2[근무일자],"&lt;="&amp;D181)</f>
        <v>2</v>
      </c>
      <c r="AA181" s="29">
        <f>SUMIFS(Table2[근로
시간],Table2[주민등록번호],O181,Table2[주간],S181,Table2[근무일자],"&lt;="&amp;D181)*24</f>
        <v>12.5</v>
      </c>
      <c r="AB181" s="29" t="str">
        <f>IF(AND(Y181&gt;=8,COUNTIFS(Table2[주민등록번호],O181,Table2[근무일자],"&gt;="&amp;EOMONTH(D181,-2)+1,Table2[근무일자],"&lt;="&amp;EOMONTH(D181,-1)+1)&gt;0),"V","")</f>
        <v/>
      </c>
      <c r="AC181" s="94" cm="1">
        <f t="array" ref="AC181">IF(AD181&lt;&gt;"",AD181,_xlfn.XLOOKUP(1,(D181&lt;=Table7[End])*(E181=Table7[근무처])*(F181=Table7[업무]),Table7[시급],0,0))</f>
        <v>10680</v>
      </c>
      <c r="AD181" s="95"/>
      <c r="AE181" s="94">
        <f t="shared" si="32"/>
        <v>85440</v>
      </c>
      <c r="AF181" s="96" cm="1">
        <f t="array" ref="AF181">IF(AND(AA181&gt;=15,(AA181-U181*24)&lt;=40),IF(Z181&gt;=_xlfn.XLOOKUP(1,(D181&lt;=Table7[End])*(E181=Table7[근무처])*(F181=Table7[업무]),Table7[주휴적용일],0,0),1,0)+_xlfn.XLOOKUP(1,(Table2[주간]=Table2[[#This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81" s="96" cm="1">
        <f t="array" ref="AG181">MAX((_xlfn.IFS(AF181=0,0,AF181=1,AA181,AF181&gt;1,U181*24)-IF(AA181&gt;40,AA181-40,0))/5,0)</f>
        <v>0</v>
      </c>
      <c r="AH181" s="94">
        <f t="shared" si="33"/>
        <v>0</v>
      </c>
      <c r="AI181" s="33" cm="1">
        <f t="array" ref="AI181">IF(W181="",0,ROUND(AC181*U181*24*_xlfn.XLOOKUP(1,(D181&lt;=Table7[End])*(E181=Table7[근무처])*(F181=Table7[업무]),Table7[휴일인센티브],0,0),0))</f>
        <v>0</v>
      </c>
      <c r="AJ181" s="94" cm="1">
        <f t="array" ref="AJ181">ROUND(AC181*IF(U181&gt;=8/24,U181-8/24,0)*24*_xlfn.XLOOKUP(1,(D181&lt;=Table7[End])*(E181=Table7[근무처])*(F181=Table7[업무]),Table7[야간인센티브],0,0),0)</f>
        <v>0</v>
      </c>
      <c r="AK181" s="94" cm="1">
        <f t="array" ref="AK181">IF(V181=0,0,ROUND(AC181*V181*24*_xlfn.XLOOKUP(1,(D181&lt;=Table7[End])*(E181=Table7[근무처])*(F181=Table7[업무]),Table7[야간인센티브],0,0),0))</f>
        <v>0</v>
      </c>
      <c r="AL181" s="95"/>
      <c r="AM181" s="94">
        <f t="shared" si="34"/>
        <v>85440</v>
      </c>
      <c r="AN181" s="94" cm="1">
        <f t="array" ref="AN181">IF(AM181&gt;=_xlfn.XLOOKUP(TRUE,D181&lt;=Table5[End],Table5[비과세소득기준],0,0),AM181-_xlfn.XLOOKUP(TRUE,D181&lt;=Table5[End],Table5[비과세소득기준],0,0),0)</f>
        <v>0</v>
      </c>
      <c r="AO181" s="94" cm="1">
        <f t="array" ref="AO181">ROUNDDOWN(_xlfn.LET(_xlpm.setvalue,_xlfn.XLOOKUP(TRUE,D181&lt;=Table5[End],Table5[[요율]:[근로소득세액공제]],0,0),_xlpm.tax,AN181*PRODUCT((_xlpm.setvalue-{0,1})*{1,-1}),_xlpm.threshold,_xlfn.XLOOKUP(TRUE,D181&lt;=Table5[End],Table5[소액부징수기준],0,0),IF(_xlpm.tax&gt;=_xlpm.threshold,_xlpm.tax,0)),-1)</f>
        <v>0</v>
      </c>
      <c r="AP181" s="94">
        <f>ROUNDDOWN(Table2[[#This Row],[소득세]]*10%,-1)</f>
        <v>0</v>
      </c>
      <c r="AQ181" s="94">
        <f>IF(AB181="v",AM181+IF(Y181=8,SUMIFS(Table2[지급총액],Table2[주민등록번호],O181,Table2[월],R181,Table2[월간
근무일],"&lt;="&amp;8)-AM181,0),0)+_xlfn.NUMBERVALUE(AR181)</f>
        <v>0</v>
      </c>
      <c r="AR181" s="95"/>
      <c r="AS181" s="94" cm="1">
        <f t="array" ref="AS181">ROUNDDOWN($AQ181*_xlfn.XLOOKUP(1,(AS$5=Table8[Type])*($D181&lt;=Table8[End]),Table8[요율],0,0),0)</f>
        <v>0</v>
      </c>
      <c r="AT181" s="94" cm="1">
        <f t="array" ref="AT181">ROUNDDOWN(AS181*_xlfn.XLOOKUP(1,(AT$5=Table8[Type])*($D181&lt;=Table8[End]),Table8[요율],0,0),-1)</f>
        <v>0</v>
      </c>
      <c r="AU181" s="94" cm="1">
        <f t="array" ref="AU181">ROUNDDOWN($AQ181*_xlfn.XLOOKUP(1,(AU$5=Table8[Type])*($D181&lt;=Table8[End]),Table8[요율],0,0),-1)</f>
        <v>0</v>
      </c>
      <c r="AV181" s="94" cm="1">
        <f t="array" ref="AV181">ROUNDDOWN(AM181*_xlfn.XLOOKUP(1,(AV$5=Table8[Type])*($D181&lt;=Table8[End]),Table8[요율],0,0),-1)</f>
        <v>0</v>
      </c>
      <c r="AW181" s="94" cm="1">
        <f t="array" ref="AW181">_xlfn.XLOOKUP(1,(O181=Table2[주민등록번호])*(D181&gt;Table2[근무일자]),Table2[청구 Claim 
이월],0,0,-1)</f>
        <v>0</v>
      </c>
      <c r="AX181" s="95"/>
      <c r="AY181" s="94" cm="1">
        <f t="array" ref="AY181">MAX(SUM(AO181:AP181,AS181:AX181)-_xlfn.XLOOKUP(1,(D181&lt;=Table7[End])*(E181=Table7[근무처])*(F181=Table7[업무]),Table7[1일 공제 상한],0,0),0)</f>
        <v>0</v>
      </c>
      <c r="AZ181" s="94">
        <f t="shared" si="35"/>
        <v>0</v>
      </c>
      <c r="BA181" s="94">
        <f t="shared" si="36"/>
        <v>85440</v>
      </c>
      <c r="BB181" s="97">
        <f t="shared" si="37"/>
        <v>0</v>
      </c>
      <c r="BC181" s="98"/>
      <c r="BD181" s="94">
        <f t="shared" si="38"/>
        <v>0</v>
      </c>
      <c r="BE181" s="94">
        <f t="shared" si="39"/>
        <v>0</v>
      </c>
      <c r="BF181" s="94">
        <f t="shared" si="40"/>
        <v>0</v>
      </c>
      <c r="BG181" s="94">
        <f t="shared" si="41"/>
        <v>0</v>
      </c>
      <c r="BH181" s="94" cm="1">
        <f t="array" ref="BH181">ROUNDDOWN(AM181*_xlfn.XLOOKUP(1,(BH$5=Table8[Type])*($D181&lt;=Table8[End]),Table8[요율],0,0),-1)</f>
        <v>680</v>
      </c>
      <c r="BI181" s="93" t="str" cm="1">
        <f t="array" ref="BI181">_xlfn.XLOOKUP(1,(D181&lt;=Table7[End])*(E181=Table7[근무처])*(F181=Table7[업무]),Table7[지급옵션],0,0)</f>
        <v>차주 화</v>
      </c>
      <c r="BJ181" s="83">
        <f>IF(BK181&lt;&gt;"",BK181,IFERROR(D181+_xlfn.NUMBERVALUE(RIGHT(BI181,1)),D181-WEEKDAY(D181)+CHOOSE(MATCH(RIGHT(BI181),{"일","월","화","수","목","금","토"},0),8,9,10,11,12,13,14)))</f>
        <v>45783</v>
      </c>
      <c r="BK181" s="99"/>
    </row>
    <row r="182" spans="2:63" x14ac:dyDescent="0.35">
      <c r="B182" s="20" t="str" cm="1">
        <f t="array" ref="B182">_xlfn.IFS(BB182&lt;&gt;BC182,"Claim확인",N182&lt;&gt;"OK","확인필요",TRUE,"")</f>
        <v/>
      </c>
      <c r="C182" s="21" t="str">
        <f t="shared" si="28"/>
        <v>010-5X0X-X6X5010X57XX685907</v>
      </c>
      <c r="D182" s="26">
        <v>45776</v>
      </c>
      <c r="E182" s="91" t="s">
        <v>255</v>
      </c>
      <c r="F182" s="25" t="s">
        <v>258</v>
      </c>
      <c r="G182" s="27" t="s">
        <v>287</v>
      </c>
      <c r="H182" s="25" t="s">
        <v>301</v>
      </c>
      <c r="I182" s="25"/>
      <c r="J182" s="25" t="s">
        <v>302</v>
      </c>
      <c r="K182" s="28">
        <v>0.54166666666666663</v>
      </c>
      <c r="L182" s="28">
        <v>0.91666666666666663</v>
      </c>
      <c r="M182" s="28">
        <v>4.1666666666666664E-2</v>
      </c>
      <c r="N182" s="25" t="s">
        <v>281</v>
      </c>
      <c r="O182" s="29" t="str">
        <f>_xlfn.XLOOKUP(Table2[[#This Row],[Key]],Table1[Key],Table1[주민등록번호],"",0)</f>
        <v>980XX82XX3X25</v>
      </c>
      <c r="P182" s="29">
        <f>_xlfn.XLOOKUP(Table2[[#This Row],[Key]],Table1[Key],Table1[비자],"",0)</f>
        <v>0</v>
      </c>
      <c r="Q182" s="29">
        <f>IF(P182=0,0,_xlfn.XLOOKUP(Table2[[#This Row],[Key]],Table1[Key],Table1[고용보험 여부],0,0))</f>
        <v>0</v>
      </c>
      <c r="R182" s="29" t="str">
        <f t="shared" si="29"/>
        <v>2504</v>
      </c>
      <c r="S182" s="30" t="str">
        <f>YEAR(Table2[[#This Row],[근무일자]])&amp;TEXT(WEEKNUM(Table2[[#This Row],[근무일자]]),"00")</f>
        <v>202518</v>
      </c>
      <c r="T182" s="31">
        <f>_xlfn.XLOOKUP(Table2[[#This Row],[Key]],Table1[Key],Table1[등록일],"",0)</f>
        <v>45783</v>
      </c>
      <c r="U182" s="32">
        <f t="shared" si="30"/>
        <v>0.33333333333333331</v>
      </c>
      <c r="V182" s="92">
        <f t="shared" si="31"/>
        <v>0</v>
      </c>
      <c r="W182" s="100" t="str">
        <f>_xlfn.XLOOKUP(Table2[[#This Row],[근무일자]],Table3[Date],Table3[Holiday],"",0)</f>
        <v/>
      </c>
      <c r="X182" s="93">
        <f>IF(D182&lt;&gt;"",1,0)+IF(COUNTIFS(Table2[주민등록번호],O182,Table2[월],TEXT(EOMONTH(D182,-1),"YYMM"))&gt;0,1+IF(COUNTIFS(Table2[주민등록번호],O182,Table2[월],TEXT(EOMONTH(D182,-2),"YYMM"))&gt;0,1+IF(COUNTIFS(Table2[주민등록번호],O182,Table2[월],TEXT(EOMONTH(D182,-3),"YYMM"))&gt;0,1,0),0),0)</f>
        <v>1</v>
      </c>
      <c r="Y182" s="29">
        <f>COUNTIFS(Table2[주민등록번호],O182,Table2[월],R182,Table2[근무일자],"&lt;="&amp;D182)</f>
        <v>3</v>
      </c>
      <c r="Z182" s="29">
        <f>COUNTIFS(Table2[주민등록번호],O182,Table2[주간],S182,Table2[근무일자],"&lt;="&amp;D182)</f>
        <v>1</v>
      </c>
      <c r="AA182" s="29">
        <f>SUMIFS(Table2[근로
시간],Table2[주민등록번호],O182,Table2[주간],S182,Table2[근무일자],"&lt;="&amp;D182)*24</f>
        <v>8</v>
      </c>
      <c r="AB182" s="29" t="str">
        <f>IF(AND(Y182&gt;=8,COUNTIFS(Table2[주민등록번호],O182,Table2[근무일자],"&gt;="&amp;EOMONTH(D182,-2)+1,Table2[근무일자],"&lt;="&amp;EOMONTH(D182,-1)+1)&gt;0),"V","")</f>
        <v/>
      </c>
      <c r="AC182" s="94" cm="1">
        <f t="array" ref="AC182">IF(AD182&lt;&gt;"",AD182,_xlfn.XLOOKUP(1,(D182&lt;=Table7[End])*(E182=Table7[근무처])*(F182=Table7[업무]),Table7[시급],0,0))</f>
        <v>10680</v>
      </c>
      <c r="AD182" s="95"/>
      <c r="AE182" s="94">
        <f t="shared" si="32"/>
        <v>85440</v>
      </c>
      <c r="AF182" s="96" cm="1">
        <f t="array" ref="AF182">IF(AND(AA182&gt;=15,(AA182-U182*24)&lt;=40),IF(Z182&gt;=_xlfn.XLOOKUP(1,(D182&lt;=Table7[End])*(E182=Table7[근무처])*(F182=Table7[업무]),Table7[주휴적용일],0,0),1,0)+_xlfn.XLOOKUP(1,(Table2[주간]=Table2[[#This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82" s="96" cm="1">
        <f t="array" ref="AG182">MAX((_xlfn.IFS(AF182=0,0,AF182=1,AA182,AF182&gt;1,U182*24)-IF(AA182&gt;40,AA182-40,0))/5,0)</f>
        <v>0</v>
      </c>
      <c r="AH182" s="94">
        <f t="shared" si="33"/>
        <v>0</v>
      </c>
      <c r="AI182" s="33" cm="1">
        <f t="array" ref="AI182">IF(W182="",0,ROUND(AC182*U182*24*_xlfn.XLOOKUP(1,(D182&lt;=Table7[End])*(E182=Table7[근무처])*(F182=Table7[업무]),Table7[휴일인센티브],0,0),0))</f>
        <v>0</v>
      </c>
      <c r="AJ182" s="94" cm="1">
        <f t="array" ref="AJ182">ROUND(AC182*IF(U182&gt;=8/24,U182-8/24,0)*24*_xlfn.XLOOKUP(1,(D182&lt;=Table7[End])*(E182=Table7[근무처])*(F182=Table7[업무]),Table7[야간인센티브],0,0),0)</f>
        <v>0</v>
      </c>
      <c r="AK182" s="94" cm="1">
        <f t="array" ref="AK182">IF(V182=0,0,ROUND(AC182*V182*24*_xlfn.XLOOKUP(1,(D182&lt;=Table7[End])*(E182=Table7[근무처])*(F182=Table7[업무]),Table7[야간인센티브],0,0),0))</f>
        <v>0</v>
      </c>
      <c r="AL182" s="95"/>
      <c r="AM182" s="94">
        <f t="shared" si="34"/>
        <v>85440</v>
      </c>
      <c r="AN182" s="94" cm="1">
        <f t="array" ref="AN182">IF(AM182&gt;=_xlfn.XLOOKUP(TRUE,D182&lt;=Table5[End],Table5[비과세소득기준],0,0),AM182-_xlfn.XLOOKUP(TRUE,D182&lt;=Table5[End],Table5[비과세소득기준],0,0),0)</f>
        <v>0</v>
      </c>
      <c r="AO182" s="94" cm="1">
        <f t="array" ref="AO182">ROUNDDOWN(_xlfn.LET(_xlpm.setvalue,_xlfn.XLOOKUP(TRUE,D182&lt;=Table5[End],Table5[[요율]:[근로소득세액공제]],0,0),_xlpm.tax,AN182*PRODUCT((_xlpm.setvalue-{0,1})*{1,-1}),_xlpm.threshold,_xlfn.XLOOKUP(TRUE,D182&lt;=Table5[End],Table5[소액부징수기준],0,0),IF(_xlpm.tax&gt;=_xlpm.threshold,_xlpm.tax,0)),-1)</f>
        <v>0</v>
      </c>
      <c r="AP182" s="94">
        <f>ROUNDDOWN(Table2[[#This Row],[소득세]]*10%,-1)</f>
        <v>0</v>
      </c>
      <c r="AQ182" s="94">
        <f>IF(AB182="v",AM182+IF(Y182=8,SUMIFS(Table2[지급총액],Table2[주민등록번호],O182,Table2[월],R182,Table2[월간
근무일],"&lt;="&amp;8)-AM182,0),0)+_xlfn.NUMBERVALUE(AR182)</f>
        <v>0</v>
      </c>
      <c r="AR182" s="95"/>
      <c r="AS182" s="94" cm="1">
        <f t="array" ref="AS182">ROUNDDOWN($AQ182*_xlfn.XLOOKUP(1,(AS$5=Table8[Type])*($D182&lt;=Table8[End]),Table8[요율],0,0),0)</f>
        <v>0</v>
      </c>
      <c r="AT182" s="94" cm="1">
        <f t="array" ref="AT182">ROUNDDOWN(AS182*_xlfn.XLOOKUP(1,(AT$5=Table8[Type])*($D182&lt;=Table8[End]),Table8[요율],0,0),-1)</f>
        <v>0</v>
      </c>
      <c r="AU182" s="94" cm="1">
        <f t="array" ref="AU182">ROUNDDOWN($AQ182*_xlfn.XLOOKUP(1,(AU$5=Table8[Type])*($D182&lt;=Table8[End]),Table8[요율],0,0),-1)</f>
        <v>0</v>
      </c>
      <c r="AV182" s="94" cm="1">
        <f t="array" ref="AV182">ROUNDDOWN(AM182*_xlfn.XLOOKUP(1,(AV$5=Table8[Type])*($D182&lt;=Table8[End]),Table8[요율],0,0),-1)</f>
        <v>0</v>
      </c>
      <c r="AW182" s="94" cm="1">
        <f t="array" ref="AW182">_xlfn.XLOOKUP(1,(O182=Table2[주민등록번호])*(D182&gt;Table2[근무일자]),Table2[청구 Claim 
이월],0,0,-1)</f>
        <v>0</v>
      </c>
      <c r="AX182" s="95"/>
      <c r="AY182" s="94" cm="1">
        <f t="array" ref="AY182">MAX(SUM(AO182:AP182,AS182:AX182)-_xlfn.XLOOKUP(1,(D182&lt;=Table7[End])*(E182=Table7[근무처])*(F182=Table7[업무]),Table7[1일 공제 상한],0,0),0)</f>
        <v>0</v>
      </c>
      <c r="AZ182" s="94">
        <f t="shared" si="35"/>
        <v>0</v>
      </c>
      <c r="BA182" s="94">
        <f t="shared" si="36"/>
        <v>85440</v>
      </c>
      <c r="BB182" s="97">
        <f t="shared" si="37"/>
        <v>0</v>
      </c>
      <c r="BC182" s="98"/>
      <c r="BD182" s="94">
        <f t="shared" si="38"/>
        <v>0</v>
      </c>
      <c r="BE182" s="94">
        <f t="shared" si="39"/>
        <v>0</v>
      </c>
      <c r="BF182" s="94">
        <f t="shared" si="40"/>
        <v>0</v>
      </c>
      <c r="BG182" s="94">
        <f t="shared" si="41"/>
        <v>0</v>
      </c>
      <c r="BH182" s="94" cm="1">
        <f t="array" ref="BH182">ROUNDDOWN(AM182*_xlfn.XLOOKUP(1,(BH$5=Table8[Type])*($D182&lt;=Table8[End]),Table8[요율],0,0),-1)</f>
        <v>680</v>
      </c>
      <c r="BI182" s="93" t="str" cm="1">
        <f t="array" ref="BI182">_xlfn.XLOOKUP(1,(D182&lt;=Table7[End])*(E182=Table7[근무처])*(F182=Table7[업무]),Table7[지급옵션],0,0)</f>
        <v>차주 화</v>
      </c>
      <c r="BJ182" s="83">
        <f>IF(BK182&lt;&gt;"",BK182,IFERROR(D182+_xlfn.NUMBERVALUE(RIGHT(BI182,1)),D182-WEEKDAY(D182)+CHOOSE(MATCH(RIGHT(BI182),{"일","월","화","수","목","금","토"},0),8,9,10,11,12,13,14)))</f>
        <v>45783</v>
      </c>
      <c r="BK182" s="99"/>
    </row>
    <row r="183" spans="2:63" x14ac:dyDescent="0.35">
      <c r="B183" s="20" t="str" cm="1">
        <f t="array" ref="B183">_xlfn.IFS(BB183&lt;&gt;BC183,"Claim확인",N183&lt;&gt;"OK","확인필요",TRUE,"")</f>
        <v/>
      </c>
      <c r="C183" s="21" t="str">
        <f t="shared" si="28"/>
        <v>010-6X1X-X3X0333X04XX46879</v>
      </c>
      <c r="D183" s="26">
        <v>45777</v>
      </c>
      <c r="E183" s="91" t="s">
        <v>255</v>
      </c>
      <c r="F183" s="25" t="s">
        <v>258</v>
      </c>
      <c r="G183" s="27" t="s">
        <v>284</v>
      </c>
      <c r="H183" s="25" t="s">
        <v>293</v>
      </c>
      <c r="I183" s="25"/>
      <c r="J183" s="25" t="s">
        <v>294</v>
      </c>
      <c r="K183" s="28">
        <v>0.3125</v>
      </c>
      <c r="L183" s="28">
        <v>0.6875</v>
      </c>
      <c r="M183" s="28">
        <v>4.1666666666666664E-2</v>
      </c>
      <c r="N183" s="25" t="s">
        <v>281</v>
      </c>
      <c r="O183" s="29" t="str">
        <f>_xlfn.XLOOKUP(Table2[[#This Row],[Key]],Table1[Key],Table1[주민등록번호],"",0)</f>
        <v>971XX61XX9X25</v>
      </c>
      <c r="P183" s="29">
        <f>_xlfn.XLOOKUP(Table2[[#This Row],[Key]],Table1[Key],Table1[비자],"",0)</f>
        <v>0</v>
      </c>
      <c r="Q183" s="29">
        <f>IF(P183=0,0,_xlfn.XLOOKUP(Table2[[#This Row],[Key]],Table1[Key],Table1[고용보험 여부],0,0))</f>
        <v>0</v>
      </c>
      <c r="R183" s="29" t="str">
        <f t="shared" si="29"/>
        <v>2504</v>
      </c>
      <c r="S183" s="30" t="str">
        <f>YEAR(Table2[[#This Row],[근무일자]])&amp;TEXT(WEEKNUM(Table2[[#This Row],[근무일자]]),"00")</f>
        <v>202518</v>
      </c>
      <c r="T183" s="31">
        <f>_xlfn.XLOOKUP(Table2[[#This Row],[Key]],Table1[Key],Table1[등록일],"",0)</f>
        <v>45721</v>
      </c>
      <c r="U183" s="32">
        <f t="shared" si="30"/>
        <v>0.33333333333333331</v>
      </c>
      <c r="V183" s="92">
        <f t="shared" si="31"/>
        <v>0</v>
      </c>
      <c r="W183" s="100" t="str">
        <f>_xlfn.XLOOKUP(Table2[[#This Row],[근무일자]],Table3[Date],Table3[Holiday],"",0)</f>
        <v/>
      </c>
      <c r="X183" s="93">
        <f>IF(D183&lt;&gt;"",1,0)+IF(COUNTIFS(Table2[주민등록번호],O183,Table2[월],TEXT(EOMONTH(D183,-1),"YYMM"))&gt;0,1+IF(COUNTIFS(Table2[주민등록번호],O183,Table2[월],TEXT(EOMONTH(D183,-2),"YYMM"))&gt;0,1+IF(COUNTIFS(Table2[주민등록번호],O183,Table2[월],TEXT(EOMONTH(D183,-3),"YYMM"))&gt;0,1,0),0),0)</f>
        <v>2</v>
      </c>
      <c r="Y183" s="29">
        <f>COUNTIFS(Table2[주민등록번호],O183,Table2[월],R183,Table2[근무일자],"&lt;="&amp;D183)</f>
        <v>18</v>
      </c>
      <c r="Z183" s="29">
        <f>COUNTIFS(Table2[주민등록번호],O183,Table2[주간],S183,Table2[근무일자],"&lt;="&amp;D183)</f>
        <v>3</v>
      </c>
      <c r="AA183" s="29">
        <f>SUMIFS(Table2[근로
시간],Table2[주민등록번호],O183,Table2[주간],S183,Table2[근무일자],"&lt;="&amp;D183)*24</f>
        <v>24</v>
      </c>
      <c r="AB183" s="29" t="str">
        <f>IF(AND(Y183&gt;=8,COUNTIFS(Table2[주민등록번호],O183,Table2[근무일자],"&gt;="&amp;EOMONTH(D183,-2)+1,Table2[근무일자],"&lt;="&amp;EOMONTH(D183,-1)+1)&gt;0),"V","")</f>
        <v>V</v>
      </c>
      <c r="AC183" s="94" cm="1">
        <f t="array" ref="AC183">IF(AD183&lt;&gt;"",AD183,_xlfn.XLOOKUP(1,(D183&lt;=Table7[End])*(E183=Table7[근무처])*(F183=Table7[업무]),Table7[시급],0,0))</f>
        <v>10680</v>
      </c>
      <c r="AD183" s="95"/>
      <c r="AE183" s="94">
        <f t="shared" si="32"/>
        <v>85440</v>
      </c>
      <c r="AF183" s="96" cm="1">
        <f t="array" ref="AF183">IF(AND(AA183&gt;=15,(AA183-U183*24)&lt;=40),IF(Z183&gt;=_xlfn.XLOOKUP(1,(D183&lt;=Table7[End])*(E183=Table7[근무처])*(F183=Table7[업무]),Table7[주휴적용일],0,0),1,0)+_xlfn.XLOOKUP(1,(Table2[주간]=Table2[[#This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83" s="96" cm="1">
        <f t="array" ref="AG183">MAX((_xlfn.IFS(AF183=0,0,AF183=1,AA183,AF183&gt;1,U183*24)-IF(AA183&gt;40,AA183-40,0))/5,0)</f>
        <v>1.6</v>
      </c>
      <c r="AH183" s="94">
        <f t="shared" si="33"/>
        <v>17088</v>
      </c>
      <c r="AI183" s="33" cm="1">
        <f t="array" ref="AI183">IF(W183="",0,ROUND(AC183*U183*24*_xlfn.XLOOKUP(1,(D183&lt;=Table7[End])*(E183=Table7[근무처])*(F183=Table7[업무]),Table7[휴일인센티브],0,0),0))</f>
        <v>0</v>
      </c>
      <c r="AJ183" s="94" cm="1">
        <f t="array" ref="AJ183">ROUND(AC183*IF(U183&gt;=8/24,U183-8/24,0)*24*_xlfn.XLOOKUP(1,(D183&lt;=Table7[End])*(E183=Table7[근무처])*(F183=Table7[업무]),Table7[야간인센티브],0,0),0)</f>
        <v>0</v>
      </c>
      <c r="AK183" s="94" cm="1">
        <f t="array" ref="AK183">IF(V183=0,0,ROUND(AC183*V183*24*_xlfn.XLOOKUP(1,(D183&lt;=Table7[End])*(E183=Table7[근무처])*(F183=Table7[업무]),Table7[야간인센티브],0,0),0))</f>
        <v>0</v>
      </c>
      <c r="AL183" s="95"/>
      <c r="AM183" s="94">
        <f t="shared" si="34"/>
        <v>102528</v>
      </c>
      <c r="AN183" s="94" cm="1">
        <f t="array" ref="AN183">IF(AM183&gt;=_xlfn.XLOOKUP(TRUE,D183&lt;=Table5[End],Table5[비과세소득기준],0,0),AM183-_xlfn.XLOOKUP(TRUE,D183&lt;=Table5[End],Table5[비과세소득기준],0,0),0)</f>
        <v>0</v>
      </c>
      <c r="AO183" s="94" cm="1">
        <f t="array" ref="AO183">ROUNDDOWN(_xlfn.LET(_xlpm.setvalue,_xlfn.XLOOKUP(TRUE,D183&lt;=Table5[End],Table5[[요율]:[근로소득세액공제]],0,0),_xlpm.tax,AN183*PRODUCT((_xlpm.setvalue-{0,1})*{1,-1}),_xlpm.threshold,_xlfn.XLOOKUP(TRUE,D183&lt;=Table5[End],Table5[소액부징수기준],0,0),IF(_xlpm.tax&gt;=_xlpm.threshold,_xlpm.tax,0)),-1)</f>
        <v>0</v>
      </c>
      <c r="AP183" s="94">
        <f>ROUNDDOWN(Table2[[#This Row],[소득세]]*10%,-1)</f>
        <v>0</v>
      </c>
      <c r="AQ183" s="94">
        <f>IF(AB183="v",AM183+IF(Y183=8,SUMIFS(Table2[지급총액],Table2[주민등록번호],O183,Table2[월],R183,Table2[월간
근무일],"&lt;="&amp;8)-AM183,0),0)+_xlfn.NUMBERVALUE(AR183)</f>
        <v>102528</v>
      </c>
      <c r="AR183" s="95"/>
      <c r="AS183" s="94" cm="1">
        <f t="array" ref="AS183">ROUNDDOWN($AQ183*_xlfn.XLOOKUP(1,(AS$5=Table8[Type])*($D183&lt;=Table8[End]),Table8[요율],0,0),0)</f>
        <v>3634</v>
      </c>
      <c r="AT183" s="94" cm="1">
        <f t="array" ref="AT183">ROUNDDOWN(AS183*_xlfn.XLOOKUP(1,(AT$5=Table8[Type])*($D183&lt;=Table8[End]),Table8[요율],0,0),-1)</f>
        <v>470</v>
      </c>
      <c r="AU183" s="94" cm="1">
        <f t="array" ref="AU183">ROUNDDOWN($AQ183*_xlfn.XLOOKUP(1,(AU$5=Table8[Type])*($D183&lt;=Table8[End]),Table8[요율],0,0),-1)</f>
        <v>4610</v>
      </c>
      <c r="AV183" s="94" cm="1">
        <f t="array" ref="AV183">ROUNDDOWN(AM183*_xlfn.XLOOKUP(1,(AV$5=Table8[Type])*($D183&lt;=Table8[End]),Table8[요율],0,0),-1)</f>
        <v>0</v>
      </c>
      <c r="AW183" s="94" cm="1">
        <f t="array" ref="AW183">_xlfn.XLOOKUP(1,(O183=Table2[주민등록번호])*(D183&gt;Table2[근무일자]),Table2[청구 Claim 
이월],0,0,-1)</f>
        <v>0</v>
      </c>
      <c r="AX183" s="95"/>
      <c r="AY183" s="94" cm="1">
        <f t="array" ref="AY183">MAX(SUM(AO183:AP183,AS183:AX183)-_xlfn.XLOOKUP(1,(D183&lt;=Table7[End])*(E183=Table7[근무처])*(F183=Table7[업무]),Table7[1일 공제 상한],0,0),0)</f>
        <v>0</v>
      </c>
      <c r="AZ183" s="94">
        <f t="shared" si="35"/>
        <v>8714</v>
      </c>
      <c r="BA183" s="94">
        <f t="shared" si="36"/>
        <v>93814</v>
      </c>
      <c r="BB183" s="97">
        <f t="shared" si="37"/>
        <v>0</v>
      </c>
      <c r="BC183" s="98"/>
      <c r="BD183" s="94">
        <f t="shared" si="38"/>
        <v>3634</v>
      </c>
      <c r="BE183" s="94">
        <f t="shared" si="39"/>
        <v>470</v>
      </c>
      <c r="BF183" s="94">
        <f t="shared" si="40"/>
        <v>4610</v>
      </c>
      <c r="BG183" s="94">
        <f t="shared" si="41"/>
        <v>0</v>
      </c>
      <c r="BH183" s="94" cm="1">
        <f t="array" ref="BH183">ROUNDDOWN(AM183*_xlfn.XLOOKUP(1,(BH$5=Table8[Type])*($D183&lt;=Table8[End]),Table8[요율],0,0),-1)</f>
        <v>820</v>
      </c>
      <c r="BI183" s="93" t="str" cm="1">
        <f t="array" ref="BI183">_xlfn.XLOOKUP(1,(D183&lt;=Table7[End])*(E183=Table7[근무처])*(F183=Table7[업무]),Table7[지급옵션],0,0)</f>
        <v>차주 화</v>
      </c>
      <c r="BJ183" s="83">
        <f>IF(BK183&lt;&gt;"",BK183,IFERROR(D183+_xlfn.NUMBERVALUE(RIGHT(BI183,1)),D183-WEEKDAY(D183)+CHOOSE(MATCH(RIGHT(BI183),{"일","월","화","수","목","금","토"},0),8,9,10,11,12,13,14)))</f>
        <v>45783</v>
      </c>
      <c r="BK183" s="99"/>
    </row>
    <row r="184" spans="2:63" x14ac:dyDescent="0.35">
      <c r="B184" s="20" t="str" cm="1">
        <f t="array" ref="B184">_xlfn.IFS(BB184&lt;&gt;BC184,"Claim확인",N184&lt;&gt;"OK","확인필요",TRUE,"")</f>
        <v/>
      </c>
      <c r="C184" s="21" t="str">
        <f t="shared" si="28"/>
        <v>010-3X6X-X4X7757X02XX284249</v>
      </c>
      <c r="D184" s="26">
        <v>45777</v>
      </c>
      <c r="E184" s="91" t="s">
        <v>255</v>
      </c>
      <c r="F184" s="25" t="s">
        <v>258</v>
      </c>
      <c r="G184" s="27" t="s">
        <v>283</v>
      </c>
      <c r="H184" s="25" t="s">
        <v>295</v>
      </c>
      <c r="I184" s="25"/>
      <c r="J184" s="25" t="s">
        <v>296</v>
      </c>
      <c r="K184" s="28">
        <v>0.29166666666666669</v>
      </c>
      <c r="L184" s="28">
        <v>0.66666666666666663</v>
      </c>
      <c r="M184" s="28">
        <v>4.1666666666666664E-2</v>
      </c>
      <c r="N184" s="25" t="s">
        <v>281</v>
      </c>
      <c r="O184" s="29" t="str">
        <f>_xlfn.XLOOKUP(Table2[[#This Row],[Key]],Table1[Key],Table1[주민등록번호],"",0)</f>
        <v>940XX41XX7X32</v>
      </c>
      <c r="P184" s="29">
        <f>_xlfn.XLOOKUP(Table2[[#This Row],[Key]],Table1[Key],Table1[비자],"",0)</f>
        <v>0</v>
      </c>
      <c r="Q184" s="29">
        <f>IF(P184=0,0,_xlfn.XLOOKUP(Table2[[#This Row],[Key]],Table1[Key],Table1[고용보험 여부],0,0))</f>
        <v>0</v>
      </c>
      <c r="R184" s="29" t="str">
        <f t="shared" si="29"/>
        <v>2504</v>
      </c>
      <c r="S184" s="30" t="str">
        <f>YEAR(Table2[[#This Row],[근무일자]])&amp;TEXT(WEEKNUM(Table2[[#This Row],[근무일자]]),"00")</f>
        <v>202518</v>
      </c>
      <c r="T184" s="31">
        <f>_xlfn.XLOOKUP(Table2[[#This Row],[Key]],Table1[Key],Table1[등록일],"",0)</f>
        <v>45751</v>
      </c>
      <c r="U184" s="32">
        <f t="shared" si="30"/>
        <v>0.33333333333333326</v>
      </c>
      <c r="V184" s="92">
        <f t="shared" si="31"/>
        <v>0</v>
      </c>
      <c r="W184" s="100" t="str">
        <f>_xlfn.XLOOKUP(Table2[[#This Row],[근무일자]],Table3[Date],Table3[Holiday],"",0)</f>
        <v/>
      </c>
      <c r="X184" s="93">
        <f>IF(D184&lt;&gt;"",1,0)+IF(COUNTIFS(Table2[주민등록번호],O184,Table2[월],TEXT(EOMONTH(D184,-1),"YYMM"))&gt;0,1+IF(COUNTIFS(Table2[주민등록번호],O184,Table2[월],TEXT(EOMONTH(D184,-2),"YYMM"))&gt;0,1+IF(COUNTIFS(Table2[주민등록번호],O184,Table2[월],TEXT(EOMONTH(D184,-3),"YYMM"))&gt;0,1,0),0),0)</f>
        <v>1</v>
      </c>
      <c r="Y184" s="29">
        <f>COUNTIFS(Table2[주민등록번호],O184,Table2[월],R184,Table2[근무일자],"&lt;="&amp;D184)</f>
        <v>5</v>
      </c>
      <c r="Z184" s="29">
        <f>COUNTIFS(Table2[주민등록번호],O184,Table2[주간],S184,Table2[근무일자],"&lt;="&amp;D184)</f>
        <v>3</v>
      </c>
      <c r="AA184" s="29">
        <f>SUMIFS(Table2[근로
시간],Table2[주민등록번호],O184,Table2[주간],S184,Table2[근무일자],"&lt;="&amp;D184)*24</f>
        <v>20.5</v>
      </c>
      <c r="AB184" s="29" t="str">
        <f>IF(AND(Y184&gt;=8,COUNTIFS(Table2[주민등록번호],O184,Table2[근무일자],"&gt;="&amp;EOMONTH(D184,-2)+1,Table2[근무일자],"&lt;="&amp;EOMONTH(D184,-1)+1)&gt;0),"V","")</f>
        <v/>
      </c>
      <c r="AC184" s="94" cm="1">
        <f t="array" ref="AC184">IF(AD184&lt;&gt;"",AD184,_xlfn.XLOOKUP(1,(D184&lt;=Table7[End])*(E184=Table7[근무처])*(F184=Table7[업무]),Table7[시급],0,0))</f>
        <v>10680</v>
      </c>
      <c r="AD184" s="95"/>
      <c r="AE184" s="94">
        <f t="shared" si="32"/>
        <v>85440</v>
      </c>
      <c r="AF184" s="96" cm="1">
        <f t="array" ref="AF184">IF(AND(AA184&gt;=15,(AA184-U184*24)&lt;=40),IF(Z184&gt;=_xlfn.XLOOKUP(1,(D184&lt;=Table7[End])*(E184=Table7[근무처])*(F184=Table7[업무]),Table7[주휴적용일],0,0),1,0)+_xlfn.XLOOKUP(1,(Table2[주간]=Table2[[#This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84" s="96" cm="1">
        <f t="array" ref="AG184">MAX((_xlfn.IFS(AF184=0,0,AF184=1,AA184,AF184&gt;1,U184*24)-IF(AA184&gt;40,AA184-40,0))/5,0)</f>
        <v>4.0999999999999996</v>
      </c>
      <c r="AH184" s="94">
        <f t="shared" si="33"/>
        <v>43788</v>
      </c>
      <c r="AI184" s="33" cm="1">
        <f t="array" ref="AI184">IF(W184="",0,ROUND(AC184*U184*24*_xlfn.XLOOKUP(1,(D184&lt;=Table7[End])*(E184=Table7[근무처])*(F184=Table7[업무]),Table7[휴일인센티브],0,0),0))</f>
        <v>0</v>
      </c>
      <c r="AJ184" s="94" cm="1">
        <f t="array" ref="AJ184">ROUND(AC184*IF(U184&gt;=8/24,U184-8/24,0)*24*_xlfn.XLOOKUP(1,(D184&lt;=Table7[End])*(E184=Table7[근무처])*(F184=Table7[업무]),Table7[야간인센티브],0,0),0)</f>
        <v>0</v>
      </c>
      <c r="AK184" s="94" cm="1">
        <f t="array" ref="AK184">IF(V184=0,0,ROUND(AC184*V184*24*_xlfn.XLOOKUP(1,(D184&lt;=Table7[End])*(E184=Table7[근무처])*(F184=Table7[업무]),Table7[야간인센티브],0,0),0))</f>
        <v>0</v>
      </c>
      <c r="AL184" s="95"/>
      <c r="AM184" s="94">
        <f t="shared" si="34"/>
        <v>129228</v>
      </c>
      <c r="AN184" s="94" cm="1">
        <f t="array" ref="AN184">IF(AM184&gt;=_xlfn.XLOOKUP(TRUE,D184&lt;=Table5[End],Table5[비과세소득기준],0,0),AM184-_xlfn.XLOOKUP(TRUE,D184&lt;=Table5[End],Table5[비과세소득기준],0,0),0)</f>
        <v>0</v>
      </c>
      <c r="AO184" s="94" cm="1">
        <f t="array" ref="AO184">ROUNDDOWN(_xlfn.LET(_xlpm.setvalue,_xlfn.XLOOKUP(TRUE,D184&lt;=Table5[End],Table5[[요율]:[근로소득세액공제]],0,0),_xlpm.tax,AN184*PRODUCT((_xlpm.setvalue-{0,1})*{1,-1}),_xlpm.threshold,_xlfn.XLOOKUP(TRUE,D184&lt;=Table5[End],Table5[소액부징수기준],0,0),IF(_xlpm.tax&gt;=_xlpm.threshold,_xlpm.tax,0)),-1)</f>
        <v>0</v>
      </c>
      <c r="AP184" s="94">
        <f>ROUNDDOWN(Table2[[#This Row],[소득세]]*10%,-1)</f>
        <v>0</v>
      </c>
      <c r="AQ184" s="94">
        <f>IF(AB184="v",AM184+IF(Y184=8,SUMIFS(Table2[지급총액],Table2[주민등록번호],O184,Table2[월],R184,Table2[월간
근무일],"&lt;="&amp;8)-AM184,0),0)+_xlfn.NUMBERVALUE(AR184)</f>
        <v>0</v>
      </c>
      <c r="AR184" s="95"/>
      <c r="AS184" s="94" cm="1">
        <f t="array" ref="AS184">ROUNDDOWN($AQ184*_xlfn.XLOOKUP(1,(AS$5=Table8[Type])*($D184&lt;=Table8[End]),Table8[요율],0,0),0)</f>
        <v>0</v>
      </c>
      <c r="AT184" s="94" cm="1">
        <f t="array" ref="AT184">ROUNDDOWN(AS184*_xlfn.XLOOKUP(1,(AT$5=Table8[Type])*($D184&lt;=Table8[End]),Table8[요율],0,0),-1)</f>
        <v>0</v>
      </c>
      <c r="AU184" s="94" cm="1">
        <f t="array" ref="AU184">ROUNDDOWN($AQ184*_xlfn.XLOOKUP(1,(AU$5=Table8[Type])*($D184&lt;=Table8[End]),Table8[요율],0,0),-1)</f>
        <v>0</v>
      </c>
      <c r="AV184" s="94" cm="1">
        <f t="array" ref="AV184">ROUNDDOWN(AM184*_xlfn.XLOOKUP(1,(AV$5=Table8[Type])*($D184&lt;=Table8[End]),Table8[요율],0,0),-1)</f>
        <v>0</v>
      </c>
      <c r="AW184" s="94" cm="1">
        <f t="array" ref="AW184">_xlfn.XLOOKUP(1,(O184=Table2[주민등록번호])*(D184&gt;Table2[근무일자]),Table2[청구 Claim 
이월],0,0,-1)</f>
        <v>0</v>
      </c>
      <c r="AX184" s="95"/>
      <c r="AY184" s="94" cm="1">
        <f t="array" ref="AY184">MAX(SUM(AO184:AP184,AS184:AX184)-_xlfn.XLOOKUP(1,(D184&lt;=Table7[End])*(E184=Table7[근무처])*(F184=Table7[업무]),Table7[1일 공제 상한],0,0),0)</f>
        <v>0</v>
      </c>
      <c r="AZ184" s="94">
        <f t="shared" si="35"/>
        <v>0</v>
      </c>
      <c r="BA184" s="94">
        <f t="shared" si="36"/>
        <v>129228</v>
      </c>
      <c r="BB184" s="97">
        <f t="shared" si="37"/>
        <v>0</v>
      </c>
      <c r="BC184" s="98"/>
      <c r="BD184" s="94">
        <f t="shared" si="38"/>
        <v>0</v>
      </c>
      <c r="BE184" s="94">
        <f t="shared" si="39"/>
        <v>0</v>
      </c>
      <c r="BF184" s="94">
        <f t="shared" si="40"/>
        <v>0</v>
      </c>
      <c r="BG184" s="94">
        <f t="shared" si="41"/>
        <v>0</v>
      </c>
      <c r="BH184" s="94" cm="1">
        <f t="array" ref="BH184">ROUNDDOWN(AM184*_xlfn.XLOOKUP(1,(BH$5=Table8[Type])*($D184&lt;=Table8[End]),Table8[요율],0,0),-1)</f>
        <v>1030</v>
      </c>
      <c r="BI184" s="93" t="str" cm="1">
        <f t="array" ref="BI184">_xlfn.XLOOKUP(1,(D184&lt;=Table7[End])*(E184=Table7[근무처])*(F184=Table7[업무]),Table7[지급옵션],0,0)</f>
        <v>차주 화</v>
      </c>
      <c r="BJ184" s="83">
        <f>IF(BK184&lt;&gt;"",BK184,IFERROR(D184+_xlfn.NUMBERVALUE(RIGHT(BI184,1)),D184-WEEKDAY(D184)+CHOOSE(MATCH(RIGHT(BI184),{"일","월","화","수","목","금","토"},0),8,9,10,11,12,13,14)))</f>
        <v>45783</v>
      </c>
      <c r="BK184" s="99"/>
    </row>
    <row r="185" spans="2:63" x14ac:dyDescent="0.35">
      <c r="B185" s="20" t="str" cm="1">
        <f t="array" ref="B185">_xlfn.IFS(BB185&lt;&gt;BC185,"Claim확인",N185&lt;&gt;"OK","확인필요",TRUE,"")</f>
        <v/>
      </c>
      <c r="C185" s="21" t="str">
        <f t="shared" si="28"/>
        <v>010-7X6X-X9X5110X98XX7530</v>
      </c>
      <c r="D185" s="26">
        <v>45778</v>
      </c>
      <c r="E185" s="91" t="s">
        <v>255</v>
      </c>
      <c r="F185" s="25" t="s">
        <v>258</v>
      </c>
      <c r="G185" s="27" t="s">
        <v>282</v>
      </c>
      <c r="H185" s="25" t="s">
        <v>289</v>
      </c>
      <c r="I185" s="25"/>
      <c r="J185" s="25" t="s">
        <v>290</v>
      </c>
      <c r="K185" s="28">
        <v>0.3125</v>
      </c>
      <c r="L185" s="28">
        <v>0.6875</v>
      </c>
      <c r="M185" s="28">
        <v>4.1666666666666664E-2</v>
      </c>
      <c r="N185" s="25" t="s">
        <v>281</v>
      </c>
      <c r="O185" s="29" t="str">
        <f>_xlfn.XLOOKUP(Table2[[#This Row],[Key]],Table1[Key],Table1[주민등록번호],"",0)</f>
        <v>990XX62XX3X13</v>
      </c>
      <c r="P185" s="29">
        <f>_xlfn.XLOOKUP(Table2[[#This Row],[Key]],Table1[Key],Table1[비자],"",0)</f>
        <v>0</v>
      </c>
      <c r="Q185" s="29">
        <f>IF(P185=0,0,_xlfn.XLOOKUP(Table2[[#This Row],[Key]],Table1[Key],Table1[고용보험 여부],0,0))</f>
        <v>0</v>
      </c>
      <c r="R185" s="29" t="str">
        <f t="shared" si="29"/>
        <v>2505</v>
      </c>
      <c r="S185" s="30" t="str">
        <f>YEAR(Table2[[#This Row],[근무일자]])&amp;TEXT(WEEKNUM(Table2[[#This Row],[근무일자]]),"00")</f>
        <v>202518</v>
      </c>
      <c r="T185" s="31">
        <f>_xlfn.XLOOKUP(Table2[[#This Row],[Key]],Table1[Key],Table1[등록일],"",0)</f>
        <v>45696</v>
      </c>
      <c r="U185" s="32">
        <f t="shared" si="30"/>
        <v>0.33333333333333331</v>
      </c>
      <c r="V185" s="92">
        <f t="shared" si="31"/>
        <v>0</v>
      </c>
      <c r="W185" s="100" t="str">
        <f>_xlfn.XLOOKUP(Table2[[#This Row],[근무일자]],Table3[Date],Table3[Holiday],"",0)</f>
        <v/>
      </c>
      <c r="X185" s="93">
        <f>IF(D185&lt;&gt;"",1,0)+IF(COUNTIFS(Table2[주민등록번호],O185,Table2[월],TEXT(EOMONTH(D185,-1),"YYMM"))&gt;0,1+IF(COUNTIFS(Table2[주민등록번호],O185,Table2[월],TEXT(EOMONTH(D185,-2),"YYMM"))&gt;0,1+IF(COUNTIFS(Table2[주민등록번호],O185,Table2[월],TEXT(EOMONTH(D185,-3),"YYMM"))&gt;0,1,0),0),0)</f>
        <v>4</v>
      </c>
      <c r="Y185" s="29">
        <f>COUNTIFS(Table2[주민등록번호],O185,Table2[월],R185,Table2[근무일자],"&lt;="&amp;D185)</f>
        <v>1</v>
      </c>
      <c r="Z185" s="29">
        <f>COUNTIFS(Table2[주민등록번호],O185,Table2[주간],S185,Table2[근무일자],"&lt;="&amp;D185)</f>
        <v>2</v>
      </c>
      <c r="AA185" s="29">
        <f>SUMIFS(Table2[근로
시간],Table2[주민등록번호],O185,Table2[주간],S185,Table2[근무일자],"&lt;="&amp;D185)*24</f>
        <v>16</v>
      </c>
      <c r="AB185" s="29" t="str">
        <f>IF(AND(Y185&gt;=8,COUNTIFS(Table2[주민등록번호],O185,Table2[근무일자],"&gt;="&amp;EOMONTH(D185,-2)+1,Table2[근무일자],"&lt;="&amp;EOMONTH(D185,-1)+1)&gt;0),"V","")</f>
        <v/>
      </c>
      <c r="AC185" s="94" cm="1">
        <f t="array" ref="AC185">IF(AD185&lt;&gt;"",AD185,_xlfn.XLOOKUP(1,(D185&lt;=Table7[End])*(E185=Table7[근무처])*(F185=Table7[업무]),Table7[시급],0,0))</f>
        <v>10680</v>
      </c>
      <c r="AD185" s="95"/>
      <c r="AE185" s="94">
        <f t="shared" si="32"/>
        <v>85440</v>
      </c>
      <c r="AF185" s="96" cm="1">
        <f t="array" ref="AF185">IF(AND(AA185&gt;=15,(AA185-U185*24)&lt;=40),IF(Z185&gt;=_xlfn.XLOOKUP(1,(D185&lt;=Table7[End])*(E185=Table7[근무처])*(F185=Table7[업무]),Table7[주휴적용일],0,0),1,0)+_xlfn.XLOOKUP(1,(Table2[주간]=Table2[[#This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85" s="96" cm="1">
        <f t="array" ref="AG185">MAX((_xlfn.IFS(AF185=0,0,AF185=1,AA185,AF185&gt;1,U185*24)-IF(AA185&gt;40,AA185-40,0))/5,0)</f>
        <v>3.2</v>
      </c>
      <c r="AH185" s="94">
        <f t="shared" si="33"/>
        <v>34176</v>
      </c>
      <c r="AI185" s="33" cm="1">
        <f t="array" ref="AI185">IF(W185="",0,ROUND(AC185*U185*24*_xlfn.XLOOKUP(1,(D185&lt;=Table7[End])*(E185=Table7[근무처])*(F185=Table7[업무]),Table7[휴일인센티브],0,0),0))</f>
        <v>0</v>
      </c>
      <c r="AJ185" s="94" cm="1">
        <f t="array" ref="AJ185">ROUND(AC185*IF(U185&gt;=8/24,U185-8/24,0)*24*_xlfn.XLOOKUP(1,(D185&lt;=Table7[End])*(E185=Table7[근무처])*(F185=Table7[업무]),Table7[야간인센티브],0,0),0)</f>
        <v>0</v>
      </c>
      <c r="AK185" s="94" cm="1">
        <f t="array" ref="AK185">IF(V185=0,0,ROUND(AC185*V185*24*_xlfn.XLOOKUP(1,(D185&lt;=Table7[End])*(E185=Table7[근무처])*(F185=Table7[업무]),Table7[야간인센티브],0,0),0))</f>
        <v>0</v>
      </c>
      <c r="AL185" s="95"/>
      <c r="AM185" s="94">
        <f t="shared" si="34"/>
        <v>119616</v>
      </c>
      <c r="AN185" s="94" cm="1">
        <f t="array" ref="AN185">IF(AM185&gt;=_xlfn.XLOOKUP(TRUE,D185&lt;=Table5[End],Table5[비과세소득기준],0,0),AM185-_xlfn.XLOOKUP(TRUE,D185&lt;=Table5[End],Table5[비과세소득기준],0,0),0)</f>
        <v>0</v>
      </c>
      <c r="AO185" s="94" cm="1">
        <f t="array" ref="AO185">ROUNDDOWN(_xlfn.LET(_xlpm.setvalue,_xlfn.XLOOKUP(TRUE,D185&lt;=Table5[End],Table5[[요율]:[근로소득세액공제]],0,0),_xlpm.tax,AN185*PRODUCT((_xlpm.setvalue-{0,1})*{1,-1}),_xlpm.threshold,_xlfn.XLOOKUP(TRUE,D185&lt;=Table5[End],Table5[소액부징수기준],0,0),IF(_xlpm.tax&gt;=_xlpm.threshold,_xlpm.tax,0)),-1)</f>
        <v>0</v>
      </c>
      <c r="AP185" s="94">
        <f>ROUNDDOWN(Table2[[#This Row],[소득세]]*10%,-1)</f>
        <v>0</v>
      </c>
      <c r="AQ185" s="94">
        <f>IF(AB185="v",AM185+IF(Y185=8,SUMIFS(Table2[지급총액],Table2[주민등록번호],O185,Table2[월],R185,Table2[월간
근무일],"&lt;="&amp;8)-AM185,0),0)+_xlfn.NUMBERVALUE(AR185)</f>
        <v>0</v>
      </c>
      <c r="AR185" s="95"/>
      <c r="AS185" s="94" cm="1">
        <f t="array" ref="AS185">ROUNDDOWN($AQ185*_xlfn.XLOOKUP(1,(AS$5=Table8[Type])*($D185&lt;=Table8[End]),Table8[요율],0,0),0)</f>
        <v>0</v>
      </c>
      <c r="AT185" s="94" cm="1">
        <f t="array" ref="AT185">ROUNDDOWN(AS185*_xlfn.XLOOKUP(1,(AT$5=Table8[Type])*($D185&lt;=Table8[End]),Table8[요율],0,0),-1)</f>
        <v>0</v>
      </c>
      <c r="AU185" s="94" cm="1">
        <f t="array" ref="AU185">ROUNDDOWN($AQ185*_xlfn.XLOOKUP(1,(AU$5=Table8[Type])*($D185&lt;=Table8[End]),Table8[요율],0,0),-1)</f>
        <v>0</v>
      </c>
      <c r="AV185" s="94" cm="1">
        <f t="array" ref="AV185">ROUNDDOWN(AM185*_xlfn.XLOOKUP(1,(AV$5=Table8[Type])*($D185&lt;=Table8[End]),Table8[요율],0,0),-1)</f>
        <v>0</v>
      </c>
      <c r="AW185" s="94" cm="1">
        <f t="array" ref="AW185">_xlfn.XLOOKUP(1,(O185=Table2[주민등록번호])*(D185&gt;Table2[근무일자]),Table2[청구 Claim 
이월],0,0,-1)</f>
        <v>0</v>
      </c>
      <c r="AX185" s="95"/>
      <c r="AY185" s="94" cm="1">
        <f t="array" ref="AY185">MAX(SUM(AO185:AP185,AS185:AX185)-_xlfn.XLOOKUP(1,(D185&lt;=Table7[End])*(E185=Table7[근무처])*(F185=Table7[업무]),Table7[1일 공제 상한],0,0),0)</f>
        <v>0</v>
      </c>
      <c r="AZ185" s="94">
        <f t="shared" si="35"/>
        <v>0</v>
      </c>
      <c r="BA185" s="94">
        <f t="shared" si="36"/>
        <v>119616</v>
      </c>
      <c r="BB185" s="97">
        <f t="shared" si="37"/>
        <v>0</v>
      </c>
      <c r="BC185" s="98"/>
      <c r="BD185" s="94">
        <f t="shared" si="38"/>
        <v>0</v>
      </c>
      <c r="BE185" s="94">
        <f t="shared" si="39"/>
        <v>0</v>
      </c>
      <c r="BF185" s="94">
        <f t="shared" si="40"/>
        <v>0</v>
      </c>
      <c r="BG185" s="94">
        <f t="shared" si="41"/>
        <v>0</v>
      </c>
      <c r="BH185" s="94" cm="1">
        <f t="array" ref="BH185">ROUNDDOWN(AM185*_xlfn.XLOOKUP(1,(BH$5=Table8[Type])*($D185&lt;=Table8[End]),Table8[요율],0,0),-1)</f>
        <v>950</v>
      </c>
      <c r="BI185" s="93" t="str" cm="1">
        <f t="array" ref="BI185">_xlfn.XLOOKUP(1,(D185&lt;=Table7[End])*(E185=Table7[근무처])*(F185=Table7[업무]),Table7[지급옵션],0,0)</f>
        <v>차주 화</v>
      </c>
      <c r="BJ185" s="83">
        <f>IF(BK185&lt;&gt;"",BK185,IFERROR(D185+_xlfn.NUMBERVALUE(RIGHT(BI185,1)),D185-WEEKDAY(D185)+CHOOSE(MATCH(RIGHT(BI185),{"일","월","화","수","목","금","토"},0),8,9,10,11,12,13,14)))</f>
        <v>45783</v>
      </c>
      <c r="BK185" s="99"/>
    </row>
    <row r="186" spans="2:63" x14ac:dyDescent="0.35">
      <c r="B186" s="20" t="str" cm="1">
        <f t="array" ref="B186">_xlfn.IFS(BB186&lt;&gt;BC186,"Claim확인",N186&lt;&gt;"OK","확인필요",TRUE,"")</f>
        <v/>
      </c>
      <c r="C186" s="21" t="str">
        <f t="shared" si="28"/>
        <v>010-8X0X-X0X9982X03XX901018</v>
      </c>
      <c r="D186" s="26">
        <v>45778</v>
      </c>
      <c r="E186" s="91" t="s">
        <v>255</v>
      </c>
      <c r="F186" s="25" t="s">
        <v>258</v>
      </c>
      <c r="G186" s="27" t="s">
        <v>283</v>
      </c>
      <c r="H186" s="25" t="s">
        <v>291</v>
      </c>
      <c r="I186" s="25"/>
      <c r="J186" s="25" t="s">
        <v>292</v>
      </c>
      <c r="K186" s="28">
        <v>0.3125</v>
      </c>
      <c r="L186" s="28">
        <v>0.6875</v>
      </c>
      <c r="M186" s="28">
        <v>4.1666666666666664E-2</v>
      </c>
      <c r="N186" s="25" t="s">
        <v>281</v>
      </c>
      <c r="O186" s="29" t="str">
        <f>_xlfn.XLOOKUP(Table2[[#This Row],[Key]],Table1[Key],Table1[주민등록번호],"",0)</f>
        <v>960XX51XX9X15</v>
      </c>
      <c r="P186" s="29">
        <f>_xlfn.XLOOKUP(Table2[[#This Row],[Key]],Table1[Key],Table1[비자],"",0)</f>
        <v>0</v>
      </c>
      <c r="Q186" s="29">
        <f>IF(P186=0,0,_xlfn.XLOOKUP(Table2[[#This Row],[Key]],Table1[Key],Table1[고용보험 여부],0,0))</f>
        <v>0</v>
      </c>
      <c r="R186" s="29" t="str">
        <f t="shared" si="29"/>
        <v>2505</v>
      </c>
      <c r="S186" s="30" t="str">
        <f>YEAR(Table2[[#This Row],[근무일자]])&amp;TEXT(WEEKNUM(Table2[[#This Row],[근무일자]]),"00")</f>
        <v>202518</v>
      </c>
      <c r="T186" s="31">
        <f>_xlfn.XLOOKUP(Table2[[#This Row],[Key]],Table1[Key],Table1[등록일],"",0)</f>
        <v>45698</v>
      </c>
      <c r="U186" s="32">
        <f t="shared" si="30"/>
        <v>0.33333333333333331</v>
      </c>
      <c r="V186" s="92">
        <f t="shared" si="31"/>
        <v>0</v>
      </c>
      <c r="W186" s="100" t="str">
        <f>_xlfn.XLOOKUP(Table2[[#This Row],[근무일자]],Table3[Date],Table3[Holiday],"",0)</f>
        <v/>
      </c>
      <c r="X186" s="93">
        <f>IF(D186&lt;&gt;"",1,0)+IF(COUNTIFS(Table2[주민등록번호],O186,Table2[월],TEXT(EOMONTH(D186,-1),"YYMM"))&gt;0,1+IF(COUNTIFS(Table2[주민등록번호],O186,Table2[월],TEXT(EOMONTH(D186,-2),"YYMM"))&gt;0,1+IF(COUNTIFS(Table2[주민등록번호],O186,Table2[월],TEXT(EOMONTH(D186,-3),"YYMM"))&gt;0,1,0),0),0)</f>
        <v>4</v>
      </c>
      <c r="Y186" s="29">
        <f>COUNTIFS(Table2[주민등록번호],O186,Table2[월],R186,Table2[근무일자],"&lt;="&amp;D186)</f>
        <v>1</v>
      </c>
      <c r="Z186" s="29">
        <f>COUNTIFS(Table2[주민등록번호],O186,Table2[주간],S186,Table2[근무일자],"&lt;="&amp;D186)</f>
        <v>3</v>
      </c>
      <c r="AA186" s="29">
        <f>SUMIFS(Table2[근로
시간],Table2[주민등록번호],O186,Table2[주간],S186,Table2[근무일자],"&lt;="&amp;D186)*24</f>
        <v>24</v>
      </c>
      <c r="AB186" s="29" t="str">
        <f>IF(AND(Y186&gt;=8,COUNTIFS(Table2[주민등록번호],O186,Table2[근무일자],"&gt;="&amp;EOMONTH(D186,-2)+1,Table2[근무일자],"&lt;="&amp;EOMONTH(D186,-1)+1)&gt;0),"V","")</f>
        <v/>
      </c>
      <c r="AC186" s="94" cm="1">
        <f t="array" ref="AC186">IF(AD186&lt;&gt;"",AD186,_xlfn.XLOOKUP(1,(D186&lt;=Table7[End])*(E186=Table7[근무처])*(F186=Table7[업무]),Table7[시급],0,0))</f>
        <v>10680</v>
      </c>
      <c r="AD186" s="95"/>
      <c r="AE186" s="94">
        <f t="shared" si="32"/>
        <v>85440</v>
      </c>
      <c r="AF186" s="96" cm="1">
        <f t="array" ref="AF186">IF(AND(AA186&gt;=15,(AA186-U186*24)&lt;=40),IF(Z186&gt;=_xlfn.XLOOKUP(1,(D186&lt;=Table7[End])*(E186=Table7[근무처])*(F186=Table7[업무]),Table7[주휴적용일],0,0),1,0)+_xlfn.XLOOKUP(1,(Table2[주간]=Table2[[#This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86" s="96" cm="1">
        <f t="array" ref="AG186">MAX((_xlfn.IFS(AF186=0,0,AF186=1,AA186,AF186&gt;1,U186*24)-IF(AA186&gt;40,AA186-40,0))/5,0)</f>
        <v>1.6</v>
      </c>
      <c r="AH186" s="94">
        <f t="shared" si="33"/>
        <v>17088</v>
      </c>
      <c r="AI186" s="33" cm="1">
        <f t="array" ref="AI186">IF(W186="",0,ROUND(AC186*U186*24*_xlfn.XLOOKUP(1,(D186&lt;=Table7[End])*(E186=Table7[근무처])*(F186=Table7[업무]),Table7[휴일인센티브],0,0),0))</f>
        <v>0</v>
      </c>
      <c r="AJ186" s="94" cm="1">
        <f t="array" ref="AJ186">ROUND(AC186*IF(U186&gt;=8/24,U186-8/24,0)*24*_xlfn.XLOOKUP(1,(D186&lt;=Table7[End])*(E186=Table7[근무처])*(F186=Table7[업무]),Table7[야간인센티브],0,0),0)</f>
        <v>0</v>
      </c>
      <c r="AK186" s="94" cm="1">
        <f t="array" ref="AK186">IF(V186=0,0,ROUND(AC186*V186*24*_xlfn.XLOOKUP(1,(D186&lt;=Table7[End])*(E186=Table7[근무처])*(F186=Table7[업무]),Table7[야간인센티브],0,0),0))</f>
        <v>0</v>
      </c>
      <c r="AL186" s="95"/>
      <c r="AM186" s="94">
        <f t="shared" si="34"/>
        <v>102528</v>
      </c>
      <c r="AN186" s="94" cm="1">
        <f t="array" ref="AN186">IF(AM186&gt;=_xlfn.XLOOKUP(TRUE,D186&lt;=Table5[End],Table5[비과세소득기준],0,0),AM186-_xlfn.XLOOKUP(TRUE,D186&lt;=Table5[End],Table5[비과세소득기준],0,0),0)</f>
        <v>0</v>
      </c>
      <c r="AO186" s="94" cm="1">
        <f t="array" ref="AO186">ROUNDDOWN(_xlfn.LET(_xlpm.setvalue,_xlfn.XLOOKUP(TRUE,D186&lt;=Table5[End],Table5[[요율]:[근로소득세액공제]],0,0),_xlpm.tax,AN186*PRODUCT((_xlpm.setvalue-{0,1})*{1,-1}),_xlpm.threshold,_xlfn.XLOOKUP(TRUE,D186&lt;=Table5[End],Table5[소액부징수기준],0,0),IF(_xlpm.tax&gt;=_xlpm.threshold,_xlpm.tax,0)),-1)</f>
        <v>0</v>
      </c>
      <c r="AP186" s="94">
        <f>ROUNDDOWN(Table2[[#This Row],[소득세]]*10%,-1)</f>
        <v>0</v>
      </c>
      <c r="AQ186" s="94">
        <f>IF(AB186="v",AM186+IF(Y186=8,SUMIFS(Table2[지급총액],Table2[주민등록번호],O186,Table2[월],R186,Table2[월간
근무일],"&lt;="&amp;8)-AM186,0),0)+_xlfn.NUMBERVALUE(AR186)</f>
        <v>0</v>
      </c>
      <c r="AR186" s="95"/>
      <c r="AS186" s="94" cm="1">
        <f t="array" ref="AS186">ROUNDDOWN($AQ186*_xlfn.XLOOKUP(1,(AS$5=Table8[Type])*($D186&lt;=Table8[End]),Table8[요율],0,0),0)</f>
        <v>0</v>
      </c>
      <c r="AT186" s="94" cm="1">
        <f t="array" ref="AT186">ROUNDDOWN(AS186*_xlfn.XLOOKUP(1,(AT$5=Table8[Type])*($D186&lt;=Table8[End]),Table8[요율],0,0),-1)</f>
        <v>0</v>
      </c>
      <c r="AU186" s="94" cm="1">
        <f t="array" ref="AU186">ROUNDDOWN($AQ186*_xlfn.XLOOKUP(1,(AU$5=Table8[Type])*($D186&lt;=Table8[End]),Table8[요율],0,0),-1)</f>
        <v>0</v>
      </c>
      <c r="AV186" s="94" cm="1">
        <f t="array" ref="AV186">ROUNDDOWN(AM186*_xlfn.XLOOKUP(1,(AV$5=Table8[Type])*($D186&lt;=Table8[End]),Table8[요율],0,0),-1)</f>
        <v>0</v>
      </c>
      <c r="AW186" s="94" cm="1">
        <f t="array" ref="AW186">_xlfn.XLOOKUP(1,(O186=Table2[주민등록번호])*(D186&gt;Table2[근무일자]),Table2[청구 Claim 
이월],0,0,-1)</f>
        <v>0</v>
      </c>
      <c r="AX186" s="95"/>
      <c r="AY186" s="94" cm="1">
        <f t="array" ref="AY186">MAX(SUM(AO186:AP186,AS186:AX186)-_xlfn.XLOOKUP(1,(D186&lt;=Table7[End])*(E186=Table7[근무처])*(F186=Table7[업무]),Table7[1일 공제 상한],0,0),0)</f>
        <v>0</v>
      </c>
      <c r="AZ186" s="94">
        <f t="shared" si="35"/>
        <v>0</v>
      </c>
      <c r="BA186" s="94">
        <f t="shared" si="36"/>
        <v>102528</v>
      </c>
      <c r="BB186" s="97">
        <f t="shared" si="37"/>
        <v>0</v>
      </c>
      <c r="BC186" s="98"/>
      <c r="BD186" s="94">
        <f t="shared" si="38"/>
        <v>0</v>
      </c>
      <c r="BE186" s="94">
        <f t="shared" si="39"/>
        <v>0</v>
      </c>
      <c r="BF186" s="94">
        <f t="shared" si="40"/>
        <v>0</v>
      </c>
      <c r="BG186" s="94">
        <f t="shared" si="41"/>
        <v>0</v>
      </c>
      <c r="BH186" s="94" cm="1">
        <f t="array" ref="BH186">ROUNDDOWN(AM186*_xlfn.XLOOKUP(1,(BH$5=Table8[Type])*($D186&lt;=Table8[End]),Table8[요율],0,0),-1)</f>
        <v>820</v>
      </c>
      <c r="BI186" s="93" t="str" cm="1">
        <f t="array" ref="BI186">_xlfn.XLOOKUP(1,(D186&lt;=Table7[End])*(E186=Table7[근무처])*(F186=Table7[업무]),Table7[지급옵션],0,0)</f>
        <v>차주 화</v>
      </c>
      <c r="BJ186" s="83">
        <f>IF(BK186&lt;&gt;"",BK186,IFERROR(D186+_xlfn.NUMBERVALUE(RIGHT(BI186,1)),D186-WEEKDAY(D186)+CHOOSE(MATCH(RIGHT(BI186),{"일","월","화","수","목","금","토"},0),8,9,10,11,12,13,14)))</f>
        <v>45783</v>
      </c>
      <c r="BK186" s="99"/>
    </row>
    <row r="187" spans="2:63" x14ac:dyDescent="0.35">
      <c r="B187" s="20" t="str" cm="1">
        <f t="array" ref="B187">_xlfn.IFS(BB187&lt;&gt;BC187,"Claim확인",N187&lt;&gt;"OK","확인필요",TRUE,"")</f>
        <v/>
      </c>
      <c r="C187" s="21" t="str">
        <f t="shared" si="28"/>
        <v>010-6X1X-X3X0333X04XX46879</v>
      </c>
      <c r="D187" s="26">
        <v>45778</v>
      </c>
      <c r="E187" s="91" t="s">
        <v>255</v>
      </c>
      <c r="F187" s="25" t="s">
        <v>258</v>
      </c>
      <c r="G187" s="27" t="s">
        <v>284</v>
      </c>
      <c r="H187" s="25" t="s">
        <v>293</v>
      </c>
      <c r="I187" s="25"/>
      <c r="J187" s="25" t="s">
        <v>294</v>
      </c>
      <c r="K187" s="28">
        <v>0.375</v>
      </c>
      <c r="L187" s="28">
        <v>0.75</v>
      </c>
      <c r="M187" s="28">
        <v>4.1666666666666664E-2</v>
      </c>
      <c r="N187" s="25" t="s">
        <v>281</v>
      </c>
      <c r="O187" s="29" t="str">
        <f>_xlfn.XLOOKUP(Table2[[#This Row],[Key]],Table1[Key],Table1[주민등록번호],"",0)</f>
        <v>971XX61XX9X25</v>
      </c>
      <c r="P187" s="29">
        <f>_xlfn.XLOOKUP(Table2[[#This Row],[Key]],Table1[Key],Table1[비자],"",0)</f>
        <v>0</v>
      </c>
      <c r="Q187" s="29">
        <f>IF(P187=0,0,_xlfn.XLOOKUP(Table2[[#This Row],[Key]],Table1[Key],Table1[고용보험 여부],0,0))</f>
        <v>0</v>
      </c>
      <c r="R187" s="29" t="str">
        <f t="shared" si="29"/>
        <v>2505</v>
      </c>
      <c r="S187" s="30" t="str">
        <f>YEAR(Table2[[#This Row],[근무일자]])&amp;TEXT(WEEKNUM(Table2[[#This Row],[근무일자]]),"00")</f>
        <v>202518</v>
      </c>
      <c r="T187" s="31">
        <f>_xlfn.XLOOKUP(Table2[[#This Row],[Key]],Table1[Key],Table1[등록일],"",0)</f>
        <v>45721</v>
      </c>
      <c r="U187" s="32">
        <f t="shared" si="30"/>
        <v>0.33333333333333331</v>
      </c>
      <c r="V187" s="92">
        <f t="shared" si="31"/>
        <v>0</v>
      </c>
      <c r="W187" s="100" t="str">
        <f>_xlfn.XLOOKUP(Table2[[#This Row],[근무일자]],Table3[Date],Table3[Holiday],"",0)</f>
        <v/>
      </c>
      <c r="X187" s="93">
        <f>IF(D187&lt;&gt;"",1,0)+IF(COUNTIFS(Table2[주민등록번호],O187,Table2[월],TEXT(EOMONTH(D187,-1),"YYMM"))&gt;0,1+IF(COUNTIFS(Table2[주민등록번호],O187,Table2[월],TEXT(EOMONTH(D187,-2),"YYMM"))&gt;0,1+IF(COUNTIFS(Table2[주민등록번호],O187,Table2[월],TEXT(EOMONTH(D187,-3),"YYMM"))&gt;0,1,0),0),0)</f>
        <v>3</v>
      </c>
      <c r="Y187" s="29">
        <f>COUNTIFS(Table2[주민등록번호],O187,Table2[월],R187,Table2[근무일자],"&lt;="&amp;D187)</f>
        <v>1</v>
      </c>
      <c r="Z187" s="29">
        <f>COUNTIFS(Table2[주민등록번호],O187,Table2[주간],S187,Table2[근무일자],"&lt;="&amp;D187)</f>
        <v>4</v>
      </c>
      <c r="AA187" s="29">
        <f>SUMIFS(Table2[근로
시간],Table2[주민등록번호],O187,Table2[주간],S187,Table2[근무일자],"&lt;="&amp;D187)*24</f>
        <v>32</v>
      </c>
      <c r="AB187" s="29" t="str">
        <f>IF(AND(Y187&gt;=8,COUNTIFS(Table2[주민등록번호],O187,Table2[근무일자],"&gt;="&amp;EOMONTH(D187,-2)+1,Table2[근무일자],"&lt;="&amp;EOMONTH(D187,-1)+1)&gt;0),"V","")</f>
        <v/>
      </c>
      <c r="AC187" s="94" cm="1">
        <f t="array" ref="AC187">IF(AD187&lt;&gt;"",AD187,_xlfn.XLOOKUP(1,(D187&lt;=Table7[End])*(E187=Table7[근무처])*(F187=Table7[업무]),Table7[시급],0,0))</f>
        <v>10680</v>
      </c>
      <c r="AD187" s="95"/>
      <c r="AE187" s="94">
        <f t="shared" si="32"/>
        <v>85440</v>
      </c>
      <c r="AF187" s="96" cm="1">
        <f t="array" ref="AF187">IF(AND(AA187&gt;=15,(AA187-U187*24)&lt;=40),IF(Z187&gt;=_xlfn.XLOOKUP(1,(D187&lt;=Table7[End])*(E187=Table7[근무처])*(F187=Table7[업무]),Table7[주휴적용일],0,0),1,0)+_xlfn.XLOOKUP(1,(Table2[주간]=Table2[[#This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87" s="96" cm="1">
        <f t="array" ref="AG187">MAX((_xlfn.IFS(AF187=0,0,AF187=1,AA187,AF187&gt;1,U187*24)-IF(AA187&gt;40,AA187-40,0))/5,0)</f>
        <v>1.6</v>
      </c>
      <c r="AH187" s="94">
        <f t="shared" si="33"/>
        <v>17088</v>
      </c>
      <c r="AI187" s="33" cm="1">
        <f t="array" ref="AI187">IF(W187="",0,ROUND(AC187*U187*24*_xlfn.XLOOKUP(1,(D187&lt;=Table7[End])*(E187=Table7[근무처])*(F187=Table7[업무]),Table7[휴일인센티브],0,0),0))</f>
        <v>0</v>
      </c>
      <c r="AJ187" s="94" cm="1">
        <f t="array" ref="AJ187">ROUND(AC187*IF(U187&gt;=8/24,U187-8/24,0)*24*_xlfn.XLOOKUP(1,(D187&lt;=Table7[End])*(E187=Table7[근무처])*(F187=Table7[업무]),Table7[야간인센티브],0,0),0)</f>
        <v>0</v>
      </c>
      <c r="AK187" s="94" cm="1">
        <f t="array" ref="AK187">IF(V187=0,0,ROUND(AC187*V187*24*_xlfn.XLOOKUP(1,(D187&lt;=Table7[End])*(E187=Table7[근무처])*(F187=Table7[업무]),Table7[야간인센티브],0,0),0))</f>
        <v>0</v>
      </c>
      <c r="AL187" s="95"/>
      <c r="AM187" s="94">
        <f t="shared" si="34"/>
        <v>102528</v>
      </c>
      <c r="AN187" s="94" cm="1">
        <f t="array" ref="AN187">IF(AM187&gt;=_xlfn.XLOOKUP(TRUE,D187&lt;=Table5[End],Table5[비과세소득기준],0,0),AM187-_xlfn.XLOOKUP(TRUE,D187&lt;=Table5[End],Table5[비과세소득기준],0,0),0)</f>
        <v>0</v>
      </c>
      <c r="AO187" s="94" cm="1">
        <f t="array" ref="AO187">ROUNDDOWN(_xlfn.LET(_xlpm.setvalue,_xlfn.XLOOKUP(TRUE,D187&lt;=Table5[End],Table5[[요율]:[근로소득세액공제]],0,0),_xlpm.tax,AN187*PRODUCT((_xlpm.setvalue-{0,1})*{1,-1}),_xlpm.threshold,_xlfn.XLOOKUP(TRUE,D187&lt;=Table5[End],Table5[소액부징수기준],0,0),IF(_xlpm.tax&gt;=_xlpm.threshold,_xlpm.tax,0)),-1)</f>
        <v>0</v>
      </c>
      <c r="AP187" s="94">
        <f>ROUNDDOWN(Table2[[#This Row],[소득세]]*10%,-1)</f>
        <v>0</v>
      </c>
      <c r="AQ187" s="94">
        <f>IF(AB187="v",AM187+IF(Y187=8,SUMIFS(Table2[지급총액],Table2[주민등록번호],O187,Table2[월],R187,Table2[월간
근무일],"&lt;="&amp;8)-AM187,0),0)+_xlfn.NUMBERVALUE(AR187)</f>
        <v>0</v>
      </c>
      <c r="AR187" s="95"/>
      <c r="AS187" s="94" cm="1">
        <f t="array" ref="AS187">ROUNDDOWN($AQ187*_xlfn.XLOOKUP(1,(AS$5=Table8[Type])*($D187&lt;=Table8[End]),Table8[요율],0,0),0)</f>
        <v>0</v>
      </c>
      <c r="AT187" s="94" cm="1">
        <f t="array" ref="AT187">ROUNDDOWN(AS187*_xlfn.XLOOKUP(1,(AT$5=Table8[Type])*($D187&lt;=Table8[End]),Table8[요율],0,0),-1)</f>
        <v>0</v>
      </c>
      <c r="AU187" s="94" cm="1">
        <f t="array" ref="AU187">ROUNDDOWN($AQ187*_xlfn.XLOOKUP(1,(AU$5=Table8[Type])*($D187&lt;=Table8[End]),Table8[요율],0,0),-1)</f>
        <v>0</v>
      </c>
      <c r="AV187" s="94" cm="1">
        <f t="array" ref="AV187">ROUNDDOWN(AM187*_xlfn.XLOOKUP(1,(AV$5=Table8[Type])*($D187&lt;=Table8[End]),Table8[요율],0,0),-1)</f>
        <v>0</v>
      </c>
      <c r="AW187" s="94" cm="1">
        <f t="array" ref="AW187">_xlfn.XLOOKUP(1,(O187=Table2[주민등록번호])*(D187&gt;Table2[근무일자]),Table2[청구 Claim 
이월],0,0,-1)</f>
        <v>0</v>
      </c>
      <c r="AX187" s="95"/>
      <c r="AY187" s="94" cm="1">
        <f t="array" ref="AY187">MAX(SUM(AO187:AP187,AS187:AX187)-_xlfn.XLOOKUP(1,(D187&lt;=Table7[End])*(E187=Table7[근무처])*(F187=Table7[업무]),Table7[1일 공제 상한],0,0),0)</f>
        <v>0</v>
      </c>
      <c r="AZ187" s="94">
        <f t="shared" si="35"/>
        <v>0</v>
      </c>
      <c r="BA187" s="94">
        <f t="shared" si="36"/>
        <v>102528</v>
      </c>
      <c r="BB187" s="97">
        <f t="shared" si="37"/>
        <v>0</v>
      </c>
      <c r="BC187" s="98"/>
      <c r="BD187" s="94">
        <f t="shared" si="38"/>
        <v>0</v>
      </c>
      <c r="BE187" s="94">
        <f t="shared" si="39"/>
        <v>0</v>
      </c>
      <c r="BF187" s="94">
        <f t="shared" si="40"/>
        <v>0</v>
      </c>
      <c r="BG187" s="94">
        <f t="shared" si="41"/>
        <v>0</v>
      </c>
      <c r="BH187" s="94" cm="1">
        <f t="array" ref="BH187">ROUNDDOWN(AM187*_xlfn.XLOOKUP(1,(BH$5=Table8[Type])*($D187&lt;=Table8[End]),Table8[요율],0,0),-1)</f>
        <v>820</v>
      </c>
      <c r="BI187" s="93" t="str" cm="1">
        <f t="array" ref="BI187">_xlfn.XLOOKUP(1,(D187&lt;=Table7[End])*(E187=Table7[근무처])*(F187=Table7[업무]),Table7[지급옵션],0,0)</f>
        <v>차주 화</v>
      </c>
      <c r="BJ187" s="83">
        <f>IF(BK187&lt;&gt;"",BK187,IFERROR(D187+_xlfn.NUMBERVALUE(RIGHT(BI187,1)),D187-WEEKDAY(D187)+CHOOSE(MATCH(RIGHT(BI187),{"일","월","화","수","목","금","토"},0),8,9,10,11,12,13,14)))</f>
        <v>45783</v>
      </c>
      <c r="BK187" s="99"/>
    </row>
    <row r="188" spans="2:63" x14ac:dyDescent="0.35">
      <c r="B188" s="20" t="str" cm="1">
        <f t="array" ref="B188">_xlfn.IFS(BB188&lt;&gt;BC188,"Claim확인",N188&lt;&gt;"OK","확인필요",TRUE,"")</f>
        <v/>
      </c>
      <c r="C188" s="21" t="str">
        <f t="shared" si="28"/>
        <v>010-6X1X-X3X0333X04XX46879</v>
      </c>
      <c r="D188" s="26">
        <v>45779</v>
      </c>
      <c r="E188" s="91" t="s">
        <v>255</v>
      </c>
      <c r="F188" s="25" t="s">
        <v>258</v>
      </c>
      <c r="G188" s="27" t="s">
        <v>284</v>
      </c>
      <c r="H188" s="25" t="s">
        <v>293</v>
      </c>
      <c r="I188" s="25"/>
      <c r="J188" s="25" t="s">
        <v>294</v>
      </c>
      <c r="K188" s="28">
        <v>0.3125</v>
      </c>
      <c r="L188" s="28">
        <v>0.6875</v>
      </c>
      <c r="M188" s="28">
        <v>4.1666666666666664E-2</v>
      </c>
      <c r="N188" s="25" t="s">
        <v>281</v>
      </c>
      <c r="O188" s="29" t="str">
        <f>_xlfn.XLOOKUP(Table2[[#This Row],[Key]],Table1[Key],Table1[주민등록번호],"",0)</f>
        <v>971XX61XX9X25</v>
      </c>
      <c r="P188" s="29">
        <f>_xlfn.XLOOKUP(Table2[[#This Row],[Key]],Table1[Key],Table1[비자],"",0)</f>
        <v>0</v>
      </c>
      <c r="Q188" s="29">
        <f>IF(P188=0,0,_xlfn.XLOOKUP(Table2[[#This Row],[Key]],Table1[Key],Table1[고용보험 여부],0,0))</f>
        <v>0</v>
      </c>
      <c r="R188" s="29" t="str">
        <f t="shared" si="29"/>
        <v>2505</v>
      </c>
      <c r="S188" s="30" t="str">
        <f>YEAR(Table2[[#This Row],[근무일자]])&amp;TEXT(WEEKNUM(Table2[[#This Row],[근무일자]]),"00")</f>
        <v>202518</v>
      </c>
      <c r="T188" s="31">
        <f>_xlfn.XLOOKUP(Table2[[#This Row],[Key]],Table1[Key],Table1[등록일],"",0)</f>
        <v>45721</v>
      </c>
      <c r="U188" s="32">
        <f t="shared" si="30"/>
        <v>0.33333333333333331</v>
      </c>
      <c r="V188" s="92">
        <f t="shared" si="31"/>
        <v>0</v>
      </c>
      <c r="W188" s="100" t="str">
        <f>_xlfn.XLOOKUP(Table2[[#This Row],[근무일자]],Table3[Date],Table3[Holiday],"",0)</f>
        <v/>
      </c>
      <c r="X188" s="93">
        <f>IF(D188&lt;&gt;"",1,0)+IF(COUNTIFS(Table2[주민등록번호],O188,Table2[월],TEXT(EOMONTH(D188,-1),"YYMM"))&gt;0,1+IF(COUNTIFS(Table2[주민등록번호],O188,Table2[월],TEXT(EOMONTH(D188,-2),"YYMM"))&gt;0,1+IF(COUNTIFS(Table2[주민등록번호],O188,Table2[월],TEXT(EOMONTH(D188,-3),"YYMM"))&gt;0,1,0),0),0)</f>
        <v>3</v>
      </c>
      <c r="Y188" s="29">
        <f>COUNTIFS(Table2[주민등록번호],O188,Table2[월],R188,Table2[근무일자],"&lt;="&amp;D188)</f>
        <v>2</v>
      </c>
      <c r="Z188" s="29">
        <f>COUNTIFS(Table2[주민등록번호],O188,Table2[주간],S188,Table2[근무일자],"&lt;="&amp;D188)</f>
        <v>5</v>
      </c>
      <c r="AA188" s="29">
        <f>SUMIFS(Table2[근로
시간],Table2[주민등록번호],O188,Table2[주간],S188,Table2[근무일자],"&lt;="&amp;D188)*24</f>
        <v>40</v>
      </c>
      <c r="AB188" s="29" t="str">
        <f>IF(AND(Y188&gt;=8,COUNTIFS(Table2[주민등록번호],O188,Table2[근무일자],"&gt;="&amp;EOMONTH(D188,-2)+1,Table2[근무일자],"&lt;="&amp;EOMONTH(D188,-1)+1)&gt;0),"V","")</f>
        <v/>
      </c>
      <c r="AC188" s="94" cm="1">
        <f t="array" ref="AC188">IF(AD188&lt;&gt;"",AD188,_xlfn.XLOOKUP(1,(D188&lt;=Table7[End])*(E188=Table7[근무처])*(F188=Table7[업무]),Table7[시급],0,0))</f>
        <v>10680</v>
      </c>
      <c r="AD188" s="95"/>
      <c r="AE188" s="94">
        <f t="shared" si="32"/>
        <v>85440</v>
      </c>
      <c r="AF188" s="96" cm="1">
        <f t="array" ref="AF188">IF(AND(AA188&gt;=15,(AA188-U188*24)&lt;=40),IF(Z188&gt;=_xlfn.XLOOKUP(1,(D188&lt;=Table7[End])*(E188=Table7[근무처])*(F188=Table7[업무]),Table7[주휴적용일],0,0),1,0)+_xlfn.XLOOKUP(1,(Table2[주간]=Table2[[#This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188" s="96" cm="1">
        <f t="array" ref="AG188">MAX((_xlfn.IFS(AF188=0,0,AF188=1,AA188,AF188&gt;1,U188*24)-IF(AA188&gt;40,AA188-40,0))/5,0)</f>
        <v>1.6</v>
      </c>
      <c r="AH188" s="94">
        <f t="shared" si="33"/>
        <v>17088</v>
      </c>
      <c r="AI188" s="33" cm="1">
        <f t="array" ref="AI188">IF(W188="",0,ROUND(AC188*U188*24*_xlfn.XLOOKUP(1,(D188&lt;=Table7[End])*(E188=Table7[근무처])*(F188=Table7[업무]),Table7[휴일인센티브],0,0),0))</f>
        <v>0</v>
      </c>
      <c r="AJ188" s="94" cm="1">
        <f t="array" ref="AJ188">ROUND(AC188*IF(U188&gt;=8/24,U188-8/24,0)*24*_xlfn.XLOOKUP(1,(D188&lt;=Table7[End])*(E188=Table7[근무처])*(F188=Table7[업무]),Table7[야간인센티브],0,0),0)</f>
        <v>0</v>
      </c>
      <c r="AK188" s="94" cm="1">
        <f t="array" ref="AK188">IF(V188=0,0,ROUND(AC188*V188*24*_xlfn.XLOOKUP(1,(D188&lt;=Table7[End])*(E188=Table7[근무처])*(F188=Table7[업무]),Table7[야간인센티브],0,0),0))</f>
        <v>0</v>
      </c>
      <c r="AL188" s="95"/>
      <c r="AM188" s="94">
        <f t="shared" si="34"/>
        <v>102528</v>
      </c>
      <c r="AN188" s="94" cm="1">
        <f t="array" ref="AN188">IF(AM188&gt;=_xlfn.XLOOKUP(TRUE,D188&lt;=Table5[End],Table5[비과세소득기준],0,0),AM188-_xlfn.XLOOKUP(TRUE,D188&lt;=Table5[End],Table5[비과세소득기준],0,0),0)</f>
        <v>0</v>
      </c>
      <c r="AO188" s="94" cm="1">
        <f t="array" ref="AO188">ROUNDDOWN(_xlfn.LET(_xlpm.setvalue,_xlfn.XLOOKUP(TRUE,D188&lt;=Table5[End],Table5[[요율]:[근로소득세액공제]],0,0),_xlpm.tax,AN188*PRODUCT((_xlpm.setvalue-{0,1})*{1,-1}),_xlpm.threshold,_xlfn.XLOOKUP(TRUE,D188&lt;=Table5[End],Table5[소액부징수기준],0,0),IF(_xlpm.tax&gt;=_xlpm.threshold,_xlpm.tax,0)),-1)</f>
        <v>0</v>
      </c>
      <c r="AP188" s="94">
        <f>ROUNDDOWN(Table2[[#This Row],[소득세]]*10%,-1)</f>
        <v>0</v>
      </c>
      <c r="AQ188" s="94">
        <f>IF(AB188="v",AM188+IF(Y188=8,SUMIFS(Table2[지급총액],Table2[주민등록번호],O188,Table2[월],R188,Table2[월간
근무일],"&lt;="&amp;8)-AM188,0),0)+_xlfn.NUMBERVALUE(AR188)</f>
        <v>0</v>
      </c>
      <c r="AR188" s="95"/>
      <c r="AS188" s="94" cm="1">
        <f t="array" ref="AS188">ROUNDDOWN($AQ188*_xlfn.XLOOKUP(1,(AS$5=Table8[Type])*($D188&lt;=Table8[End]),Table8[요율],0,0),0)</f>
        <v>0</v>
      </c>
      <c r="AT188" s="94" cm="1">
        <f t="array" ref="AT188">ROUNDDOWN(AS188*_xlfn.XLOOKUP(1,(AT$5=Table8[Type])*($D188&lt;=Table8[End]),Table8[요율],0,0),-1)</f>
        <v>0</v>
      </c>
      <c r="AU188" s="94" cm="1">
        <f t="array" ref="AU188">ROUNDDOWN($AQ188*_xlfn.XLOOKUP(1,(AU$5=Table8[Type])*($D188&lt;=Table8[End]),Table8[요율],0,0),-1)</f>
        <v>0</v>
      </c>
      <c r="AV188" s="94" cm="1">
        <f t="array" ref="AV188">ROUNDDOWN(AM188*_xlfn.XLOOKUP(1,(AV$5=Table8[Type])*($D188&lt;=Table8[End]),Table8[요율],0,0),-1)</f>
        <v>0</v>
      </c>
      <c r="AW188" s="94" cm="1">
        <f t="array" ref="AW188">_xlfn.XLOOKUP(1,(O188=Table2[주민등록번호])*(D188&gt;Table2[근무일자]),Table2[청구 Claim 
이월],0,0,-1)</f>
        <v>0</v>
      </c>
      <c r="AX188" s="95"/>
      <c r="AY188" s="94" cm="1">
        <f t="array" ref="AY188">MAX(SUM(AO188:AP188,AS188:AX188)-_xlfn.XLOOKUP(1,(D188&lt;=Table7[End])*(E188=Table7[근무처])*(F188=Table7[업무]),Table7[1일 공제 상한],0,0),0)</f>
        <v>0</v>
      </c>
      <c r="AZ188" s="94">
        <f t="shared" si="35"/>
        <v>0</v>
      </c>
      <c r="BA188" s="94">
        <f t="shared" si="36"/>
        <v>102528</v>
      </c>
      <c r="BB188" s="97">
        <f t="shared" si="37"/>
        <v>0</v>
      </c>
      <c r="BC188" s="98"/>
      <c r="BD188" s="94">
        <f t="shared" si="38"/>
        <v>0</v>
      </c>
      <c r="BE188" s="94">
        <f t="shared" si="39"/>
        <v>0</v>
      </c>
      <c r="BF188" s="94">
        <f t="shared" si="40"/>
        <v>0</v>
      </c>
      <c r="BG188" s="94">
        <f t="shared" si="41"/>
        <v>0</v>
      </c>
      <c r="BH188" s="94" cm="1">
        <f t="array" ref="BH188">ROUNDDOWN(AM188*_xlfn.XLOOKUP(1,(BH$5=Table8[Type])*($D188&lt;=Table8[End]),Table8[요율],0,0),-1)</f>
        <v>820</v>
      </c>
      <c r="BI188" s="93" t="str" cm="1">
        <f t="array" ref="BI188">_xlfn.XLOOKUP(1,(D188&lt;=Table7[End])*(E188=Table7[근무처])*(F188=Table7[업무]),Table7[지급옵션],0,0)</f>
        <v>차주 화</v>
      </c>
      <c r="BJ188" s="83">
        <f>IF(BK188&lt;&gt;"",BK188,IFERROR(D188+_xlfn.NUMBERVALUE(RIGHT(BI188,1)),D188-WEEKDAY(D188)+CHOOSE(MATCH(RIGHT(BI188),{"일","월","화","수","목","금","토"},0),8,9,10,11,12,13,14)))</f>
        <v>45783</v>
      </c>
      <c r="BK188" s="99"/>
    </row>
    <row r="189" spans="2:63" x14ac:dyDescent="0.35">
      <c r="B189" s="20" t="str" cm="1">
        <f t="array" ref="B189">_xlfn.IFS(BB189&lt;&gt;BC189,"Claim확인",N189&lt;&gt;"OK","확인필요",TRUE,"")</f>
        <v/>
      </c>
      <c r="C189" s="21" t="str">
        <f t="shared" si="28"/>
        <v>010-8X0X-X0X9982X03XX901018</v>
      </c>
      <c r="D189" s="26">
        <v>45779</v>
      </c>
      <c r="E189" s="91" t="s">
        <v>255</v>
      </c>
      <c r="F189" s="25" t="s">
        <v>258</v>
      </c>
      <c r="G189" s="27" t="s">
        <v>283</v>
      </c>
      <c r="H189" s="25" t="s">
        <v>291</v>
      </c>
      <c r="I189" s="25"/>
      <c r="J189" s="25" t="s">
        <v>292</v>
      </c>
      <c r="K189" s="28">
        <v>0.375</v>
      </c>
      <c r="L189" s="28">
        <v>0.75</v>
      </c>
      <c r="M189" s="28">
        <v>4.1666666666666664E-2</v>
      </c>
      <c r="N189" s="25" t="s">
        <v>281</v>
      </c>
      <c r="O189" s="29" t="str">
        <f>_xlfn.XLOOKUP(Table2[[#This Row],[Key]],Table1[Key],Table1[주민등록번호],"",0)</f>
        <v>960XX51XX9X15</v>
      </c>
      <c r="P189" s="29">
        <f>_xlfn.XLOOKUP(Table2[[#This Row],[Key]],Table1[Key],Table1[비자],"",0)</f>
        <v>0</v>
      </c>
      <c r="Q189" s="29">
        <f>IF(P189=0,0,_xlfn.XLOOKUP(Table2[[#This Row],[Key]],Table1[Key],Table1[고용보험 여부],0,0))</f>
        <v>0</v>
      </c>
      <c r="R189" s="29" t="str">
        <f t="shared" si="29"/>
        <v>2505</v>
      </c>
      <c r="S189" s="30" t="str">
        <f>YEAR(Table2[[#This Row],[근무일자]])&amp;TEXT(WEEKNUM(Table2[[#This Row],[근무일자]]),"00")</f>
        <v>202518</v>
      </c>
      <c r="T189" s="31">
        <f>_xlfn.XLOOKUP(Table2[[#This Row],[Key]],Table1[Key],Table1[등록일],"",0)</f>
        <v>45698</v>
      </c>
      <c r="U189" s="32">
        <f t="shared" si="30"/>
        <v>0.33333333333333331</v>
      </c>
      <c r="V189" s="92">
        <f t="shared" si="31"/>
        <v>0</v>
      </c>
      <c r="W189" s="100" t="str">
        <f>_xlfn.XLOOKUP(Table2[[#This Row],[근무일자]],Table3[Date],Table3[Holiday],"",0)</f>
        <v/>
      </c>
      <c r="X189" s="93">
        <f>IF(D189&lt;&gt;"",1,0)+IF(COUNTIFS(Table2[주민등록번호],O189,Table2[월],TEXT(EOMONTH(D189,-1),"YYMM"))&gt;0,1+IF(COUNTIFS(Table2[주민등록번호],O189,Table2[월],TEXT(EOMONTH(D189,-2),"YYMM"))&gt;0,1+IF(COUNTIFS(Table2[주민등록번호],O189,Table2[월],TEXT(EOMONTH(D189,-3),"YYMM"))&gt;0,1,0),0),0)</f>
        <v>4</v>
      </c>
      <c r="Y189" s="29">
        <f>COUNTIFS(Table2[주민등록번호],O189,Table2[월],R189,Table2[근무일자],"&lt;="&amp;D189)</f>
        <v>2</v>
      </c>
      <c r="Z189" s="29">
        <f>COUNTIFS(Table2[주민등록번호],O189,Table2[주간],S189,Table2[근무일자],"&lt;="&amp;D189)</f>
        <v>4</v>
      </c>
      <c r="AA189" s="29">
        <f>SUMIFS(Table2[근로
시간],Table2[주민등록번호],O189,Table2[주간],S189,Table2[근무일자],"&lt;="&amp;D189)*24</f>
        <v>32</v>
      </c>
      <c r="AB189" s="29" t="str">
        <f>IF(AND(Y189&gt;=8,COUNTIFS(Table2[주민등록번호],O189,Table2[근무일자],"&gt;="&amp;EOMONTH(D189,-2)+1,Table2[근무일자],"&lt;="&amp;EOMONTH(D189,-1)+1)&gt;0),"V","")</f>
        <v/>
      </c>
      <c r="AC189" s="94" cm="1">
        <f t="array" ref="AC189">IF(AD189&lt;&gt;"",AD189,_xlfn.XLOOKUP(1,(D189&lt;=Table7[End])*(E189=Table7[근무처])*(F189=Table7[업무]),Table7[시급],0,0))</f>
        <v>10680</v>
      </c>
      <c r="AD189" s="95"/>
      <c r="AE189" s="94">
        <f t="shared" si="32"/>
        <v>85440</v>
      </c>
      <c r="AF189" s="96" cm="1">
        <f t="array" ref="AF189">IF(AND(AA189&gt;=15,(AA189-U189*24)&lt;=40),IF(Z189&gt;=_xlfn.XLOOKUP(1,(D189&lt;=Table7[End])*(E189=Table7[근무처])*(F189=Table7[업무]),Table7[주휴적용일],0,0),1,0)+_xlfn.XLOOKUP(1,(Table2[주간]=Table2[[#This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189" s="96" cm="1">
        <f t="array" ref="AG189">MAX((_xlfn.IFS(AF189=0,0,AF189=1,AA189,AF189&gt;1,U189*24)-IF(AA189&gt;40,AA189-40,0))/5,0)</f>
        <v>1.6</v>
      </c>
      <c r="AH189" s="94">
        <f t="shared" si="33"/>
        <v>17088</v>
      </c>
      <c r="AI189" s="33" cm="1">
        <f t="array" ref="AI189">IF(W189="",0,ROUND(AC189*U189*24*_xlfn.XLOOKUP(1,(D189&lt;=Table7[End])*(E189=Table7[근무처])*(F189=Table7[업무]),Table7[휴일인센티브],0,0),0))</f>
        <v>0</v>
      </c>
      <c r="AJ189" s="94" cm="1">
        <f t="array" ref="AJ189">ROUND(AC189*IF(U189&gt;=8/24,U189-8/24,0)*24*_xlfn.XLOOKUP(1,(D189&lt;=Table7[End])*(E189=Table7[근무처])*(F189=Table7[업무]),Table7[야간인센티브],0,0),0)</f>
        <v>0</v>
      </c>
      <c r="AK189" s="94" cm="1">
        <f t="array" ref="AK189">IF(V189=0,0,ROUND(AC189*V189*24*_xlfn.XLOOKUP(1,(D189&lt;=Table7[End])*(E189=Table7[근무처])*(F189=Table7[업무]),Table7[야간인센티브],0,0),0))</f>
        <v>0</v>
      </c>
      <c r="AL189" s="95"/>
      <c r="AM189" s="94">
        <f t="shared" si="34"/>
        <v>102528</v>
      </c>
      <c r="AN189" s="94" cm="1">
        <f t="array" ref="AN189">IF(AM189&gt;=_xlfn.XLOOKUP(TRUE,D189&lt;=Table5[End],Table5[비과세소득기준],0,0),AM189-_xlfn.XLOOKUP(TRUE,D189&lt;=Table5[End],Table5[비과세소득기준],0,0),0)</f>
        <v>0</v>
      </c>
      <c r="AO189" s="94" cm="1">
        <f t="array" ref="AO189">ROUNDDOWN(_xlfn.LET(_xlpm.setvalue,_xlfn.XLOOKUP(TRUE,D189&lt;=Table5[End],Table5[[요율]:[근로소득세액공제]],0,0),_xlpm.tax,AN189*PRODUCT((_xlpm.setvalue-{0,1})*{1,-1}),_xlpm.threshold,_xlfn.XLOOKUP(TRUE,D189&lt;=Table5[End],Table5[소액부징수기준],0,0),IF(_xlpm.tax&gt;=_xlpm.threshold,_xlpm.tax,0)),-1)</f>
        <v>0</v>
      </c>
      <c r="AP189" s="94">
        <f>ROUNDDOWN(Table2[[#This Row],[소득세]]*10%,-1)</f>
        <v>0</v>
      </c>
      <c r="AQ189" s="94">
        <f>IF(AB189="v",AM189+IF(Y189=8,SUMIFS(Table2[지급총액],Table2[주민등록번호],O189,Table2[월],R189,Table2[월간
근무일],"&lt;="&amp;8)-AM189,0),0)+_xlfn.NUMBERVALUE(AR189)</f>
        <v>0</v>
      </c>
      <c r="AR189" s="95"/>
      <c r="AS189" s="94" cm="1">
        <f t="array" ref="AS189">ROUNDDOWN($AQ189*_xlfn.XLOOKUP(1,(AS$5=Table8[Type])*($D189&lt;=Table8[End]),Table8[요율],0,0),0)</f>
        <v>0</v>
      </c>
      <c r="AT189" s="94" cm="1">
        <f t="array" ref="AT189">ROUNDDOWN(AS189*_xlfn.XLOOKUP(1,(AT$5=Table8[Type])*($D189&lt;=Table8[End]),Table8[요율],0,0),-1)</f>
        <v>0</v>
      </c>
      <c r="AU189" s="94" cm="1">
        <f t="array" ref="AU189">ROUNDDOWN($AQ189*_xlfn.XLOOKUP(1,(AU$5=Table8[Type])*($D189&lt;=Table8[End]),Table8[요율],0,0),-1)</f>
        <v>0</v>
      </c>
      <c r="AV189" s="94" cm="1">
        <f t="array" ref="AV189">ROUNDDOWN(AM189*_xlfn.XLOOKUP(1,(AV$5=Table8[Type])*($D189&lt;=Table8[End]),Table8[요율],0,0),-1)</f>
        <v>0</v>
      </c>
      <c r="AW189" s="94" cm="1">
        <f t="array" ref="AW189">_xlfn.XLOOKUP(1,(O189=Table2[주민등록번호])*(D189&gt;Table2[근무일자]),Table2[청구 Claim 
이월],0,0,-1)</f>
        <v>0</v>
      </c>
      <c r="AX189" s="95"/>
      <c r="AY189" s="94" cm="1">
        <f t="array" ref="AY189">MAX(SUM(AO189:AP189,AS189:AX189)-_xlfn.XLOOKUP(1,(D189&lt;=Table7[End])*(E189=Table7[근무처])*(F189=Table7[업무]),Table7[1일 공제 상한],0,0),0)</f>
        <v>0</v>
      </c>
      <c r="AZ189" s="94">
        <f t="shared" si="35"/>
        <v>0</v>
      </c>
      <c r="BA189" s="94">
        <f t="shared" si="36"/>
        <v>102528</v>
      </c>
      <c r="BB189" s="97">
        <f t="shared" si="37"/>
        <v>0</v>
      </c>
      <c r="BC189" s="98"/>
      <c r="BD189" s="94">
        <f t="shared" si="38"/>
        <v>0</v>
      </c>
      <c r="BE189" s="94">
        <f t="shared" si="39"/>
        <v>0</v>
      </c>
      <c r="BF189" s="94">
        <f t="shared" si="40"/>
        <v>0</v>
      </c>
      <c r="BG189" s="94">
        <f t="shared" si="41"/>
        <v>0</v>
      </c>
      <c r="BH189" s="94" cm="1">
        <f t="array" ref="BH189">ROUNDDOWN(AM189*_xlfn.XLOOKUP(1,(BH$5=Table8[Type])*($D189&lt;=Table8[End]),Table8[요율],0,0),-1)</f>
        <v>820</v>
      </c>
      <c r="BI189" s="93" t="str" cm="1">
        <f t="array" ref="BI189">_xlfn.XLOOKUP(1,(D189&lt;=Table7[End])*(E189=Table7[근무처])*(F189=Table7[업무]),Table7[지급옵션],0,0)</f>
        <v>차주 화</v>
      </c>
      <c r="BJ189" s="83">
        <f>IF(BK189&lt;&gt;"",BK189,IFERROR(D189+_xlfn.NUMBERVALUE(RIGHT(BI189,1)),D189-WEEKDAY(D189)+CHOOSE(MATCH(RIGHT(BI189),{"일","월","화","수","목","금","토"},0),8,9,10,11,12,13,14)))</f>
        <v>45783</v>
      </c>
      <c r="BK189" s="99"/>
    </row>
    <row r="190" spans="2:63" x14ac:dyDescent="0.35">
      <c r="B190" s="20" t="str" cm="1">
        <f t="array" ref="B190">_xlfn.IFS(BB190&lt;&gt;BC190,"Claim확인",N190&lt;&gt;"OK","확인필요",TRUE,"")</f>
        <v/>
      </c>
      <c r="C190" s="21" t="str">
        <f t="shared" si="28"/>
        <v>010-7X6X-X9X5110X98XX7530</v>
      </c>
      <c r="D190" s="26">
        <v>45780</v>
      </c>
      <c r="E190" s="91" t="s">
        <v>255</v>
      </c>
      <c r="F190" s="25" t="s">
        <v>258</v>
      </c>
      <c r="G190" s="27" t="s">
        <v>282</v>
      </c>
      <c r="H190" s="25" t="s">
        <v>289</v>
      </c>
      <c r="I190" s="25"/>
      <c r="J190" s="25" t="s">
        <v>290</v>
      </c>
      <c r="K190" s="28">
        <v>0.3125</v>
      </c>
      <c r="L190" s="28">
        <v>0.6875</v>
      </c>
      <c r="M190" s="28">
        <v>4.1666666666666664E-2</v>
      </c>
      <c r="N190" s="25" t="s">
        <v>281</v>
      </c>
      <c r="O190" s="29" t="str">
        <f>_xlfn.XLOOKUP(Table2[[#This Row],[Key]],Table1[Key],Table1[주민등록번호],"",0)</f>
        <v>990XX62XX3X13</v>
      </c>
      <c r="P190" s="29">
        <f>_xlfn.XLOOKUP(Table2[[#This Row],[Key]],Table1[Key],Table1[비자],"",0)</f>
        <v>0</v>
      </c>
      <c r="Q190" s="29">
        <f>IF(P190=0,0,_xlfn.XLOOKUP(Table2[[#This Row],[Key]],Table1[Key],Table1[고용보험 여부],0,0))</f>
        <v>0</v>
      </c>
      <c r="R190" s="29" t="str">
        <f t="shared" si="29"/>
        <v>2505</v>
      </c>
      <c r="S190" s="30" t="str">
        <f>YEAR(Table2[[#This Row],[근무일자]])&amp;TEXT(WEEKNUM(Table2[[#This Row],[근무일자]]),"00")</f>
        <v>202518</v>
      </c>
      <c r="T190" s="31">
        <f>_xlfn.XLOOKUP(Table2[[#This Row],[Key]],Table1[Key],Table1[등록일],"",0)</f>
        <v>45696</v>
      </c>
      <c r="U190" s="32">
        <f t="shared" si="30"/>
        <v>0.33333333333333331</v>
      </c>
      <c r="V190" s="92">
        <f t="shared" si="31"/>
        <v>0</v>
      </c>
      <c r="W190" s="100" t="str">
        <f>_xlfn.XLOOKUP(Table2[[#This Row],[근무일자]],Table3[Date],Table3[Holiday],"",0)</f>
        <v/>
      </c>
      <c r="X190" s="93">
        <f>IF(D190&lt;&gt;"",1,0)+IF(COUNTIFS(Table2[주민등록번호],O190,Table2[월],TEXT(EOMONTH(D190,-1),"YYMM"))&gt;0,1+IF(COUNTIFS(Table2[주민등록번호],O190,Table2[월],TEXT(EOMONTH(D190,-2),"YYMM"))&gt;0,1+IF(COUNTIFS(Table2[주민등록번호],O190,Table2[월],TEXT(EOMONTH(D190,-3),"YYMM"))&gt;0,1,0),0),0)</f>
        <v>4</v>
      </c>
      <c r="Y190" s="29">
        <f>COUNTIFS(Table2[주민등록번호],O190,Table2[월],R190,Table2[근무일자],"&lt;="&amp;D190)</f>
        <v>2</v>
      </c>
      <c r="Z190" s="29">
        <f>COUNTIFS(Table2[주민등록번호],O190,Table2[주간],S190,Table2[근무일자],"&lt;="&amp;D190)</f>
        <v>3</v>
      </c>
      <c r="AA190" s="29">
        <f>SUMIFS(Table2[근로
시간],Table2[주민등록번호],O190,Table2[주간],S190,Table2[근무일자],"&lt;="&amp;D190)*24</f>
        <v>24</v>
      </c>
      <c r="AB190" s="29" t="str">
        <f>IF(AND(Y190&gt;=8,COUNTIFS(Table2[주민등록번호],O190,Table2[근무일자],"&gt;="&amp;EOMONTH(D190,-2)+1,Table2[근무일자],"&lt;="&amp;EOMONTH(D190,-1)+1)&gt;0),"V","")</f>
        <v/>
      </c>
      <c r="AC190" s="94" cm="1">
        <f t="array" ref="AC190">IF(AD190&lt;&gt;"",AD190,_xlfn.XLOOKUP(1,(D190&lt;=Table7[End])*(E190=Table7[근무처])*(F190=Table7[업무]),Table7[시급],0,0))</f>
        <v>10680</v>
      </c>
      <c r="AD190" s="95"/>
      <c r="AE190" s="94">
        <f t="shared" si="32"/>
        <v>85440</v>
      </c>
      <c r="AF190" s="96" cm="1">
        <f t="array" ref="AF190">IF(AND(AA190&gt;=15,(AA190-U190*24)&lt;=40),IF(Z190&gt;=_xlfn.XLOOKUP(1,(D190&lt;=Table7[End])*(E190=Table7[근무처])*(F190=Table7[업무]),Table7[주휴적용일],0,0),1,0)+_xlfn.XLOOKUP(1,(Table2[주간]=Table2[[#This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190" s="96" cm="1">
        <f t="array" ref="AG190">MAX((_xlfn.IFS(AF190=0,0,AF190=1,AA190,AF190&gt;1,U190*24)-IF(AA190&gt;40,AA190-40,0))/5,0)</f>
        <v>1.6</v>
      </c>
      <c r="AH190" s="94">
        <f t="shared" si="33"/>
        <v>17088</v>
      </c>
      <c r="AI190" s="33" cm="1">
        <f t="array" ref="AI190">IF(W190="",0,ROUND(AC190*U190*24*_xlfn.XLOOKUP(1,(D190&lt;=Table7[End])*(E190=Table7[근무처])*(F190=Table7[업무]),Table7[휴일인센티브],0,0),0))</f>
        <v>0</v>
      </c>
      <c r="AJ190" s="94" cm="1">
        <f t="array" ref="AJ190">ROUND(AC190*IF(U190&gt;=8/24,U190-8/24,0)*24*_xlfn.XLOOKUP(1,(D190&lt;=Table7[End])*(E190=Table7[근무처])*(F190=Table7[업무]),Table7[야간인센티브],0,0),0)</f>
        <v>0</v>
      </c>
      <c r="AK190" s="94" cm="1">
        <f t="array" ref="AK190">IF(V190=0,0,ROUND(AC190*V190*24*_xlfn.XLOOKUP(1,(D190&lt;=Table7[End])*(E190=Table7[근무처])*(F190=Table7[업무]),Table7[야간인센티브],0,0),0))</f>
        <v>0</v>
      </c>
      <c r="AL190" s="95"/>
      <c r="AM190" s="94">
        <f t="shared" si="34"/>
        <v>102528</v>
      </c>
      <c r="AN190" s="94" cm="1">
        <f t="array" ref="AN190">IF(AM190&gt;=_xlfn.XLOOKUP(TRUE,D190&lt;=Table5[End],Table5[비과세소득기준],0,0),AM190-_xlfn.XLOOKUP(TRUE,D190&lt;=Table5[End],Table5[비과세소득기준],0,0),0)</f>
        <v>0</v>
      </c>
      <c r="AO190" s="94" cm="1">
        <f t="array" ref="AO190">ROUNDDOWN(_xlfn.LET(_xlpm.setvalue,_xlfn.XLOOKUP(TRUE,D190&lt;=Table5[End],Table5[[요율]:[근로소득세액공제]],0,0),_xlpm.tax,AN190*PRODUCT((_xlpm.setvalue-{0,1})*{1,-1}),_xlpm.threshold,_xlfn.XLOOKUP(TRUE,D190&lt;=Table5[End],Table5[소액부징수기준],0,0),IF(_xlpm.tax&gt;=_xlpm.threshold,_xlpm.tax,0)),-1)</f>
        <v>0</v>
      </c>
      <c r="AP190" s="94">
        <f>ROUNDDOWN(Table2[[#This Row],[소득세]]*10%,-1)</f>
        <v>0</v>
      </c>
      <c r="AQ190" s="94">
        <f>IF(AB190="v",AM190+IF(Y190=8,SUMIFS(Table2[지급총액],Table2[주민등록번호],O190,Table2[월],R190,Table2[월간
근무일],"&lt;="&amp;8)-AM190,0),0)+_xlfn.NUMBERVALUE(AR190)</f>
        <v>0</v>
      </c>
      <c r="AR190" s="95"/>
      <c r="AS190" s="94" cm="1">
        <f t="array" ref="AS190">ROUNDDOWN($AQ190*_xlfn.XLOOKUP(1,(AS$5=Table8[Type])*($D190&lt;=Table8[End]),Table8[요율],0,0),0)</f>
        <v>0</v>
      </c>
      <c r="AT190" s="94" cm="1">
        <f t="array" ref="AT190">ROUNDDOWN(AS190*_xlfn.XLOOKUP(1,(AT$5=Table8[Type])*($D190&lt;=Table8[End]),Table8[요율],0,0),-1)</f>
        <v>0</v>
      </c>
      <c r="AU190" s="94" cm="1">
        <f t="array" ref="AU190">ROUNDDOWN($AQ190*_xlfn.XLOOKUP(1,(AU$5=Table8[Type])*($D190&lt;=Table8[End]),Table8[요율],0,0),-1)</f>
        <v>0</v>
      </c>
      <c r="AV190" s="94" cm="1">
        <f t="array" ref="AV190">ROUNDDOWN(AM190*_xlfn.XLOOKUP(1,(AV$5=Table8[Type])*($D190&lt;=Table8[End]),Table8[요율],0,0),-1)</f>
        <v>0</v>
      </c>
      <c r="AW190" s="94" cm="1">
        <f t="array" ref="AW190">_xlfn.XLOOKUP(1,(O190=Table2[주민등록번호])*(D190&gt;Table2[근무일자]),Table2[청구 Claim 
이월],0,0,-1)</f>
        <v>0</v>
      </c>
      <c r="AX190" s="95"/>
      <c r="AY190" s="94" cm="1">
        <f t="array" ref="AY190">MAX(SUM(AO190:AP190,AS190:AX190)-_xlfn.XLOOKUP(1,(D190&lt;=Table7[End])*(E190=Table7[근무처])*(F190=Table7[업무]),Table7[1일 공제 상한],0,0),0)</f>
        <v>0</v>
      </c>
      <c r="AZ190" s="94">
        <f t="shared" si="35"/>
        <v>0</v>
      </c>
      <c r="BA190" s="94">
        <f t="shared" si="36"/>
        <v>102528</v>
      </c>
      <c r="BB190" s="97">
        <f t="shared" si="37"/>
        <v>0</v>
      </c>
      <c r="BC190" s="98"/>
      <c r="BD190" s="94">
        <f t="shared" si="38"/>
        <v>0</v>
      </c>
      <c r="BE190" s="94">
        <f t="shared" si="39"/>
        <v>0</v>
      </c>
      <c r="BF190" s="94">
        <f t="shared" si="40"/>
        <v>0</v>
      </c>
      <c r="BG190" s="94">
        <f t="shared" si="41"/>
        <v>0</v>
      </c>
      <c r="BH190" s="94" cm="1">
        <f t="array" ref="BH190">ROUNDDOWN(AM190*_xlfn.XLOOKUP(1,(BH$5=Table8[Type])*($D190&lt;=Table8[End]),Table8[요율],0,0),-1)</f>
        <v>820</v>
      </c>
      <c r="BI190" s="93" t="str" cm="1">
        <f t="array" ref="BI190">_xlfn.XLOOKUP(1,(D190&lt;=Table7[End])*(E190=Table7[근무처])*(F190=Table7[업무]),Table7[지급옵션],0,0)</f>
        <v>차주 화</v>
      </c>
      <c r="BJ190" s="83">
        <f>IF(BK190&lt;&gt;"",BK190,IFERROR(D190+_xlfn.NUMBERVALUE(RIGHT(BI190,1)),D190-WEEKDAY(D190)+CHOOSE(MATCH(RIGHT(BI190),{"일","월","화","수","목","금","토"},0),8,9,10,11,12,13,14)))</f>
        <v>45783</v>
      </c>
      <c r="BK190" s="99"/>
    </row>
    <row r="191" spans="2:63" x14ac:dyDescent="0.35">
      <c r="B191" s="20" t="str" cm="1">
        <f t="array" ref="B191">_xlfn.IFS(BB191&lt;&gt;BC191,"Claim확인",N191&lt;&gt;"OK","확인필요",TRUE,"")</f>
        <v/>
      </c>
      <c r="C191" s="21" t="str">
        <f t="shared" si="28"/>
        <v>010-8X0X-X0X9982X03XX901018</v>
      </c>
      <c r="D191" s="26">
        <v>45780</v>
      </c>
      <c r="E191" s="91" t="s">
        <v>255</v>
      </c>
      <c r="F191" s="25" t="s">
        <v>258</v>
      </c>
      <c r="G191" s="27" t="s">
        <v>283</v>
      </c>
      <c r="H191" s="25" t="s">
        <v>291</v>
      </c>
      <c r="I191" s="25"/>
      <c r="J191" s="25" t="s">
        <v>292</v>
      </c>
      <c r="K191" s="28">
        <v>0.3125</v>
      </c>
      <c r="L191" s="28">
        <v>0.6875</v>
      </c>
      <c r="M191" s="28">
        <v>4.1666666666666664E-2</v>
      </c>
      <c r="N191" s="25" t="s">
        <v>281</v>
      </c>
      <c r="O191" s="29" t="str">
        <f>_xlfn.XLOOKUP(Table2[[#This Row],[Key]],Table1[Key],Table1[주민등록번호],"",0)</f>
        <v>960XX51XX9X15</v>
      </c>
      <c r="P191" s="29">
        <f>_xlfn.XLOOKUP(Table2[[#This Row],[Key]],Table1[Key],Table1[비자],"",0)</f>
        <v>0</v>
      </c>
      <c r="Q191" s="29">
        <f>IF(P191=0,0,_xlfn.XLOOKUP(Table2[[#This Row],[Key]],Table1[Key],Table1[고용보험 여부],0,0))</f>
        <v>0</v>
      </c>
      <c r="R191" s="29" t="str">
        <f t="shared" si="29"/>
        <v>2505</v>
      </c>
      <c r="S191" s="30" t="str">
        <f>YEAR(Table2[[#This Row],[근무일자]])&amp;TEXT(WEEKNUM(Table2[[#This Row],[근무일자]]),"00")</f>
        <v>202518</v>
      </c>
      <c r="T191" s="31">
        <f>_xlfn.XLOOKUP(Table2[[#This Row],[Key]],Table1[Key],Table1[등록일],"",0)</f>
        <v>45698</v>
      </c>
      <c r="U191" s="32">
        <f t="shared" si="30"/>
        <v>0.33333333333333331</v>
      </c>
      <c r="V191" s="92">
        <f t="shared" si="31"/>
        <v>0</v>
      </c>
      <c r="W191" s="100" t="str">
        <f>_xlfn.XLOOKUP(Table2[[#This Row],[근무일자]],Table3[Date],Table3[Holiday],"",0)</f>
        <v/>
      </c>
      <c r="X191" s="93">
        <f>IF(D191&lt;&gt;"",1,0)+IF(COUNTIFS(Table2[주민등록번호],O191,Table2[월],TEXT(EOMONTH(D191,-1),"YYMM"))&gt;0,1+IF(COUNTIFS(Table2[주민등록번호],O191,Table2[월],TEXT(EOMONTH(D191,-2),"YYMM"))&gt;0,1+IF(COUNTIFS(Table2[주민등록번호],O191,Table2[월],TEXT(EOMONTH(D191,-3),"YYMM"))&gt;0,1,0),0),0)</f>
        <v>4</v>
      </c>
      <c r="Y191" s="29">
        <f>COUNTIFS(Table2[주민등록번호],O191,Table2[월],R191,Table2[근무일자],"&lt;="&amp;D191)</f>
        <v>3</v>
      </c>
      <c r="Z191" s="29">
        <f>COUNTIFS(Table2[주민등록번호],O191,Table2[주간],S191,Table2[근무일자],"&lt;="&amp;D191)</f>
        <v>5</v>
      </c>
      <c r="AA191" s="29">
        <f>SUMIFS(Table2[근로
시간],Table2[주민등록번호],O191,Table2[주간],S191,Table2[근무일자],"&lt;="&amp;D191)*24</f>
        <v>40</v>
      </c>
      <c r="AB191" s="29" t="str">
        <f>IF(AND(Y191&gt;=8,COUNTIFS(Table2[주민등록번호],O191,Table2[근무일자],"&gt;="&amp;EOMONTH(D191,-2)+1,Table2[근무일자],"&lt;="&amp;EOMONTH(D191,-1)+1)&gt;0),"V","")</f>
        <v/>
      </c>
      <c r="AC191" s="94" cm="1">
        <f t="array" ref="AC191">IF(AD191&lt;&gt;"",AD191,_xlfn.XLOOKUP(1,(D191&lt;=Table7[End])*(E191=Table7[근무처])*(F191=Table7[업무]),Table7[시급],0,0))</f>
        <v>10680</v>
      </c>
      <c r="AD191" s="95"/>
      <c r="AE191" s="94">
        <f t="shared" si="32"/>
        <v>85440</v>
      </c>
      <c r="AF191" s="96" cm="1">
        <f t="array" ref="AF191">IF(AND(AA191&gt;=15,(AA191-U191*24)&lt;=40),IF(Z191&gt;=_xlfn.XLOOKUP(1,(D191&lt;=Table7[End])*(E191=Table7[근무처])*(F191=Table7[업무]),Table7[주휴적용일],0,0),1,0)+_xlfn.XLOOKUP(1,(Table2[주간]=Table2[[#This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191" s="96" cm="1">
        <f t="array" ref="AG191">MAX((_xlfn.IFS(AF191=0,0,AF191=1,AA191,AF191&gt;1,U191*24)-IF(AA191&gt;40,AA191-40,0))/5,0)</f>
        <v>1.6</v>
      </c>
      <c r="AH191" s="94">
        <f t="shared" si="33"/>
        <v>17088</v>
      </c>
      <c r="AI191" s="33" cm="1">
        <f t="array" ref="AI191">IF(W191="",0,ROUND(AC191*U191*24*_xlfn.XLOOKUP(1,(D191&lt;=Table7[End])*(E191=Table7[근무처])*(F191=Table7[업무]),Table7[휴일인센티브],0,0),0))</f>
        <v>0</v>
      </c>
      <c r="AJ191" s="94" cm="1">
        <f t="array" ref="AJ191">ROUND(AC191*IF(U191&gt;=8/24,U191-8/24,0)*24*_xlfn.XLOOKUP(1,(D191&lt;=Table7[End])*(E191=Table7[근무처])*(F191=Table7[업무]),Table7[야간인센티브],0,0),0)</f>
        <v>0</v>
      </c>
      <c r="AK191" s="94" cm="1">
        <f t="array" ref="AK191">IF(V191=0,0,ROUND(AC191*V191*24*_xlfn.XLOOKUP(1,(D191&lt;=Table7[End])*(E191=Table7[근무처])*(F191=Table7[업무]),Table7[야간인센티브],0,0),0))</f>
        <v>0</v>
      </c>
      <c r="AL191" s="95"/>
      <c r="AM191" s="94">
        <f t="shared" si="34"/>
        <v>102528</v>
      </c>
      <c r="AN191" s="94" cm="1">
        <f t="array" ref="AN191">IF(AM191&gt;=_xlfn.XLOOKUP(TRUE,D191&lt;=Table5[End],Table5[비과세소득기준],0,0),AM191-_xlfn.XLOOKUP(TRUE,D191&lt;=Table5[End],Table5[비과세소득기준],0,0),0)</f>
        <v>0</v>
      </c>
      <c r="AO191" s="94" cm="1">
        <f t="array" ref="AO191">ROUNDDOWN(_xlfn.LET(_xlpm.setvalue,_xlfn.XLOOKUP(TRUE,D191&lt;=Table5[End],Table5[[요율]:[근로소득세액공제]],0,0),_xlpm.tax,AN191*PRODUCT((_xlpm.setvalue-{0,1})*{1,-1}),_xlpm.threshold,_xlfn.XLOOKUP(TRUE,D191&lt;=Table5[End],Table5[소액부징수기준],0,0),IF(_xlpm.tax&gt;=_xlpm.threshold,_xlpm.tax,0)),-1)</f>
        <v>0</v>
      </c>
      <c r="AP191" s="94">
        <f>ROUNDDOWN(Table2[[#This Row],[소득세]]*10%,-1)</f>
        <v>0</v>
      </c>
      <c r="AQ191" s="94">
        <f>IF(AB191="v",AM191+IF(Y191=8,SUMIFS(Table2[지급총액],Table2[주민등록번호],O191,Table2[월],R191,Table2[월간
근무일],"&lt;="&amp;8)-AM191,0),0)+_xlfn.NUMBERVALUE(AR191)</f>
        <v>0</v>
      </c>
      <c r="AR191" s="95"/>
      <c r="AS191" s="94" cm="1">
        <f t="array" ref="AS191">ROUNDDOWN($AQ191*_xlfn.XLOOKUP(1,(AS$5=Table8[Type])*($D191&lt;=Table8[End]),Table8[요율],0,0),0)</f>
        <v>0</v>
      </c>
      <c r="AT191" s="94" cm="1">
        <f t="array" ref="AT191">ROUNDDOWN(AS191*_xlfn.XLOOKUP(1,(AT$5=Table8[Type])*($D191&lt;=Table8[End]),Table8[요율],0,0),-1)</f>
        <v>0</v>
      </c>
      <c r="AU191" s="94" cm="1">
        <f t="array" ref="AU191">ROUNDDOWN($AQ191*_xlfn.XLOOKUP(1,(AU$5=Table8[Type])*($D191&lt;=Table8[End]),Table8[요율],0,0),-1)</f>
        <v>0</v>
      </c>
      <c r="AV191" s="94" cm="1">
        <f t="array" ref="AV191">ROUNDDOWN(AM191*_xlfn.XLOOKUP(1,(AV$5=Table8[Type])*($D191&lt;=Table8[End]),Table8[요율],0,0),-1)</f>
        <v>0</v>
      </c>
      <c r="AW191" s="94" cm="1">
        <f t="array" ref="AW191">_xlfn.XLOOKUP(1,(O191=Table2[주민등록번호])*(D191&gt;Table2[근무일자]),Table2[청구 Claim 
이월],0,0,-1)</f>
        <v>0</v>
      </c>
      <c r="AX191" s="95"/>
      <c r="AY191" s="94" cm="1">
        <f t="array" ref="AY191">MAX(SUM(AO191:AP191,AS191:AX191)-_xlfn.XLOOKUP(1,(D191&lt;=Table7[End])*(E191=Table7[근무처])*(F191=Table7[업무]),Table7[1일 공제 상한],0,0),0)</f>
        <v>0</v>
      </c>
      <c r="AZ191" s="94">
        <f t="shared" si="35"/>
        <v>0</v>
      </c>
      <c r="BA191" s="94">
        <f t="shared" si="36"/>
        <v>102528</v>
      </c>
      <c r="BB191" s="97">
        <f t="shared" si="37"/>
        <v>0</v>
      </c>
      <c r="BC191" s="98"/>
      <c r="BD191" s="94">
        <f t="shared" si="38"/>
        <v>0</v>
      </c>
      <c r="BE191" s="94">
        <f t="shared" si="39"/>
        <v>0</v>
      </c>
      <c r="BF191" s="94">
        <f t="shared" si="40"/>
        <v>0</v>
      </c>
      <c r="BG191" s="94">
        <f t="shared" si="41"/>
        <v>0</v>
      </c>
      <c r="BH191" s="94" cm="1">
        <f t="array" ref="BH191">ROUNDDOWN(AM191*_xlfn.XLOOKUP(1,(BH$5=Table8[Type])*($D191&lt;=Table8[End]),Table8[요율],0,0),-1)</f>
        <v>820</v>
      </c>
      <c r="BI191" s="93" t="str" cm="1">
        <f t="array" ref="BI191">_xlfn.XLOOKUP(1,(D191&lt;=Table7[End])*(E191=Table7[근무처])*(F191=Table7[업무]),Table7[지급옵션],0,0)</f>
        <v>차주 화</v>
      </c>
      <c r="BJ191" s="83">
        <f>IF(BK191&lt;&gt;"",BK191,IFERROR(D191+_xlfn.NUMBERVALUE(RIGHT(BI191,1)),D191-WEEKDAY(D191)+CHOOSE(MATCH(RIGHT(BI191),{"일","월","화","수","목","금","토"},0),8,9,10,11,12,13,14)))</f>
        <v>45783</v>
      </c>
      <c r="BK191" s="99"/>
    </row>
    <row r="192" spans="2:63" x14ac:dyDescent="0.35">
      <c r="B192" s="20" t="str" cm="1">
        <f t="array" ref="B192">_xlfn.IFS(BB192&lt;&gt;BC192,"Claim확인",N192&lt;&gt;"OK","확인필요",TRUE,"")</f>
        <v/>
      </c>
      <c r="C192" s="21" t="str">
        <f t="shared" si="28"/>
        <v>010-7X6X-X9X5110X98XX7530</v>
      </c>
      <c r="D192" s="26">
        <v>45781</v>
      </c>
      <c r="E192" s="91" t="s">
        <v>255</v>
      </c>
      <c r="F192" s="25" t="s">
        <v>258</v>
      </c>
      <c r="G192" s="27" t="s">
        <v>282</v>
      </c>
      <c r="H192" s="25" t="s">
        <v>289</v>
      </c>
      <c r="I192" s="25"/>
      <c r="J192" s="25" t="s">
        <v>290</v>
      </c>
      <c r="K192" s="28">
        <v>0.3125</v>
      </c>
      <c r="L192" s="28">
        <v>0.6875</v>
      </c>
      <c r="M192" s="28">
        <v>4.1666666666666664E-2</v>
      </c>
      <c r="N192" s="25" t="s">
        <v>281</v>
      </c>
      <c r="O192" s="29" t="str">
        <f>_xlfn.XLOOKUP(Table2[[#This Row],[Key]],Table1[Key],Table1[주민등록번호],"",0)</f>
        <v>990XX62XX3X13</v>
      </c>
      <c r="P192" s="29">
        <f>_xlfn.XLOOKUP(Table2[[#This Row],[Key]],Table1[Key],Table1[비자],"",0)</f>
        <v>0</v>
      </c>
      <c r="Q192" s="29">
        <f>IF(P192=0,0,_xlfn.XLOOKUP(Table2[[#This Row],[Key]],Table1[Key],Table1[고용보험 여부],0,0))</f>
        <v>0</v>
      </c>
      <c r="R192" s="29" t="str">
        <f t="shared" si="29"/>
        <v>2505</v>
      </c>
      <c r="S192" s="30" t="str">
        <f>YEAR(Table2[[#This Row],[근무일자]])&amp;TEXT(WEEKNUM(Table2[[#This Row],[근무일자]]),"00")</f>
        <v>202519</v>
      </c>
      <c r="T192" s="31">
        <f>_xlfn.XLOOKUP(Table2[[#This Row],[Key]],Table1[Key],Table1[등록일],"",0)</f>
        <v>45696</v>
      </c>
      <c r="U192" s="32">
        <f t="shared" si="30"/>
        <v>0.33333333333333331</v>
      </c>
      <c r="V192" s="92">
        <f t="shared" si="31"/>
        <v>0</v>
      </c>
      <c r="W192" s="100" t="str">
        <f>_xlfn.XLOOKUP(Table2[[#This Row],[근무일자]],Table3[Date],Table3[Holiday],"",0)</f>
        <v/>
      </c>
      <c r="X192" s="93">
        <f>IF(D192&lt;&gt;"",1,0)+IF(COUNTIFS(Table2[주민등록번호],O192,Table2[월],TEXT(EOMONTH(D192,-1),"YYMM"))&gt;0,1+IF(COUNTIFS(Table2[주민등록번호],O192,Table2[월],TEXT(EOMONTH(D192,-2),"YYMM"))&gt;0,1+IF(COUNTIFS(Table2[주민등록번호],O192,Table2[월],TEXT(EOMONTH(D192,-3),"YYMM"))&gt;0,1,0),0),0)</f>
        <v>4</v>
      </c>
      <c r="Y192" s="29">
        <f>COUNTIFS(Table2[주민등록번호],O192,Table2[월],R192,Table2[근무일자],"&lt;="&amp;D192)</f>
        <v>3</v>
      </c>
      <c r="Z192" s="29">
        <f>COUNTIFS(Table2[주민등록번호],O192,Table2[주간],S192,Table2[근무일자],"&lt;="&amp;D192)</f>
        <v>1</v>
      </c>
      <c r="AA192" s="29">
        <f>SUMIFS(Table2[근로
시간],Table2[주민등록번호],O192,Table2[주간],S192,Table2[근무일자],"&lt;="&amp;D192)*24</f>
        <v>8</v>
      </c>
      <c r="AB192" s="29" t="str">
        <f>IF(AND(Y192&gt;=8,COUNTIFS(Table2[주민등록번호],O192,Table2[근무일자],"&gt;="&amp;EOMONTH(D192,-2)+1,Table2[근무일자],"&lt;="&amp;EOMONTH(D192,-1)+1)&gt;0),"V","")</f>
        <v/>
      </c>
      <c r="AC192" s="94" cm="1">
        <f t="array" ref="AC192">IF(AD192&lt;&gt;"",AD192,_xlfn.XLOOKUP(1,(D192&lt;=Table7[End])*(E192=Table7[근무처])*(F192=Table7[업무]),Table7[시급],0,0))</f>
        <v>10680</v>
      </c>
      <c r="AD192" s="95"/>
      <c r="AE192" s="94">
        <f t="shared" si="32"/>
        <v>85440</v>
      </c>
      <c r="AF192" s="96" cm="1">
        <f t="array" ref="AF192">IF(AND(AA192&gt;=15,(AA192-U192*24)&lt;=40),IF(Z192&gt;=_xlfn.XLOOKUP(1,(D192&lt;=Table7[End])*(E192=Table7[근무처])*(F192=Table7[업무]),Table7[주휴적용일],0,0),1,0)+_xlfn.XLOOKUP(1,(Table2[주간]=Table2[[#This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92" s="96" cm="1">
        <f t="array" ref="AG192">MAX((_xlfn.IFS(AF192=0,0,AF192=1,AA192,AF192&gt;1,U192*24)-IF(AA192&gt;40,AA192-40,0))/5,0)</f>
        <v>0</v>
      </c>
      <c r="AH192" s="94">
        <f t="shared" si="33"/>
        <v>0</v>
      </c>
      <c r="AI192" s="33" cm="1">
        <f t="array" ref="AI192">IF(W192="",0,ROUND(AC192*U192*24*_xlfn.XLOOKUP(1,(D192&lt;=Table7[End])*(E192=Table7[근무처])*(F192=Table7[업무]),Table7[휴일인센티브],0,0),0))</f>
        <v>0</v>
      </c>
      <c r="AJ192" s="94" cm="1">
        <f t="array" ref="AJ192">ROUND(AC192*IF(U192&gt;=8/24,U192-8/24,0)*24*_xlfn.XLOOKUP(1,(D192&lt;=Table7[End])*(E192=Table7[근무처])*(F192=Table7[업무]),Table7[야간인센티브],0,0),0)</f>
        <v>0</v>
      </c>
      <c r="AK192" s="94" cm="1">
        <f t="array" ref="AK192">IF(V192=0,0,ROUND(AC192*V192*24*_xlfn.XLOOKUP(1,(D192&lt;=Table7[End])*(E192=Table7[근무처])*(F192=Table7[업무]),Table7[야간인센티브],0,0),0))</f>
        <v>0</v>
      </c>
      <c r="AL192" s="95"/>
      <c r="AM192" s="94">
        <f t="shared" si="34"/>
        <v>85440</v>
      </c>
      <c r="AN192" s="94" cm="1">
        <f t="array" ref="AN192">IF(AM192&gt;=_xlfn.XLOOKUP(TRUE,D192&lt;=Table5[End],Table5[비과세소득기준],0,0),AM192-_xlfn.XLOOKUP(TRUE,D192&lt;=Table5[End],Table5[비과세소득기준],0,0),0)</f>
        <v>0</v>
      </c>
      <c r="AO192" s="94" cm="1">
        <f t="array" ref="AO192">ROUNDDOWN(_xlfn.LET(_xlpm.setvalue,_xlfn.XLOOKUP(TRUE,D192&lt;=Table5[End],Table5[[요율]:[근로소득세액공제]],0,0),_xlpm.tax,AN192*PRODUCT((_xlpm.setvalue-{0,1})*{1,-1}),_xlpm.threshold,_xlfn.XLOOKUP(TRUE,D192&lt;=Table5[End],Table5[소액부징수기준],0,0),IF(_xlpm.tax&gt;=_xlpm.threshold,_xlpm.tax,0)),-1)</f>
        <v>0</v>
      </c>
      <c r="AP192" s="94">
        <f>ROUNDDOWN(Table2[[#This Row],[소득세]]*10%,-1)</f>
        <v>0</v>
      </c>
      <c r="AQ192" s="94">
        <f>IF(AB192="v",AM192+IF(Y192=8,SUMIFS(Table2[지급총액],Table2[주민등록번호],O192,Table2[월],R192,Table2[월간
근무일],"&lt;="&amp;8)-AM192,0),0)+_xlfn.NUMBERVALUE(AR192)</f>
        <v>0</v>
      </c>
      <c r="AR192" s="95"/>
      <c r="AS192" s="94" cm="1">
        <f t="array" ref="AS192">ROUNDDOWN($AQ192*_xlfn.XLOOKUP(1,(AS$5=Table8[Type])*($D192&lt;=Table8[End]),Table8[요율],0,0),0)</f>
        <v>0</v>
      </c>
      <c r="AT192" s="94" cm="1">
        <f t="array" ref="AT192">ROUNDDOWN(AS192*_xlfn.XLOOKUP(1,(AT$5=Table8[Type])*($D192&lt;=Table8[End]),Table8[요율],0,0),-1)</f>
        <v>0</v>
      </c>
      <c r="AU192" s="94" cm="1">
        <f t="array" ref="AU192">ROUNDDOWN($AQ192*_xlfn.XLOOKUP(1,(AU$5=Table8[Type])*($D192&lt;=Table8[End]),Table8[요율],0,0),-1)</f>
        <v>0</v>
      </c>
      <c r="AV192" s="94" cm="1">
        <f t="array" ref="AV192">ROUNDDOWN(AM192*_xlfn.XLOOKUP(1,(AV$5=Table8[Type])*($D192&lt;=Table8[End]),Table8[요율],0,0),-1)</f>
        <v>0</v>
      </c>
      <c r="AW192" s="94" cm="1">
        <f t="array" ref="AW192">_xlfn.XLOOKUP(1,(O192=Table2[주민등록번호])*(D192&gt;Table2[근무일자]),Table2[청구 Claim 
이월],0,0,-1)</f>
        <v>0</v>
      </c>
      <c r="AX192" s="95"/>
      <c r="AY192" s="94" cm="1">
        <f t="array" ref="AY192">MAX(SUM(AO192:AP192,AS192:AX192)-_xlfn.XLOOKUP(1,(D192&lt;=Table7[End])*(E192=Table7[근무처])*(F192=Table7[업무]),Table7[1일 공제 상한],0,0),0)</f>
        <v>0</v>
      </c>
      <c r="AZ192" s="94">
        <f t="shared" si="35"/>
        <v>0</v>
      </c>
      <c r="BA192" s="94">
        <f t="shared" si="36"/>
        <v>85440</v>
      </c>
      <c r="BB192" s="97">
        <f t="shared" si="37"/>
        <v>0</v>
      </c>
      <c r="BC192" s="98"/>
      <c r="BD192" s="94">
        <f t="shared" si="38"/>
        <v>0</v>
      </c>
      <c r="BE192" s="94">
        <f t="shared" si="39"/>
        <v>0</v>
      </c>
      <c r="BF192" s="94">
        <f t="shared" si="40"/>
        <v>0</v>
      </c>
      <c r="BG192" s="94">
        <f t="shared" si="41"/>
        <v>0</v>
      </c>
      <c r="BH192" s="94" cm="1">
        <f t="array" ref="BH192">ROUNDDOWN(AM192*_xlfn.XLOOKUP(1,(BH$5=Table8[Type])*($D192&lt;=Table8[End]),Table8[요율],0,0),-1)</f>
        <v>680</v>
      </c>
      <c r="BI192" s="93" t="str" cm="1">
        <f t="array" ref="BI192">_xlfn.XLOOKUP(1,(D192&lt;=Table7[End])*(E192=Table7[근무처])*(F192=Table7[업무]),Table7[지급옵션],0,0)</f>
        <v>차주 화</v>
      </c>
      <c r="BJ192" s="83">
        <f>IF(BK192&lt;&gt;"",BK192,IFERROR(D192+_xlfn.NUMBERVALUE(RIGHT(BI192,1)),D192-WEEKDAY(D192)+CHOOSE(MATCH(RIGHT(BI192),{"일","월","화","수","목","금","토"},0),8,9,10,11,12,13,14)))</f>
        <v>45790</v>
      </c>
      <c r="BK192" s="99"/>
    </row>
    <row r="193" spans="2:63" x14ac:dyDescent="0.35">
      <c r="B193" s="20" t="str" cm="1">
        <f t="array" ref="B193">_xlfn.IFS(BB193&lt;&gt;BC193,"Claim확인",N193&lt;&gt;"OK","확인필요",TRUE,"")</f>
        <v/>
      </c>
      <c r="C193" s="21" t="str">
        <f t="shared" si="28"/>
        <v>010-8X0X-X0X9982X03XX901018</v>
      </c>
      <c r="D193" s="26">
        <v>45781</v>
      </c>
      <c r="E193" s="91" t="s">
        <v>255</v>
      </c>
      <c r="F193" s="25" t="s">
        <v>258</v>
      </c>
      <c r="G193" s="27" t="s">
        <v>283</v>
      </c>
      <c r="H193" s="25" t="s">
        <v>291</v>
      </c>
      <c r="I193" s="25"/>
      <c r="J193" s="25" t="s">
        <v>292</v>
      </c>
      <c r="K193" s="28">
        <v>0.3125</v>
      </c>
      <c r="L193" s="28">
        <v>0.6875</v>
      </c>
      <c r="M193" s="28">
        <v>4.1666666666666664E-2</v>
      </c>
      <c r="N193" s="25" t="s">
        <v>281</v>
      </c>
      <c r="O193" s="29" t="str">
        <f>_xlfn.XLOOKUP(Table2[[#This Row],[Key]],Table1[Key],Table1[주민등록번호],"",0)</f>
        <v>960XX51XX9X15</v>
      </c>
      <c r="P193" s="29">
        <f>_xlfn.XLOOKUP(Table2[[#This Row],[Key]],Table1[Key],Table1[비자],"",0)</f>
        <v>0</v>
      </c>
      <c r="Q193" s="29">
        <f>IF(P193=0,0,_xlfn.XLOOKUP(Table2[[#This Row],[Key]],Table1[Key],Table1[고용보험 여부],0,0))</f>
        <v>0</v>
      </c>
      <c r="R193" s="29" t="str">
        <f t="shared" si="29"/>
        <v>2505</v>
      </c>
      <c r="S193" s="30" t="str">
        <f>YEAR(Table2[[#This Row],[근무일자]])&amp;TEXT(WEEKNUM(Table2[[#This Row],[근무일자]]),"00")</f>
        <v>202519</v>
      </c>
      <c r="T193" s="31">
        <f>_xlfn.XLOOKUP(Table2[[#This Row],[Key]],Table1[Key],Table1[등록일],"",0)</f>
        <v>45698</v>
      </c>
      <c r="U193" s="32">
        <f t="shared" si="30"/>
        <v>0.33333333333333331</v>
      </c>
      <c r="V193" s="92">
        <f t="shared" si="31"/>
        <v>0</v>
      </c>
      <c r="W193" s="100" t="str">
        <f>_xlfn.XLOOKUP(Table2[[#This Row],[근무일자]],Table3[Date],Table3[Holiday],"",0)</f>
        <v/>
      </c>
      <c r="X193" s="93">
        <f>IF(D193&lt;&gt;"",1,0)+IF(COUNTIFS(Table2[주민등록번호],O193,Table2[월],TEXT(EOMONTH(D193,-1),"YYMM"))&gt;0,1+IF(COUNTIFS(Table2[주민등록번호],O193,Table2[월],TEXT(EOMONTH(D193,-2),"YYMM"))&gt;0,1+IF(COUNTIFS(Table2[주민등록번호],O193,Table2[월],TEXT(EOMONTH(D193,-3),"YYMM"))&gt;0,1,0),0),0)</f>
        <v>4</v>
      </c>
      <c r="Y193" s="29">
        <f>COUNTIFS(Table2[주민등록번호],O193,Table2[월],R193,Table2[근무일자],"&lt;="&amp;D193)</f>
        <v>4</v>
      </c>
      <c r="Z193" s="29">
        <f>COUNTIFS(Table2[주민등록번호],O193,Table2[주간],S193,Table2[근무일자],"&lt;="&amp;D193)</f>
        <v>1</v>
      </c>
      <c r="AA193" s="29">
        <f>SUMIFS(Table2[근로
시간],Table2[주민등록번호],O193,Table2[주간],S193,Table2[근무일자],"&lt;="&amp;D193)*24</f>
        <v>8</v>
      </c>
      <c r="AB193" s="29" t="str">
        <f>IF(AND(Y193&gt;=8,COUNTIFS(Table2[주민등록번호],O193,Table2[근무일자],"&gt;="&amp;EOMONTH(D193,-2)+1,Table2[근무일자],"&lt;="&amp;EOMONTH(D193,-1)+1)&gt;0),"V","")</f>
        <v/>
      </c>
      <c r="AC193" s="94" cm="1">
        <f t="array" ref="AC193">IF(AD193&lt;&gt;"",AD193,_xlfn.XLOOKUP(1,(D193&lt;=Table7[End])*(E193=Table7[근무처])*(F193=Table7[업무]),Table7[시급],0,0))</f>
        <v>10680</v>
      </c>
      <c r="AD193" s="95"/>
      <c r="AE193" s="94">
        <f t="shared" si="32"/>
        <v>85440</v>
      </c>
      <c r="AF193" s="96" cm="1">
        <f t="array" ref="AF193">IF(AND(AA193&gt;=15,(AA193-U193*24)&lt;=40),IF(Z193&gt;=_xlfn.XLOOKUP(1,(D193&lt;=Table7[End])*(E193=Table7[근무처])*(F193=Table7[업무]),Table7[주휴적용일],0,0),1,0)+_xlfn.XLOOKUP(1,(Table2[주간]=Table2[[#This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93" s="96" cm="1">
        <f t="array" ref="AG193">MAX((_xlfn.IFS(AF193=0,0,AF193=1,AA193,AF193&gt;1,U193*24)-IF(AA193&gt;40,AA193-40,0))/5,0)</f>
        <v>0</v>
      </c>
      <c r="AH193" s="94">
        <f t="shared" si="33"/>
        <v>0</v>
      </c>
      <c r="AI193" s="33" cm="1">
        <f t="array" ref="AI193">IF(W193="",0,ROUND(AC193*U193*24*_xlfn.XLOOKUP(1,(D193&lt;=Table7[End])*(E193=Table7[근무처])*(F193=Table7[업무]),Table7[휴일인센티브],0,0),0))</f>
        <v>0</v>
      </c>
      <c r="AJ193" s="94" cm="1">
        <f t="array" ref="AJ193">ROUND(AC193*IF(U193&gt;=8/24,U193-8/24,0)*24*_xlfn.XLOOKUP(1,(D193&lt;=Table7[End])*(E193=Table7[근무처])*(F193=Table7[업무]),Table7[야간인센티브],0,0),0)</f>
        <v>0</v>
      </c>
      <c r="AK193" s="94" cm="1">
        <f t="array" ref="AK193">IF(V193=0,0,ROUND(AC193*V193*24*_xlfn.XLOOKUP(1,(D193&lt;=Table7[End])*(E193=Table7[근무처])*(F193=Table7[업무]),Table7[야간인센티브],0,0),0))</f>
        <v>0</v>
      </c>
      <c r="AL193" s="95"/>
      <c r="AM193" s="94">
        <f t="shared" si="34"/>
        <v>85440</v>
      </c>
      <c r="AN193" s="94" cm="1">
        <f t="array" ref="AN193">IF(AM193&gt;=_xlfn.XLOOKUP(TRUE,D193&lt;=Table5[End],Table5[비과세소득기준],0,0),AM193-_xlfn.XLOOKUP(TRUE,D193&lt;=Table5[End],Table5[비과세소득기준],0,0),0)</f>
        <v>0</v>
      </c>
      <c r="AO193" s="94" cm="1">
        <f t="array" ref="AO193">ROUNDDOWN(_xlfn.LET(_xlpm.setvalue,_xlfn.XLOOKUP(TRUE,D193&lt;=Table5[End],Table5[[요율]:[근로소득세액공제]],0,0),_xlpm.tax,AN193*PRODUCT((_xlpm.setvalue-{0,1})*{1,-1}),_xlpm.threshold,_xlfn.XLOOKUP(TRUE,D193&lt;=Table5[End],Table5[소액부징수기준],0,0),IF(_xlpm.tax&gt;=_xlpm.threshold,_xlpm.tax,0)),-1)</f>
        <v>0</v>
      </c>
      <c r="AP193" s="94">
        <f>ROUNDDOWN(Table2[[#This Row],[소득세]]*10%,-1)</f>
        <v>0</v>
      </c>
      <c r="AQ193" s="94">
        <f>IF(AB193="v",AM193+IF(Y193=8,SUMIFS(Table2[지급총액],Table2[주민등록번호],O193,Table2[월],R193,Table2[월간
근무일],"&lt;="&amp;8)-AM193,0),0)+_xlfn.NUMBERVALUE(AR193)</f>
        <v>0</v>
      </c>
      <c r="AR193" s="95"/>
      <c r="AS193" s="94" cm="1">
        <f t="array" ref="AS193">ROUNDDOWN($AQ193*_xlfn.XLOOKUP(1,(AS$5=Table8[Type])*($D193&lt;=Table8[End]),Table8[요율],0,0),0)</f>
        <v>0</v>
      </c>
      <c r="AT193" s="94" cm="1">
        <f t="array" ref="AT193">ROUNDDOWN(AS193*_xlfn.XLOOKUP(1,(AT$5=Table8[Type])*($D193&lt;=Table8[End]),Table8[요율],0,0),-1)</f>
        <v>0</v>
      </c>
      <c r="AU193" s="94" cm="1">
        <f t="array" ref="AU193">ROUNDDOWN($AQ193*_xlfn.XLOOKUP(1,(AU$5=Table8[Type])*($D193&lt;=Table8[End]),Table8[요율],0,0),-1)</f>
        <v>0</v>
      </c>
      <c r="AV193" s="94" cm="1">
        <f t="array" ref="AV193">ROUNDDOWN(AM193*_xlfn.XLOOKUP(1,(AV$5=Table8[Type])*($D193&lt;=Table8[End]),Table8[요율],0,0),-1)</f>
        <v>0</v>
      </c>
      <c r="AW193" s="94" cm="1">
        <f t="array" ref="AW193">_xlfn.XLOOKUP(1,(O193=Table2[주민등록번호])*(D193&gt;Table2[근무일자]),Table2[청구 Claim 
이월],0,0,-1)</f>
        <v>0</v>
      </c>
      <c r="AX193" s="95"/>
      <c r="AY193" s="94" cm="1">
        <f t="array" ref="AY193">MAX(SUM(AO193:AP193,AS193:AX193)-_xlfn.XLOOKUP(1,(D193&lt;=Table7[End])*(E193=Table7[근무처])*(F193=Table7[업무]),Table7[1일 공제 상한],0,0),0)</f>
        <v>0</v>
      </c>
      <c r="AZ193" s="94">
        <f t="shared" si="35"/>
        <v>0</v>
      </c>
      <c r="BA193" s="94">
        <f t="shared" si="36"/>
        <v>85440</v>
      </c>
      <c r="BB193" s="97">
        <f t="shared" si="37"/>
        <v>0</v>
      </c>
      <c r="BC193" s="98"/>
      <c r="BD193" s="94">
        <f t="shared" si="38"/>
        <v>0</v>
      </c>
      <c r="BE193" s="94">
        <f t="shared" si="39"/>
        <v>0</v>
      </c>
      <c r="BF193" s="94">
        <f t="shared" si="40"/>
        <v>0</v>
      </c>
      <c r="BG193" s="94">
        <f t="shared" si="41"/>
        <v>0</v>
      </c>
      <c r="BH193" s="94" cm="1">
        <f t="array" ref="BH193">ROUNDDOWN(AM193*_xlfn.XLOOKUP(1,(BH$5=Table8[Type])*($D193&lt;=Table8[End]),Table8[요율],0,0),-1)</f>
        <v>680</v>
      </c>
      <c r="BI193" s="93" t="str" cm="1">
        <f t="array" ref="BI193">_xlfn.XLOOKUP(1,(D193&lt;=Table7[End])*(E193=Table7[근무처])*(F193=Table7[업무]),Table7[지급옵션],0,0)</f>
        <v>차주 화</v>
      </c>
      <c r="BJ193" s="83">
        <f>IF(BK193&lt;&gt;"",BK193,IFERROR(D193+_xlfn.NUMBERVALUE(RIGHT(BI193,1)),D193-WEEKDAY(D193)+CHOOSE(MATCH(RIGHT(BI193),{"일","월","화","수","목","금","토"},0),8,9,10,11,12,13,14)))</f>
        <v>45790</v>
      </c>
      <c r="BK193" s="99"/>
    </row>
    <row r="194" spans="2:63" x14ac:dyDescent="0.35">
      <c r="B194" s="20" t="str" cm="1">
        <f t="array" ref="B194">_xlfn.IFS(BB194&lt;&gt;BC194,"Claim확인",N194&lt;&gt;"OK","확인필요",TRUE,"")</f>
        <v/>
      </c>
      <c r="C194" s="21" t="str">
        <f t="shared" si="28"/>
        <v>010-2X2X-X2X2945X02XX268466</v>
      </c>
      <c r="D194" s="26">
        <v>45781</v>
      </c>
      <c r="E194" s="91" t="s">
        <v>255</v>
      </c>
      <c r="F194" s="25" t="s">
        <v>258</v>
      </c>
      <c r="G194" s="27" t="s">
        <v>285</v>
      </c>
      <c r="H194" s="25" t="s">
        <v>297</v>
      </c>
      <c r="I194" s="25"/>
      <c r="J194" s="25" t="s">
        <v>298</v>
      </c>
      <c r="K194" s="28">
        <v>0.29166666666666669</v>
      </c>
      <c r="L194" s="28">
        <v>0.66666666666666663</v>
      </c>
      <c r="M194" s="28">
        <v>4.1666666666666664E-2</v>
      </c>
      <c r="N194" s="25" t="s">
        <v>281</v>
      </c>
      <c r="O194" s="29" t="str">
        <f>_xlfn.XLOOKUP(Table2[[#This Row],[Key]],Table1[Key],Table1[주민등록번호],"",0)</f>
        <v>980XX81XX7X17</v>
      </c>
      <c r="P194" s="86">
        <f>_xlfn.XLOOKUP(Table2[[#This Row],[Key]],Table1[Key],Table1[비자],"",0)</f>
        <v>0</v>
      </c>
      <c r="Q194" s="86">
        <f>IF(P194=0,0,_xlfn.XLOOKUP(Table2[[#This Row],[Key]],Table1[Key],Table1[고용보험 여부],0,0))</f>
        <v>0</v>
      </c>
      <c r="R194" s="29" t="str">
        <f t="shared" si="29"/>
        <v>2505</v>
      </c>
      <c r="S194" s="30" t="str">
        <f>YEAR(Table2[[#This Row],[근무일자]])&amp;TEXT(WEEKNUM(Table2[[#This Row],[근무일자]]),"00")</f>
        <v>202519</v>
      </c>
      <c r="T194" s="31">
        <f>_xlfn.XLOOKUP(Table2[[#This Row],[Key]],Table1[Key],Table1[등록일],"",0)</f>
        <v>45752</v>
      </c>
      <c r="U194" s="32">
        <f t="shared" si="30"/>
        <v>0.33333333333333326</v>
      </c>
      <c r="V194" s="92">
        <f t="shared" si="31"/>
        <v>0</v>
      </c>
      <c r="W194" s="100" t="str">
        <f>_xlfn.XLOOKUP(Table2[[#This Row],[근무일자]],Table3[Date],Table3[Holiday],"",0)</f>
        <v/>
      </c>
      <c r="X194" s="93">
        <f>IF(D194&lt;&gt;"",1,0)+IF(COUNTIFS(Table2[주민등록번호],O194,Table2[월],TEXT(EOMONTH(D194,-1),"YYMM"))&gt;0,1+IF(COUNTIFS(Table2[주민등록번호],O194,Table2[월],TEXT(EOMONTH(D194,-2),"YYMM"))&gt;0,1+IF(COUNTIFS(Table2[주민등록번호],O194,Table2[월],TEXT(EOMONTH(D194,-3),"YYMM"))&gt;0,1,0),0),0)</f>
        <v>2</v>
      </c>
      <c r="Y194" s="29">
        <f>COUNTIFS(Table2[주민등록번호],O194,Table2[월],R194,Table2[근무일자],"&lt;="&amp;D194)</f>
        <v>1</v>
      </c>
      <c r="Z194" s="29">
        <f>COUNTIFS(Table2[주민등록번호],O194,Table2[주간],S194,Table2[근무일자],"&lt;="&amp;D194)</f>
        <v>1</v>
      </c>
      <c r="AA194" s="29">
        <f>SUMIFS(Table2[근로
시간],Table2[주민등록번호],O194,Table2[주간],S194,Table2[근무일자],"&lt;="&amp;D194)*24</f>
        <v>7.9999999999999982</v>
      </c>
      <c r="AB194" s="29" t="str">
        <f>IF(AND(Y194&gt;=8,COUNTIFS(Table2[주민등록번호],O194,Table2[근무일자],"&gt;="&amp;EOMONTH(D194,-2)+1,Table2[근무일자],"&lt;="&amp;EOMONTH(D194,-1)+1)&gt;0),"V","")</f>
        <v/>
      </c>
      <c r="AC194" s="94" cm="1">
        <f t="array" ref="AC194">IF(AD194&lt;&gt;"",AD194,_xlfn.XLOOKUP(1,(D194&lt;=Table7[End])*(E194=Table7[근무처])*(F194=Table7[업무]),Table7[시급],0,0))</f>
        <v>10680</v>
      </c>
      <c r="AD194" s="95"/>
      <c r="AE194" s="94">
        <f t="shared" si="32"/>
        <v>85440</v>
      </c>
      <c r="AF194" s="96" cm="1">
        <f t="array" ref="AF194">IF(AND(AA194&gt;=15,(AA194-U194*24)&lt;=40),IF(Z194&gt;=_xlfn.XLOOKUP(1,(D194&lt;=Table7[End])*(E194=Table7[근무처])*(F194=Table7[업무]),Table7[주휴적용일],0,0),1,0)+_xlfn.XLOOKUP(1,(Table2[주간]=Table2[[#This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94" s="96" cm="1">
        <f t="array" ref="AG194">MAX((_xlfn.IFS(AF194=0,0,AF194=1,AA194,AF194&gt;1,U194*24)-IF(AA194&gt;40,AA194-40,0))/5,0)</f>
        <v>0</v>
      </c>
      <c r="AH194" s="94">
        <f t="shared" si="33"/>
        <v>0</v>
      </c>
      <c r="AI194" s="33" cm="1">
        <f t="array" ref="AI194">IF(W194="",0,ROUND(AC194*U194*24*_xlfn.XLOOKUP(1,(D194&lt;=Table7[End])*(E194=Table7[근무처])*(F194=Table7[업무]),Table7[휴일인센티브],0,0),0))</f>
        <v>0</v>
      </c>
      <c r="AJ194" s="94" cm="1">
        <f t="array" ref="AJ194">ROUND(AC194*IF(U194&gt;=8/24,U194-8/24,0)*24*_xlfn.XLOOKUP(1,(D194&lt;=Table7[End])*(E194=Table7[근무처])*(F194=Table7[업무]),Table7[야간인센티브],0,0),0)</f>
        <v>0</v>
      </c>
      <c r="AK194" s="94" cm="1">
        <f t="array" ref="AK194">IF(V194=0,0,ROUND(AC194*V194*24*_xlfn.XLOOKUP(1,(D194&lt;=Table7[End])*(E194=Table7[근무처])*(F194=Table7[업무]),Table7[야간인센티브],0,0),0))</f>
        <v>0</v>
      </c>
      <c r="AL194" s="95"/>
      <c r="AM194" s="94">
        <f t="shared" si="34"/>
        <v>85440</v>
      </c>
      <c r="AN194" s="94" cm="1">
        <f t="array" ref="AN194">IF(AM194&gt;=_xlfn.XLOOKUP(TRUE,D194&lt;=Table5[End],Table5[비과세소득기준],0,0),AM194-_xlfn.XLOOKUP(TRUE,D194&lt;=Table5[End],Table5[비과세소득기준],0,0),0)</f>
        <v>0</v>
      </c>
      <c r="AO194" s="94" cm="1">
        <f t="array" ref="AO194">ROUNDDOWN(_xlfn.LET(_xlpm.setvalue,_xlfn.XLOOKUP(TRUE,D194&lt;=Table5[End],Table5[[요율]:[근로소득세액공제]],0,0),_xlpm.tax,AN194*PRODUCT((_xlpm.setvalue-{0,1})*{1,-1}),_xlpm.threshold,_xlfn.XLOOKUP(TRUE,D194&lt;=Table5[End],Table5[소액부징수기준],0,0),IF(_xlpm.tax&gt;=_xlpm.threshold,_xlpm.tax,0)),-1)</f>
        <v>0</v>
      </c>
      <c r="AP194" s="94">
        <f>ROUNDDOWN(Table2[[#This Row],[소득세]]*10%,-1)</f>
        <v>0</v>
      </c>
      <c r="AQ194" s="94">
        <f>IF(AB194="v",AM194+IF(Y194=8,SUMIFS(Table2[지급총액],Table2[주민등록번호],O194,Table2[월],R194,Table2[월간
근무일],"&lt;="&amp;8)-AM194,0),0)+_xlfn.NUMBERVALUE(AR194)</f>
        <v>0</v>
      </c>
      <c r="AR194" s="95"/>
      <c r="AS194" s="94" cm="1">
        <f t="array" ref="AS194">ROUNDDOWN($AQ194*_xlfn.XLOOKUP(1,(AS$5=Table8[Type])*($D194&lt;=Table8[End]),Table8[요율],0,0),0)</f>
        <v>0</v>
      </c>
      <c r="AT194" s="94" cm="1">
        <f t="array" ref="AT194">ROUNDDOWN(AS194*_xlfn.XLOOKUP(1,(AT$5=Table8[Type])*($D194&lt;=Table8[End]),Table8[요율],0,0),-1)</f>
        <v>0</v>
      </c>
      <c r="AU194" s="94" cm="1">
        <f t="array" ref="AU194">ROUNDDOWN($AQ194*_xlfn.XLOOKUP(1,(AU$5=Table8[Type])*($D194&lt;=Table8[End]),Table8[요율],0,0),-1)</f>
        <v>0</v>
      </c>
      <c r="AV194" s="94" cm="1">
        <f t="array" ref="AV194">ROUNDDOWN(AM194*_xlfn.XLOOKUP(1,(AV$5=Table8[Type])*($D194&lt;=Table8[End]),Table8[요율],0,0),-1)</f>
        <v>0</v>
      </c>
      <c r="AW194" s="94" cm="1">
        <f t="array" ref="AW194">_xlfn.XLOOKUP(1,(O194=Table2[주민등록번호])*(D194&gt;Table2[근무일자]),Table2[청구 Claim 
이월],0,0,-1)</f>
        <v>0</v>
      </c>
      <c r="AX194" s="95"/>
      <c r="AY194" s="94" cm="1">
        <f t="array" ref="AY194">MAX(SUM(AO194:AP194,AS194:AX194)-_xlfn.XLOOKUP(1,(D194&lt;=Table7[End])*(E194=Table7[근무처])*(F194=Table7[업무]),Table7[1일 공제 상한],0,0),0)</f>
        <v>0</v>
      </c>
      <c r="AZ194" s="94">
        <f t="shared" si="35"/>
        <v>0</v>
      </c>
      <c r="BA194" s="94">
        <f t="shared" si="36"/>
        <v>85440</v>
      </c>
      <c r="BB194" s="97">
        <f t="shared" si="37"/>
        <v>0</v>
      </c>
      <c r="BC194" s="98"/>
      <c r="BD194" s="94">
        <f t="shared" si="38"/>
        <v>0</v>
      </c>
      <c r="BE194" s="94">
        <f t="shared" si="39"/>
        <v>0</v>
      </c>
      <c r="BF194" s="94">
        <f t="shared" si="40"/>
        <v>0</v>
      </c>
      <c r="BG194" s="94">
        <f t="shared" si="41"/>
        <v>0</v>
      </c>
      <c r="BH194" s="94" cm="1">
        <f t="array" ref="BH194">ROUNDDOWN(AM194*_xlfn.XLOOKUP(1,(BH$5=Table8[Type])*($D194&lt;=Table8[End]),Table8[요율],0,0),-1)</f>
        <v>680</v>
      </c>
      <c r="BI194" s="93" t="str" cm="1">
        <f t="array" ref="BI194">_xlfn.XLOOKUP(1,(D194&lt;=Table7[End])*(E194=Table7[근무처])*(F194=Table7[업무]),Table7[지급옵션],0,0)</f>
        <v>차주 화</v>
      </c>
      <c r="BJ194" s="83">
        <f>IF(BK194&lt;&gt;"",BK194,IFERROR(D194+_xlfn.NUMBERVALUE(RIGHT(BI194,1)),D194-WEEKDAY(D194)+CHOOSE(MATCH(RIGHT(BI194),{"일","월","화","수","목","금","토"},0),8,9,10,11,12,13,14)))</f>
        <v>45790</v>
      </c>
      <c r="BK194" s="99"/>
    </row>
    <row r="195" spans="2:63" x14ac:dyDescent="0.35">
      <c r="B195" s="20" t="str" cm="1">
        <f t="array" ref="B195">_xlfn.IFS(BB195&lt;&gt;BC195,"Claim확인",N195&lt;&gt;"OK","확인필요",TRUE,"")</f>
        <v/>
      </c>
      <c r="C195" s="21" t="str">
        <f t="shared" si="28"/>
        <v>010-5X0X-X6X5010X57XX685907</v>
      </c>
      <c r="D195" s="26">
        <v>45781</v>
      </c>
      <c r="E195" s="91" t="s">
        <v>255</v>
      </c>
      <c r="F195" s="25" t="s">
        <v>258</v>
      </c>
      <c r="G195" s="27" t="s">
        <v>287</v>
      </c>
      <c r="H195" s="25" t="s">
        <v>301</v>
      </c>
      <c r="I195" s="25"/>
      <c r="J195" s="25" t="s">
        <v>302</v>
      </c>
      <c r="K195" s="28">
        <v>0.45833333333333331</v>
      </c>
      <c r="L195" s="28">
        <v>0.83333333333333337</v>
      </c>
      <c r="M195" s="28">
        <v>4.1666666666666664E-2</v>
      </c>
      <c r="N195" s="25" t="s">
        <v>281</v>
      </c>
      <c r="O195" s="29" t="str">
        <f>_xlfn.XLOOKUP(Table2[[#This Row],[Key]],Table1[Key],Table1[주민등록번호],"",0)</f>
        <v>980XX82XX3X25</v>
      </c>
      <c r="P195" s="29">
        <f>_xlfn.XLOOKUP(Table2[[#This Row],[Key]],Table1[Key],Table1[비자],"",0)</f>
        <v>0</v>
      </c>
      <c r="Q195" s="29">
        <f>IF(P195=0,0,_xlfn.XLOOKUP(Table2[[#This Row],[Key]],Table1[Key],Table1[고용보험 여부],0,0))</f>
        <v>0</v>
      </c>
      <c r="R195" s="29" t="str">
        <f t="shared" si="29"/>
        <v>2505</v>
      </c>
      <c r="S195" s="30" t="str">
        <f>YEAR(Table2[[#This Row],[근무일자]])&amp;TEXT(WEEKNUM(Table2[[#This Row],[근무일자]]),"00")</f>
        <v>202519</v>
      </c>
      <c r="T195" s="31">
        <f>_xlfn.XLOOKUP(Table2[[#This Row],[Key]],Table1[Key],Table1[등록일],"",0)</f>
        <v>45783</v>
      </c>
      <c r="U195" s="32">
        <f t="shared" si="30"/>
        <v>0.33333333333333337</v>
      </c>
      <c r="V195" s="92">
        <f t="shared" si="31"/>
        <v>0</v>
      </c>
      <c r="W195" s="100" t="str">
        <f>_xlfn.XLOOKUP(Table2[[#This Row],[근무일자]],Table3[Date],Table3[Holiday],"",0)</f>
        <v/>
      </c>
      <c r="X195" s="93">
        <f>IF(D195&lt;&gt;"",1,0)+IF(COUNTIFS(Table2[주민등록번호],O195,Table2[월],TEXT(EOMONTH(D195,-1),"YYMM"))&gt;0,1+IF(COUNTIFS(Table2[주민등록번호],O195,Table2[월],TEXT(EOMONTH(D195,-2),"YYMM"))&gt;0,1+IF(COUNTIFS(Table2[주민등록번호],O195,Table2[월],TEXT(EOMONTH(D195,-3),"YYMM"))&gt;0,1,0),0),0)</f>
        <v>2</v>
      </c>
      <c r="Y195" s="29">
        <f>COUNTIFS(Table2[주민등록번호],O195,Table2[월],R195,Table2[근무일자],"&lt;="&amp;D195)</f>
        <v>1</v>
      </c>
      <c r="Z195" s="29">
        <f>COUNTIFS(Table2[주민등록번호],O195,Table2[주간],S195,Table2[근무일자],"&lt;="&amp;D195)</f>
        <v>1</v>
      </c>
      <c r="AA195" s="29">
        <f>SUMIFS(Table2[근로
시간],Table2[주민등록번호],O195,Table2[주간],S195,Table2[근무일자],"&lt;="&amp;D195)*24</f>
        <v>8</v>
      </c>
      <c r="AB195" s="29" t="str">
        <f>IF(AND(Y195&gt;=8,COUNTIFS(Table2[주민등록번호],O195,Table2[근무일자],"&gt;="&amp;EOMONTH(D195,-2)+1,Table2[근무일자],"&lt;="&amp;EOMONTH(D195,-1)+1)&gt;0),"V","")</f>
        <v/>
      </c>
      <c r="AC195" s="94" cm="1">
        <f t="array" ref="AC195">IF(AD195&lt;&gt;"",AD195,_xlfn.XLOOKUP(1,(D195&lt;=Table7[End])*(E195=Table7[근무처])*(F195=Table7[업무]),Table7[시급],0,0))</f>
        <v>10680</v>
      </c>
      <c r="AD195" s="95"/>
      <c r="AE195" s="94">
        <f t="shared" si="32"/>
        <v>85440</v>
      </c>
      <c r="AF195" s="96" cm="1">
        <f t="array" ref="AF195">IF(AND(AA195&gt;=15,(AA195-U195*24)&lt;=40),IF(Z195&gt;=_xlfn.XLOOKUP(1,(D195&lt;=Table7[End])*(E195=Table7[근무처])*(F195=Table7[업무]),Table7[주휴적용일],0,0),1,0)+_xlfn.XLOOKUP(1,(Table2[주간]=Table2[[#This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195" s="96" cm="1">
        <f t="array" ref="AG195">MAX((_xlfn.IFS(AF195=0,0,AF195=1,AA195,AF195&gt;1,U195*24)-IF(AA195&gt;40,AA195-40,0))/5,0)</f>
        <v>0</v>
      </c>
      <c r="AH195" s="94">
        <f t="shared" si="33"/>
        <v>0</v>
      </c>
      <c r="AI195" s="33" cm="1">
        <f t="array" ref="AI195">IF(W195="",0,ROUND(AC195*U195*24*_xlfn.XLOOKUP(1,(D195&lt;=Table7[End])*(E195=Table7[근무처])*(F195=Table7[업무]),Table7[휴일인센티브],0,0),0))</f>
        <v>0</v>
      </c>
      <c r="AJ195" s="94" cm="1">
        <f t="array" ref="AJ195">ROUND(AC195*IF(U195&gt;=8/24,U195-8/24,0)*24*_xlfn.XLOOKUP(1,(D195&lt;=Table7[End])*(E195=Table7[근무처])*(F195=Table7[업무]),Table7[야간인센티브],0,0),0)</f>
        <v>0</v>
      </c>
      <c r="AK195" s="94" cm="1">
        <f t="array" ref="AK195">IF(V195=0,0,ROUND(AC195*V195*24*_xlfn.XLOOKUP(1,(D195&lt;=Table7[End])*(E195=Table7[근무처])*(F195=Table7[업무]),Table7[야간인센티브],0,0),0))</f>
        <v>0</v>
      </c>
      <c r="AL195" s="95"/>
      <c r="AM195" s="94">
        <f t="shared" si="34"/>
        <v>85440</v>
      </c>
      <c r="AN195" s="94" cm="1">
        <f t="array" ref="AN195">IF(AM195&gt;=_xlfn.XLOOKUP(TRUE,D195&lt;=Table5[End],Table5[비과세소득기준],0,0),AM195-_xlfn.XLOOKUP(TRUE,D195&lt;=Table5[End],Table5[비과세소득기준],0,0),0)</f>
        <v>0</v>
      </c>
      <c r="AO195" s="94" cm="1">
        <f t="array" ref="AO195">ROUNDDOWN(_xlfn.LET(_xlpm.setvalue,_xlfn.XLOOKUP(TRUE,D195&lt;=Table5[End],Table5[[요율]:[근로소득세액공제]],0,0),_xlpm.tax,AN195*PRODUCT((_xlpm.setvalue-{0,1})*{1,-1}),_xlpm.threshold,_xlfn.XLOOKUP(TRUE,D195&lt;=Table5[End],Table5[소액부징수기준],0,0),IF(_xlpm.tax&gt;=_xlpm.threshold,_xlpm.tax,0)),-1)</f>
        <v>0</v>
      </c>
      <c r="AP195" s="94">
        <f>ROUNDDOWN(Table2[[#This Row],[소득세]]*10%,-1)</f>
        <v>0</v>
      </c>
      <c r="AQ195" s="94">
        <f>IF(AB195="v",AM195+IF(Y195=8,SUMIFS(Table2[지급총액],Table2[주민등록번호],O195,Table2[월],R195,Table2[월간
근무일],"&lt;="&amp;8)-AM195,0),0)+_xlfn.NUMBERVALUE(AR195)</f>
        <v>0</v>
      </c>
      <c r="AR195" s="95"/>
      <c r="AS195" s="94" cm="1">
        <f t="array" ref="AS195">ROUNDDOWN($AQ195*_xlfn.XLOOKUP(1,(AS$5=Table8[Type])*($D195&lt;=Table8[End]),Table8[요율],0,0),0)</f>
        <v>0</v>
      </c>
      <c r="AT195" s="94" cm="1">
        <f t="array" ref="AT195">ROUNDDOWN(AS195*_xlfn.XLOOKUP(1,(AT$5=Table8[Type])*($D195&lt;=Table8[End]),Table8[요율],0,0),-1)</f>
        <v>0</v>
      </c>
      <c r="AU195" s="94" cm="1">
        <f t="array" ref="AU195">ROUNDDOWN($AQ195*_xlfn.XLOOKUP(1,(AU$5=Table8[Type])*($D195&lt;=Table8[End]),Table8[요율],0,0),-1)</f>
        <v>0</v>
      </c>
      <c r="AV195" s="94" cm="1">
        <f t="array" ref="AV195">ROUNDDOWN(AM195*_xlfn.XLOOKUP(1,(AV$5=Table8[Type])*($D195&lt;=Table8[End]),Table8[요율],0,0),-1)</f>
        <v>0</v>
      </c>
      <c r="AW195" s="94" cm="1">
        <f t="array" ref="AW195">_xlfn.XLOOKUP(1,(O195=Table2[주민등록번호])*(D195&gt;Table2[근무일자]),Table2[청구 Claim 
이월],0,0,-1)</f>
        <v>0</v>
      </c>
      <c r="AX195" s="95"/>
      <c r="AY195" s="94" cm="1">
        <f t="array" ref="AY195">MAX(SUM(AO195:AP195,AS195:AX195)-_xlfn.XLOOKUP(1,(D195&lt;=Table7[End])*(E195=Table7[근무처])*(F195=Table7[업무]),Table7[1일 공제 상한],0,0),0)</f>
        <v>0</v>
      </c>
      <c r="AZ195" s="94">
        <f t="shared" si="35"/>
        <v>0</v>
      </c>
      <c r="BA195" s="94">
        <f t="shared" si="36"/>
        <v>85440</v>
      </c>
      <c r="BB195" s="97">
        <f t="shared" si="37"/>
        <v>0</v>
      </c>
      <c r="BC195" s="98"/>
      <c r="BD195" s="94">
        <f t="shared" si="38"/>
        <v>0</v>
      </c>
      <c r="BE195" s="94">
        <f t="shared" si="39"/>
        <v>0</v>
      </c>
      <c r="BF195" s="94">
        <f t="shared" si="40"/>
        <v>0</v>
      </c>
      <c r="BG195" s="94">
        <f t="shared" si="41"/>
        <v>0</v>
      </c>
      <c r="BH195" s="94" cm="1">
        <f t="array" ref="BH195">ROUNDDOWN(AM195*_xlfn.XLOOKUP(1,(BH$5=Table8[Type])*($D195&lt;=Table8[End]),Table8[요율],0,0),-1)</f>
        <v>680</v>
      </c>
      <c r="BI195" s="93" t="str" cm="1">
        <f t="array" ref="BI195">_xlfn.XLOOKUP(1,(D195&lt;=Table7[End])*(E195=Table7[근무처])*(F195=Table7[업무]),Table7[지급옵션],0,0)</f>
        <v>차주 화</v>
      </c>
      <c r="BJ195" s="83">
        <f>IF(BK195&lt;&gt;"",BK195,IFERROR(D195+_xlfn.NUMBERVALUE(RIGHT(BI195,1)),D195-WEEKDAY(D195)+CHOOSE(MATCH(RIGHT(BI195),{"일","월","화","수","목","금","토"},0),8,9,10,11,12,13,14)))</f>
        <v>45790</v>
      </c>
      <c r="BK195" s="99"/>
    </row>
    <row r="196" spans="2:63" x14ac:dyDescent="0.35">
      <c r="B196" s="20" t="str" cm="1">
        <f t="array" ref="B196">_xlfn.IFS(BB196&lt;&gt;BC196,"Claim확인",N196&lt;&gt;"OK","확인필요",TRUE,"")</f>
        <v/>
      </c>
      <c r="C196" s="21" t="str">
        <f t="shared" si="28"/>
        <v>010-7X6X-X9X5110X98XX7530</v>
      </c>
      <c r="D196" s="26">
        <v>45782</v>
      </c>
      <c r="E196" s="91" t="s">
        <v>255</v>
      </c>
      <c r="F196" s="25" t="s">
        <v>258</v>
      </c>
      <c r="G196" s="27" t="s">
        <v>282</v>
      </c>
      <c r="H196" s="25" t="s">
        <v>289</v>
      </c>
      <c r="I196" s="25"/>
      <c r="J196" s="25" t="s">
        <v>290</v>
      </c>
      <c r="K196" s="28">
        <v>0.3125</v>
      </c>
      <c r="L196" s="28">
        <v>0.6875</v>
      </c>
      <c r="M196" s="28">
        <v>4.1666666666666664E-2</v>
      </c>
      <c r="N196" s="25" t="s">
        <v>281</v>
      </c>
      <c r="O196" s="29" t="str">
        <f>_xlfn.XLOOKUP(Table2[[#This Row],[Key]],Table1[Key],Table1[주민등록번호],"",0)</f>
        <v>990XX62XX3X13</v>
      </c>
      <c r="P196" s="29">
        <f>_xlfn.XLOOKUP(Table2[[#This Row],[Key]],Table1[Key],Table1[비자],"",0)</f>
        <v>0</v>
      </c>
      <c r="Q196" s="29">
        <f>IF(P196=0,0,_xlfn.XLOOKUP(Table2[[#This Row],[Key]],Table1[Key],Table1[고용보험 여부],0,0))</f>
        <v>0</v>
      </c>
      <c r="R196" s="29" t="str">
        <f t="shared" si="29"/>
        <v>2505</v>
      </c>
      <c r="S196" s="30" t="str">
        <f>YEAR(Table2[[#This Row],[근무일자]])&amp;TEXT(WEEKNUM(Table2[[#This Row],[근무일자]]),"00")</f>
        <v>202519</v>
      </c>
      <c r="T196" s="31">
        <f>_xlfn.XLOOKUP(Table2[[#This Row],[Key]],Table1[Key],Table1[등록일],"",0)</f>
        <v>45696</v>
      </c>
      <c r="U196" s="32">
        <f t="shared" si="30"/>
        <v>0.33333333333333331</v>
      </c>
      <c r="V196" s="92">
        <f t="shared" si="31"/>
        <v>0</v>
      </c>
      <c r="W196" s="100" t="str">
        <f>_xlfn.XLOOKUP(Table2[[#This Row],[근무일자]],Table3[Date],Table3[Holiday],"",0)</f>
        <v>어린이날, 석가탄신일</v>
      </c>
      <c r="X196" s="93">
        <f>IF(D196&lt;&gt;"",1,0)+IF(COUNTIFS(Table2[주민등록번호],O196,Table2[월],TEXT(EOMONTH(D196,-1),"YYMM"))&gt;0,1+IF(COUNTIFS(Table2[주민등록번호],O196,Table2[월],TEXT(EOMONTH(D196,-2),"YYMM"))&gt;0,1+IF(COUNTIFS(Table2[주민등록번호],O196,Table2[월],TEXT(EOMONTH(D196,-3),"YYMM"))&gt;0,1,0),0),0)</f>
        <v>4</v>
      </c>
      <c r="Y196" s="29">
        <f>COUNTIFS(Table2[주민등록번호],O196,Table2[월],R196,Table2[근무일자],"&lt;="&amp;D196)</f>
        <v>4</v>
      </c>
      <c r="Z196" s="29">
        <f>COUNTIFS(Table2[주민등록번호],O196,Table2[주간],S196,Table2[근무일자],"&lt;="&amp;D196)</f>
        <v>2</v>
      </c>
      <c r="AA196" s="29">
        <f>SUMIFS(Table2[근로
시간],Table2[주민등록번호],O196,Table2[주간],S196,Table2[근무일자],"&lt;="&amp;D196)*24</f>
        <v>16</v>
      </c>
      <c r="AB196" s="29" t="str">
        <f>IF(AND(Y196&gt;=8,COUNTIFS(Table2[주민등록번호],O196,Table2[근무일자],"&gt;="&amp;EOMONTH(D196,-2)+1,Table2[근무일자],"&lt;="&amp;EOMONTH(D196,-1)+1)&gt;0),"V","")</f>
        <v/>
      </c>
      <c r="AC196" s="94" cm="1">
        <f t="array" ref="AC196">IF(AD196&lt;&gt;"",AD196,_xlfn.XLOOKUP(1,(D196&lt;=Table7[End])*(E196=Table7[근무처])*(F196=Table7[업무]),Table7[시급],0,0))</f>
        <v>10680</v>
      </c>
      <c r="AD196" s="95"/>
      <c r="AE196" s="94">
        <f t="shared" si="32"/>
        <v>85440</v>
      </c>
      <c r="AF196" s="96" cm="1">
        <f t="array" ref="AF196">IF(AND(AA196&gt;=15,(AA196-U196*24)&lt;=40),IF(Z196&gt;=_xlfn.XLOOKUP(1,(D196&lt;=Table7[End])*(E196=Table7[근무처])*(F196=Table7[업무]),Table7[주휴적용일],0,0),1,0)+_xlfn.XLOOKUP(1,(Table2[주간]=Table2[[#This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96" s="96" cm="1">
        <f t="array" ref="AG196">MAX((_xlfn.IFS(AF196=0,0,AF196=1,AA196,AF196&gt;1,U196*24)-IF(AA196&gt;40,AA196-40,0))/5,0)</f>
        <v>3.2</v>
      </c>
      <c r="AH196" s="94">
        <f t="shared" si="33"/>
        <v>34176</v>
      </c>
      <c r="AI196" s="33" cm="1">
        <f t="array" ref="AI196">IF(W196="",0,ROUND(AC196*U196*24*_xlfn.XLOOKUP(1,(D196&lt;=Table7[End])*(E196=Table7[근무처])*(F196=Table7[업무]),Table7[휴일인센티브],0,0),0))</f>
        <v>42720</v>
      </c>
      <c r="AJ196" s="94" cm="1">
        <f t="array" ref="AJ196">ROUND(AC196*IF(U196&gt;=8/24,U196-8/24,0)*24*_xlfn.XLOOKUP(1,(D196&lt;=Table7[End])*(E196=Table7[근무처])*(F196=Table7[업무]),Table7[야간인센티브],0,0),0)</f>
        <v>0</v>
      </c>
      <c r="AK196" s="94" cm="1">
        <f t="array" ref="AK196">IF(V196=0,0,ROUND(AC196*V196*24*_xlfn.XLOOKUP(1,(D196&lt;=Table7[End])*(E196=Table7[근무처])*(F196=Table7[업무]),Table7[야간인센티브],0,0),0))</f>
        <v>0</v>
      </c>
      <c r="AL196" s="95"/>
      <c r="AM196" s="94">
        <f t="shared" si="34"/>
        <v>162336</v>
      </c>
      <c r="AN196" s="94" cm="1">
        <f t="array" ref="AN196">IF(AM196&gt;=_xlfn.XLOOKUP(TRUE,D196&lt;=Table5[End],Table5[비과세소득기준],0,0),AM196-_xlfn.XLOOKUP(TRUE,D196&lt;=Table5[End],Table5[비과세소득기준],0,0),0)</f>
        <v>12336</v>
      </c>
      <c r="AO196" s="94" cm="1">
        <f t="array" ref="AO196">ROUNDDOWN(_xlfn.LET(_xlpm.setvalue,_xlfn.XLOOKUP(TRUE,D196&lt;=Table5[End],Table5[[요율]:[근로소득세액공제]],0,0),_xlpm.tax,AN196*PRODUCT((_xlpm.setvalue-{0,1})*{1,-1}),_xlpm.threshold,_xlfn.XLOOKUP(TRUE,D196&lt;=Table5[End],Table5[소액부징수기준],0,0),IF(_xlpm.tax&gt;=_xlpm.threshold,_xlpm.tax,0)),-1)</f>
        <v>0</v>
      </c>
      <c r="AP196" s="94">
        <f>ROUNDDOWN(Table2[[#This Row],[소득세]]*10%,-1)</f>
        <v>0</v>
      </c>
      <c r="AQ196" s="94">
        <f>IF(AB196="v",AM196+IF(Y196=8,SUMIFS(Table2[지급총액],Table2[주민등록번호],O196,Table2[월],R196,Table2[월간
근무일],"&lt;="&amp;8)-AM196,0),0)+_xlfn.NUMBERVALUE(AR196)</f>
        <v>0</v>
      </c>
      <c r="AR196" s="95"/>
      <c r="AS196" s="94" cm="1">
        <f t="array" ref="AS196">ROUNDDOWN($AQ196*_xlfn.XLOOKUP(1,(AS$5=Table8[Type])*($D196&lt;=Table8[End]),Table8[요율],0,0),0)</f>
        <v>0</v>
      </c>
      <c r="AT196" s="94" cm="1">
        <f t="array" ref="AT196">ROUNDDOWN(AS196*_xlfn.XLOOKUP(1,(AT$5=Table8[Type])*($D196&lt;=Table8[End]),Table8[요율],0,0),-1)</f>
        <v>0</v>
      </c>
      <c r="AU196" s="94" cm="1">
        <f t="array" ref="AU196">ROUNDDOWN($AQ196*_xlfn.XLOOKUP(1,(AU$5=Table8[Type])*($D196&lt;=Table8[End]),Table8[요율],0,0),-1)</f>
        <v>0</v>
      </c>
      <c r="AV196" s="94" cm="1">
        <f t="array" ref="AV196">ROUNDDOWN(AM196*_xlfn.XLOOKUP(1,(AV$5=Table8[Type])*($D196&lt;=Table8[End]),Table8[요율],0,0),-1)</f>
        <v>0</v>
      </c>
      <c r="AW196" s="94" cm="1">
        <f t="array" ref="AW196">_xlfn.XLOOKUP(1,(O196=Table2[주민등록번호])*(D196&gt;Table2[근무일자]),Table2[청구 Claim 
이월],0,0,-1)</f>
        <v>0</v>
      </c>
      <c r="AX196" s="95"/>
      <c r="AY196" s="94" cm="1">
        <f t="array" ref="AY196">MAX(SUM(AO196:AP196,AS196:AX196)-_xlfn.XLOOKUP(1,(D196&lt;=Table7[End])*(E196=Table7[근무처])*(F196=Table7[업무]),Table7[1일 공제 상한],0,0),0)</f>
        <v>0</v>
      </c>
      <c r="AZ196" s="94">
        <f t="shared" si="35"/>
        <v>0</v>
      </c>
      <c r="BA196" s="94">
        <f t="shared" si="36"/>
        <v>162336</v>
      </c>
      <c r="BB196" s="97">
        <f t="shared" si="37"/>
        <v>0</v>
      </c>
      <c r="BC196" s="98"/>
      <c r="BD196" s="94">
        <f t="shared" si="38"/>
        <v>0</v>
      </c>
      <c r="BE196" s="94">
        <f t="shared" si="39"/>
        <v>0</v>
      </c>
      <c r="BF196" s="94">
        <f t="shared" si="40"/>
        <v>0</v>
      </c>
      <c r="BG196" s="94">
        <f t="shared" si="41"/>
        <v>0</v>
      </c>
      <c r="BH196" s="94" cm="1">
        <f t="array" ref="BH196">ROUNDDOWN(AM196*_xlfn.XLOOKUP(1,(BH$5=Table8[Type])*($D196&lt;=Table8[End]),Table8[요율],0,0),-1)</f>
        <v>1290</v>
      </c>
      <c r="BI196" s="93" t="str" cm="1">
        <f t="array" ref="BI196">_xlfn.XLOOKUP(1,(D196&lt;=Table7[End])*(E196=Table7[근무처])*(F196=Table7[업무]),Table7[지급옵션],0,0)</f>
        <v>차주 화</v>
      </c>
      <c r="BJ196" s="83">
        <f>IF(BK196&lt;&gt;"",BK196,IFERROR(D196+_xlfn.NUMBERVALUE(RIGHT(BI196,1)),D196-WEEKDAY(D196)+CHOOSE(MATCH(RIGHT(BI196),{"일","월","화","수","목","금","토"},0),8,9,10,11,12,13,14)))</f>
        <v>45790</v>
      </c>
      <c r="BK196" s="99"/>
    </row>
    <row r="197" spans="2:63" x14ac:dyDescent="0.35">
      <c r="B197" s="20" t="str" cm="1">
        <f t="array" ref="B197">_xlfn.IFS(BB197&lt;&gt;BC197,"Claim확인",N197&lt;&gt;"OK","확인필요",TRUE,"")</f>
        <v/>
      </c>
      <c r="C197" s="21" t="str">
        <f t="shared" si="28"/>
        <v>010-8X0X-X0X9982X03XX901018</v>
      </c>
      <c r="D197" s="26">
        <v>45782</v>
      </c>
      <c r="E197" s="91" t="s">
        <v>255</v>
      </c>
      <c r="F197" s="25" t="s">
        <v>258</v>
      </c>
      <c r="G197" s="27" t="s">
        <v>283</v>
      </c>
      <c r="H197" s="25" t="s">
        <v>291</v>
      </c>
      <c r="I197" s="25"/>
      <c r="J197" s="25" t="s">
        <v>292</v>
      </c>
      <c r="K197" s="28">
        <v>0.3125</v>
      </c>
      <c r="L197" s="28">
        <v>0.6875</v>
      </c>
      <c r="M197" s="28">
        <v>4.1666666666666664E-2</v>
      </c>
      <c r="N197" s="25" t="s">
        <v>281</v>
      </c>
      <c r="O197" s="29" t="str">
        <f>_xlfn.XLOOKUP(Table2[[#This Row],[Key]],Table1[Key],Table1[주민등록번호],"",0)</f>
        <v>960XX51XX9X15</v>
      </c>
      <c r="P197" s="29">
        <f>_xlfn.XLOOKUP(Table2[[#This Row],[Key]],Table1[Key],Table1[비자],"",0)</f>
        <v>0</v>
      </c>
      <c r="Q197" s="29">
        <f>IF(P197=0,0,_xlfn.XLOOKUP(Table2[[#This Row],[Key]],Table1[Key],Table1[고용보험 여부],0,0))</f>
        <v>0</v>
      </c>
      <c r="R197" s="29" t="str">
        <f t="shared" si="29"/>
        <v>2505</v>
      </c>
      <c r="S197" s="30" t="str">
        <f>YEAR(Table2[[#This Row],[근무일자]])&amp;TEXT(WEEKNUM(Table2[[#This Row],[근무일자]]),"00")</f>
        <v>202519</v>
      </c>
      <c r="T197" s="31">
        <f>_xlfn.XLOOKUP(Table2[[#This Row],[Key]],Table1[Key],Table1[등록일],"",0)</f>
        <v>45698</v>
      </c>
      <c r="U197" s="32">
        <f t="shared" si="30"/>
        <v>0.33333333333333331</v>
      </c>
      <c r="V197" s="92">
        <f t="shared" si="31"/>
        <v>0</v>
      </c>
      <c r="W197" s="100" t="str">
        <f>_xlfn.XLOOKUP(Table2[[#This Row],[근무일자]],Table3[Date],Table3[Holiday],"",0)</f>
        <v>어린이날, 석가탄신일</v>
      </c>
      <c r="X197" s="93">
        <f>IF(D197&lt;&gt;"",1,0)+IF(COUNTIFS(Table2[주민등록번호],O197,Table2[월],TEXT(EOMONTH(D197,-1),"YYMM"))&gt;0,1+IF(COUNTIFS(Table2[주민등록번호],O197,Table2[월],TEXT(EOMONTH(D197,-2),"YYMM"))&gt;0,1+IF(COUNTIFS(Table2[주민등록번호],O197,Table2[월],TEXT(EOMONTH(D197,-3),"YYMM"))&gt;0,1,0),0),0)</f>
        <v>4</v>
      </c>
      <c r="Y197" s="29">
        <f>COUNTIFS(Table2[주민등록번호],O197,Table2[월],R197,Table2[근무일자],"&lt;="&amp;D197)</f>
        <v>5</v>
      </c>
      <c r="Z197" s="29">
        <f>COUNTIFS(Table2[주민등록번호],O197,Table2[주간],S197,Table2[근무일자],"&lt;="&amp;D197)</f>
        <v>2</v>
      </c>
      <c r="AA197" s="29">
        <f>SUMIFS(Table2[근로
시간],Table2[주민등록번호],O197,Table2[주간],S197,Table2[근무일자],"&lt;="&amp;D197)*24</f>
        <v>16</v>
      </c>
      <c r="AB197" s="29" t="str">
        <f>IF(AND(Y197&gt;=8,COUNTIFS(Table2[주민등록번호],O197,Table2[근무일자],"&gt;="&amp;EOMONTH(D197,-2)+1,Table2[근무일자],"&lt;="&amp;EOMONTH(D197,-1)+1)&gt;0),"V","")</f>
        <v/>
      </c>
      <c r="AC197" s="94" cm="1">
        <f t="array" ref="AC197">IF(AD197&lt;&gt;"",AD197,_xlfn.XLOOKUP(1,(D197&lt;=Table7[End])*(E197=Table7[근무처])*(F197=Table7[업무]),Table7[시급],0,0))</f>
        <v>10680</v>
      </c>
      <c r="AD197" s="95"/>
      <c r="AE197" s="94">
        <f t="shared" si="32"/>
        <v>85440</v>
      </c>
      <c r="AF197" s="96" cm="1">
        <f t="array" ref="AF197">IF(AND(AA197&gt;=15,(AA197-U197*24)&lt;=40),IF(Z197&gt;=_xlfn.XLOOKUP(1,(D197&lt;=Table7[End])*(E197=Table7[근무처])*(F197=Table7[업무]),Table7[주휴적용일],0,0),1,0)+_xlfn.XLOOKUP(1,(Table2[주간]=Table2[[#This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97" s="96" cm="1">
        <f t="array" ref="AG197">MAX((_xlfn.IFS(AF197=0,0,AF197=1,AA197,AF197&gt;1,U197*24)-IF(AA197&gt;40,AA197-40,0))/5,0)</f>
        <v>3.2</v>
      </c>
      <c r="AH197" s="94">
        <f t="shared" si="33"/>
        <v>34176</v>
      </c>
      <c r="AI197" s="33" cm="1">
        <f t="array" ref="AI197">IF(W197="",0,ROUND(AC197*U197*24*_xlfn.XLOOKUP(1,(D197&lt;=Table7[End])*(E197=Table7[근무처])*(F197=Table7[업무]),Table7[휴일인센티브],0,0),0))</f>
        <v>42720</v>
      </c>
      <c r="AJ197" s="94" cm="1">
        <f t="array" ref="AJ197">ROUND(AC197*IF(U197&gt;=8/24,U197-8/24,0)*24*_xlfn.XLOOKUP(1,(D197&lt;=Table7[End])*(E197=Table7[근무처])*(F197=Table7[업무]),Table7[야간인센티브],0,0),0)</f>
        <v>0</v>
      </c>
      <c r="AK197" s="94" cm="1">
        <f t="array" ref="AK197">IF(V197=0,0,ROUND(AC197*V197*24*_xlfn.XLOOKUP(1,(D197&lt;=Table7[End])*(E197=Table7[근무처])*(F197=Table7[업무]),Table7[야간인센티브],0,0),0))</f>
        <v>0</v>
      </c>
      <c r="AL197" s="95"/>
      <c r="AM197" s="94">
        <f t="shared" si="34"/>
        <v>162336</v>
      </c>
      <c r="AN197" s="94" cm="1">
        <f t="array" ref="AN197">IF(AM197&gt;=_xlfn.XLOOKUP(TRUE,D197&lt;=Table5[End],Table5[비과세소득기준],0,0),AM197-_xlfn.XLOOKUP(TRUE,D197&lt;=Table5[End],Table5[비과세소득기준],0,0),0)</f>
        <v>12336</v>
      </c>
      <c r="AO197" s="94" cm="1">
        <f t="array" ref="AO197">ROUNDDOWN(_xlfn.LET(_xlpm.setvalue,_xlfn.XLOOKUP(TRUE,D197&lt;=Table5[End],Table5[[요율]:[근로소득세액공제]],0,0),_xlpm.tax,AN197*PRODUCT((_xlpm.setvalue-{0,1})*{1,-1}),_xlpm.threshold,_xlfn.XLOOKUP(TRUE,D197&lt;=Table5[End],Table5[소액부징수기준],0,0),IF(_xlpm.tax&gt;=_xlpm.threshold,_xlpm.tax,0)),-1)</f>
        <v>0</v>
      </c>
      <c r="AP197" s="94">
        <f>ROUNDDOWN(Table2[[#This Row],[소득세]]*10%,-1)</f>
        <v>0</v>
      </c>
      <c r="AQ197" s="94">
        <f>IF(AB197="v",AM197+IF(Y197=8,SUMIFS(Table2[지급총액],Table2[주민등록번호],O197,Table2[월],R197,Table2[월간
근무일],"&lt;="&amp;8)-AM197,0),0)+_xlfn.NUMBERVALUE(AR197)</f>
        <v>0</v>
      </c>
      <c r="AR197" s="95"/>
      <c r="AS197" s="94" cm="1">
        <f t="array" ref="AS197">ROUNDDOWN($AQ197*_xlfn.XLOOKUP(1,(AS$5=Table8[Type])*($D197&lt;=Table8[End]),Table8[요율],0,0),0)</f>
        <v>0</v>
      </c>
      <c r="AT197" s="94" cm="1">
        <f t="array" ref="AT197">ROUNDDOWN(AS197*_xlfn.XLOOKUP(1,(AT$5=Table8[Type])*($D197&lt;=Table8[End]),Table8[요율],0,0),-1)</f>
        <v>0</v>
      </c>
      <c r="AU197" s="94" cm="1">
        <f t="array" ref="AU197">ROUNDDOWN($AQ197*_xlfn.XLOOKUP(1,(AU$5=Table8[Type])*($D197&lt;=Table8[End]),Table8[요율],0,0),-1)</f>
        <v>0</v>
      </c>
      <c r="AV197" s="94" cm="1">
        <f t="array" ref="AV197">ROUNDDOWN(AM197*_xlfn.XLOOKUP(1,(AV$5=Table8[Type])*($D197&lt;=Table8[End]),Table8[요율],0,0),-1)</f>
        <v>0</v>
      </c>
      <c r="AW197" s="94" cm="1">
        <f t="array" ref="AW197">_xlfn.XLOOKUP(1,(O197=Table2[주민등록번호])*(D197&gt;Table2[근무일자]),Table2[청구 Claim 
이월],0,0,-1)</f>
        <v>0</v>
      </c>
      <c r="AX197" s="95"/>
      <c r="AY197" s="94" cm="1">
        <f t="array" ref="AY197">MAX(SUM(AO197:AP197,AS197:AX197)-_xlfn.XLOOKUP(1,(D197&lt;=Table7[End])*(E197=Table7[근무처])*(F197=Table7[업무]),Table7[1일 공제 상한],0,0),0)</f>
        <v>0</v>
      </c>
      <c r="AZ197" s="94">
        <f t="shared" si="35"/>
        <v>0</v>
      </c>
      <c r="BA197" s="94">
        <f t="shared" si="36"/>
        <v>162336</v>
      </c>
      <c r="BB197" s="97">
        <f t="shared" si="37"/>
        <v>0</v>
      </c>
      <c r="BC197" s="98"/>
      <c r="BD197" s="94">
        <f t="shared" si="38"/>
        <v>0</v>
      </c>
      <c r="BE197" s="94">
        <f t="shared" si="39"/>
        <v>0</v>
      </c>
      <c r="BF197" s="94">
        <f t="shared" si="40"/>
        <v>0</v>
      </c>
      <c r="BG197" s="94">
        <f t="shared" si="41"/>
        <v>0</v>
      </c>
      <c r="BH197" s="94" cm="1">
        <f t="array" ref="BH197">ROUNDDOWN(AM197*_xlfn.XLOOKUP(1,(BH$5=Table8[Type])*($D197&lt;=Table8[End]),Table8[요율],0,0),-1)</f>
        <v>1290</v>
      </c>
      <c r="BI197" s="93" t="str" cm="1">
        <f t="array" ref="BI197">_xlfn.XLOOKUP(1,(D197&lt;=Table7[End])*(E197=Table7[근무처])*(F197=Table7[업무]),Table7[지급옵션],0,0)</f>
        <v>차주 화</v>
      </c>
      <c r="BJ197" s="83">
        <f>IF(BK197&lt;&gt;"",BK197,IFERROR(D197+_xlfn.NUMBERVALUE(RIGHT(BI197,1)),D197-WEEKDAY(D197)+CHOOSE(MATCH(RIGHT(BI197),{"일","월","화","수","목","금","토"},0),8,9,10,11,12,13,14)))</f>
        <v>45790</v>
      </c>
      <c r="BK197" s="99"/>
    </row>
    <row r="198" spans="2:63" x14ac:dyDescent="0.35">
      <c r="B198" s="20" t="str" cm="1">
        <f t="array" ref="B198">_xlfn.IFS(BB198&lt;&gt;BC198,"Claim확인",N198&lt;&gt;"OK","확인필요",TRUE,"")</f>
        <v/>
      </c>
      <c r="C198" s="21" t="str">
        <f t="shared" ref="C198:C261" si="42">H198&amp;J198</f>
        <v>010-2X2X-X2X2945X02XX268466</v>
      </c>
      <c r="D198" s="26">
        <v>45782</v>
      </c>
      <c r="E198" s="91" t="s">
        <v>255</v>
      </c>
      <c r="F198" s="25" t="s">
        <v>258</v>
      </c>
      <c r="G198" s="27" t="s">
        <v>285</v>
      </c>
      <c r="H198" s="25" t="s">
        <v>297</v>
      </c>
      <c r="I198" s="25"/>
      <c r="J198" s="25" t="s">
        <v>298</v>
      </c>
      <c r="K198" s="28">
        <v>0.29166666666666669</v>
      </c>
      <c r="L198" s="28">
        <v>0.66666666666666663</v>
      </c>
      <c r="M198" s="28">
        <v>4.1666666666666664E-2</v>
      </c>
      <c r="N198" s="25" t="s">
        <v>281</v>
      </c>
      <c r="O198" s="29" t="str">
        <f>_xlfn.XLOOKUP(Table2[[#This Row],[Key]],Table1[Key],Table1[주민등록번호],"",0)</f>
        <v>980XX81XX7X17</v>
      </c>
      <c r="P198" s="86">
        <f>_xlfn.XLOOKUP(Table2[[#This Row],[Key]],Table1[Key],Table1[비자],"",0)</f>
        <v>0</v>
      </c>
      <c r="Q198" s="86">
        <f>IF(P198=0,0,_xlfn.XLOOKUP(Table2[[#This Row],[Key]],Table1[Key],Table1[고용보험 여부],0,0))</f>
        <v>0</v>
      </c>
      <c r="R198" s="29" t="str">
        <f t="shared" ref="R198:R261" si="43">TEXT(D198,"YYMM")</f>
        <v>2505</v>
      </c>
      <c r="S198" s="30" t="str">
        <f>YEAR(Table2[[#This Row],[근무일자]])&amp;TEXT(WEEKNUM(Table2[[#This Row],[근무일자]]),"00")</f>
        <v>202519</v>
      </c>
      <c r="T198" s="31">
        <f>_xlfn.XLOOKUP(Table2[[#This Row],[Key]],Table1[Key],Table1[등록일],"",0)</f>
        <v>45752</v>
      </c>
      <c r="U198" s="32">
        <f t="shared" ref="U198:U261" si="44">IF(AND(K198&lt;&gt;"",L198&lt;&gt;""),IF(AND(K198&lt;&gt;L198,L198&lt;=6/24),1+L198,L198)-K198-M198,0)</f>
        <v>0.33333333333333326</v>
      </c>
      <c r="V198" s="92">
        <f t="shared" ref="V198:V261" si="45">MIN(IF(U198&gt;0,_xlfn.IFS(K198&lt;6/24,6/24-K198,L198&gt;22/24,L198-22/24,AND(K198&lt;=22/24,L198&lt;=6/24),2/24+L198,TRUE,0),0),U198)</f>
        <v>0</v>
      </c>
      <c r="W198" s="100" t="str">
        <f>_xlfn.XLOOKUP(Table2[[#This Row],[근무일자]],Table3[Date],Table3[Holiday],"",0)</f>
        <v>어린이날, 석가탄신일</v>
      </c>
      <c r="X198" s="93">
        <f>IF(D198&lt;&gt;"",1,0)+IF(COUNTIFS(Table2[주민등록번호],O198,Table2[월],TEXT(EOMONTH(D198,-1),"YYMM"))&gt;0,1+IF(COUNTIFS(Table2[주민등록번호],O198,Table2[월],TEXT(EOMONTH(D198,-2),"YYMM"))&gt;0,1+IF(COUNTIFS(Table2[주민등록번호],O198,Table2[월],TEXT(EOMONTH(D198,-3),"YYMM"))&gt;0,1,0),0),0)</f>
        <v>2</v>
      </c>
      <c r="Y198" s="29">
        <f>COUNTIFS(Table2[주민등록번호],O198,Table2[월],R198,Table2[근무일자],"&lt;="&amp;D198)</f>
        <v>2</v>
      </c>
      <c r="Z198" s="29">
        <f>COUNTIFS(Table2[주민등록번호],O198,Table2[주간],S198,Table2[근무일자],"&lt;="&amp;D198)</f>
        <v>2</v>
      </c>
      <c r="AA198" s="29">
        <f>SUMIFS(Table2[근로
시간],Table2[주민등록번호],O198,Table2[주간],S198,Table2[근무일자],"&lt;="&amp;D198)*24</f>
        <v>15.999999999999996</v>
      </c>
      <c r="AB198" s="29" t="str">
        <f>IF(AND(Y198&gt;=8,COUNTIFS(Table2[주민등록번호],O198,Table2[근무일자],"&gt;="&amp;EOMONTH(D198,-2)+1,Table2[근무일자],"&lt;="&amp;EOMONTH(D198,-1)+1)&gt;0),"V","")</f>
        <v/>
      </c>
      <c r="AC198" s="94" cm="1">
        <f t="array" ref="AC198">IF(AD198&lt;&gt;"",AD198,_xlfn.XLOOKUP(1,(D198&lt;=Table7[End])*(E198=Table7[근무처])*(F198=Table7[업무]),Table7[시급],0,0))</f>
        <v>10680</v>
      </c>
      <c r="AD198" s="95"/>
      <c r="AE198" s="94">
        <f t="shared" ref="AE198:AE261" si="46">ROUND(U198*24*AC198,0)</f>
        <v>85440</v>
      </c>
      <c r="AF198" s="96" cm="1">
        <f t="array" ref="AF198">IF(AND(AA198&gt;=15,(AA198-U198*24)&lt;=40),IF(Z198&gt;=_xlfn.XLOOKUP(1,(D198&lt;=Table7[End])*(E198=Table7[근무처])*(F198=Table7[업무]),Table7[주휴적용일],0,0),1,0)+_xlfn.XLOOKUP(1,(Table2[주간]=Table2[[#This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98" s="96" cm="1">
        <f t="array" ref="AG198">MAX((_xlfn.IFS(AF198=0,0,AF198=1,AA198,AF198&gt;1,U198*24)-IF(AA198&gt;40,AA198-40,0))/5,0)</f>
        <v>3.1999999999999993</v>
      </c>
      <c r="AH198" s="94">
        <f t="shared" ref="AH198:AH261" si="47">ROUND(AG198*AC198,0)</f>
        <v>34176</v>
      </c>
      <c r="AI198" s="33" cm="1">
        <f t="array" ref="AI198">IF(W198="",0,ROUND(AC198*U198*24*_xlfn.XLOOKUP(1,(D198&lt;=Table7[End])*(E198=Table7[근무처])*(F198=Table7[업무]),Table7[휴일인센티브],0,0),0))</f>
        <v>42720</v>
      </c>
      <c r="AJ198" s="94" cm="1">
        <f t="array" ref="AJ198">ROUND(AC198*IF(U198&gt;=8/24,U198-8/24,0)*24*_xlfn.XLOOKUP(1,(D198&lt;=Table7[End])*(E198=Table7[근무처])*(F198=Table7[업무]),Table7[야간인센티브],0,0),0)</f>
        <v>0</v>
      </c>
      <c r="AK198" s="94" cm="1">
        <f t="array" ref="AK198">IF(V198=0,0,ROUND(AC198*V198*24*_xlfn.XLOOKUP(1,(D198&lt;=Table7[End])*(E198=Table7[근무처])*(F198=Table7[업무]),Table7[야간인센티브],0,0),0))</f>
        <v>0</v>
      </c>
      <c r="AL198" s="95"/>
      <c r="AM198" s="94">
        <f t="shared" ref="AM198:AM261" si="48">SUM(AE198,AH198:AL198)</f>
        <v>162336</v>
      </c>
      <c r="AN198" s="94" cm="1">
        <f t="array" ref="AN198">IF(AM198&gt;=_xlfn.XLOOKUP(TRUE,D198&lt;=Table5[End],Table5[비과세소득기준],0,0),AM198-_xlfn.XLOOKUP(TRUE,D198&lt;=Table5[End],Table5[비과세소득기준],0,0),0)</f>
        <v>12336</v>
      </c>
      <c r="AO198" s="94" cm="1">
        <f t="array" ref="AO198">ROUNDDOWN(_xlfn.LET(_xlpm.setvalue,_xlfn.XLOOKUP(TRUE,D198&lt;=Table5[End],Table5[[요율]:[근로소득세액공제]],0,0),_xlpm.tax,AN198*PRODUCT((_xlpm.setvalue-{0,1})*{1,-1}),_xlpm.threshold,_xlfn.XLOOKUP(TRUE,D198&lt;=Table5[End],Table5[소액부징수기준],0,0),IF(_xlpm.tax&gt;=_xlpm.threshold,_xlpm.tax,0)),-1)</f>
        <v>0</v>
      </c>
      <c r="AP198" s="94">
        <f>ROUNDDOWN(Table2[[#This Row],[소득세]]*10%,-1)</f>
        <v>0</v>
      </c>
      <c r="AQ198" s="94">
        <f>IF(AB198="v",AM198+IF(Y198=8,SUMIFS(Table2[지급총액],Table2[주민등록번호],O198,Table2[월],R198,Table2[월간
근무일],"&lt;="&amp;8)-AM198,0),0)+_xlfn.NUMBERVALUE(AR198)</f>
        <v>0</v>
      </c>
      <c r="AR198" s="95"/>
      <c r="AS198" s="94" cm="1">
        <f t="array" ref="AS198">ROUNDDOWN($AQ198*_xlfn.XLOOKUP(1,(AS$5=Table8[Type])*($D198&lt;=Table8[End]),Table8[요율],0,0),0)</f>
        <v>0</v>
      </c>
      <c r="AT198" s="94" cm="1">
        <f t="array" ref="AT198">ROUNDDOWN(AS198*_xlfn.XLOOKUP(1,(AT$5=Table8[Type])*($D198&lt;=Table8[End]),Table8[요율],0,0),-1)</f>
        <v>0</v>
      </c>
      <c r="AU198" s="94" cm="1">
        <f t="array" ref="AU198">ROUNDDOWN($AQ198*_xlfn.XLOOKUP(1,(AU$5=Table8[Type])*($D198&lt;=Table8[End]),Table8[요율],0,0),-1)</f>
        <v>0</v>
      </c>
      <c r="AV198" s="94" cm="1">
        <f t="array" ref="AV198">ROUNDDOWN(AM198*_xlfn.XLOOKUP(1,(AV$5=Table8[Type])*($D198&lt;=Table8[End]),Table8[요율],0,0),-1)</f>
        <v>0</v>
      </c>
      <c r="AW198" s="94" cm="1">
        <f t="array" ref="AW198">_xlfn.XLOOKUP(1,(O198=Table2[주민등록번호])*(D198&gt;Table2[근무일자]),Table2[청구 Claim 
이월],0,0,-1)</f>
        <v>0</v>
      </c>
      <c r="AX198" s="95"/>
      <c r="AY198" s="94" cm="1">
        <f t="array" ref="AY198">MAX(SUM(AO198:AP198,AS198:AX198)-_xlfn.XLOOKUP(1,(D198&lt;=Table7[End])*(E198=Table7[근무처])*(F198=Table7[업무]),Table7[1일 공제 상한],0,0),0)</f>
        <v>0</v>
      </c>
      <c r="AZ198" s="94">
        <f t="shared" ref="AZ198:AZ261" si="49">SUM(AO198:AP198,AS198:AX198)-AY198</f>
        <v>0</v>
      </c>
      <c r="BA198" s="94">
        <f t="shared" ref="BA198:BA261" si="50">MAX(AM198-AZ198,0)</f>
        <v>162336</v>
      </c>
      <c r="BB198" s="97">
        <f t="shared" ref="BB198:BB261" si="51">-(MIN(AM198-AZ198,0)-AY198)</f>
        <v>0</v>
      </c>
      <c r="BC198" s="98"/>
      <c r="BD198" s="94">
        <f t="shared" ref="BD198:BD261" si="52">AS198</f>
        <v>0</v>
      </c>
      <c r="BE198" s="94">
        <f t="shared" ref="BE198:BE261" si="53">AT198</f>
        <v>0</v>
      </c>
      <c r="BF198" s="94">
        <f t="shared" ref="BF198:BF261" si="54">AU198</f>
        <v>0</v>
      </c>
      <c r="BG198" s="94">
        <f t="shared" ref="BG198:BG261" si="55">AV198</f>
        <v>0</v>
      </c>
      <c r="BH198" s="94" cm="1">
        <f t="array" ref="BH198">ROUNDDOWN(AM198*_xlfn.XLOOKUP(1,(BH$5=Table8[Type])*($D198&lt;=Table8[End]),Table8[요율],0,0),-1)</f>
        <v>1290</v>
      </c>
      <c r="BI198" s="93" t="str" cm="1">
        <f t="array" ref="BI198">_xlfn.XLOOKUP(1,(D198&lt;=Table7[End])*(E198=Table7[근무처])*(F198=Table7[업무]),Table7[지급옵션],0,0)</f>
        <v>차주 화</v>
      </c>
      <c r="BJ198" s="83">
        <f>IF(BK198&lt;&gt;"",BK198,IFERROR(D198+_xlfn.NUMBERVALUE(RIGHT(BI198,1)),D198-WEEKDAY(D198)+CHOOSE(MATCH(RIGHT(BI198),{"일","월","화","수","목","금","토"},0),8,9,10,11,12,13,14)))</f>
        <v>45790</v>
      </c>
      <c r="BK198" s="99"/>
    </row>
    <row r="199" spans="2:63" x14ac:dyDescent="0.35">
      <c r="B199" s="20" t="str" cm="1">
        <f t="array" ref="B199">_xlfn.IFS(BB199&lt;&gt;BC199,"Claim확인",N199&lt;&gt;"OK","확인필요",TRUE,"")</f>
        <v/>
      </c>
      <c r="C199" s="21" t="str">
        <f t="shared" si="42"/>
        <v>010-5X0X-X6X5010X57XX685907</v>
      </c>
      <c r="D199" s="26">
        <v>45782</v>
      </c>
      <c r="E199" s="91" t="s">
        <v>255</v>
      </c>
      <c r="F199" s="25" t="s">
        <v>258</v>
      </c>
      <c r="G199" s="27" t="s">
        <v>287</v>
      </c>
      <c r="H199" s="25" t="s">
        <v>301</v>
      </c>
      <c r="I199" s="25"/>
      <c r="J199" s="25" t="s">
        <v>302</v>
      </c>
      <c r="K199" s="28">
        <v>0.54166666666666663</v>
      </c>
      <c r="L199" s="28">
        <v>0.91666666666666663</v>
      </c>
      <c r="M199" s="28">
        <v>4.1666666666666664E-2</v>
      </c>
      <c r="N199" s="25" t="s">
        <v>281</v>
      </c>
      <c r="O199" s="29" t="str">
        <f>_xlfn.XLOOKUP(Table2[[#This Row],[Key]],Table1[Key],Table1[주민등록번호],"",0)</f>
        <v>980XX82XX3X25</v>
      </c>
      <c r="P199" s="29">
        <f>_xlfn.XLOOKUP(Table2[[#This Row],[Key]],Table1[Key],Table1[비자],"",0)</f>
        <v>0</v>
      </c>
      <c r="Q199" s="29">
        <f>IF(P199=0,0,_xlfn.XLOOKUP(Table2[[#This Row],[Key]],Table1[Key],Table1[고용보험 여부],0,0))</f>
        <v>0</v>
      </c>
      <c r="R199" s="29" t="str">
        <f t="shared" si="43"/>
        <v>2505</v>
      </c>
      <c r="S199" s="30" t="str">
        <f>YEAR(Table2[[#This Row],[근무일자]])&amp;TEXT(WEEKNUM(Table2[[#This Row],[근무일자]]),"00")</f>
        <v>202519</v>
      </c>
      <c r="T199" s="31">
        <f>_xlfn.XLOOKUP(Table2[[#This Row],[Key]],Table1[Key],Table1[등록일],"",0)</f>
        <v>45783</v>
      </c>
      <c r="U199" s="32">
        <f t="shared" si="44"/>
        <v>0.33333333333333331</v>
      </c>
      <c r="V199" s="92">
        <f t="shared" si="45"/>
        <v>0</v>
      </c>
      <c r="W199" s="100" t="str">
        <f>_xlfn.XLOOKUP(Table2[[#This Row],[근무일자]],Table3[Date],Table3[Holiday],"",0)</f>
        <v>어린이날, 석가탄신일</v>
      </c>
      <c r="X199" s="93">
        <f>IF(D199&lt;&gt;"",1,0)+IF(COUNTIFS(Table2[주민등록번호],O199,Table2[월],TEXT(EOMONTH(D199,-1),"YYMM"))&gt;0,1+IF(COUNTIFS(Table2[주민등록번호],O199,Table2[월],TEXT(EOMONTH(D199,-2),"YYMM"))&gt;0,1+IF(COUNTIFS(Table2[주민등록번호],O199,Table2[월],TEXT(EOMONTH(D199,-3),"YYMM"))&gt;0,1,0),0),0)</f>
        <v>2</v>
      </c>
      <c r="Y199" s="29">
        <f>COUNTIFS(Table2[주민등록번호],O199,Table2[월],R199,Table2[근무일자],"&lt;="&amp;D199)</f>
        <v>2</v>
      </c>
      <c r="Z199" s="29">
        <f>COUNTIFS(Table2[주민등록번호],O199,Table2[주간],S199,Table2[근무일자],"&lt;="&amp;D199)</f>
        <v>2</v>
      </c>
      <c r="AA199" s="29">
        <f>SUMIFS(Table2[근로
시간],Table2[주민등록번호],O199,Table2[주간],S199,Table2[근무일자],"&lt;="&amp;D199)*24</f>
        <v>16</v>
      </c>
      <c r="AB199" s="29" t="str">
        <f>IF(AND(Y199&gt;=8,COUNTIFS(Table2[주민등록번호],O199,Table2[근무일자],"&gt;="&amp;EOMONTH(D199,-2)+1,Table2[근무일자],"&lt;="&amp;EOMONTH(D199,-1)+1)&gt;0),"V","")</f>
        <v/>
      </c>
      <c r="AC199" s="94" cm="1">
        <f t="array" ref="AC199">IF(AD199&lt;&gt;"",AD199,_xlfn.XLOOKUP(1,(D199&lt;=Table7[End])*(E199=Table7[근무처])*(F199=Table7[업무]),Table7[시급],0,0))</f>
        <v>10680</v>
      </c>
      <c r="AD199" s="95"/>
      <c r="AE199" s="94">
        <f t="shared" si="46"/>
        <v>85440</v>
      </c>
      <c r="AF199" s="96" cm="1">
        <f t="array" ref="AF199">IF(AND(AA199&gt;=15,(AA199-U199*24)&lt;=40),IF(Z199&gt;=_xlfn.XLOOKUP(1,(D199&lt;=Table7[End])*(E199=Table7[근무처])*(F199=Table7[업무]),Table7[주휴적용일],0,0),1,0)+_xlfn.XLOOKUP(1,(Table2[주간]=Table2[[#This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199" s="96" cm="1">
        <f t="array" ref="AG199">MAX((_xlfn.IFS(AF199=0,0,AF199=1,AA199,AF199&gt;1,U199*24)-IF(AA199&gt;40,AA199-40,0))/5,0)</f>
        <v>3.2</v>
      </c>
      <c r="AH199" s="94">
        <f t="shared" si="47"/>
        <v>34176</v>
      </c>
      <c r="AI199" s="33" cm="1">
        <f t="array" ref="AI199">IF(W199="",0,ROUND(AC199*U199*24*_xlfn.XLOOKUP(1,(D199&lt;=Table7[End])*(E199=Table7[근무처])*(F199=Table7[업무]),Table7[휴일인센티브],0,0),0))</f>
        <v>42720</v>
      </c>
      <c r="AJ199" s="94" cm="1">
        <f t="array" ref="AJ199">ROUND(AC199*IF(U199&gt;=8/24,U199-8/24,0)*24*_xlfn.XLOOKUP(1,(D199&lt;=Table7[End])*(E199=Table7[근무처])*(F199=Table7[업무]),Table7[야간인센티브],0,0),0)</f>
        <v>0</v>
      </c>
      <c r="AK199" s="94" cm="1">
        <f t="array" ref="AK199">IF(V199=0,0,ROUND(AC199*V199*24*_xlfn.XLOOKUP(1,(D199&lt;=Table7[End])*(E199=Table7[근무처])*(F199=Table7[업무]),Table7[야간인센티브],0,0),0))</f>
        <v>0</v>
      </c>
      <c r="AL199" s="95"/>
      <c r="AM199" s="94">
        <f t="shared" si="48"/>
        <v>162336</v>
      </c>
      <c r="AN199" s="94" cm="1">
        <f t="array" ref="AN199">IF(AM199&gt;=_xlfn.XLOOKUP(TRUE,D199&lt;=Table5[End],Table5[비과세소득기준],0,0),AM199-_xlfn.XLOOKUP(TRUE,D199&lt;=Table5[End],Table5[비과세소득기준],0,0),0)</f>
        <v>12336</v>
      </c>
      <c r="AO199" s="94" cm="1">
        <f t="array" ref="AO199">ROUNDDOWN(_xlfn.LET(_xlpm.setvalue,_xlfn.XLOOKUP(TRUE,D199&lt;=Table5[End],Table5[[요율]:[근로소득세액공제]],0,0),_xlpm.tax,AN199*PRODUCT((_xlpm.setvalue-{0,1})*{1,-1}),_xlpm.threshold,_xlfn.XLOOKUP(TRUE,D199&lt;=Table5[End],Table5[소액부징수기준],0,0),IF(_xlpm.tax&gt;=_xlpm.threshold,_xlpm.tax,0)),-1)</f>
        <v>0</v>
      </c>
      <c r="AP199" s="94">
        <f>ROUNDDOWN(Table2[[#This Row],[소득세]]*10%,-1)</f>
        <v>0</v>
      </c>
      <c r="AQ199" s="94">
        <f>IF(AB199="v",AM199+IF(Y199=8,SUMIFS(Table2[지급총액],Table2[주민등록번호],O199,Table2[월],R199,Table2[월간
근무일],"&lt;="&amp;8)-AM199,0),0)+_xlfn.NUMBERVALUE(AR199)</f>
        <v>0</v>
      </c>
      <c r="AR199" s="95"/>
      <c r="AS199" s="94" cm="1">
        <f t="array" ref="AS199">ROUNDDOWN($AQ199*_xlfn.XLOOKUP(1,(AS$5=Table8[Type])*($D199&lt;=Table8[End]),Table8[요율],0,0),0)</f>
        <v>0</v>
      </c>
      <c r="AT199" s="94" cm="1">
        <f t="array" ref="AT199">ROUNDDOWN(AS199*_xlfn.XLOOKUP(1,(AT$5=Table8[Type])*($D199&lt;=Table8[End]),Table8[요율],0,0),-1)</f>
        <v>0</v>
      </c>
      <c r="AU199" s="94" cm="1">
        <f t="array" ref="AU199">ROUNDDOWN($AQ199*_xlfn.XLOOKUP(1,(AU$5=Table8[Type])*($D199&lt;=Table8[End]),Table8[요율],0,0),-1)</f>
        <v>0</v>
      </c>
      <c r="AV199" s="94" cm="1">
        <f t="array" ref="AV199">ROUNDDOWN(AM199*_xlfn.XLOOKUP(1,(AV$5=Table8[Type])*($D199&lt;=Table8[End]),Table8[요율],0,0),-1)</f>
        <v>0</v>
      </c>
      <c r="AW199" s="94" cm="1">
        <f t="array" ref="AW199">_xlfn.XLOOKUP(1,(O199=Table2[주민등록번호])*(D199&gt;Table2[근무일자]),Table2[청구 Claim 
이월],0,0,-1)</f>
        <v>0</v>
      </c>
      <c r="AX199" s="95"/>
      <c r="AY199" s="94" cm="1">
        <f t="array" ref="AY199">MAX(SUM(AO199:AP199,AS199:AX199)-_xlfn.XLOOKUP(1,(D199&lt;=Table7[End])*(E199=Table7[근무처])*(F199=Table7[업무]),Table7[1일 공제 상한],0,0),0)</f>
        <v>0</v>
      </c>
      <c r="AZ199" s="94">
        <f t="shared" si="49"/>
        <v>0</v>
      </c>
      <c r="BA199" s="94">
        <f t="shared" si="50"/>
        <v>162336</v>
      </c>
      <c r="BB199" s="97">
        <f t="shared" si="51"/>
        <v>0</v>
      </c>
      <c r="BC199" s="98"/>
      <c r="BD199" s="94">
        <f t="shared" si="52"/>
        <v>0</v>
      </c>
      <c r="BE199" s="94">
        <f t="shared" si="53"/>
        <v>0</v>
      </c>
      <c r="BF199" s="94">
        <f t="shared" si="54"/>
        <v>0</v>
      </c>
      <c r="BG199" s="94">
        <f t="shared" si="55"/>
        <v>0</v>
      </c>
      <c r="BH199" s="94" cm="1">
        <f t="array" ref="BH199">ROUNDDOWN(AM199*_xlfn.XLOOKUP(1,(BH$5=Table8[Type])*($D199&lt;=Table8[End]),Table8[요율],0,0),-1)</f>
        <v>1290</v>
      </c>
      <c r="BI199" s="93" t="str" cm="1">
        <f t="array" ref="BI199">_xlfn.XLOOKUP(1,(D199&lt;=Table7[End])*(E199=Table7[근무처])*(F199=Table7[업무]),Table7[지급옵션],0,0)</f>
        <v>차주 화</v>
      </c>
      <c r="BJ199" s="83">
        <f>IF(BK199&lt;&gt;"",BK199,IFERROR(D199+_xlfn.NUMBERVALUE(RIGHT(BI199,1)),D199-WEEKDAY(D199)+CHOOSE(MATCH(RIGHT(BI199),{"일","월","화","수","목","금","토"},0),8,9,10,11,12,13,14)))</f>
        <v>45790</v>
      </c>
      <c r="BK199" s="99"/>
    </row>
    <row r="200" spans="2:63" x14ac:dyDescent="0.35">
      <c r="B200" s="20" t="str" cm="1">
        <f t="array" ref="B200">_xlfn.IFS(BB200&lt;&gt;BC200,"Claim확인",N200&lt;&gt;"OK","확인필요",TRUE,"")</f>
        <v/>
      </c>
      <c r="C200" s="21" t="str">
        <f t="shared" si="42"/>
        <v>010-7X6X-X9X5110X98XX7530</v>
      </c>
      <c r="D200" s="26">
        <v>45783</v>
      </c>
      <c r="E200" s="91" t="s">
        <v>255</v>
      </c>
      <c r="F200" s="25" t="s">
        <v>258</v>
      </c>
      <c r="G200" s="27" t="s">
        <v>282</v>
      </c>
      <c r="H200" s="25" t="s">
        <v>289</v>
      </c>
      <c r="I200" s="25"/>
      <c r="J200" s="25" t="s">
        <v>290</v>
      </c>
      <c r="K200" s="28">
        <v>0.3125</v>
      </c>
      <c r="L200" s="28">
        <v>0.6875</v>
      </c>
      <c r="M200" s="28">
        <v>4.1666666666666664E-2</v>
      </c>
      <c r="N200" s="25" t="s">
        <v>281</v>
      </c>
      <c r="O200" s="29" t="str">
        <f>_xlfn.XLOOKUP(Table2[[#This Row],[Key]],Table1[Key],Table1[주민등록번호],"",0)</f>
        <v>990XX62XX3X13</v>
      </c>
      <c r="P200" s="29">
        <f>_xlfn.XLOOKUP(Table2[[#This Row],[Key]],Table1[Key],Table1[비자],"",0)</f>
        <v>0</v>
      </c>
      <c r="Q200" s="29">
        <f>IF(P200=0,0,_xlfn.XLOOKUP(Table2[[#This Row],[Key]],Table1[Key],Table1[고용보험 여부],0,0))</f>
        <v>0</v>
      </c>
      <c r="R200" s="29" t="str">
        <f t="shared" si="43"/>
        <v>2505</v>
      </c>
      <c r="S200" s="30" t="str">
        <f>YEAR(Table2[[#This Row],[근무일자]])&amp;TEXT(WEEKNUM(Table2[[#This Row],[근무일자]]),"00")</f>
        <v>202519</v>
      </c>
      <c r="T200" s="31">
        <f>_xlfn.XLOOKUP(Table2[[#This Row],[Key]],Table1[Key],Table1[등록일],"",0)</f>
        <v>45696</v>
      </c>
      <c r="U200" s="32">
        <f t="shared" si="44"/>
        <v>0.33333333333333331</v>
      </c>
      <c r="V200" s="92">
        <f t="shared" si="45"/>
        <v>0</v>
      </c>
      <c r="W200" s="100" t="str">
        <f>_xlfn.XLOOKUP(Table2[[#This Row],[근무일자]],Table3[Date],Table3[Holiday],"",0)</f>
        <v>대체 휴일</v>
      </c>
      <c r="X200" s="93">
        <f>IF(D200&lt;&gt;"",1,0)+IF(COUNTIFS(Table2[주민등록번호],O200,Table2[월],TEXT(EOMONTH(D200,-1),"YYMM"))&gt;0,1+IF(COUNTIFS(Table2[주민등록번호],O200,Table2[월],TEXT(EOMONTH(D200,-2),"YYMM"))&gt;0,1+IF(COUNTIFS(Table2[주민등록번호],O200,Table2[월],TEXT(EOMONTH(D200,-3),"YYMM"))&gt;0,1,0),0),0)</f>
        <v>4</v>
      </c>
      <c r="Y200" s="29">
        <f>COUNTIFS(Table2[주민등록번호],O200,Table2[월],R200,Table2[근무일자],"&lt;="&amp;D200)</f>
        <v>5</v>
      </c>
      <c r="Z200" s="29">
        <f>COUNTIFS(Table2[주민등록번호],O200,Table2[주간],S200,Table2[근무일자],"&lt;="&amp;D200)</f>
        <v>3</v>
      </c>
      <c r="AA200" s="29">
        <f>SUMIFS(Table2[근로
시간],Table2[주민등록번호],O200,Table2[주간],S200,Table2[근무일자],"&lt;="&amp;D200)*24</f>
        <v>24</v>
      </c>
      <c r="AB200" s="29" t="str">
        <f>IF(AND(Y200&gt;=8,COUNTIFS(Table2[주민등록번호],O200,Table2[근무일자],"&gt;="&amp;EOMONTH(D200,-2)+1,Table2[근무일자],"&lt;="&amp;EOMONTH(D200,-1)+1)&gt;0),"V","")</f>
        <v/>
      </c>
      <c r="AC200" s="94" cm="1">
        <f t="array" ref="AC200">IF(AD200&lt;&gt;"",AD200,_xlfn.XLOOKUP(1,(D200&lt;=Table7[End])*(E200=Table7[근무처])*(F200=Table7[업무]),Table7[시급],0,0))</f>
        <v>10680</v>
      </c>
      <c r="AD200" s="95"/>
      <c r="AE200" s="94">
        <f t="shared" si="46"/>
        <v>85440</v>
      </c>
      <c r="AF200" s="96" cm="1">
        <f t="array" ref="AF200">IF(AND(AA200&gt;=15,(AA200-U200*24)&lt;=40),IF(Z200&gt;=_xlfn.XLOOKUP(1,(D200&lt;=Table7[End])*(E200=Table7[근무처])*(F200=Table7[업무]),Table7[주휴적용일],0,0),1,0)+_xlfn.XLOOKUP(1,(Table2[주간]=Table2[[#This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00" s="96" cm="1">
        <f t="array" ref="AG200">MAX((_xlfn.IFS(AF200=0,0,AF200=1,AA200,AF200&gt;1,U200*24)-IF(AA200&gt;40,AA200-40,0))/5,0)</f>
        <v>1.6</v>
      </c>
      <c r="AH200" s="94">
        <f t="shared" si="47"/>
        <v>17088</v>
      </c>
      <c r="AI200" s="33" cm="1">
        <f t="array" ref="AI200">IF(W200="",0,ROUND(AC200*U200*24*_xlfn.XLOOKUP(1,(D200&lt;=Table7[End])*(E200=Table7[근무처])*(F200=Table7[업무]),Table7[휴일인센티브],0,0),0))</f>
        <v>42720</v>
      </c>
      <c r="AJ200" s="94" cm="1">
        <f t="array" ref="AJ200">ROUND(AC200*IF(U200&gt;=8/24,U200-8/24,0)*24*_xlfn.XLOOKUP(1,(D200&lt;=Table7[End])*(E200=Table7[근무처])*(F200=Table7[업무]),Table7[야간인센티브],0,0),0)</f>
        <v>0</v>
      </c>
      <c r="AK200" s="94" cm="1">
        <f t="array" ref="AK200">IF(V200=0,0,ROUND(AC200*V200*24*_xlfn.XLOOKUP(1,(D200&lt;=Table7[End])*(E200=Table7[근무처])*(F200=Table7[업무]),Table7[야간인센티브],0,0),0))</f>
        <v>0</v>
      </c>
      <c r="AL200" s="95"/>
      <c r="AM200" s="94">
        <f t="shared" si="48"/>
        <v>145248</v>
      </c>
      <c r="AN200" s="94" cm="1">
        <f t="array" ref="AN200">IF(AM200&gt;=_xlfn.XLOOKUP(TRUE,D200&lt;=Table5[End],Table5[비과세소득기준],0,0),AM200-_xlfn.XLOOKUP(TRUE,D200&lt;=Table5[End],Table5[비과세소득기준],0,0),0)</f>
        <v>0</v>
      </c>
      <c r="AO200" s="94" cm="1">
        <f t="array" ref="AO200">ROUNDDOWN(_xlfn.LET(_xlpm.setvalue,_xlfn.XLOOKUP(TRUE,D200&lt;=Table5[End],Table5[[요율]:[근로소득세액공제]],0,0),_xlpm.tax,AN200*PRODUCT((_xlpm.setvalue-{0,1})*{1,-1}),_xlpm.threshold,_xlfn.XLOOKUP(TRUE,D200&lt;=Table5[End],Table5[소액부징수기준],0,0),IF(_xlpm.tax&gt;=_xlpm.threshold,_xlpm.tax,0)),-1)</f>
        <v>0</v>
      </c>
      <c r="AP200" s="94">
        <f>ROUNDDOWN(Table2[[#This Row],[소득세]]*10%,-1)</f>
        <v>0</v>
      </c>
      <c r="AQ200" s="94">
        <f>IF(AB200="v",AM200+IF(Y200=8,SUMIFS(Table2[지급총액],Table2[주민등록번호],O200,Table2[월],R200,Table2[월간
근무일],"&lt;="&amp;8)-AM200,0),0)+_xlfn.NUMBERVALUE(AR200)</f>
        <v>0</v>
      </c>
      <c r="AR200" s="95"/>
      <c r="AS200" s="94" cm="1">
        <f t="array" ref="AS200">ROUNDDOWN($AQ200*_xlfn.XLOOKUP(1,(AS$5=Table8[Type])*($D200&lt;=Table8[End]),Table8[요율],0,0),0)</f>
        <v>0</v>
      </c>
      <c r="AT200" s="94" cm="1">
        <f t="array" ref="AT200">ROUNDDOWN(AS200*_xlfn.XLOOKUP(1,(AT$5=Table8[Type])*($D200&lt;=Table8[End]),Table8[요율],0,0),-1)</f>
        <v>0</v>
      </c>
      <c r="AU200" s="94" cm="1">
        <f t="array" ref="AU200">ROUNDDOWN($AQ200*_xlfn.XLOOKUP(1,(AU$5=Table8[Type])*($D200&lt;=Table8[End]),Table8[요율],0,0),-1)</f>
        <v>0</v>
      </c>
      <c r="AV200" s="94" cm="1">
        <f t="array" ref="AV200">ROUNDDOWN(AM200*_xlfn.XLOOKUP(1,(AV$5=Table8[Type])*($D200&lt;=Table8[End]),Table8[요율],0,0),-1)</f>
        <v>0</v>
      </c>
      <c r="AW200" s="94" cm="1">
        <f t="array" ref="AW200">_xlfn.XLOOKUP(1,(O200=Table2[주민등록번호])*(D200&gt;Table2[근무일자]),Table2[청구 Claim 
이월],0,0,-1)</f>
        <v>0</v>
      </c>
      <c r="AX200" s="95"/>
      <c r="AY200" s="94" cm="1">
        <f t="array" ref="AY200">MAX(SUM(AO200:AP200,AS200:AX200)-_xlfn.XLOOKUP(1,(D200&lt;=Table7[End])*(E200=Table7[근무처])*(F200=Table7[업무]),Table7[1일 공제 상한],0,0),0)</f>
        <v>0</v>
      </c>
      <c r="AZ200" s="94">
        <f t="shared" si="49"/>
        <v>0</v>
      </c>
      <c r="BA200" s="94">
        <f t="shared" si="50"/>
        <v>145248</v>
      </c>
      <c r="BB200" s="97">
        <f t="shared" si="51"/>
        <v>0</v>
      </c>
      <c r="BC200" s="98"/>
      <c r="BD200" s="94">
        <f t="shared" si="52"/>
        <v>0</v>
      </c>
      <c r="BE200" s="94">
        <f t="shared" si="53"/>
        <v>0</v>
      </c>
      <c r="BF200" s="94">
        <f t="shared" si="54"/>
        <v>0</v>
      </c>
      <c r="BG200" s="94">
        <f t="shared" si="55"/>
        <v>0</v>
      </c>
      <c r="BH200" s="94" cm="1">
        <f t="array" ref="BH200">ROUNDDOWN(AM200*_xlfn.XLOOKUP(1,(BH$5=Table8[Type])*($D200&lt;=Table8[End]),Table8[요율],0,0),-1)</f>
        <v>1160</v>
      </c>
      <c r="BI200" s="93" t="str" cm="1">
        <f t="array" ref="BI200">_xlfn.XLOOKUP(1,(D200&lt;=Table7[End])*(E200=Table7[근무처])*(F200=Table7[업무]),Table7[지급옵션],0,0)</f>
        <v>차주 화</v>
      </c>
      <c r="BJ200" s="83">
        <f>IF(BK200&lt;&gt;"",BK200,IFERROR(D200+_xlfn.NUMBERVALUE(RIGHT(BI200,1)),D200-WEEKDAY(D200)+CHOOSE(MATCH(RIGHT(BI200),{"일","월","화","수","목","금","토"},0),8,9,10,11,12,13,14)))</f>
        <v>45790</v>
      </c>
      <c r="BK200" s="99"/>
    </row>
    <row r="201" spans="2:63" x14ac:dyDescent="0.35">
      <c r="B201" s="20" t="str" cm="1">
        <f t="array" ref="B201">_xlfn.IFS(BB201&lt;&gt;BC201,"Claim확인",N201&lt;&gt;"OK","확인필요",TRUE,"")</f>
        <v/>
      </c>
      <c r="C201" s="21" t="str">
        <f t="shared" si="42"/>
        <v>010-8X0X-X0X9982X03XX901018</v>
      </c>
      <c r="D201" s="26">
        <v>45783</v>
      </c>
      <c r="E201" s="91" t="s">
        <v>255</v>
      </c>
      <c r="F201" s="25" t="s">
        <v>258</v>
      </c>
      <c r="G201" s="27" t="s">
        <v>283</v>
      </c>
      <c r="H201" s="25" t="s">
        <v>291</v>
      </c>
      <c r="I201" s="25"/>
      <c r="J201" s="25" t="s">
        <v>292</v>
      </c>
      <c r="K201" s="28">
        <v>0.3125</v>
      </c>
      <c r="L201" s="28">
        <v>0.6875</v>
      </c>
      <c r="M201" s="28">
        <v>4.1666666666666664E-2</v>
      </c>
      <c r="N201" s="25" t="s">
        <v>281</v>
      </c>
      <c r="O201" s="29" t="str">
        <f>_xlfn.XLOOKUP(Table2[[#This Row],[Key]],Table1[Key],Table1[주민등록번호],"",0)</f>
        <v>960XX51XX9X15</v>
      </c>
      <c r="P201" s="29">
        <f>_xlfn.XLOOKUP(Table2[[#This Row],[Key]],Table1[Key],Table1[비자],"",0)</f>
        <v>0</v>
      </c>
      <c r="Q201" s="29">
        <f>IF(P201=0,0,_xlfn.XLOOKUP(Table2[[#This Row],[Key]],Table1[Key],Table1[고용보험 여부],0,0))</f>
        <v>0</v>
      </c>
      <c r="R201" s="29" t="str">
        <f t="shared" si="43"/>
        <v>2505</v>
      </c>
      <c r="S201" s="30" t="str">
        <f>YEAR(Table2[[#This Row],[근무일자]])&amp;TEXT(WEEKNUM(Table2[[#This Row],[근무일자]]),"00")</f>
        <v>202519</v>
      </c>
      <c r="T201" s="31">
        <f>_xlfn.XLOOKUP(Table2[[#This Row],[Key]],Table1[Key],Table1[등록일],"",0)</f>
        <v>45698</v>
      </c>
      <c r="U201" s="32">
        <f t="shared" si="44"/>
        <v>0.33333333333333331</v>
      </c>
      <c r="V201" s="92">
        <f t="shared" si="45"/>
        <v>0</v>
      </c>
      <c r="W201" s="100" t="str">
        <f>_xlfn.XLOOKUP(Table2[[#This Row],[근무일자]],Table3[Date],Table3[Holiday],"",0)</f>
        <v>대체 휴일</v>
      </c>
      <c r="X201" s="93">
        <f>IF(D201&lt;&gt;"",1,0)+IF(COUNTIFS(Table2[주민등록번호],O201,Table2[월],TEXT(EOMONTH(D201,-1),"YYMM"))&gt;0,1+IF(COUNTIFS(Table2[주민등록번호],O201,Table2[월],TEXT(EOMONTH(D201,-2),"YYMM"))&gt;0,1+IF(COUNTIFS(Table2[주민등록번호],O201,Table2[월],TEXT(EOMONTH(D201,-3),"YYMM"))&gt;0,1,0),0),0)</f>
        <v>4</v>
      </c>
      <c r="Y201" s="29">
        <f>COUNTIFS(Table2[주민등록번호],O201,Table2[월],R201,Table2[근무일자],"&lt;="&amp;D201)</f>
        <v>6</v>
      </c>
      <c r="Z201" s="29">
        <f>COUNTIFS(Table2[주민등록번호],O201,Table2[주간],S201,Table2[근무일자],"&lt;="&amp;D201)</f>
        <v>3</v>
      </c>
      <c r="AA201" s="29">
        <f>SUMIFS(Table2[근로
시간],Table2[주민등록번호],O201,Table2[주간],S201,Table2[근무일자],"&lt;="&amp;D201)*24</f>
        <v>24</v>
      </c>
      <c r="AB201" s="29" t="str">
        <f>IF(AND(Y201&gt;=8,COUNTIFS(Table2[주민등록번호],O201,Table2[근무일자],"&gt;="&amp;EOMONTH(D201,-2)+1,Table2[근무일자],"&lt;="&amp;EOMONTH(D201,-1)+1)&gt;0),"V","")</f>
        <v/>
      </c>
      <c r="AC201" s="94" cm="1">
        <f t="array" ref="AC201">IF(AD201&lt;&gt;"",AD201,_xlfn.XLOOKUP(1,(D201&lt;=Table7[End])*(E201=Table7[근무처])*(F201=Table7[업무]),Table7[시급],0,0))</f>
        <v>10680</v>
      </c>
      <c r="AD201" s="95"/>
      <c r="AE201" s="94">
        <f t="shared" si="46"/>
        <v>85440</v>
      </c>
      <c r="AF201" s="96" cm="1">
        <f t="array" ref="AF201">IF(AND(AA201&gt;=15,(AA201-U201*24)&lt;=40),IF(Z201&gt;=_xlfn.XLOOKUP(1,(D201&lt;=Table7[End])*(E201=Table7[근무처])*(F201=Table7[업무]),Table7[주휴적용일],0,0),1,0)+_xlfn.XLOOKUP(1,(Table2[주간]=Table2[[#This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01" s="96" cm="1">
        <f t="array" ref="AG201">MAX((_xlfn.IFS(AF201=0,0,AF201=1,AA201,AF201&gt;1,U201*24)-IF(AA201&gt;40,AA201-40,0))/5,0)</f>
        <v>1.6</v>
      </c>
      <c r="AH201" s="94">
        <f t="shared" si="47"/>
        <v>17088</v>
      </c>
      <c r="AI201" s="33" cm="1">
        <f t="array" ref="AI201">IF(W201="",0,ROUND(AC201*U201*24*_xlfn.XLOOKUP(1,(D201&lt;=Table7[End])*(E201=Table7[근무처])*(F201=Table7[업무]),Table7[휴일인센티브],0,0),0))</f>
        <v>42720</v>
      </c>
      <c r="AJ201" s="94" cm="1">
        <f t="array" ref="AJ201">ROUND(AC201*IF(U201&gt;=8/24,U201-8/24,0)*24*_xlfn.XLOOKUP(1,(D201&lt;=Table7[End])*(E201=Table7[근무처])*(F201=Table7[업무]),Table7[야간인센티브],0,0),0)</f>
        <v>0</v>
      </c>
      <c r="AK201" s="94" cm="1">
        <f t="array" ref="AK201">IF(V201=0,0,ROUND(AC201*V201*24*_xlfn.XLOOKUP(1,(D201&lt;=Table7[End])*(E201=Table7[근무처])*(F201=Table7[업무]),Table7[야간인센티브],0,0),0))</f>
        <v>0</v>
      </c>
      <c r="AL201" s="95"/>
      <c r="AM201" s="94">
        <f t="shared" si="48"/>
        <v>145248</v>
      </c>
      <c r="AN201" s="94" cm="1">
        <f t="array" ref="AN201">IF(AM201&gt;=_xlfn.XLOOKUP(TRUE,D201&lt;=Table5[End],Table5[비과세소득기준],0,0),AM201-_xlfn.XLOOKUP(TRUE,D201&lt;=Table5[End],Table5[비과세소득기준],0,0),0)</f>
        <v>0</v>
      </c>
      <c r="AO201" s="94" cm="1">
        <f t="array" ref="AO201">ROUNDDOWN(_xlfn.LET(_xlpm.setvalue,_xlfn.XLOOKUP(TRUE,D201&lt;=Table5[End],Table5[[요율]:[근로소득세액공제]],0,0),_xlpm.tax,AN201*PRODUCT((_xlpm.setvalue-{0,1})*{1,-1}),_xlpm.threshold,_xlfn.XLOOKUP(TRUE,D201&lt;=Table5[End],Table5[소액부징수기준],0,0),IF(_xlpm.tax&gt;=_xlpm.threshold,_xlpm.tax,0)),-1)</f>
        <v>0</v>
      </c>
      <c r="AP201" s="94">
        <f>ROUNDDOWN(Table2[[#This Row],[소득세]]*10%,-1)</f>
        <v>0</v>
      </c>
      <c r="AQ201" s="94">
        <f>IF(AB201="v",AM201+IF(Y201=8,SUMIFS(Table2[지급총액],Table2[주민등록번호],O201,Table2[월],R201,Table2[월간
근무일],"&lt;="&amp;8)-AM201,0),0)+_xlfn.NUMBERVALUE(AR201)</f>
        <v>0</v>
      </c>
      <c r="AR201" s="95"/>
      <c r="AS201" s="94" cm="1">
        <f t="array" ref="AS201">ROUNDDOWN($AQ201*_xlfn.XLOOKUP(1,(AS$5=Table8[Type])*($D201&lt;=Table8[End]),Table8[요율],0,0),0)</f>
        <v>0</v>
      </c>
      <c r="AT201" s="94" cm="1">
        <f t="array" ref="AT201">ROUNDDOWN(AS201*_xlfn.XLOOKUP(1,(AT$5=Table8[Type])*($D201&lt;=Table8[End]),Table8[요율],0,0),-1)</f>
        <v>0</v>
      </c>
      <c r="AU201" s="94" cm="1">
        <f t="array" ref="AU201">ROUNDDOWN($AQ201*_xlfn.XLOOKUP(1,(AU$5=Table8[Type])*($D201&lt;=Table8[End]),Table8[요율],0,0),-1)</f>
        <v>0</v>
      </c>
      <c r="AV201" s="94" cm="1">
        <f t="array" ref="AV201">ROUNDDOWN(AM201*_xlfn.XLOOKUP(1,(AV$5=Table8[Type])*($D201&lt;=Table8[End]),Table8[요율],0,0),-1)</f>
        <v>0</v>
      </c>
      <c r="AW201" s="94" cm="1">
        <f t="array" ref="AW201">_xlfn.XLOOKUP(1,(O201=Table2[주민등록번호])*(D201&gt;Table2[근무일자]),Table2[청구 Claim 
이월],0,0,-1)</f>
        <v>0</v>
      </c>
      <c r="AX201" s="95"/>
      <c r="AY201" s="94" cm="1">
        <f t="array" ref="AY201">MAX(SUM(AO201:AP201,AS201:AX201)-_xlfn.XLOOKUP(1,(D201&lt;=Table7[End])*(E201=Table7[근무처])*(F201=Table7[업무]),Table7[1일 공제 상한],0,0),0)</f>
        <v>0</v>
      </c>
      <c r="AZ201" s="94">
        <f t="shared" si="49"/>
        <v>0</v>
      </c>
      <c r="BA201" s="94">
        <f t="shared" si="50"/>
        <v>145248</v>
      </c>
      <c r="BB201" s="97">
        <f t="shared" si="51"/>
        <v>0</v>
      </c>
      <c r="BC201" s="98"/>
      <c r="BD201" s="94">
        <f t="shared" si="52"/>
        <v>0</v>
      </c>
      <c r="BE201" s="94">
        <f t="shared" si="53"/>
        <v>0</v>
      </c>
      <c r="BF201" s="94">
        <f t="shared" si="54"/>
        <v>0</v>
      </c>
      <c r="BG201" s="94">
        <f t="shared" si="55"/>
        <v>0</v>
      </c>
      <c r="BH201" s="94" cm="1">
        <f t="array" ref="BH201">ROUNDDOWN(AM201*_xlfn.XLOOKUP(1,(BH$5=Table8[Type])*($D201&lt;=Table8[End]),Table8[요율],0,0),-1)</f>
        <v>1160</v>
      </c>
      <c r="BI201" s="93" t="str" cm="1">
        <f t="array" ref="BI201">_xlfn.XLOOKUP(1,(D201&lt;=Table7[End])*(E201=Table7[근무처])*(F201=Table7[업무]),Table7[지급옵션],0,0)</f>
        <v>차주 화</v>
      </c>
      <c r="BJ201" s="83">
        <f>IF(BK201&lt;&gt;"",BK201,IFERROR(D201+_xlfn.NUMBERVALUE(RIGHT(BI201,1)),D201-WEEKDAY(D201)+CHOOSE(MATCH(RIGHT(BI201),{"일","월","화","수","목","금","토"},0),8,9,10,11,12,13,14)))</f>
        <v>45790</v>
      </c>
      <c r="BK201" s="99"/>
    </row>
    <row r="202" spans="2:63" x14ac:dyDescent="0.35">
      <c r="B202" s="20" t="str" cm="1">
        <f t="array" ref="B202">_xlfn.IFS(BB202&lt;&gt;BC202,"Claim확인",N202&lt;&gt;"OK","확인필요",TRUE,"")</f>
        <v/>
      </c>
      <c r="C202" s="21" t="str">
        <f t="shared" si="42"/>
        <v>010-3X6X-X4X7757X02XX284249</v>
      </c>
      <c r="D202" s="26">
        <v>45783</v>
      </c>
      <c r="E202" s="91" t="s">
        <v>255</v>
      </c>
      <c r="F202" s="25" t="s">
        <v>258</v>
      </c>
      <c r="G202" s="27" t="s">
        <v>283</v>
      </c>
      <c r="H202" s="25" t="s">
        <v>295</v>
      </c>
      <c r="I202" s="25"/>
      <c r="J202" s="25" t="s">
        <v>296</v>
      </c>
      <c r="K202" s="28">
        <v>0.29166666666666669</v>
      </c>
      <c r="L202" s="28">
        <v>0.66666666666666663</v>
      </c>
      <c r="M202" s="28">
        <v>4.1666666666666664E-2</v>
      </c>
      <c r="N202" s="25" t="s">
        <v>281</v>
      </c>
      <c r="O202" s="29" t="str">
        <f>_xlfn.XLOOKUP(Table2[[#This Row],[Key]],Table1[Key],Table1[주민등록번호],"",0)</f>
        <v>940XX41XX7X32</v>
      </c>
      <c r="P202" s="29">
        <f>_xlfn.XLOOKUP(Table2[[#This Row],[Key]],Table1[Key],Table1[비자],"",0)</f>
        <v>0</v>
      </c>
      <c r="Q202" s="29">
        <f>IF(P202=0,0,_xlfn.XLOOKUP(Table2[[#This Row],[Key]],Table1[Key],Table1[고용보험 여부],0,0))</f>
        <v>0</v>
      </c>
      <c r="R202" s="29" t="str">
        <f t="shared" si="43"/>
        <v>2505</v>
      </c>
      <c r="S202" s="30" t="str">
        <f>YEAR(Table2[[#This Row],[근무일자]])&amp;TEXT(WEEKNUM(Table2[[#This Row],[근무일자]]),"00")</f>
        <v>202519</v>
      </c>
      <c r="T202" s="31">
        <f>_xlfn.XLOOKUP(Table2[[#This Row],[Key]],Table1[Key],Table1[등록일],"",0)</f>
        <v>45751</v>
      </c>
      <c r="U202" s="32">
        <f t="shared" si="44"/>
        <v>0.33333333333333326</v>
      </c>
      <c r="V202" s="92">
        <f t="shared" si="45"/>
        <v>0</v>
      </c>
      <c r="W202" s="100" t="str">
        <f>_xlfn.XLOOKUP(Table2[[#This Row],[근무일자]],Table3[Date],Table3[Holiday],"",0)</f>
        <v>대체 휴일</v>
      </c>
      <c r="X202" s="93">
        <f>IF(D202&lt;&gt;"",1,0)+IF(COUNTIFS(Table2[주민등록번호],O202,Table2[월],TEXT(EOMONTH(D202,-1),"YYMM"))&gt;0,1+IF(COUNTIFS(Table2[주민등록번호],O202,Table2[월],TEXT(EOMONTH(D202,-2),"YYMM"))&gt;0,1+IF(COUNTIFS(Table2[주민등록번호],O202,Table2[월],TEXT(EOMONTH(D202,-3),"YYMM"))&gt;0,1,0),0),0)</f>
        <v>2</v>
      </c>
      <c r="Y202" s="29">
        <f>COUNTIFS(Table2[주민등록번호],O202,Table2[월],R202,Table2[근무일자],"&lt;="&amp;D202)</f>
        <v>1</v>
      </c>
      <c r="Z202" s="29">
        <f>COUNTIFS(Table2[주민등록번호],O202,Table2[주간],S202,Table2[근무일자],"&lt;="&amp;D202)</f>
        <v>1</v>
      </c>
      <c r="AA202" s="29">
        <f>SUMIFS(Table2[근로
시간],Table2[주민등록번호],O202,Table2[주간],S202,Table2[근무일자],"&lt;="&amp;D202)*24</f>
        <v>7.9999999999999982</v>
      </c>
      <c r="AB202" s="29" t="str">
        <f>IF(AND(Y202&gt;=8,COUNTIFS(Table2[주민등록번호],O202,Table2[근무일자],"&gt;="&amp;EOMONTH(D202,-2)+1,Table2[근무일자],"&lt;="&amp;EOMONTH(D202,-1)+1)&gt;0),"V","")</f>
        <v/>
      </c>
      <c r="AC202" s="94" cm="1">
        <f t="array" ref="AC202">IF(AD202&lt;&gt;"",AD202,_xlfn.XLOOKUP(1,(D202&lt;=Table7[End])*(E202=Table7[근무처])*(F202=Table7[업무]),Table7[시급],0,0))</f>
        <v>10680</v>
      </c>
      <c r="AD202" s="95"/>
      <c r="AE202" s="94">
        <f t="shared" si="46"/>
        <v>85440</v>
      </c>
      <c r="AF202" s="96" cm="1">
        <f t="array" ref="AF202">IF(AND(AA202&gt;=15,(AA202-U202*24)&lt;=40),IF(Z202&gt;=_xlfn.XLOOKUP(1,(D202&lt;=Table7[End])*(E202=Table7[근무처])*(F202=Table7[업무]),Table7[주휴적용일],0,0),1,0)+_xlfn.XLOOKUP(1,(Table2[주간]=Table2[[#This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02" s="96" cm="1">
        <f t="array" ref="AG202">MAX((_xlfn.IFS(AF202=0,0,AF202=1,AA202,AF202&gt;1,U202*24)-IF(AA202&gt;40,AA202-40,0))/5,0)</f>
        <v>0</v>
      </c>
      <c r="AH202" s="94">
        <f t="shared" si="47"/>
        <v>0</v>
      </c>
      <c r="AI202" s="33" cm="1">
        <f t="array" ref="AI202">IF(W202="",0,ROUND(AC202*U202*24*_xlfn.XLOOKUP(1,(D202&lt;=Table7[End])*(E202=Table7[근무처])*(F202=Table7[업무]),Table7[휴일인센티브],0,0),0))</f>
        <v>42720</v>
      </c>
      <c r="AJ202" s="94" cm="1">
        <f t="array" ref="AJ202">ROUND(AC202*IF(U202&gt;=8/24,U202-8/24,0)*24*_xlfn.XLOOKUP(1,(D202&lt;=Table7[End])*(E202=Table7[근무처])*(F202=Table7[업무]),Table7[야간인센티브],0,0),0)</f>
        <v>0</v>
      </c>
      <c r="AK202" s="94" cm="1">
        <f t="array" ref="AK202">IF(V202=0,0,ROUND(AC202*V202*24*_xlfn.XLOOKUP(1,(D202&lt;=Table7[End])*(E202=Table7[근무처])*(F202=Table7[업무]),Table7[야간인센티브],0,0),0))</f>
        <v>0</v>
      </c>
      <c r="AL202" s="95"/>
      <c r="AM202" s="94">
        <f t="shared" si="48"/>
        <v>128160</v>
      </c>
      <c r="AN202" s="94" cm="1">
        <f t="array" ref="AN202">IF(AM202&gt;=_xlfn.XLOOKUP(TRUE,D202&lt;=Table5[End],Table5[비과세소득기준],0,0),AM202-_xlfn.XLOOKUP(TRUE,D202&lt;=Table5[End],Table5[비과세소득기준],0,0),0)</f>
        <v>0</v>
      </c>
      <c r="AO202" s="94" cm="1">
        <f t="array" ref="AO202">ROUNDDOWN(_xlfn.LET(_xlpm.setvalue,_xlfn.XLOOKUP(TRUE,D202&lt;=Table5[End],Table5[[요율]:[근로소득세액공제]],0,0),_xlpm.tax,AN202*PRODUCT((_xlpm.setvalue-{0,1})*{1,-1}),_xlpm.threshold,_xlfn.XLOOKUP(TRUE,D202&lt;=Table5[End],Table5[소액부징수기준],0,0),IF(_xlpm.tax&gt;=_xlpm.threshold,_xlpm.tax,0)),-1)</f>
        <v>0</v>
      </c>
      <c r="AP202" s="94">
        <f>ROUNDDOWN(Table2[[#This Row],[소득세]]*10%,-1)</f>
        <v>0</v>
      </c>
      <c r="AQ202" s="94">
        <f>IF(AB202="v",AM202+IF(Y202=8,SUMIFS(Table2[지급총액],Table2[주민등록번호],O202,Table2[월],R202,Table2[월간
근무일],"&lt;="&amp;8)-AM202,0),0)+_xlfn.NUMBERVALUE(AR202)</f>
        <v>0</v>
      </c>
      <c r="AR202" s="95"/>
      <c r="AS202" s="94" cm="1">
        <f t="array" ref="AS202">ROUNDDOWN($AQ202*_xlfn.XLOOKUP(1,(AS$5=Table8[Type])*($D202&lt;=Table8[End]),Table8[요율],0,0),0)</f>
        <v>0</v>
      </c>
      <c r="AT202" s="94" cm="1">
        <f t="array" ref="AT202">ROUNDDOWN(AS202*_xlfn.XLOOKUP(1,(AT$5=Table8[Type])*($D202&lt;=Table8[End]),Table8[요율],0,0),-1)</f>
        <v>0</v>
      </c>
      <c r="AU202" s="94" cm="1">
        <f t="array" ref="AU202">ROUNDDOWN($AQ202*_xlfn.XLOOKUP(1,(AU$5=Table8[Type])*($D202&lt;=Table8[End]),Table8[요율],0,0),-1)</f>
        <v>0</v>
      </c>
      <c r="AV202" s="94" cm="1">
        <f t="array" ref="AV202">ROUNDDOWN(AM202*_xlfn.XLOOKUP(1,(AV$5=Table8[Type])*($D202&lt;=Table8[End]),Table8[요율],0,0),-1)</f>
        <v>0</v>
      </c>
      <c r="AW202" s="94" cm="1">
        <f t="array" ref="AW202">_xlfn.XLOOKUP(1,(O202=Table2[주민등록번호])*(D202&gt;Table2[근무일자]),Table2[청구 Claim 
이월],0,0,-1)</f>
        <v>0</v>
      </c>
      <c r="AX202" s="95"/>
      <c r="AY202" s="94" cm="1">
        <f t="array" ref="AY202">MAX(SUM(AO202:AP202,AS202:AX202)-_xlfn.XLOOKUP(1,(D202&lt;=Table7[End])*(E202=Table7[근무처])*(F202=Table7[업무]),Table7[1일 공제 상한],0,0),0)</f>
        <v>0</v>
      </c>
      <c r="AZ202" s="94">
        <f t="shared" si="49"/>
        <v>0</v>
      </c>
      <c r="BA202" s="94">
        <f t="shared" si="50"/>
        <v>128160</v>
      </c>
      <c r="BB202" s="97">
        <f t="shared" si="51"/>
        <v>0</v>
      </c>
      <c r="BC202" s="98"/>
      <c r="BD202" s="94">
        <f t="shared" si="52"/>
        <v>0</v>
      </c>
      <c r="BE202" s="94">
        <f t="shared" si="53"/>
        <v>0</v>
      </c>
      <c r="BF202" s="94">
        <f t="shared" si="54"/>
        <v>0</v>
      </c>
      <c r="BG202" s="94">
        <f t="shared" si="55"/>
        <v>0</v>
      </c>
      <c r="BH202" s="94" cm="1">
        <f t="array" ref="BH202">ROUNDDOWN(AM202*_xlfn.XLOOKUP(1,(BH$5=Table8[Type])*($D202&lt;=Table8[End]),Table8[요율],0,0),-1)</f>
        <v>1020</v>
      </c>
      <c r="BI202" s="93" t="str" cm="1">
        <f t="array" ref="BI202">_xlfn.XLOOKUP(1,(D202&lt;=Table7[End])*(E202=Table7[근무처])*(F202=Table7[업무]),Table7[지급옵션],0,0)</f>
        <v>차주 화</v>
      </c>
      <c r="BJ202" s="83">
        <f>IF(BK202&lt;&gt;"",BK202,IFERROR(D202+_xlfn.NUMBERVALUE(RIGHT(BI202,1)),D202-WEEKDAY(D202)+CHOOSE(MATCH(RIGHT(BI202),{"일","월","화","수","목","금","토"},0),8,9,10,11,12,13,14)))</f>
        <v>45790</v>
      </c>
      <c r="BK202" s="99"/>
    </row>
    <row r="203" spans="2:63" x14ac:dyDescent="0.35">
      <c r="B203" s="20" t="str" cm="1">
        <f t="array" ref="B203">_xlfn.IFS(BB203&lt;&gt;BC203,"Claim확인",N203&lt;&gt;"OK","확인필요",TRUE,"")</f>
        <v/>
      </c>
      <c r="C203" s="21" t="str">
        <f t="shared" si="42"/>
        <v>010-2X2X-X2X2945X02XX268466</v>
      </c>
      <c r="D203" s="26">
        <v>45783</v>
      </c>
      <c r="E203" s="91" t="s">
        <v>255</v>
      </c>
      <c r="F203" s="25" t="s">
        <v>258</v>
      </c>
      <c r="G203" s="27" t="s">
        <v>285</v>
      </c>
      <c r="H203" s="25" t="s">
        <v>297</v>
      </c>
      <c r="I203" s="25"/>
      <c r="J203" s="25" t="s">
        <v>298</v>
      </c>
      <c r="K203" s="28">
        <v>0.29166666666666669</v>
      </c>
      <c r="L203" s="28">
        <v>0.66666666666666663</v>
      </c>
      <c r="M203" s="28">
        <v>4.1666666666666664E-2</v>
      </c>
      <c r="N203" s="25" t="s">
        <v>281</v>
      </c>
      <c r="O203" s="29" t="str">
        <f>_xlfn.XLOOKUP(Table2[[#This Row],[Key]],Table1[Key],Table1[주민등록번호],"",0)</f>
        <v>980XX81XX7X17</v>
      </c>
      <c r="P203" s="86">
        <f>_xlfn.XLOOKUP(Table2[[#This Row],[Key]],Table1[Key],Table1[비자],"",0)</f>
        <v>0</v>
      </c>
      <c r="Q203" s="86">
        <f>IF(P203=0,0,_xlfn.XLOOKUP(Table2[[#This Row],[Key]],Table1[Key],Table1[고용보험 여부],0,0))</f>
        <v>0</v>
      </c>
      <c r="R203" s="29" t="str">
        <f t="shared" si="43"/>
        <v>2505</v>
      </c>
      <c r="S203" s="30" t="str">
        <f>YEAR(Table2[[#This Row],[근무일자]])&amp;TEXT(WEEKNUM(Table2[[#This Row],[근무일자]]),"00")</f>
        <v>202519</v>
      </c>
      <c r="T203" s="31">
        <f>_xlfn.XLOOKUP(Table2[[#This Row],[Key]],Table1[Key],Table1[등록일],"",0)</f>
        <v>45752</v>
      </c>
      <c r="U203" s="32">
        <f t="shared" si="44"/>
        <v>0.33333333333333326</v>
      </c>
      <c r="V203" s="92">
        <f t="shared" si="45"/>
        <v>0</v>
      </c>
      <c r="W203" s="100" t="str">
        <f>_xlfn.XLOOKUP(Table2[[#This Row],[근무일자]],Table3[Date],Table3[Holiday],"",0)</f>
        <v>대체 휴일</v>
      </c>
      <c r="X203" s="93">
        <f>IF(D203&lt;&gt;"",1,0)+IF(COUNTIFS(Table2[주민등록번호],O203,Table2[월],TEXT(EOMONTH(D203,-1),"YYMM"))&gt;0,1+IF(COUNTIFS(Table2[주민등록번호],O203,Table2[월],TEXT(EOMONTH(D203,-2),"YYMM"))&gt;0,1+IF(COUNTIFS(Table2[주민등록번호],O203,Table2[월],TEXT(EOMONTH(D203,-3),"YYMM"))&gt;0,1,0),0),0)</f>
        <v>2</v>
      </c>
      <c r="Y203" s="29">
        <f>COUNTIFS(Table2[주민등록번호],O203,Table2[월],R203,Table2[근무일자],"&lt;="&amp;D203)</f>
        <v>3</v>
      </c>
      <c r="Z203" s="29">
        <f>COUNTIFS(Table2[주민등록번호],O203,Table2[주간],S203,Table2[근무일자],"&lt;="&amp;D203)</f>
        <v>3</v>
      </c>
      <c r="AA203" s="29">
        <f>SUMIFS(Table2[근로
시간],Table2[주민등록번호],O203,Table2[주간],S203,Table2[근무일자],"&lt;="&amp;D203)*24</f>
        <v>23.999999999999993</v>
      </c>
      <c r="AB203" s="29" t="str">
        <f>IF(AND(Y203&gt;=8,COUNTIFS(Table2[주민등록번호],O203,Table2[근무일자],"&gt;="&amp;EOMONTH(D203,-2)+1,Table2[근무일자],"&lt;="&amp;EOMONTH(D203,-1)+1)&gt;0),"V","")</f>
        <v/>
      </c>
      <c r="AC203" s="94" cm="1">
        <f t="array" ref="AC203">IF(AD203&lt;&gt;"",AD203,_xlfn.XLOOKUP(1,(D203&lt;=Table7[End])*(E203=Table7[근무처])*(F203=Table7[업무]),Table7[시급],0,0))</f>
        <v>10680</v>
      </c>
      <c r="AD203" s="95"/>
      <c r="AE203" s="94">
        <f t="shared" si="46"/>
        <v>85440</v>
      </c>
      <c r="AF203" s="96" cm="1">
        <f t="array" ref="AF203">IF(AND(AA203&gt;=15,(AA203-U203*24)&lt;=40),IF(Z203&gt;=_xlfn.XLOOKUP(1,(D203&lt;=Table7[End])*(E203=Table7[근무처])*(F203=Table7[업무]),Table7[주휴적용일],0,0),1,0)+_xlfn.XLOOKUP(1,(Table2[주간]=Table2[[#This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03" s="96" cm="1">
        <f t="array" ref="AG203">MAX((_xlfn.IFS(AF203=0,0,AF203=1,AA203,AF203&gt;1,U203*24)-IF(AA203&gt;40,AA203-40,0))/5,0)</f>
        <v>1.5999999999999996</v>
      </c>
      <c r="AH203" s="94">
        <f t="shared" si="47"/>
        <v>17088</v>
      </c>
      <c r="AI203" s="33" cm="1">
        <f t="array" ref="AI203">IF(W203="",0,ROUND(AC203*U203*24*_xlfn.XLOOKUP(1,(D203&lt;=Table7[End])*(E203=Table7[근무처])*(F203=Table7[업무]),Table7[휴일인센티브],0,0),0))</f>
        <v>42720</v>
      </c>
      <c r="AJ203" s="94" cm="1">
        <f t="array" ref="AJ203">ROUND(AC203*IF(U203&gt;=8/24,U203-8/24,0)*24*_xlfn.XLOOKUP(1,(D203&lt;=Table7[End])*(E203=Table7[근무처])*(F203=Table7[업무]),Table7[야간인센티브],0,0),0)</f>
        <v>0</v>
      </c>
      <c r="AK203" s="94" cm="1">
        <f t="array" ref="AK203">IF(V203=0,0,ROUND(AC203*V203*24*_xlfn.XLOOKUP(1,(D203&lt;=Table7[End])*(E203=Table7[근무처])*(F203=Table7[업무]),Table7[야간인센티브],0,0),0))</f>
        <v>0</v>
      </c>
      <c r="AL203" s="95"/>
      <c r="AM203" s="94">
        <f t="shared" si="48"/>
        <v>145248</v>
      </c>
      <c r="AN203" s="94" cm="1">
        <f t="array" ref="AN203">IF(AM203&gt;=_xlfn.XLOOKUP(TRUE,D203&lt;=Table5[End],Table5[비과세소득기준],0,0),AM203-_xlfn.XLOOKUP(TRUE,D203&lt;=Table5[End],Table5[비과세소득기준],0,0),0)</f>
        <v>0</v>
      </c>
      <c r="AO203" s="94" cm="1">
        <f t="array" ref="AO203">ROUNDDOWN(_xlfn.LET(_xlpm.setvalue,_xlfn.XLOOKUP(TRUE,D203&lt;=Table5[End],Table5[[요율]:[근로소득세액공제]],0,0),_xlpm.tax,AN203*PRODUCT((_xlpm.setvalue-{0,1})*{1,-1}),_xlpm.threshold,_xlfn.XLOOKUP(TRUE,D203&lt;=Table5[End],Table5[소액부징수기준],0,0),IF(_xlpm.tax&gt;=_xlpm.threshold,_xlpm.tax,0)),-1)</f>
        <v>0</v>
      </c>
      <c r="AP203" s="94">
        <f>ROUNDDOWN(Table2[[#This Row],[소득세]]*10%,-1)</f>
        <v>0</v>
      </c>
      <c r="AQ203" s="94">
        <f>IF(AB203="v",AM203+IF(Y203=8,SUMIFS(Table2[지급총액],Table2[주민등록번호],O203,Table2[월],R203,Table2[월간
근무일],"&lt;="&amp;8)-AM203,0),0)+_xlfn.NUMBERVALUE(AR203)</f>
        <v>0</v>
      </c>
      <c r="AR203" s="95"/>
      <c r="AS203" s="94" cm="1">
        <f t="array" ref="AS203">ROUNDDOWN($AQ203*_xlfn.XLOOKUP(1,(AS$5=Table8[Type])*($D203&lt;=Table8[End]),Table8[요율],0,0),0)</f>
        <v>0</v>
      </c>
      <c r="AT203" s="94" cm="1">
        <f t="array" ref="AT203">ROUNDDOWN(AS203*_xlfn.XLOOKUP(1,(AT$5=Table8[Type])*($D203&lt;=Table8[End]),Table8[요율],0,0),-1)</f>
        <v>0</v>
      </c>
      <c r="AU203" s="94" cm="1">
        <f t="array" ref="AU203">ROUNDDOWN($AQ203*_xlfn.XLOOKUP(1,(AU$5=Table8[Type])*($D203&lt;=Table8[End]),Table8[요율],0,0),-1)</f>
        <v>0</v>
      </c>
      <c r="AV203" s="94" cm="1">
        <f t="array" ref="AV203">ROUNDDOWN(AM203*_xlfn.XLOOKUP(1,(AV$5=Table8[Type])*($D203&lt;=Table8[End]),Table8[요율],0,0),-1)</f>
        <v>0</v>
      </c>
      <c r="AW203" s="94" cm="1">
        <f t="array" ref="AW203">_xlfn.XLOOKUP(1,(O203=Table2[주민등록번호])*(D203&gt;Table2[근무일자]),Table2[청구 Claim 
이월],0,0,-1)</f>
        <v>0</v>
      </c>
      <c r="AX203" s="95"/>
      <c r="AY203" s="94" cm="1">
        <f t="array" ref="AY203">MAX(SUM(AO203:AP203,AS203:AX203)-_xlfn.XLOOKUP(1,(D203&lt;=Table7[End])*(E203=Table7[근무처])*(F203=Table7[업무]),Table7[1일 공제 상한],0,0),0)</f>
        <v>0</v>
      </c>
      <c r="AZ203" s="94">
        <f t="shared" si="49"/>
        <v>0</v>
      </c>
      <c r="BA203" s="94">
        <f t="shared" si="50"/>
        <v>145248</v>
      </c>
      <c r="BB203" s="97">
        <f t="shared" si="51"/>
        <v>0</v>
      </c>
      <c r="BC203" s="98"/>
      <c r="BD203" s="94">
        <f t="shared" si="52"/>
        <v>0</v>
      </c>
      <c r="BE203" s="94">
        <f t="shared" si="53"/>
        <v>0</v>
      </c>
      <c r="BF203" s="94">
        <f t="shared" si="54"/>
        <v>0</v>
      </c>
      <c r="BG203" s="94">
        <f t="shared" si="55"/>
        <v>0</v>
      </c>
      <c r="BH203" s="94" cm="1">
        <f t="array" ref="BH203">ROUNDDOWN(AM203*_xlfn.XLOOKUP(1,(BH$5=Table8[Type])*($D203&lt;=Table8[End]),Table8[요율],0,0),-1)</f>
        <v>1160</v>
      </c>
      <c r="BI203" s="93" t="str" cm="1">
        <f t="array" ref="BI203">_xlfn.XLOOKUP(1,(D203&lt;=Table7[End])*(E203=Table7[근무처])*(F203=Table7[업무]),Table7[지급옵션],0,0)</f>
        <v>차주 화</v>
      </c>
      <c r="BJ203" s="83">
        <f>IF(BK203&lt;&gt;"",BK203,IFERROR(D203+_xlfn.NUMBERVALUE(RIGHT(BI203,1)),D203-WEEKDAY(D203)+CHOOSE(MATCH(RIGHT(BI203),{"일","월","화","수","목","금","토"},0),8,9,10,11,12,13,14)))</f>
        <v>45790</v>
      </c>
      <c r="BK203" s="99"/>
    </row>
    <row r="204" spans="2:63" x14ac:dyDescent="0.35">
      <c r="B204" s="20" t="str" cm="1">
        <f t="array" ref="B204">_xlfn.IFS(BB204&lt;&gt;BC204,"Claim확인",N204&lt;&gt;"OK","확인필요",TRUE,"")</f>
        <v/>
      </c>
      <c r="C204" s="21" t="str">
        <f t="shared" si="42"/>
        <v>010-6X1X-X3X0333X04XX46879</v>
      </c>
      <c r="D204" s="26">
        <v>45784</v>
      </c>
      <c r="E204" s="91" t="s">
        <v>255</v>
      </c>
      <c r="F204" s="25" t="s">
        <v>258</v>
      </c>
      <c r="G204" s="27" t="s">
        <v>284</v>
      </c>
      <c r="H204" s="25" t="s">
        <v>293</v>
      </c>
      <c r="I204" s="25"/>
      <c r="J204" s="25" t="s">
        <v>294</v>
      </c>
      <c r="K204" s="28">
        <v>0.3125</v>
      </c>
      <c r="L204" s="28">
        <v>0.6875</v>
      </c>
      <c r="M204" s="28">
        <v>4.1666666666666664E-2</v>
      </c>
      <c r="N204" s="25" t="s">
        <v>281</v>
      </c>
      <c r="O204" s="29" t="str">
        <f>_xlfn.XLOOKUP(Table2[[#This Row],[Key]],Table1[Key],Table1[주민등록번호],"",0)</f>
        <v>971XX61XX9X25</v>
      </c>
      <c r="P204" s="29">
        <f>_xlfn.XLOOKUP(Table2[[#This Row],[Key]],Table1[Key],Table1[비자],"",0)</f>
        <v>0</v>
      </c>
      <c r="Q204" s="29">
        <f>IF(P204=0,0,_xlfn.XLOOKUP(Table2[[#This Row],[Key]],Table1[Key],Table1[고용보험 여부],0,0))</f>
        <v>0</v>
      </c>
      <c r="R204" s="29" t="str">
        <f t="shared" si="43"/>
        <v>2505</v>
      </c>
      <c r="S204" s="30" t="str">
        <f>YEAR(Table2[[#This Row],[근무일자]])&amp;TEXT(WEEKNUM(Table2[[#This Row],[근무일자]]),"00")</f>
        <v>202519</v>
      </c>
      <c r="T204" s="31">
        <f>_xlfn.XLOOKUP(Table2[[#This Row],[Key]],Table1[Key],Table1[등록일],"",0)</f>
        <v>45721</v>
      </c>
      <c r="U204" s="32">
        <f t="shared" si="44"/>
        <v>0.33333333333333331</v>
      </c>
      <c r="V204" s="92">
        <f t="shared" si="45"/>
        <v>0</v>
      </c>
      <c r="W204" s="100" t="str">
        <f>_xlfn.XLOOKUP(Table2[[#This Row],[근무일자]],Table3[Date],Table3[Holiday],"",0)</f>
        <v/>
      </c>
      <c r="X204" s="93">
        <f>IF(D204&lt;&gt;"",1,0)+IF(COUNTIFS(Table2[주민등록번호],O204,Table2[월],TEXT(EOMONTH(D204,-1),"YYMM"))&gt;0,1+IF(COUNTIFS(Table2[주민등록번호],O204,Table2[월],TEXT(EOMONTH(D204,-2),"YYMM"))&gt;0,1+IF(COUNTIFS(Table2[주민등록번호],O204,Table2[월],TEXT(EOMONTH(D204,-3),"YYMM"))&gt;0,1,0),0),0)</f>
        <v>3</v>
      </c>
      <c r="Y204" s="29">
        <f>COUNTIFS(Table2[주민등록번호],O204,Table2[월],R204,Table2[근무일자],"&lt;="&amp;D204)</f>
        <v>3</v>
      </c>
      <c r="Z204" s="29">
        <f>COUNTIFS(Table2[주민등록번호],O204,Table2[주간],S204,Table2[근무일자],"&lt;="&amp;D204)</f>
        <v>1</v>
      </c>
      <c r="AA204" s="29">
        <f>SUMIFS(Table2[근로
시간],Table2[주민등록번호],O204,Table2[주간],S204,Table2[근무일자],"&lt;="&amp;D204)*24</f>
        <v>8</v>
      </c>
      <c r="AB204" s="29" t="str">
        <f>IF(AND(Y204&gt;=8,COUNTIFS(Table2[주민등록번호],O204,Table2[근무일자],"&gt;="&amp;EOMONTH(D204,-2)+1,Table2[근무일자],"&lt;="&amp;EOMONTH(D204,-1)+1)&gt;0),"V","")</f>
        <v/>
      </c>
      <c r="AC204" s="94" cm="1">
        <f t="array" ref="AC204">IF(AD204&lt;&gt;"",AD204,_xlfn.XLOOKUP(1,(D204&lt;=Table7[End])*(E204=Table7[근무처])*(F204=Table7[업무]),Table7[시급],0,0))</f>
        <v>10680</v>
      </c>
      <c r="AD204" s="95"/>
      <c r="AE204" s="94">
        <f t="shared" si="46"/>
        <v>85440</v>
      </c>
      <c r="AF204" s="96" cm="1">
        <f t="array" ref="AF204">IF(AND(AA204&gt;=15,(AA204-U204*24)&lt;=40),IF(Z204&gt;=_xlfn.XLOOKUP(1,(D204&lt;=Table7[End])*(E204=Table7[근무처])*(F204=Table7[업무]),Table7[주휴적용일],0,0),1,0)+_xlfn.XLOOKUP(1,(Table2[주간]=Table2[[#This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04" s="96" cm="1">
        <f t="array" ref="AG204">MAX((_xlfn.IFS(AF204=0,0,AF204=1,AA204,AF204&gt;1,U204*24)-IF(AA204&gt;40,AA204-40,0))/5,0)</f>
        <v>0</v>
      </c>
      <c r="AH204" s="94">
        <f t="shared" si="47"/>
        <v>0</v>
      </c>
      <c r="AI204" s="33" cm="1">
        <f t="array" ref="AI204">IF(W204="",0,ROUND(AC204*U204*24*_xlfn.XLOOKUP(1,(D204&lt;=Table7[End])*(E204=Table7[근무처])*(F204=Table7[업무]),Table7[휴일인센티브],0,0),0))</f>
        <v>0</v>
      </c>
      <c r="AJ204" s="94" cm="1">
        <f t="array" ref="AJ204">ROUND(AC204*IF(U204&gt;=8/24,U204-8/24,0)*24*_xlfn.XLOOKUP(1,(D204&lt;=Table7[End])*(E204=Table7[근무처])*(F204=Table7[업무]),Table7[야간인센티브],0,0),0)</f>
        <v>0</v>
      </c>
      <c r="AK204" s="94" cm="1">
        <f t="array" ref="AK204">IF(V204=0,0,ROUND(AC204*V204*24*_xlfn.XLOOKUP(1,(D204&lt;=Table7[End])*(E204=Table7[근무처])*(F204=Table7[업무]),Table7[야간인센티브],0,0),0))</f>
        <v>0</v>
      </c>
      <c r="AL204" s="95"/>
      <c r="AM204" s="94">
        <f t="shared" si="48"/>
        <v>85440</v>
      </c>
      <c r="AN204" s="94" cm="1">
        <f t="array" ref="AN204">IF(AM204&gt;=_xlfn.XLOOKUP(TRUE,D204&lt;=Table5[End],Table5[비과세소득기준],0,0),AM204-_xlfn.XLOOKUP(TRUE,D204&lt;=Table5[End],Table5[비과세소득기준],0,0),0)</f>
        <v>0</v>
      </c>
      <c r="AO204" s="94" cm="1">
        <f t="array" ref="AO204">ROUNDDOWN(_xlfn.LET(_xlpm.setvalue,_xlfn.XLOOKUP(TRUE,D204&lt;=Table5[End],Table5[[요율]:[근로소득세액공제]],0,0),_xlpm.tax,AN204*PRODUCT((_xlpm.setvalue-{0,1})*{1,-1}),_xlpm.threshold,_xlfn.XLOOKUP(TRUE,D204&lt;=Table5[End],Table5[소액부징수기준],0,0),IF(_xlpm.tax&gt;=_xlpm.threshold,_xlpm.tax,0)),-1)</f>
        <v>0</v>
      </c>
      <c r="AP204" s="94">
        <f>ROUNDDOWN(Table2[[#This Row],[소득세]]*10%,-1)</f>
        <v>0</v>
      </c>
      <c r="AQ204" s="94">
        <f>IF(AB204="v",AM204+IF(Y204=8,SUMIFS(Table2[지급총액],Table2[주민등록번호],O204,Table2[월],R204,Table2[월간
근무일],"&lt;="&amp;8)-AM204,0),0)+_xlfn.NUMBERVALUE(AR204)</f>
        <v>0</v>
      </c>
      <c r="AR204" s="95"/>
      <c r="AS204" s="94" cm="1">
        <f t="array" ref="AS204">ROUNDDOWN($AQ204*_xlfn.XLOOKUP(1,(AS$5=Table8[Type])*($D204&lt;=Table8[End]),Table8[요율],0,0),0)</f>
        <v>0</v>
      </c>
      <c r="AT204" s="94" cm="1">
        <f t="array" ref="AT204">ROUNDDOWN(AS204*_xlfn.XLOOKUP(1,(AT$5=Table8[Type])*($D204&lt;=Table8[End]),Table8[요율],0,0),-1)</f>
        <v>0</v>
      </c>
      <c r="AU204" s="94" cm="1">
        <f t="array" ref="AU204">ROUNDDOWN($AQ204*_xlfn.XLOOKUP(1,(AU$5=Table8[Type])*($D204&lt;=Table8[End]),Table8[요율],0,0),-1)</f>
        <v>0</v>
      </c>
      <c r="AV204" s="94" cm="1">
        <f t="array" ref="AV204">ROUNDDOWN(AM204*_xlfn.XLOOKUP(1,(AV$5=Table8[Type])*($D204&lt;=Table8[End]),Table8[요율],0,0),-1)</f>
        <v>0</v>
      </c>
      <c r="AW204" s="94" cm="1">
        <f t="array" ref="AW204">_xlfn.XLOOKUP(1,(O204=Table2[주민등록번호])*(D204&gt;Table2[근무일자]),Table2[청구 Claim 
이월],0,0,-1)</f>
        <v>0</v>
      </c>
      <c r="AX204" s="95"/>
      <c r="AY204" s="94" cm="1">
        <f t="array" ref="AY204">MAX(SUM(AO204:AP204,AS204:AX204)-_xlfn.XLOOKUP(1,(D204&lt;=Table7[End])*(E204=Table7[근무처])*(F204=Table7[업무]),Table7[1일 공제 상한],0,0),0)</f>
        <v>0</v>
      </c>
      <c r="AZ204" s="94">
        <f t="shared" si="49"/>
        <v>0</v>
      </c>
      <c r="BA204" s="94">
        <f t="shared" si="50"/>
        <v>85440</v>
      </c>
      <c r="BB204" s="97">
        <f t="shared" si="51"/>
        <v>0</v>
      </c>
      <c r="BC204" s="98"/>
      <c r="BD204" s="94">
        <f t="shared" si="52"/>
        <v>0</v>
      </c>
      <c r="BE204" s="94">
        <f t="shared" si="53"/>
        <v>0</v>
      </c>
      <c r="BF204" s="94">
        <f t="shared" si="54"/>
        <v>0</v>
      </c>
      <c r="BG204" s="94">
        <f t="shared" si="55"/>
        <v>0</v>
      </c>
      <c r="BH204" s="94" cm="1">
        <f t="array" ref="BH204">ROUNDDOWN(AM204*_xlfn.XLOOKUP(1,(BH$5=Table8[Type])*($D204&lt;=Table8[End]),Table8[요율],0,0),-1)</f>
        <v>680</v>
      </c>
      <c r="BI204" s="93" t="str" cm="1">
        <f t="array" ref="BI204">_xlfn.XLOOKUP(1,(D204&lt;=Table7[End])*(E204=Table7[근무처])*(F204=Table7[업무]),Table7[지급옵션],0,0)</f>
        <v>차주 화</v>
      </c>
      <c r="BJ204" s="83">
        <f>IF(BK204&lt;&gt;"",BK204,IFERROR(D204+_xlfn.NUMBERVALUE(RIGHT(BI204,1)),D204-WEEKDAY(D204)+CHOOSE(MATCH(RIGHT(BI204),{"일","월","화","수","목","금","토"},0),8,9,10,11,12,13,14)))</f>
        <v>45790</v>
      </c>
      <c r="BK204" s="99"/>
    </row>
    <row r="205" spans="2:63" x14ac:dyDescent="0.35">
      <c r="B205" s="20" t="str" cm="1">
        <f t="array" ref="B205">_xlfn.IFS(BB205&lt;&gt;BC205,"Claim확인",N205&lt;&gt;"OK","확인필요",TRUE,"")</f>
        <v/>
      </c>
      <c r="C205" s="21" t="str">
        <f t="shared" si="42"/>
        <v>010-8X0X-X0X9982X03XX901018</v>
      </c>
      <c r="D205" s="26">
        <v>45784</v>
      </c>
      <c r="E205" s="91" t="s">
        <v>255</v>
      </c>
      <c r="F205" s="25" t="s">
        <v>258</v>
      </c>
      <c r="G205" s="27" t="s">
        <v>283</v>
      </c>
      <c r="H205" s="25" t="s">
        <v>291</v>
      </c>
      <c r="I205" s="25"/>
      <c r="J205" s="25" t="s">
        <v>292</v>
      </c>
      <c r="K205" s="28">
        <v>0.375</v>
      </c>
      <c r="L205" s="28">
        <v>0.75</v>
      </c>
      <c r="M205" s="28">
        <v>4.1666666666666664E-2</v>
      </c>
      <c r="N205" s="25" t="s">
        <v>281</v>
      </c>
      <c r="O205" s="29" t="str">
        <f>_xlfn.XLOOKUP(Table2[[#This Row],[Key]],Table1[Key],Table1[주민등록번호],"",0)</f>
        <v>960XX51XX9X15</v>
      </c>
      <c r="P205" s="29">
        <f>_xlfn.XLOOKUP(Table2[[#This Row],[Key]],Table1[Key],Table1[비자],"",0)</f>
        <v>0</v>
      </c>
      <c r="Q205" s="29">
        <f>IF(P205=0,0,_xlfn.XLOOKUP(Table2[[#This Row],[Key]],Table1[Key],Table1[고용보험 여부],0,0))</f>
        <v>0</v>
      </c>
      <c r="R205" s="29" t="str">
        <f t="shared" si="43"/>
        <v>2505</v>
      </c>
      <c r="S205" s="30" t="str">
        <f>YEAR(Table2[[#This Row],[근무일자]])&amp;TEXT(WEEKNUM(Table2[[#This Row],[근무일자]]),"00")</f>
        <v>202519</v>
      </c>
      <c r="T205" s="31">
        <f>_xlfn.XLOOKUP(Table2[[#This Row],[Key]],Table1[Key],Table1[등록일],"",0)</f>
        <v>45698</v>
      </c>
      <c r="U205" s="32">
        <f t="shared" si="44"/>
        <v>0.33333333333333331</v>
      </c>
      <c r="V205" s="92">
        <f t="shared" si="45"/>
        <v>0</v>
      </c>
      <c r="W205" s="100" t="str">
        <f>_xlfn.XLOOKUP(Table2[[#This Row],[근무일자]],Table3[Date],Table3[Holiday],"",0)</f>
        <v/>
      </c>
      <c r="X205" s="93">
        <f>IF(D205&lt;&gt;"",1,0)+IF(COUNTIFS(Table2[주민등록번호],O205,Table2[월],TEXT(EOMONTH(D205,-1),"YYMM"))&gt;0,1+IF(COUNTIFS(Table2[주민등록번호],O205,Table2[월],TEXT(EOMONTH(D205,-2),"YYMM"))&gt;0,1+IF(COUNTIFS(Table2[주민등록번호],O205,Table2[월],TEXT(EOMONTH(D205,-3),"YYMM"))&gt;0,1,0),0),0)</f>
        <v>4</v>
      </c>
      <c r="Y205" s="29">
        <f>COUNTIFS(Table2[주민등록번호],O205,Table2[월],R205,Table2[근무일자],"&lt;="&amp;D205)</f>
        <v>7</v>
      </c>
      <c r="Z205" s="29">
        <f>COUNTIFS(Table2[주민등록번호],O205,Table2[주간],S205,Table2[근무일자],"&lt;="&amp;D205)</f>
        <v>4</v>
      </c>
      <c r="AA205" s="29">
        <f>SUMIFS(Table2[근로
시간],Table2[주민등록번호],O205,Table2[주간],S205,Table2[근무일자],"&lt;="&amp;D205)*24</f>
        <v>32</v>
      </c>
      <c r="AB205" s="29" t="str">
        <f>IF(AND(Y205&gt;=8,COUNTIFS(Table2[주민등록번호],O205,Table2[근무일자],"&gt;="&amp;EOMONTH(D205,-2)+1,Table2[근무일자],"&lt;="&amp;EOMONTH(D205,-1)+1)&gt;0),"V","")</f>
        <v/>
      </c>
      <c r="AC205" s="94" cm="1">
        <f t="array" ref="AC205">IF(AD205&lt;&gt;"",AD205,_xlfn.XLOOKUP(1,(D205&lt;=Table7[End])*(E205=Table7[근무처])*(F205=Table7[업무]),Table7[시급],0,0))</f>
        <v>10680</v>
      </c>
      <c r="AD205" s="95"/>
      <c r="AE205" s="94">
        <f t="shared" si="46"/>
        <v>85440</v>
      </c>
      <c r="AF205" s="96" cm="1">
        <f t="array" ref="AF205">IF(AND(AA205&gt;=15,(AA205-U205*24)&lt;=40),IF(Z205&gt;=_xlfn.XLOOKUP(1,(D205&lt;=Table7[End])*(E205=Table7[근무처])*(F205=Table7[업무]),Table7[주휴적용일],0,0),1,0)+_xlfn.XLOOKUP(1,(Table2[주간]=Table2[[#This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05" s="96" cm="1">
        <f t="array" ref="AG205">MAX((_xlfn.IFS(AF205=0,0,AF205=1,AA205,AF205&gt;1,U205*24)-IF(AA205&gt;40,AA205-40,0))/5,0)</f>
        <v>1.6</v>
      </c>
      <c r="AH205" s="94">
        <f t="shared" si="47"/>
        <v>17088</v>
      </c>
      <c r="AI205" s="33" cm="1">
        <f t="array" ref="AI205">IF(W205="",0,ROUND(AC205*U205*24*_xlfn.XLOOKUP(1,(D205&lt;=Table7[End])*(E205=Table7[근무처])*(F205=Table7[업무]),Table7[휴일인센티브],0,0),0))</f>
        <v>0</v>
      </c>
      <c r="AJ205" s="94" cm="1">
        <f t="array" ref="AJ205">ROUND(AC205*IF(U205&gt;=8/24,U205-8/24,0)*24*_xlfn.XLOOKUP(1,(D205&lt;=Table7[End])*(E205=Table7[근무처])*(F205=Table7[업무]),Table7[야간인센티브],0,0),0)</f>
        <v>0</v>
      </c>
      <c r="AK205" s="94" cm="1">
        <f t="array" ref="AK205">IF(V205=0,0,ROUND(AC205*V205*24*_xlfn.XLOOKUP(1,(D205&lt;=Table7[End])*(E205=Table7[근무처])*(F205=Table7[업무]),Table7[야간인센티브],0,0),0))</f>
        <v>0</v>
      </c>
      <c r="AL205" s="95"/>
      <c r="AM205" s="94">
        <f t="shared" si="48"/>
        <v>102528</v>
      </c>
      <c r="AN205" s="94" cm="1">
        <f t="array" ref="AN205">IF(AM205&gt;=_xlfn.XLOOKUP(TRUE,D205&lt;=Table5[End],Table5[비과세소득기준],0,0),AM205-_xlfn.XLOOKUP(TRUE,D205&lt;=Table5[End],Table5[비과세소득기준],0,0),0)</f>
        <v>0</v>
      </c>
      <c r="AO205" s="94" cm="1">
        <f t="array" ref="AO205">ROUNDDOWN(_xlfn.LET(_xlpm.setvalue,_xlfn.XLOOKUP(TRUE,D205&lt;=Table5[End],Table5[[요율]:[근로소득세액공제]],0,0),_xlpm.tax,AN205*PRODUCT((_xlpm.setvalue-{0,1})*{1,-1}),_xlpm.threshold,_xlfn.XLOOKUP(TRUE,D205&lt;=Table5[End],Table5[소액부징수기준],0,0),IF(_xlpm.tax&gt;=_xlpm.threshold,_xlpm.tax,0)),-1)</f>
        <v>0</v>
      </c>
      <c r="AP205" s="94">
        <f>ROUNDDOWN(Table2[[#This Row],[소득세]]*10%,-1)</f>
        <v>0</v>
      </c>
      <c r="AQ205" s="94">
        <f>IF(AB205="v",AM205+IF(Y205=8,SUMIFS(Table2[지급총액],Table2[주민등록번호],O205,Table2[월],R205,Table2[월간
근무일],"&lt;="&amp;8)-AM205,0),0)+_xlfn.NUMBERVALUE(AR205)</f>
        <v>0</v>
      </c>
      <c r="AR205" s="95"/>
      <c r="AS205" s="94" cm="1">
        <f t="array" ref="AS205">ROUNDDOWN($AQ205*_xlfn.XLOOKUP(1,(AS$5=Table8[Type])*($D205&lt;=Table8[End]),Table8[요율],0,0),0)</f>
        <v>0</v>
      </c>
      <c r="AT205" s="94" cm="1">
        <f t="array" ref="AT205">ROUNDDOWN(AS205*_xlfn.XLOOKUP(1,(AT$5=Table8[Type])*($D205&lt;=Table8[End]),Table8[요율],0,0),-1)</f>
        <v>0</v>
      </c>
      <c r="AU205" s="94" cm="1">
        <f t="array" ref="AU205">ROUNDDOWN($AQ205*_xlfn.XLOOKUP(1,(AU$5=Table8[Type])*($D205&lt;=Table8[End]),Table8[요율],0,0),-1)</f>
        <v>0</v>
      </c>
      <c r="AV205" s="94" cm="1">
        <f t="array" ref="AV205">ROUNDDOWN(AM205*_xlfn.XLOOKUP(1,(AV$5=Table8[Type])*($D205&lt;=Table8[End]),Table8[요율],0,0),-1)</f>
        <v>0</v>
      </c>
      <c r="AW205" s="94" cm="1">
        <f t="array" ref="AW205">_xlfn.XLOOKUP(1,(O205=Table2[주민등록번호])*(D205&gt;Table2[근무일자]),Table2[청구 Claim 
이월],0,0,-1)</f>
        <v>0</v>
      </c>
      <c r="AX205" s="95"/>
      <c r="AY205" s="94" cm="1">
        <f t="array" ref="AY205">MAX(SUM(AO205:AP205,AS205:AX205)-_xlfn.XLOOKUP(1,(D205&lt;=Table7[End])*(E205=Table7[근무처])*(F205=Table7[업무]),Table7[1일 공제 상한],0,0),0)</f>
        <v>0</v>
      </c>
      <c r="AZ205" s="94">
        <f t="shared" si="49"/>
        <v>0</v>
      </c>
      <c r="BA205" s="94">
        <f t="shared" si="50"/>
        <v>102528</v>
      </c>
      <c r="BB205" s="97">
        <f t="shared" si="51"/>
        <v>0</v>
      </c>
      <c r="BC205" s="98"/>
      <c r="BD205" s="94">
        <f t="shared" si="52"/>
        <v>0</v>
      </c>
      <c r="BE205" s="94">
        <f t="shared" si="53"/>
        <v>0</v>
      </c>
      <c r="BF205" s="94">
        <f t="shared" si="54"/>
        <v>0</v>
      </c>
      <c r="BG205" s="94">
        <f t="shared" si="55"/>
        <v>0</v>
      </c>
      <c r="BH205" s="94" cm="1">
        <f t="array" ref="BH205">ROUNDDOWN(AM205*_xlfn.XLOOKUP(1,(BH$5=Table8[Type])*($D205&lt;=Table8[End]),Table8[요율],0,0),-1)</f>
        <v>820</v>
      </c>
      <c r="BI205" s="93" t="str" cm="1">
        <f t="array" ref="BI205">_xlfn.XLOOKUP(1,(D205&lt;=Table7[End])*(E205=Table7[근무처])*(F205=Table7[업무]),Table7[지급옵션],0,0)</f>
        <v>차주 화</v>
      </c>
      <c r="BJ205" s="83">
        <f>IF(BK205&lt;&gt;"",BK205,IFERROR(D205+_xlfn.NUMBERVALUE(RIGHT(BI205,1)),D205-WEEKDAY(D205)+CHOOSE(MATCH(RIGHT(BI205),{"일","월","화","수","목","금","토"},0),8,9,10,11,12,13,14)))</f>
        <v>45790</v>
      </c>
      <c r="BK205" s="99"/>
    </row>
    <row r="206" spans="2:63" x14ac:dyDescent="0.35">
      <c r="B206" s="20" t="str" cm="1">
        <f t="array" ref="B206">_xlfn.IFS(BB206&lt;&gt;BC206,"Claim확인",N206&lt;&gt;"OK","확인필요",TRUE,"")</f>
        <v/>
      </c>
      <c r="C206" s="21" t="str">
        <f t="shared" si="42"/>
        <v>010-3X6X-X4X7757X02XX284249</v>
      </c>
      <c r="D206" s="26">
        <v>45784</v>
      </c>
      <c r="E206" s="91" t="s">
        <v>255</v>
      </c>
      <c r="F206" s="25" t="s">
        <v>258</v>
      </c>
      <c r="G206" s="27" t="s">
        <v>283</v>
      </c>
      <c r="H206" s="25" t="s">
        <v>295</v>
      </c>
      <c r="I206" s="25"/>
      <c r="J206" s="25" t="s">
        <v>296</v>
      </c>
      <c r="K206" s="28">
        <v>0.29166666666666669</v>
      </c>
      <c r="L206" s="28">
        <v>0.66666666666666663</v>
      </c>
      <c r="M206" s="28">
        <v>4.1666666666666664E-2</v>
      </c>
      <c r="N206" s="25" t="s">
        <v>281</v>
      </c>
      <c r="O206" s="29" t="str">
        <f>_xlfn.XLOOKUP(Table2[[#This Row],[Key]],Table1[Key],Table1[주민등록번호],"",0)</f>
        <v>940XX41XX7X32</v>
      </c>
      <c r="P206" s="29">
        <f>_xlfn.XLOOKUP(Table2[[#This Row],[Key]],Table1[Key],Table1[비자],"",0)</f>
        <v>0</v>
      </c>
      <c r="Q206" s="29">
        <f>IF(P206=0,0,_xlfn.XLOOKUP(Table2[[#This Row],[Key]],Table1[Key],Table1[고용보험 여부],0,0))</f>
        <v>0</v>
      </c>
      <c r="R206" s="29" t="str">
        <f t="shared" si="43"/>
        <v>2505</v>
      </c>
      <c r="S206" s="30" t="str">
        <f>YEAR(Table2[[#This Row],[근무일자]])&amp;TEXT(WEEKNUM(Table2[[#This Row],[근무일자]]),"00")</f>
        <v>202519</v>
      </c>
      <c r="T206" s="31">
        <f>_xlfn.XLOOKUP(Table2[[#This Row],[Key]],Table1[Key],Table1[등록일],"",0)</f>
        <v>45751</v>
      </c>
      <c r="U206" s="32">
        <f t="shared" si="44"/>
        <v>0.33333333333333326</v>
      </c>
      <c r="V206" s="92">
        <f t="shared" si="45"/>
        <v>0</v>
      </c>
      <c r="W206" s="100" t="str">
        <f>_xlfn.XLOOKUP(Table2[[#This Row],[근무일자]],Table3[Date],Table3[Holiday],"",0)</f>
        <v/>
      </c>
      <c r="X206" s="93">
        <f>IF(D206&lt;&gt;"",1,0)+IF(COUNTIFS(Table2[주민등록번호],O206,Table2[월],TEXT(EOMONTH(D206,-1),"YYMM"))&gt;0,1+IF(COUNTIFS(Table2[주민등록번호],O206,Table2[월],TEXT(EOMONTH(D206,-2),"YYMM"))&gt;0,1+IF(COUNTIFS(Table2[주민등록번호],O206,Table2[월],TEXT(EOMONTH(D206,-3),"YYMM"))&gt;0,1,0),0),0)</f>
        <v>2</v>
      </c>
      <c r="Y206" s="29">
        <f>COUNTIFS(Table2[주민등록번호],O206,Table2[월],R206,Table2[근무일자],"&lt;="&amp;D206)</f>
        <v>2</v>
      </c>
      <c r="Z206" s="29">
        <f>COUNTIFS(Table2[주민등록번호],O206,Table2[주간],S206,Table2[근무일자],"&lt;="&amp;D206)</f>
        <v>2</v>
      </c>
      <c r="AA206" s="29">
        <f>SUMIFS(Table2[근로
시간],Table2[주민등록번호],O206,Table2[주간],S206,Table2[근무일자],"&lt;="&amp;D206)*24</f>
        <v>15.999999999999996</v>
      </c>
      <c r="AB206" s="29" t="str">
        <f>IF(AND(Y206&gt;=8,COUNTIFS(Table2[주민등록번호],O206,Table2[근무일자],"&gt;="&amp;EOMONTH(D206,-2)+1,Table2[근무일자],"&lt;="&amp;EOMONTH(D206,-1)+1)&gt;0),"V","")</f>
        <v/>
      </c>
      <c r="AC206" s="94" cm="1">
        <f t="array" ref="AC206">IF(AD206&lt;&gt;"",AD206,_xlfn.XLOOKUP(1,(D206&lt;=Table7[End])*(E206=Table7[근무처])*(F206=Table7[업무]),Table7[시급],0,0))</f>
        <v>10680</v>
      </c>
      <c r="AD206" s="95"/>
      <c r="AE206" s="94">
        <f t="shared" si="46"/>
        <v>85440</v>
      </c>
      <c r="AF206" s="96" cm="1">
        <f t="array" ref="AF206">IF(AND(AA206&gt;=15,(AA206-U206*24)&lt;=40),IF(Z206&gt;=_xlfn.XLOOKUP(1,(D206&lt;=Table7[End])*(E206=Table7[근무처])*(F206=Table7[업무]),Table7[주휴적용일],0,0),1,0)+_xlfn.XLOOKUP(1,(Table2[주간]=Table2[[#This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06" s="96" cm="1">
        <f t="array" ref="AG206">MAX((_xlfn.IFS(AF206=0,0,AF206=1,AA206,AF206&gt;1,U206*24)-IF(AA206&gt;40,AA206-40,0))/5,0)</f>
        <v>3.1999999999999993</v>
      </c>
      <c r="AH206" s="94">
        <f t="shared" si="47"/>
        <v>34176</v>
      </c>
      <c r="AI206" s="33" cm="1">
        <f t="array" ref="AI206">IF(W206="",0,ROUND(AC206*U206*24*_xlfn.XLOOKUP(1,(D206&lt;=Table7[End])*(E206=Table7[근무처])*(F206=Table7[업무]),Table7[휴일인센티브],0,0),0))</f>
        <v>0</v>
      </c>
      <c r="AJ206" s="94" cm="1">
        <f t="array" ref="AJ206">ROUND(AC206*IF(U206&gt;=8/24,U206-8/24,0)*24*_xlfn.XLOOKUP(1,(D206&lt;=Table7[End])*(E206=Table7[근무처])*(F206=Table7[업무]),Table7[야간인센티브],0,0),0)</f>
        <v>0</v>
      </c>
      <c r="AK206" s="94" cm="1">
        <f t="array" ref="AK206">IF(V206=0,0,ROUND(AC206*V206*24*_xlfn.XLOOKUP(1,(D206&lt;=Table7[End])*(E206=Table7[근무처])*(F206=Table7[업무]),Table7[야간인센티브],0,0),0))</f>
        <v>0</v>
      </c>
      <c r="AL206" s="95"/>
      <c r="AM206" s="94">
        <f t="shared" si="48"/>
        <v>119616</v>
      </c>
      <c r="AN206" s="94" cm="1">
        <f t="array" ref="AN206">IF(AM206&gt;=_xlfn.XLOOKUP(TRUE,D206&lt;=Table5[End],Table5[비과세소득기준],0,0),AM206-_xlfn.XLOOKUP(TRUE,D206&lt;=Table5[End],Table5[비과세소득기준],0,0),0)</f>
        <v>0</v>
      </c>
      <c r="AO206" s="94" cm="1">
        <f t="array" ref="AO206">ROUNDDOWN(_xlfn.LET(_xlpm.setvalue,_xlfn.XLOOKUP(TRUE,D206&lt;=Table5[End],Table5[[요율]:[근로소득세액공제]],0,0),_xlpm.tax,AN206*PRODUCT((_xlpm.setvalue-{0,1})*{1,-1}),_xlpm.threshold,_xlfn.XLOOKUP(TRUE,D206&lt;=Table5[End],Table5[소액부징수기준],0,0),IF(_xlpm.tax&gt;=_xlpm.threshold,_xlpm.tax,0)),-1)</f>
        <v>0</v>
      </c>
      <c r="AP206" s="94">
        <f>ROUNDDOWN(Table2[[#This Row],[소득세]]*10%,-1)</f>
        <v>0</v>
      </c>
      <c r="AQ206" s="94">
        <f>IF(AB206="v",AM206+IF(Y206=8,SUMIFS(Table2[지급총액],Table2[주민등록번호],O206,Table2[월],R206,Table2[월간
근무일],"&lt;="&amp;8)-AM206,0),0)+_xlfn.NUMBERVALUE(AR206)</f>
        <v>0</v>
      </c>
      <c r="AR206" s="95"/>
      <c r="AS206" s="94" cm="1">
        <f t="array" ref="AS206">ROUNDDOWN($AQ206*_xlfn.XLOOKUP(1,(AS$5=Table8[Type])*($D206&lt;=Table8[End]),Table8[요율],0,0),0)</f>
        <v>0</v>
      </c>
      <c r="AT206" s="94" cm="1">
        <f t="array" ref="AT206">ROUNDDOWN(AS206*_xlfn.XLOOKUP(1,(AT$5=Table8[Type])*($D206&lt;=Table8[End]),Table8[요율],0,0),-1)</f>
        <v>0</v>
      </c>
      <c r="AU206" s="94" cm="1">
        <f t="array" ref="AU206">ROUNDDOWN($AQ206*_xlfn.XLOOKUP(1,(AU$5=Table8[Type])*($D206&lt;=Table8[End]),Table8[요율],0,0),-1)</f>
        <v>0</v>
      </c>
      <c r="AV206" s="94" cm="1">
        <f t="array" ref="AV206">ROUNDDOWN(AM206*_xlfn.XLOOKUP(1,(AV$5=Table8[Type])*($D206&lt;=Table8[End]),Table8[요율],0,0),-1)</f>
        <v>0</v>
      </c>
      <c r="AW206" s="94" cm="1">
        <f t="array" ref="AW206">_xlfn.XLOOKUP(1,(O206=Table2[주민등록번호])*(D206&gt;Table2[근무일자]),Table2[청구 Claim 
이월],0,0,-1)</f>
        <v>0</v>
      </c>
      <c r="AX206" s="95"/>
      <c r="AY206" s="94" cm="1">
        <f t="array" ref="AY206">MAX(SUM(AO206:AP206,AS206:AX206)-_xlfn.XLOOKUP(1,(D206&lt;=Table7[End])*(E206=Table7[근무처])*(F206=Table7[업무]),Table7[1일 공제 상한],0,0),0)</f>
        <v>0</v>
      </c>
      <c r="AZ206" s="94">
        <f t="shared" si="49"/>
        <v>0</v>
      </c>
      <c r="BA206" s="94">
        <f t="shared" si="50"/>
        <v>119616</v>
      </c>
      <c r="BB206" s="97">
        <f t="shared" si="51"/>
        <v>0</v>
      </c>
      <c r="BC206" s="98"/>
      <c r="BD206" s="94">
        <f t="shared" si="52"/>
        <v>0</v>
      </c>
      <c r="BE206" s="94">
        <f t="shared" si="53"/>
        <v>0</v>
      </c>
      <c r="BF206" s="94">
        <f t="shared" si="54"/>
        <v>0</v>
      </c>
      <c r="BG206" s="94">
        <f t="shared" si="55"/>
        <v>0</v>
      </c>
      <c r="BH206" s="94" cm="1">
        <f t="array" ref="BH206">ROUNDDOWN(AM206*_xlfn.XLOOKUP(1,(BH$5=Table8[Type])*($D206&lt;=Table8[End]),Table8[요율],0,0),-1)</f>
        <v>950</v>
      </c>
      <c r="BI206" s="93" t="str" cm="1">
        <f t="array" ref="BI206">_xlfn.XLOOKUP(1,(D206&lt;=Table7[End])*(E206=Table7[근무처])*(F206=Table7[업무]),Table7[지급옵션],0,0)</f>
        <v>차주 화</v>
      </c>
      <c r="BJ206" s="83">
        <f>IF(BK206&lt;&gt;"",BK206,IFERROR(D206+_xlfn.NUMBERVALUE(RIGHT(BI206,1)),D206-WEEKDAY(D206)+CHOOSE(MATCH(RIGHT(BI206),{"일","월","화","수","목","금","토"},0),8,9,10,11,12,13,14)))</f>
        <v>45790</v>
      </c>
      <c r="BK206" s="99"/>
    </row>
    <row r="207" spans="2:63" x14ac:dyDescent="0.35">
      <c r="B207" s="20" t="str" cm="1">
        <f t="array" ref="B207">_xlfn.IFS(BB207&lt;&gt;BC207,"Claim확인",N207&lt;&gt;"OK","확인필요",TRUE,"")</f>
        <v/>
      </c>
      <c r="C207" s="21" t="str">
        <f t="shared" si="42"/>
        <v>010-6X1X-X3X0333X04XX46879</v>
      </c>
      <c r="D207" s="26">
        <v>45785</v>
      </c>
      <c r="E207" s="91" t="s">
        <v>255</v>
      </c>
      <c r="F207" s="25" t="s">
        <v>258</v>
      </c>
      <c r="G207" s="27" t="s">
        <v>284</v>
      </c>
      <c r="H207" s="25" t="s">
        <v>293</v>
      </c>
      <c r="I207" s="25"/>
      <c r="J207" s="25" t="s">
        <v>294</v>
      </c>
      <c r="K207" s="28">
        <v>0.3125</v>
      </c>
      <c r="L207" s="28">
        <v>0.6875</v>
      </c>
      <c r="M207" s="28">
        <v>4.1666666666666664E-2</v>
      </c>
      <c r="N207" s="25" t="s">
        <v>281</v>
      </c>
      <c r="O207" s="29" t="str">
        <f>_xlfn.XLOOKUP(Table2[[#This Row],[Key]],Table1[Key],Table1[주민등록번호],"",0)</f>
        <v>971XX61XX9X25</v>
      </c>
      <c r="P207" s="29">
        <f>_xlfn.XLOOKUP(Table2[[#This Row],[Key]],Table1[Key],Table1[비자],"",0)</f>
        <v>0</v>
      </c>
      <c r="Q207" s="29">
        <f>IF(P207=0,0,_xlfn.XLOOKUP(Table2[[#This Row],[Key]],Table1[Key],Table1[고용보험 여부],0,0))</f>
        <v>0</v>
      </c>
      <c r="R207" s="29" t="str">
        <f t="shared" si="43"/>
        <v>2505</v>
      </c>
      <c r="S207" s="30" t="str">
        <f>YEAR(Table2[[#This Row],[근무일자]])&amp;TEXT(WEEKNUM(Table2[[#This Row],[근무일자]]),"00")</f>
        <v>202519</v>
      </c>
      <c r="T207" s="31">
        <f>_xlfn.XLOOKUP(Table2[[#This Row],[Key]],Table1[Key],Table1[등록일],"",0)</f>
        <v>45721</v>
      </c>
      <c r="U207" s="32">
        <f t="shared" si="44"/>
        <v>0.33333333333333331</v>
      </c>
      <c r="V207" s="92">
        <f t="shared" si="45"/>
        <v>0</v>
      </c>
      <c r="W207" s="100" t="str">
        <f>_xlfn.XLOOKUP(Table2[[#This Row],[근무일자]],Table3[Date],Table3[Holiday],"",0)</f>
        <v/>
      </c>
      <c r="X207" s="93">
        <f>IF(D207&lt;&gt;"",1,0)+IF(COUNTIFS(Table2[주민등록번호],O207,Table2[월],TEXT(EOMONTH(D207,-1),"YYMM"))&gt;0,1+IF(COUNTIFS(Table2[주민등록번호],O207,Table2[월],TEXT(EOMONTH(D207,-2),"YYMM"))&gt;0,1+IF(COUNTIFS(Table2[주민등록번호],O207,Table2[월],TEXT(EOMONTH(D207,-3),"YYMM"))&gt;0,1,0),0),0)</f>
        <v>3</v>
      </c>
      <c r="Y207" s="29">
        <f>COUNTIFS(Table2[주민등록번호],O207,Table2[월],R207,Table2[근무일자],"&lt;="&amp;D207)</f>
        <v>4</v>
      </c>
      <c r="Z207" s="29">
        <f>COUNTIFS(Table2[주민등록번호],O207,Table2[주간],S207,Table2[근무일자],"&lt;="&amp;D207)</f>
        <v>2</v>
      </c>
      <c r="AA207" s="29">
        <f>SUMIFS(Table2[근로
시간],Table2[주민등록번호],O207,Table2[주간],S207,Table2[근무일자],"&lt;="&amp;D207)*24</f>
        <v>16</v>
      </c>
      <c r="AB207" s="29" t="str">
        <f>IF(AND(Y207&gt;=8,COUNTIFS(Table2[주민등록번호],O207,Table2[근무일자],"&gt;="&amp;EOMONTH(D207,-2)+1,Table2[근무일자],"&lt;="&amp;EOMONTH(D207,-1)+1)&gt;0),"V","")</f>
        <v/>
      </c>
      <c r="AC207" s="94" cm="1">
        <f t="array" ref="AC207">IF(AD207&lt;&gt;"",AD207,_xlfn.XLOOKUP(1,(D207&lt;=Table7[End])*(E207=Table7[근무처])*(F207=Table7[업무]),Table7[시급],0,0))</f>
        <v>10680</v>
      </c>
      <c r="AD207" s="95"/>
      <c r="AE207" s="94">
        <f t="shared" si="46"/>
        <v>85440</v>
      </c>
      <c r="AF207" s="96" cm="1">
        <f t="array" ref="AF207">IF(AND(AA207&gt;=15,(AA207-U207*24)&lt;=40),IF(Z207&gt;=_xlfn.XLOOKUP(1,(D207&lt;=Table7[End])*(E207=Table7[근무처])*(F207=Table7[업무]),Table7[주휴적용일],0,0),1,0)+_xlfn.XLOOKUP(1,(Table2[주간]=Table2[[#This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07" s="96" cm="1">
        <f t="array" ref="AG207">MAX((_xlfn.IFS(AF207=0,0,AF207=1,AA207,AF207&gt;1,U207*24)-IF(AA207&gt;40,AA207-40,0))/5,0)</f>
        <v>3.2</v>
      </c>
      <c r="AH207" s="94">
        <f t="shared" si="47"/>
        <v>34176</v>
      </c>
      <c r="AI207" s="33" cm="1">
        <f t="array" ref="AI207">IF(W207="",0,ROUND(AC207*U207*24*_xlfn.XLOOKUP(1,(D207&lt;=Table7[End])*(E207=Table7[근무처])*(F207=Table7[업무]),Table7[휴일인센티브],0,0),0))</f>
        <v>0</v>
      </c>
      <c r="AJ207" s="94" cm="1">
        <f t="array" ref="AJ207">ROUND(AC207*IF(U207&gt;=8/24,U207-8/24,0)*24*_xlfn.XLOOKUP(1,(D207&lt;=Table7[End])*(E207=Table7[근무처])*(F207=Table7[업무]),Table7[야간인센티브],0,0),0)</f>
        <v>0</v>
      </c>
      <c r="AK207" s="94" cm="1">
        <f t="array" ref="AK207">IF(V207=0,0,ROUND(AC207*V207*24*_xlfn.XLOOKUP(1,(D207&lt;=Table7[End])*(E207=Table7[근무처])*(F207=Table7[업무]),Table7[야간인센티브],0,0),0))</f>
        <v>0</v>
      </c>
      <c r="AL207" s="95"/>
      <c r="AM207" s="94">
        <f t="shared" si="48"/>
        <v>119616</v>
      </c>
      <c r="AN207" s="94" cm="1">
        <f t="array" ref="AN207">IF(AM207&gt;=_xlfn.XLOOKUP(TRUE,D207&lt;=Table5[End],Table5[비과세소득기준],0,0),AM207-_xlfn.XLOOKUP(TRUE,D207&lt;=Table5[End],Table5[비과세소득기준],0,0),0)</f>
        <v>0</v>
      </c>
      <c r="AO207" s="94" cm="1">
        <f t="array" ref="AO207">ROUNDDOWN(_xlfn.LET(_xlpm.setvalue,_xlfn.XLOOKUP(TRUE,D207&lt;=Table5[End],Table5[[요율]:[근로소득세액공제]],0,0),_xlpm.tax,AN207*PRODUCT((_xlpm.setvalue-{0,1})*{1,-1}),_xlpm.threshold,_xlfn.XLOOKUP(TRUE,D207&lt;=Table5[End],Table5[소액부징수기준],0,0),IF(_xlpm.tax&gt;=_xlpm.threshold,_xlpm.tax,0)),-1)</f>
        <v>0</v>
      </c>
      <c r="AP207" s="94">
        <f>ROUNDDOWN(Table2[[#This Row],[소득세]]*10%,-1)</f>
        <v>0</v>
      </c>
      <c r="AQ207" s="94">
        <f>IF(AB207="v",AM207+IF(Y207=8,SUMIFS(Table2[지급총액],Table2[주민등록번호],O207,Table2[월],R207,Table2[월간
근무일],"&lt;="&amp;8)-AM207,0),0)+_xlfn.NUMBERVALUE(AR207)</f>
        <v>0</v>
      </c>
      <c r="AR207" s="95"/>
      <c r="AS207" s="94" cm="1">
        <f t="array" ref="AS207">ROUNDDOWN($AQ207*_xlfn.XLOOKUP(1,(AS$5=Table8[Type])*($D207&lt;=Table8[End]),Table8[요율],0,0),0)</f>
        <v>0</v>
      </c>
      <c r="AT207" s="94" cm="1">
        <f t="array" ref="AT207">ROUNDDOWN(AS207*_xlfn.XLOOKUP(1,(AT$5=Table8[Type])*($D207&lt;=Table8[End]),Table8[요율],0,0),-1)</f>
        <v>0</v>
      </c>
      <c r="AU207" s="94" cm="1">
        <f t="array" ref="AU207">ROUNDDOWN($AQ207*_xlfn.XLOOKUP(1,(AU$5=Table8[Type])*($D207&lt;=Table8[End]),Table8[요율],0,0),-1)</f>
        <v>0</v>
      </c>
      <c r="AV207" s="94" cm="1">
        <f t="array" ref="AV207">ROUNDDOWN(AM207*_xlfn.XLOOKUP(1,(AV$5=Table8[Type])*($D207&lt;=Table8[End]),Table8[요율],0,0),-1)</f>
        <v>0</v>
      </c>
      <c r="AW207" s="94" cm="1">
        <f t="array" ref="AW207">_xlfn.XLOOKUP(1,(O207=Table2[주민등록번호])*(D207&gt;Table2[근무일자]),Table2[청구 Claim 
이월],0,0,-1)</f>
        <v>0</v>
      </c>
      <c r="AX207" s="95"/>
      <c r="AY207" s="94" cm="1">
        <f t="array" ref="AY207">MAX(SUM(AO207:AP207,AS207:AX207)-_xlfn.XLOOKUP(1,(D207&lt;=Table7[End])*(E207=Table7[근무처])*(F207=Table7[업무]),Table7[1일 공제 상한],0,0),0)</f>
        <v>0</v>
      </c>
      <c r="AZ207" s="94">
        <f t="shared" si="49"/>
        <v>0</v>
      </c>
      <c r="BA207" s="94">
        <f t="shared" si="50"/>
        <v>119616</v>
      </c>
      <c r="BB207" s="97">
        <f t="shared" si="51"/>
        <v>0</v>
      </c>
      <c r="BC207" s="98"/>
      <c r="BD207" s="94">
        <f t="shared" si="52"/>
        <v>0</v>
      </c>
      <c r="BE207" s="94">
        <f t="shared" si="53"/>
        <v>0</v>
      </c>
      <c r="BF207" s="94">
        <f t="shared" si="54"/>
        <v>0</v>
      </c>
      <c r="BG207" s="94">
        <f t="shared" si="55"/>
        <v>0</v>
      </c>
      <c r="BH207" s="94" cm="1">
        <f t="array" ref="BH207">ROUNDDOWN(AM207*_xlfn.XLOOKUP(1,(BH$5=Table8[Type])*($D207&lt;=Table8[End]),Table8[요율],0,0),-1)</f>
        <v>950</v>
      </c>
      <c r="BI207" s="93" t="str" cm="1">
        <f t="array" ref="BI207">_xlfn.XLOOKUP(1,(D207&lt;=Table7[End])*(E207=Table7[근무처])*(F207=Table7[업무]),Table7[지급옵션],0,0)</f>
        <v>차주 화</v>
      </c>
      <c r="BJ207" s="83">
        <f>IF(BK207&lt;&gt;"",BK207,IFERROR(D207+_xlfn.NUMBERVALUE(RIGHT(BI207,1)),D207-WEEKDAY(D207)+CHOOSE(MATCH(RIGHT(BI207),{"일","월","화","수","목","금","토"},0),8,9,10,11,12,13,14)))</f>
        <v>45790</v>
      </c>
      <c r="BK207" s="99"/>
    </row>
    <row r="208" spans="2:63" x14ac:dyDescent="0.35">
      <c r="B208" s="20" t="str" cm="1">
        <f t="array" ref="B208">_xlfn.IFS(BB208&lt;&gt;BC208,"Claim확인",N208&lt;&gt;"OK","확인필요",TRUE,"")</f>
        <v/>
      </c>
      <c r="C208" s="21" t="str">
        <f t="shared" si="42"/>
        <v>010-3X6X-X4X7757X02XX284249</v>
      </c>
      <c r="D208" s="26">
        <v>45785</v>
      </c>
      <c r="E208" s="91" t="s">
        <v>255</v>
      </c>
      <c r="F208" s="25" t="s">
        <v>258</v>
      </c>
      <c r="G208" s="27" t="s">
        <v>283</v>
      </c>
      <c r="H208" s="25" t="s">
        <v>295</v>
      </c>
      <c r="I208" s="25"/>
      <c r="J208" s="25" t="s">
        <v>296</v>
      </c>
      <c r="K208" s="28">
        <v>0.29166666666666669</v>
      </c>
      <c r="L208" s="28">
        <v>0.66666666666666663</v>
      </c>
      <c r="M208" s="28">
        <v>4.1666666666666664E-2</v>
      </c>
      <c r="N208" s="25" t="s">
        <v>281</v>
      </c>
      <c r="O208" s="29" t="str">
        <f>_xlfn.XLOOKUP(Table2[[#This Row],[Key]],Table1[Key],Table1[주민등록번호],"",0)</f>
        <v>940XX41XX7X32</v>
      </c>
      <c r="P208" s="29">
        <f>_xlfn.XLOOKUP(Table2[[#This Row],[Key]],Table1[Key],Table1[비자],"",0)</f>
        <v>0</v>
      </c>
      <c r="Q208" s="29">
        <f>IF(P208=0,0,_xlfn.XLOOKUP(Table2[[#This Row],[Key]],Table1[Key],Table1[고용보험 여부],0,0))</f>
        <v>0</v>
      </c>
      <c r="R208" s="29" t="str">
        <f t="shared" si="43"/>
        <v>2505</v>
      </c>
      <c r="S208" s="30" t="str">
        <f>YEAR(Table2[[#This Row],[근무일자]])&amp;TEXT(WEEKNUM(Table2[[#This Row],[근무일자]]),"00")</f>
        <v>202519</v>
      </c>
      <c r="T208" s="31">
        <f>_xlfn.XLOOKUP(Table2[[#This Row],[Key]],Table1[Key],Table1[등록일],"",0)</f>
        <v>45751</v>
      </c>
      <c r="U208" s="32">
        <f t="shared" si="44"/>
        <v>0.33333333333333326</v>
      </c>
      <c r="V208" s="92">
        <f t="shared" si="45"/>
        <v>0</v>
      </c>
      <c r="W208" s="100" t="str">
        <f>_xlfn.XLOOKUP(Table2[[#This Row],[근무일자]],Table3[Date],Table3[Holiday],"",0)</f>
        <v/>
      </c>
      <c r="X208" s="93">
        <f>IF(D208&lt;&gt;"",1,0)+IF(COUNTIFS(Table2[주민등록번호],O208,Table2[월],TEXT(EOMONTH(D208,-1),"YYMM"))&gt;0,1+IF(COUNTIFS(Table2[주민등록번호],O208,Table2[월],TEXT(EOMONTH(D208,-2),"YYMM"))&gt;0,1+IF(COUNTIFS(Table2[주민등록번호],O208,Table2[월],TEXT(EOMONTH(D208,-3),"YYMM"))&gt;0,1,0),0),0)</f>
        <v>2</v>
      </c>
      <c r="Y208" s="29">
        <f>COUNTIFS(Table2[주민등록번호],O208,Table2[월],R208,Table2[근무일자],"&lt;="&amp;D208)</f>
        <v>3</v>
      </c>
      <c r="Z208" s="29">
        <f>COUNTIFS(Table2[주민등록번호],O208,Table2[주간],S208,Table2[근무일자],"&lt;="&amp;D208)</f>
        <v>3</v>
      </c>
      <c r="AA208" s="29">
        <f>SUMIFS(Table2[근로
시간],Table2[주민등록번호],O208,Table2[주간],S208,Table2[근무일자],"&lt;="&amp;D208)*24</f>
        <v>23.999999999999993</v>
      </c>
      <c r="AB208" s="29" t="str">
        <f>IF(AND(Y208&gt;=8,COUNTIFS(Table2[주민등록번호],O208,Table2[근무일자],"&gt;="&amp;EOMONTH(D208,-2)+1,Table2[근무일자],"&lt;="&amp;EOMONTH(D208,-1)+1)&gt;0),"V","")</f>
        <v/>
      </c>
      <c r="AC208" s="94" cm="1">
        <f t="array" ref="AC208">IF(AD208&lt;&gt;"",AD208,_xlfn.XLOOKUP(1,(D208&lt;=Table7[End])*(E208=Table7[근무처])*(F208=Table7[업무]),Table7[시급],0,0))</f>
        <v>10680</v>
      </c>
      <c r="AD208" s="95"/>
      <c r="AE208" s="94">
        <f t="shared" si="46"/>
        <v>85440</v>
      </c>
      <c r="AF208" s="96" cm="1">
        <f t="array" ref="AF208">IF(AND(AA208&gt;=15,(AA208-U208*24)&lt;=40),IF(Z208&gt;=_xlfn.XLOOKUP(1,(D208&lt;=Table7[End])*(E208=Table7[근무처])*(F208=Table7[업무]),Table7[주휴적용일],0,0),1,0)+_xlfn.XLOOKUP(1,(Table2[주간]=Table2[[#This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08" s="96" cm="1">
        <f t="array" ref="AG208">MAX((_xlfn.IFS(AF208=0,0,AF208=1,AA208,AF208&gt;1,U208*24)-IF(AA208&gt;40,AA208-40,0))/5,0)</f>
        <v>1.5999999999999996</v>
      </c>
      <c r="AH208" s="94">
        <f t="shared" si="47"/>
        <v>17088</v>
      </c>
      <c r="AI208" s="33" cm="1">
        <f t="array" ref="AI208">IF(W208="",0,ROUND(AC208*U208*24*_xlfn.XLOOKUP(1,(D208&lt;=Table7[End])*(E208=Table7[근무처])*(F208=Table7[업무]),Table7[휴일인센티브],0,0),0))</f>
        <v>0</v>
      </c>
      <c r="AJ208" s="94" cm="1">
        <f t="array" ref="AJ208">ROUND(AC208*IF(U208&gt;=8/24,U208-8/24,0)*24*_xlfn.XLOOKUP(1,(D208&lt;=Table7[End])*(E208=Table7[근무처])*(F208=Table7[업무]),Table7[야간인센티브],0,0),0)</f>
        <v>0</v>
      </c>
      <c r="AK208" s="94" cm="1">
        <f t="array" ref="AK208">IF(V208=0,0,ROUND(AC208*V208*24*_xlfn.XLOOKUP(1,(D208&lt;=Table7[End])*(E208=Table7[근무처])*(F208=Table7[업무]),Table7[야간인센티브],0,0),0))</f>
        <v>0</v>
      </c>
      <c r="AL208" s="95"/>
      <c r="AM208" s="94">
        <f t="shared" si="48"/>
        <v>102528</v>
      </c>
      <c r="AN208" s="94" cm="1">
        <f t="array" ref="AN208">IF(AM208&gt;=_xlfn.XLOOKUP(TRUE,D208&lt;=Table5[End],Table5[비과세소득기준],0,0),AM208-_xlfn.XLOOKUP(TRUE,D208&lt;=Table5[End],Table5[비과세소득기준],0,0),0)</f>
        <v>0</v>
      </c>
      <c r="AO208" s="94" cm="1">
        <f t="array" ref="AO208">ROUNDDOWN(_xlfn.LET(_xlpm.setvalue,_xlfn.XLOOKUP(TRUE,D208&lt;=Table5[End],Table5[[요율]:[근로소득세액공제]],0,0),_xlpm.tax,AN208*PRODUCT((_xlpm.setvalue-{0,1})*{1,-1}),_xlpm.threshold,_xlfn.XLOOKUP(TRUE,D208&lt;=Table5[End],Table5[소액부징수기준],0,0),IF(_xlpm.tax&gt;=_xlpm.threshold,_xlpm.tax,0)),-1)</f>
        <v>0</v>
      </c>
      <c r="AP208" s="94">
        <f>ROUNDDOWN(Table2[[#This Row],[소득세]]*10%,-1)</f>
        <v>0</v>
      </c>
      <c r="AQ208" s="94">
        <f>IF(AB208="v",AM208+IF(Y208=8,SUMIFS(Table2[지급총액],Table2[주민등록번호],O208,Table2[월],R208,Table2[월간
근무일],"&lt;="&amp;8)-AM208,0),0)+_xlfn.NUMBERVALUE(AR208)</f>
        <v>0</v>
      </c>
      <c r="AR208" s="95"/>
      <c r="AS208" s="94" cm="1">
        <f t="array" ref="AS208">ROUNDDOWN($AQ208*_xlfn.XLOOKUP(1,(AS$5=Table8[Type])*($D208&lt;=Table8[End]),Table8[요율],0,0),0)</f>
        <v>0</v>
      </c>
      <c r="AT208" s="94" cm="1">
        <f t="array" ref="AT208">ROUNDDOWN(AS208*_xlfn.XLOOKUP(1,(AT$5=Table8[Type])*($D208&lt;=Table8[End]),Table8[요율],0,0),-1)</f>
        <v>0</v>
      </c>
      <c r="AU208" s="94" cm="1">
        <f t="array" ref="AU208">ROUNDDOWN($AQ208*_xlfn.XLOOKUP(1,(AU$5=Table8[Type])*($D208&lt;=Table8[End]),Table8[요율],0,0),-1)</f>
        <v>0</v>
      </c>
      <c r="AV208" s="94" cm="1">
        <f t="array" ref="AV208">ROUNDDOWN(AM208*_xlfn.XLOOKUP(1,(AV$5=Table8[Type])*($D208&lt;=Table8[End]),Table8[요율],0,0),-1)</f>
        <v>0</v>
      </c>
      <c r="AW208" s="94" cm="1">
        <f t="array" ref="AW208">_xlfn.XLOOKUP(1,(O208=Table2[주민등록번호])*(D208&gt;Table2[근무일자]),Table2[청구 Claim 
이월],0,0,-1)</f>
        <v>0</v>
      </c>
      <c r="AX208" s="95"/>
      <c r="AY208" s="94" cm="1">
        <f t="array" ref="AY208">MAX(SUM(AO208:AP208,AS208:AX208)-_xlfn.XLOOKUP(1,(D208&lt;=Table7[End])*(E208=Table7[근무처])*(F208=Table7[업무]),Table7[1일 공제 상한],0,0),0)</f>
        <v>0</v>
      </c>
      <c r="AZ208" s="94">
        <f t="shared" si="49"/>
        <v>0</v>
      </c>
      <c r="BA208" s="94">
        <f t="shared" si="50"/>
        <v>102528</v>
      </c>
      <c r="BB208" s="97">
        <f t="shared" si="51"/>
        <v>0</v>
      </c>
      <c r="BC208" s="98"/>
      <c r="BD208" s="94">
        <f t="shared" si="52"/>
        <v>0</v>
      </c>
      <c r="BE208" s="94">
        <f t="shared" si="53"/>
        <v>0</v>
      </c>
      <c r="BF208" s="94">
        <f t="shared" si="54"/>
        <v>0</v>
      </c>
      <c r="BG208" s="94">
        <f t="shared" si="55"/>
        <v>0</v>
      </c>
      <c r="BH208" s="94" cm="1">
        <f t="array" ref="BH208">ROUNDDOWN(AM208*_xlfn.XLOOKUP(1,(BH$5=Table8[Type])*($D208&lt;=Table8[End]),Table8[요율],0,0),-1)</f>
        <v>820</v>
      </c>
      <c r="BI208" s="93" t="str" cm="1">
        <f t="array" ref="BI208">_xlfn.XLOOKUP(1,(D208&lt;=Table7[End])*(E208=Table7[근무처])*(F208=Table7[업무]),Table7[지급옵션],0,0)</f>
        <v>차주 화</v>
      </c>
      <c r="BJ208" s="83">
        <f>IF(BK208&lt;&gt;"",BK208,IFERROR(D208+_xlfn.NUMBERVALUE(RIGHT(BI208,1)),D208-WEEKDAY(D208)+CHOOSE(MATCH(RIGHT(BI208),{"일","월","화","수","목","금","토"},0),8,9,10,11,12,13,14)))</f>
        <v>45790</v>
      </c>
      <c r="BK208" s="99"/>
    </row>
    <row r="209" spans="2:63" x14ac:dyDescent="0.35">
      <c r="B209" s="20" t="str" cm="1">
        <f t="array" ref="B209">_xlfn.IFS(BB209&lt;&gt;BC209,"Claim확인",N209&lt;&gt;"OK","확인필요",TRUE,"")</f>
        <v/>
      </c>
      <c r="C209" s="21" t="str">
        <f t="shared" si="42"/>
        <v>010-6X1X-X3X0333X04XX46879</v>
      </c>
      <c r="D209" s="26">
        <v>45786</v>
      </c>
      <c r="E209" s="91" t="s">
        <v>255</v>
      </c>
      <c r="F209" s="25" t="s">
        <v>258</v>
      </c>
      <c r="G209" s="27" t="s">
        <v>284</v>
      </c>
      <c r="H209" s="25" t="s">
        <v>293</v>
      </c>
      <c r="I209" s="25"/>
      <c r="J209" s="25" t="s">
        <v>294</v>
      </c>
      <c r="K209" s="28">
        <v>0.3125</v>
      </c>
      <c r="L209" s="28">
        <v>0.6875</v>
      </c>
      <c r="M209" s="28">
        <v>4.1666666666666664E-2</v>
      </c>
      <c r="N209" s="25" t="s">
        <v>281</v>
      </c>
      <c r="O209" s="29" t="str">
        <f>_xlfn.XLOOKUP(Table2[[#This Row],[Key]],Table1[Key],Table1[주민등록번호],"",0)</f>
        <v>971XX61XX9X25</v>
      </c>
      <c r="P209" s="29">
        <f>_xlfn.XLOOKUP(Table2[[#This Row],[Key]],Table1[Key],Table1[비자],"",0)</f>
        <v>0</v>
      </c>
      <c r="Q209" s="29">
        <f>IF(P209=0,0,_xlfn.XLOOKUP(Table2[[#This Row],[Key]],Table1[Key],Table1[고용보험 여부],0,0))</f>
        <v>0</v>
      </c>
      <c r="R209" s="29" t="str">
        <f t="shared" si="43"/>
        <v>2505</v>
      </c>
      <c r="S209" s="30" t="str">
        <f>YEAR(Table2[[#This Row],[근무일자]])&amp;TEXT(WEEKNUM(Table2[[#This Row],[근무일자]]),"00")</f>
        <v>202519</v>
      </c>
      <c r="T209" s="31">
        <f>_xlfn.XLOOKUP(Table2[[#This Row],[Key]],Table1[Key],Table1[등록일],"",0)</f>
        <v>45721</v>
      </c>
      <c r="U209" s="32">
        <f t="shared" si="44"/>
        <v>0.33333333333333331</v>
      </c>
      <c r="V209" s="92">
        <f t="shared" si="45"/>
        <v>0</v>
      </c>
      <c r="W209" s="100" t="str">
        <f>_xlfn.XLOOKUP(Table2[[#This Row],[근무일자]],Table3[Date],Table3[Holiday],"",0)</f>
        <v/>
      </c>
      <c r="X209" s="93">
        <f>IF(D209&lt;&gt;"",1,0)+IF(COUNTIFS(Table2[주민등록번호],O209,Table2[월],TEXT(EOMONTH(D209,-1),"YYMM"))&gt;0,1+IF(COUNTIFS(Table2[주민등록번호],O209,Table2[월],TEXT(EOMONTH(D209,-2),"YYMM"))&gt;0,1+IF(COUNTIFS(Table2[주민등록번호],O209,Table2[월],TEXT(EOMONTH(D209,-3),"YYMM"))&gt;0,1,0),0),0)</f>
        <v>3</v>
      </c>
      <c r="Y209" s="29">
        <f>COUNTIFS(Table2[주민등록번호],O209,Table2[월],R209,Table2[근무일자],"&lt;="&amp;D209)</f>
        <v>5</v>
      </c>
      <c r="Z209" s="29">
        <f>COUNTIFS(Table2[주민등록번호],O209,Table2[주간],S209,Table2[근무일자],"&lt;="&amp;D209)</f>
        <v>3</v>
      </c>
      <c r="AA209" s="29">
        <f>SUMIFS(Table2[근로
시간],Table2[주민등록번호],O209,Table2[주간],S209,Table2[근무일자],"&lt;="&amp;D209)*24</f>
        <v>24</v>
      </c>
      <c r="AB209" s="29" t="str">
        <f>IF(AND(Y209&gt;=8,COUNTIFS(Table2[주민등록번호],O209,Table2[근무일자],"&gt;="&amp;EOMONTH(D209,-2)+1,Table2[근무일자],"&lt;="&amp;EOMONTH(D209,-1)+1)&gt;0),"V","")</f>
        <v/>
      </c>
      <c r="AC209" s="94" cm="1">
        <f t="array" ref="AC209">IF(AD209&lt;&gt;"",AD209,_xlfn.XLOOKUP(1,(D209&lt;=Table7[End])*(E209=Table7[근무처])*(F209=Table7[업무]),Table7[시급],0,0))</f>
        <v>10680</v>
      </c>
      <c r="AD209" s="95"/>
      <c r="AE209" s="94">
        <f t="shared" si="46"/>
        <v>85440</v>
      </c>
      <c r="AF209" s="96" cm="1">
        <f t="array" ref="AF209">IF(AND(AA209&gt;=15,(AA209-U209*24)&lt;=40),IF(Z209&gt;=_xlfn.XLOOKUP(1,(D209&lt;=Table7[End])*(E209=Table7[근무처])*(F209=Table7[업무]),Table7[주휴적용일],0,0),1,0)+_xlfn.XLOOKUP(1,(Table2[주간]=Table2[[#This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09" s="96" cm="1">
        <f t="array" ref="AG209">MAX((_xlfn.IFS(AF209=0,0,AF209=1,AA209,AF209&gt;1,U209*24)-IF(AA209&gt;40,AA209-40,0))/5,0)</f>
        <v>1.6</v>
      </c>
      <c r="AH209" s="94">
        <f t="shared" si="47"/>
        <v>17088</v>
      </c>
      <c r="AI209" s="33" cm="1">
        <f t="array" ref="AI209">IF(W209="",0,ROUND(AC209*U209*24*_xlfn.XLOOKUP(1,(D209&lt;=Table7[End])*(E209=Table7[근무처])*(F209=Table7[업무]),Table7[휴일인센티브],0,0),0))</f>
        <v>0</v>
      </c>
      <c r="AJ209" s="94" cm="1">
        <f t="array" ref="AJ209">ROUND(AC209*IF(U209&gt;=8/24,U209-8/24,0)*24*_xlfn.XLOOKUP(1,(D209&lt;=Table7[End])*(E209=Table7[근무처])*(F209=Table7[업무]),Table7[야간인센티브],0,0),0)</f>
        <v>0</v>
      </c>
      <c r="AK209" s="94" cm="1">
        <f t="array" ref="AK209">IF(V209=0,0,ROUND(AC209*V209*24*_xlfn.XLOOKUP(1,(D209&lt;=Table7[End])*(E209=Table7[근무처])*(F209=Table7[업무]),Table7[야간인센티브],0,0),0))</f>
        <v>0</v>
      </c>
      <c r="AL209" s="95"/>
      <c r="AM209" s="94">
        <f t="shared" si="48"/>
        <v>102528</v>
      </c>
      <c r="AN209" s="94" cm="1">
        <f t="array" ref="AN209">IF(AM209&gt;=_xlfn.XLOOKUP(TRUE,D209&lt;=Table5[End],Table5[비과세소득기준],0,0),AM209-_xlfn.XLOOKUP(TRUE,D209&lt;=Table5[End],Table5[비과세소득기준],0,0),0)</f>
        <v>0</v>
      </c>
      <c r="AO209" s="94" cm="1">
        <f t="array" ref="AO209">ROUNDDOWN(_xlfn.LET(_xlpm.setvalue,_xlfn.XLOOKUP(TRUE,D209&lt;=Table5[End],Table5[[요율]:[근로소득세액공제]],0,0),_xlpm.tax,AN209*PRODUCT((_xlpm.setvalue-{0,1})*{1,-1}),_xlpm.threshold,_xlfn.XLOOKUP(TRUE,D209&lt;=Table5[End],Table5[소액부징수기준],0,0),IF(_xlpm.tax&gt;=_xlpm.threshold,_xlpm.tax,0)),-1)</f>
        <v>0</v>
      </c>
      <c r="AP209" s="94">
        <f>ROUNDDOWN(Table2[[#This Row],[소득세]]*10%,-1)</f>
        <v>0</v>
      </c>
      <c r="AQ209" s="94">
        <f>IF(AB209="v",AM209+IF(Y209=8,SUMIFS(Table2[지급총액],Table2[주민등록번호],O209,Table2[월],R209,Table2[월간
근무일],"&lt;="&amp;8)-AM209,0),0)+_xlfn.NUMBERVALUE(AR209)</f>
        <v>0</v>
      </c>
      <c r="AR209" s="95"/>
      <c r="AS209" s="94" cm="1">
        <f t="array" ref="AS209">ROUNDDOWN($AQ209*_xlfn.XLOOKUP(1,(AS$5=Table8[Type])*($D209&lt;=Table8[End]),Table8[요율],0,0),0)</f>
        <v>0</v>
      </c>
      <c r="AT209" s="94" cm="1">
        <f t="array" ref="AT209">ROUNDDOWN(AS209*_xlfn.XLOOKUP(1,(AT$5=Table8[Type])*($D209&lt;=Table8[End]),Table8[요율],0,0),-1)</f>
        <v>0</v>
      </c>
      <c r="AU209" s="94" cm="1">
        <f t="array" ref="AU209">ROUNDDOWN($AQ209*_xlfn.XLOOKUP(1,(AU$5=Table8[Type])*($D209&lt;=Table8[End]),Table8[요율],0,0),-1)</f>
        <v>0</v>
      </c>
      <c r="AV209" s="94" cm="1">
        <f t="array" ref="AV209">ROUNDDOWN(AM209*_xlfn.XLOOKUP(1,(AV$5=Table8[Type])*($D209&lt;=Table8[End]),Table8[요율],0,0),-1)</f>
        <v>0</v>
      </c>
      <c r="AW209" s="94" cm="1">
        <f t="array" ref="AW209">_xlfn.XLOOKUP(1,(O209=Table2[주민등록번호])*(D209&gt;Table2[근무일자]),Table2[청구 Claim 
이월],0,0,-1)</f>
        <v>0</v>
      </c>
      <c r="AX209" s="95"/>
      <c r="AY209" s="94" cm="1">
        <f t="array" ref="AY209">MAX(SUM(AO209:AP209,AS209:AX209)-_xlfn.XLOOKUP(1,(D209&lt;=Table7[End])*(E209=Table7[근무처])*(F209=Table7[업무]),Table7[1일 공제 상한],0,0),0)</f>
        <v>0</v>
      </c>
      <c r="AZ209" s="94">
        <f t="shared" si="49"/>
        <v>0</v>
      </c>
      <c r="BA209" s="94">
        <f t="shared" si="50"/>
        <v>102528</v>
      </c>
      <c r="BB209" s="97">
        <f t="shared" si="51"/>
        <v>0</v>
      </c>
      <c r="BC209" s="98"/>
      <c r="BD209" s="94">
        <f t="shared" si="52"/>
        <v>0</v>
      </c>
      <c r="BE209" s="94">
        <f t="shared" si="53"/>
        <v>0</v>
      </c>
      <c r="BF209" s="94">
        <f t="shared" si="54"/>
        <v>0</v>
      </c>
      <c r="BG209" s="94">
        <f t="shared" si="55"/>
        <v>0</v>
      </c>
      <c r="BH209" s="94" cm="1">
        <f t="array" ref="BH209">ROUNDDOWN(AM209*_xlfn.XLOOKUP(1,(BH$5=Table8[Type])*($D209&lt;=Table8[End]),Table8[요율],0,0),-1)</f>
        <v>820</v>
      </c>
      <c r="BI209" s="93" t="str" cm="1">
        <f t="array" ref="BI209">_xlfn.XLOOKUP(1,(D209&lt;=Table7[End])*(E209=Table7[근무처])*(F209=Table7[업무]),Table7[지급옵션],0,0)</f>
        <v>차주 화</v>
      </c>
      <c r="BJ209" s="83">
        <f>IF(BK209&lt;&gt;"",BK209,IFERROR(D209+_xlfn.NUMBERVALUE(RIGHT(BI209,1)),D209-WEEKDAY(D209)+CHOOSE(MATCH(RIGHT(BI209),{"일","월","화","수","목","금","토"},0),8,9,10,11,12,13,14)))</f>
        <v>45790</v>
      </c>
      <c r="BK209" s="99"/>
    </row>
    <row r="210" spans="2:63" x14ac:dyDescent="0.35">
      <c r="B210" s="20" t="str" cm="1">
        <f t="array" ref="B210">_xlfn.IFS(BB210&lt;&gt;BC210,"Claim확인",N210&lt;&gt;"OK","확인필요",TRUE,"")</f>
        <v/>
      </c>
      <c r="C210" s="21" t="str">
        <f t="shared" si="42"/>
        <v>010-2X2X-X2X2945X02XX268466</v>
      </c>
      <c r="D210" s="26">
        <v>45786</v>
      </c>
      <c r="E210" s="91" t="s">
        <v>255</v>
      </c>
      <c r="F210" s="25" t="s">
        <v>258</v>
      </c>
      <c r="G210" s="27" t="s">
        <v>285</v>
      </c>
      <c r="H210" s="25" t="s">
        <v>297</v>
      </c>
      <c r="I210" s="25"/>
      <c r="J210" s="25" t="s">
        <v>298</v>
      </c>
      <c r="K210" s="28">
        <v>0.29166666666666669</v>
      </c>
      <c r="L210" s="28">
        <v>0.66666666666666663</v>
      </c>
      <c r="M210" s="28">
        <v>4.1666666666666664E-2</v>
      </c>
      <c r="N210" s="25" t="s">
        <v>281</v>
      </c>
      <c r="O210" s="29" t="str">
        <f>_xlfn.XLOOKUP(Table2[[#This Row],[Key]],Table1[Key],Table1[주민등록번호],"",0)</f>
        <v>980XX81XX7X17</v>
      </c>
      <c r="P210" s="86">
        <f>_xlfn.XLOOKUP(Table2[[#This Row],[Key]],Table1[Key],Table1[비자],"",0)</f>
        <v>0</v>
      </c>
      <c r="Q210" s="86">
        <f>IF(P210=0,0,_xlfn.XLOOKUP(Table2[[#This Row],[Key]],Table1[Key],Table1[고용보험 여부],0,0))</f>
        <v>0</v>
      </c>
      <c r="R210" s="29" t="str">
        <f t="shared" si="43"/>
        <v>2505</v>
      </c>
      <c r="S210" s="30" t="str">
        <f>YEAR(Table2[[#This Row],[근무일자]])&amp;TEXT(WEEKNUM(Table2[[#This Row],[근무일자]]),"00")</f>
        <v>202519</v>
      </c>
      <c r="T210" s="31">
        <f>_xlfn.XLOOKUP(Table2[[#This Row],[Key]],Table1[Key],Table1[등록일],"",0)</f>
        <v>45752</v>
      </c>
      <c r="U210" s="32">
        <f t="shared" si="44"/>
        <v>0.33333333333333326</v>
      </c>
      <c r="V210" s="92">
        <f t="shared" si="45"/>
        <v>0</v>
      </c>
      <c r="W210" s="100" t="str">
        <f>_xlfn.XLOOKUP(Table2[[#This Row],[근무일자]],Table3[Date],Table3[Holiday],"",0)</f>
        <v/>
      </c>
      <c r="X210" s="93">
        <f>IF(D210&lt;&gt;"",1,0)+IF(COUNTIFS(Table2[주민등록번호],O210,Table2[월],TEXT(EOMONTH(D210,-1),"YYMM"))&gt;0,1+IF(COUNTIFS(Table2[주민등록번호],O210,Table2[월],TEXT(EOMONTH(D210,-2),"YYMM"))&gt;0,1+IF(COUNTIFS(Table2[주민등록번호],O210,Table2[월],TEXT(EOMONTH(D210,-3),"YYMM"))&gt;0,1,0),0),0)</f>
        <v>2</v>
      </c>
      <c r="Y210" s="29">
        <f>COUNTIFS(Table2[주민등록번호],O210,Table2[월],R210,Table2[근무일자],"&lt;="&amp;D210)</f>
        <v>4</v>
      </c>
      <c r="Z210" s="29">
        <f>COUNTIFS(Table2[주민등록번호],O210,Table2[주간],S210,Table2[근무일자],"&lt;="&amp;D210)</f>
        <v>4</v>
      </c>
      <c r="AA210" s="29">
        <f>SUMIFS(Table2[근로
시간],Table2[주민등록번호],O210,Table2[주간],S210,Table2[근무일자],"&lt;="&amp;D210)*24</f>
        <v>31.999999999999993</v>
      </c>
      <c r="AB210" s="29" t="str">
        <f>IF(AND(Y210&gt;=8,COUNTIFS(Table2[주민등록번호],O210,Table2[근무일자],"&gt;="&amp;EOMONTH(D210,-2)+1,Table2[근무일자],"&lt;="&amp;EOMONTH(D210,-1)+1)&gt;0),"V","")</f>
        <v/>
      </c>
      <c r="AC210" s="94" cm="1">
        <f t="array" ref="AC210">IF(AD210&lt;&gt;"",AD210,_xlfn.XLOOKUP(1,(D210&lt;=Table7[End])*(E210=Table7[근무처])*(F210=Table7[업무]),Table7[시급],0,0))</f>
        <v>10680</v>
      </c>
      <c r="AD210" s="95"/>
      <c r="AE210" s="94">
        <f t="shared" si="46"/>
        <v>85440</v>
      </c>
      <c r="AF210" s="96" cm="1">
        <f t="array" ref="AF210">IF(AND(AA210&gt;=15,(AA210-U210*24)&lt;=40),IF(Z210&gt;=_xlfn.XLOOKUP(1,(D210&lt;=Table7[End])*(E210=Table7[근무처])*(F210=Table7[업무]),Table7[주휴적용일],0,0),1,0)+_xlfn.XLOOKUP(1,(Table2[주간]=Table2[[#This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10" s="96" cm="1">
        <f t="array" ref="AG210">MAX((_xlfn.IFS(AF210=0,0,AF210=1,AA210,AF210&gt;1,U210*24)-IF(AA210&gt;40,AA210-40,0))/5,0)</f>
        <v>1.5999999999999996</v>
      </c>
      <c r="AH210" s="94">
        <f t="shared" si="47"/>
        <v>17088</v>
      </c>
      <c r="AI210" s="33" cm="1">
        <f t="array" ref="AI210">IF(W210="",0,ROUND(AC210*U210*24*_xlfn.XLOOKUP(1,(D210&lt;=Table7[End])*(E210=Table7[근무처])*(F210=Table7[업무]),Table7[휴일인센티브],0,0),0))</f>
        <v>0</v>
      </c>
      <c r="AJ210" s="94" cm="1">
        <f t="array" ref="AJ210">ROUND(AC210*IF(U210&gt;=8/24,U210-8/24,0)*24*_xlfn.XLOOKUP(1,(D210&lt;=Table7[End])*(E210=Table7[근무처])*(F210=Table7[업무]),Table7[야간인센티브],0,0),0)</f>
        <v>0</v>
      </c>
      <c r="AK210" s="94" cm="1">
        <f t="array" ref="AK210">IF(V210=0,0,ROUND(AC210*V210*24*_xlfn.XLOOKUP(1,(D210&lt;=Table7[End])*(E210=Table7[근무처])*(F210=Table7[업무]),Table7[야간인센티브],0,0),0))</f>
        <v>0</v>
      </c>
      <c r="AL210" s="95"/>
      <c r="AM210" s="94">
        <f t="shared" si="48"/>
        <v>102528</v>
      </c>
      <c r="AN210" s="94" cm="1">
        <f t="array" ref="AN210">IF(AM210&gt;=_xlfn.XLOOKUP(TRUE,D210&lt;=Table5[End],Table5[비과세소득기준],0,0),AM210-_xlfn.XLOOKUP(TRUE,D210&lt;=Table5[End],Table5[비과세소득기준],0,0),0)</f>
        <v>0</v>
      </c>
      <c r="AO210" s="94" cm="1">
        <f t="array" ref="AO210">ROUNDDOWN(_xlfn.LET(_xlpm.setvalue,_xlfn.XLOOKUP(TRUE,D210&lt;=Table5[End],Table5[[요율]:[근로소득세액공제]],0,0),_xlpm.tax,AN210*PRODUCT((_xlpm.setvalue-{0,1})*{1,-1}),_xlpm.threshold,_xlfn.XLOOKUP(TRUE,D210&lt;=Table5[End],Table5[소액부징수기준],0,0),IF(_xlpm.tax&gt;=_xlpm.threshold,_xlpm.tax,0)),-1)</f>
        <v>0</v>
      </c>
      <c r="AP210" s="94">
        <f>ROUNDDOWN(Table2[[#This Row],[소득세]]*10%,-1)</f>
        <v>0</v>
      </c>
      <c r="AQ210" s="94">
        <f>IF(AB210="v",AM210+IF(Y210=8,SUMIFS(Table2[지급총액],Table2[주민등록번호],O210,Table2[월],R210,Table2[월간
근무일],"&lt;="&amp;8)-AM210,0),0)+_xlfn.NUMBERVALUE(AR210)</f>
        <v>0</v>
      </c>
      <c r="AR210" s="95"/>
      <c r="AS210" s="94" cm="1">
        <f t="array" ref="AS210">ROUNDDOWN($AQ210*_xlfn.XLOOKUP(1,(AS$5=Table8[Type])*($D210&lt;=Table8[End]),Table8[요율],0,0),0)</f>
        <v>0</v>
      </c>
      <c r="AT210" s="94" cm="1">
        <f t="array" ref="AT210">ROUNDDOWN(AS210*_xlfn.XLOOKUP(1,(AT$5=Table8[Type])*($D210&lt;=Table8[End]),Table8[요율],0,0),-1)</f>
        <v>0</v>
      </c>
      <c r="AU210" s="94" cm="1">
        <f t="array" ref="AU210">ROUNDDOWN($AQ210*_xlfn.XLOOKUP(1,(AU$5=Table8[Type])*($D210&lt;=Table8[End]),Table8[요율],0,0),-1)</f>
        <v>0</v>
      </c>
      <c r="AV210" s="94" cm="1">
        <f t="array" ref="AV210">ROUNDDOWN(AM210*_xlfn.XLOOKUP(1,(AV$5=Table8[Type])*($D210&lt;=Table8[End]),Table8[요율],0,0),-1)</f>
        <v>0</v>
      </c>
      <c r="AW210" s="94" cm="1">
        <f t="array" ref="AW210">_xlfn.XLOOKUP(1,(O210=Table2[주민등록번호])*(D210&gt;Table2[근무일자]),Table2[청구 Claim 
이월],0,0,-1)</f>
        <v>0</v>
      </c>
      <c r="AX210" s="95"/>
      <c r="AY210" s="94" cm="1">
        <f t="array" ref="AY210">MAX(SUM(AO210:AP210,AS210:AX210)-_xlfn.XLOOKUP(1,(D210&lt;=Table7[End])*(E210=Table7[근무처])*(F210=Table7[업무]),Table7[1일 공제 상한],0,0),0)</f>
        <v>0</v>
      </c>
      <c r="AZ210" s="94">
        <f t="shared" si="49"/>
        <v>0</v>
      </c>
      <c r="BA210" s="94">
        <f t="shared" si="50"/>
        <v>102528</v>
      </c>
      <c r="BB210" s="97">
        <f t="shared" si="51"/>
        <v>0</v>
      </c>
      <c r="BC210" s="98"/>
      <c r="BD210" s="94">
        <f t="shared" si="52"/>
        <v>0</v>
      </c>
      <c r="BE210" s="94">
        <f t="shared" si="53"/>
        <v>0</v>
      </c>
      <c r="BF210" s="94">
        <f t="shared" si="54"/>
        <v>0</v>
      </c>
      <c r="BG210" s="94">
        <f t="shared" si="55"/>
        <v>0</v>
      </c>
      <c r="BH210" s="94" cm="1">
        <f t="array" ref="BH210">ROUNDDOWN(AM210*_xlfn.XLOOKUP(1,(BH$5=Table8[Type])*($D210&lt;=Table8[End]),Table8[요율],0,0),-1)</f>
        <v>820</v>
      </c>
      <c r="BI210" s="93" t="str" cm="1">
        <f t="array" ref="BI210">_xlfn.XLOOKUP(1,(D210&lt;=Table7[End])*(E210=Table7[근무처])*(F210=Table7[업무]),Table7[지급옵션],0,0)</f>
        <v>차주 화</v>
      </c>
      <c r="BJ210" s="83">
        <f>IF(BK210&lt;&gt;"",BK210,IFERROR(D210+_xlfn.NUMBERVALUE(RIGHT(BI210,1)),D210-WEEKDAY(D210)+CHOOSE(MATCH(RIGHT(BI210),{"일","월","화","수","목","금","토"},0),8,9,10,11,12,13,14)))</f>
        <v>45790</v>
      </c>
      <c r="BK210" s="99"/>
    </row>
    <row r="211" spans="2:63" x14ac:dyDescent="0.35">
      <c r="B211" s="20" t="str" cm="1">
        <f t="array" ref="B211">_xlfn.IFS(BB211&lt;&gt;BC211,"Claim확인",N211&lt;&gt;"OK","확인필요",TRUE,"")</f>
        <v/>
      </c>
      <c r="C211" s="21" t="str">
        <f t="shared" si="42"/>
        <v>010-3X4X-X9X7219X02XX284640</v>
      </c>
      <c r="D211" s="26">
        <v>45787</v>
      </c>
      <c r="E211" s="91" t="s">
        <v>255</v>
      </c>
      <c r="F211" s="25" t="s">
        <v>258</v>
      </c>
      <c r="G211" s="27" t="s">
        <v>286</v>
      </c>
      <c r="H211" s="25" t="s">
        <v>299</v>
      </c>
      <c r="I211" s="25"/>
      <c r="J211" s="25" t="s">
        <v>300</v>
      </c>
      <c r="K211" s="28">
        <v>0.29166666666666669</v>
      </c>
      <c r="L211" s="28">
        <v>0.66666666666666663</v>
      </c>
      <c r="M211" s="28">
        <v>4.1666666666666664E-2</v>
      </c>
      <c r="N211" s="25" t="s">
        <v>281</v>
      </c>
      <c r="O211" s="29" t="str">
        <f>_xlfn.XLOOKUP(Table2[[#This Row],[Key]],Table1[Key],Table1[주민등록번호],"",0)</f>
        <v>931XX31XX3X14</v>
      </c>
      <c r="P211" s="29">
        <f>_xlfn.XLOOKUP(Table2[[#This Row],[Key]],Table1[Key],Table1[비자],"",0)</f>
        <v>0</v>
      </c>
      <c r="Q211" s="29">
        <f>IF(P211=0,0,_xlfn.XLOOKUP(Table2[[#This Row],[Key]],Table1[Key],Table1[고용보험 여부],0,0))</f>
        <v>0</v>
      </c>
      <c r="R211" s="29" t="str">
        <f t="shared" si="43"/>
        <v>2505</v>
      </c>
      <c r="S211" s="30" t="str">
        <f>YEAR(Table2[[#This Row],[근무일자]])&amp;TEXT(WEEKNUM(Table2[[#This Row],[근무일자]]),"00")</f>
        <v>202519</v>
      </c>
      <c r="T211" s="31">
        <f>_xlfn.XLOOKUP(Table2[[#This Row],[Key]],Table1[Key],Table1[등록일],"",0)</f>
        <v>45773</v>
      </c>
      <c r="U211" s="32">
        <f t="shared" si="44"/>
        <v>0.33333333333333326</v>
      </c>
      <c r="V211" s="92">
        <f t="shared" si="45"/>
        <v>0</v>
      </c>
      <c r="W211" s="100" t="str">
        <f>_xlfn.XLOOKUP(Table2[[#This Row],[근무일자]],Table3[Date],Table3[Holiday],"",0)</f>
        <v/>
      </c>
      <c r="X211" s="93">
        <f>IF(D211&lt;&gt;"",1,0)+IF(COUNTIFS(Table2[주민등록번호],O211,Table2[월],TEXT(EOMONTH(D211,-1),"YYMM"))&gt;0,1+IF(COUNTIFS(Table2[주민등록번호],O211,Table2[월],TEXT(EOMONTH(D211,-2),"YYMM"))&gt;0,1+IF(COUNTIFS(Table2[주민등록번호],O211,Table2[월],TEXT(EOMONTH(D211,-3),"YYMM"))&gt;0,1,0),0),0)</f>
        <v>4</v>
      </c>
      <c r="Y211" s="29">
        <f>COUNTIFS(Table2[주민등록번호],O211,Table2[월],R211,Table2[근무일자],"&lt;="&amp;D211)</f>
        <v>1</v>
      </c>
      <c r="Z211" s="29">
        <f>COUNTIFS(Table2[주민등록번호],O211,Table2[주간],S211,Table2[근무일자],"&lt;="&amp;D211)</f>
        <v>1</v>
      </c>
      <c r="AA211" s="29">
        <f>SUMIFS(Table2[근로
시간],Table2[주민등록번호],O211,Table2[주간],S211,Table2[근무일자],"&lt;="&amp;D211)*24</f>
        <v>7.9999999999999982</v>
      </c>
      <c r="AB211" s="29" t="str">
        <f>IF(AND(Y211&gt;=8,COUNTIFS(Table2[주민등록번호],O211,Table2[근무일자],"&gt;="&amp;EOMONTH(D211,-2)+1,Table2[근무일자],"&lt;="&amp;EOMONTH(D211,-1)+1)&gt;0),"V","")</f>
        <v/>
      </c>
      <c r="AC211" s="94" cm="1">
        <f t="array" ref="AC211">IF(AD211&lt;&gt;"",AD211,_xlfn.XLOOKUP(1,(D211&lt;=Table7[End])*(E211=Table7[근무처])*(F211=Table7[업무]),Table7[시급],0,0))</f>
        <v>10680</v>
      </c>
      <c r="AD211" s="95"/>
      <c r="AE211" s="94">
        <f t="shared" si="46"/>
        <v>85440</v>
      </c>
      <c r="AF211" s="96" cm="1">
        <f t="array" ref="AF211">IF(AND(AA211&gt;=15,(AA211-U211*24)&lt;=40),IF(Z211&gt;=_xlfn.XLOOKUP(1,(D211&lt;=Table7[End])*(E211=Table7[근무처])*(F211=Table7[업무]),Table7[주휴적용일],0,0),1,0)+_xlfn.XLOOKUP(1,(Table2[주간]=Table2[[#This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11" s="96" cm="1">
        <f t="array" ref="AG211">MAX((_xlfn.IFS(AF211=0,0,AF211=1,AA211,AF211&gt;1,U211*24)-IF(AA211&gt;40,AA211-40,0))/5,0)</f>
        <v>0</v>
      </c>
      <c r="AH211" s="94">
        <f t="shared" si="47"/>
        <v>0</v>
      </c>
      <c r="AI211" s="33" cm="1">
        <f t="array" ref="AI211">IF(W211="",0,ROUND(AC211*U211*24*_xlfn.XLOOKUP(1,(D211&lt;=Table7[End])*(E211=Table7[근무처])*(F211=Table7[업무]),Table7[휴일인센티브],0,0),0))</f>
        <v>0</v>
      </c>
      <c r="AJ211" s="94" cm="1">
        <f t="array" ref="AJ211">ROUND(AC211*IF(U211&gt;=8/24,U211-8/24,0)*24*_xlfn.XLOOKUP(1,(D211&lt;=Table7[End])*(E211=Table7[근무처])*(F211=Table7[업무]),Table7[야간인센티브],0,0),0)</f>
        <v>0</v>
      </c>
      <c r="AK211" s="94" cm="1">
        <f t="array" ref="AK211">IF(V211=0,0,ROUND(AC211*V211*24*_xlfn.XLOOKUP(1,(D211&lt;=Table7[End])*(E211=Table7[근무처])*(F211=Table7[업무]),Table7[야간인센티브],0,0),0))</f>
        <v>0</v>
      </c>
      <c r="AL211" s="95"/>
      <c r="AM211" s="94">
        <f t="shared" si="48"/>
        <v>85440</v>
      </c>
      <c r="AN211" s="94" cm="1">
        <f t="array" ref="AN211">IF(AM211&gt;=_xlfn.XLOOKUP(TRUE,D211&lt;=Table5[End],Table5[비과세소득기준],0,0),AM211-_xlfn.XLOOKUP(TRUE,D211&lt;=Table5[End],Table5[비과세소득기준],0,0),0)</f>
        <v>0</v>
      </c>
      <c r="AO211" s="94" cm="1">
        <f t="array" ref="AO211">ROUNDDOWN(_xlfn.LET(_xlpm.setvalue,_xlfn.XLOOKUP(TRUE,D211&lt;=Table5[End],Table5[[요율]:[근로소득세액공제]],0,0),_xlpm.tax,AN211*PRODUCT((_xlpm.setvalue-{0,1})*{1,-1}),_xlpm.threshold,_xlfn.XLOOKUP(TRUE,D211&lt;=Table5[End],Table5[소액부징수기준],0,0),IF(_xlpm.tax&gt;=_xlpm.threshold,_xlpm.tax,0)),-1)</f>
        <v>0</v>
      </c>
      <c r="AP211" s="94">
        <f>ROUNDDOWN(Table2[[#This Row],[소득세]]*10%,-1)</f>
        <v>0</v>
      </c>
      <c r="AQ211" s="94">
        <f>IF(AB211="v",AM211+IF(Y211=8,SUMIFS(Table2[지급총액],Table2[주민등록번호],O211,Table2[월],R211,Table2[월간
근무일],"&lt;="&amp;8)-AM211,0),0)+_xlfn.NUMBERVALUE(AR211)</f>
        <v>0</v>
      </c>
      <c r="AR211" s="95"/>
      <c r="AS211" s="94" cm="1">
        <f t="array" ref="AS211">ROUNDDOWN($AQ211*_xlfn.XLOOKUP(1,(AS$5=Table8[Type])*($D211&lt;=Table8[End]),Table8[요율],0,0),0)</f>
        <v>0</v>
      </c>
      <c r="AT211" s="94" cm="1">
        <f t="array" ref="AT211">ROUNDDOWN(AS211*_xlfn.XLOOKUP(1,(AT$5=Table8[Type])*($D211&lt;=Table8[End]),Table8[요율],0,0),-1)</f>
        <v>0</v>
      </c>
      <c r="AU211" s="94" cm="1">
        <f t="array" ref="AU211">ROUNDDOWN($AQ211*_xlfn.XLOOKUP(1,(AU$5=Table8[Type])*($D211&lt;=Table8[End]),Table8[요율],0,0),-1)</f>
        <v>0</v>
      </c>
      <c r="AV211" s="94" cm="1">
        <f t="array" ref="AV211">ROUNDDOWN(AM211*_xlfn.XLOOKUP(1,(AV$5=Table8[Type])*($D211&lt;=Table8[End]),Table8[요율],0,0),-1)</f>
        <v>0</v>
      </c>
      <c r="AW211" s="94" cm="1">
        <f t="array" ref="AW211">_xlfn.XLOOKUP(1,(O211=Table2[주민등록번호])*(D211&gt;Table2[근무일자]),Table2[청구 Claim 
이월],0,0,-1)</f>
        <v>0</v>
      </c>
      <c r="AX211" s="95"/>
      <c r="AY211" s="94" cm="1">
        <f t="array" ref="AY211">MAX(SUM(AO211:AP211,AS211:AX211)-_xlfn.XLOOKUP(1,(D211&lt;=Table7[End])*(E211=Table7[근무처])*(F211=Table7[업무]),Table7[1일 공제 상한],0,0),0)</f>
        <v>0</v>
      </c>
      <c r="AZ211" s="94">
        <f t="shared" si="49"/>
        <v>0</v>
      </c>
      <c r="BA211" s="94">
        <f t="shared" si="50"/>
        <v>85440</v>
      </c>
      <c r="BB211" s="97">
        <f t="shared" si="51"/>
        <v>0</v>
      </c>
      <c r="BC211" s="98"/>
      <c r="BD211" s="94">
        <f t="shared" si="52"/>
        <v>0</v>
      </c>
      <c r="BE211" s="94">
        <f t="shared" si="53"/>
        <v>0</v>
      </c>
      <c r="BF211" s="94">
        <f t="shared" si="54"/>
        <v>0</v>
      </c>
      <c r="BG211" s="94">
        <f t="shared" si="55"/>
        <v>0</v>
      </c>
      <c r="BH211" s="94" cm="1">
        <f t="array" ref="BH211">ROUNDDOWN(AM211*_xlfn.XLOOKUP(1,(BH$5=Table8[Type])*($D211&lt;=Table8[End]),Table8[요율],0,0),-1)</f>
        <v>680</v>
      </c>
      <c r="BI211" s="93" t="str" cm="1">
        <f t="array" ref="BI211">_xlfn.XLOOKUP(1,(D211&lt;=Table7[End])*(E211=Table7[근무처])*(F211=Table7[업무]),Table7[지급옵션],0,0)</f>
        <v>차주 화</v>
      </c>
      <c r="BJ211" s="83">
        <f>IF(BK211&lt;&gt;"",BK211,IFERROR(D211+_xlfn.NUMBERVALUE(RIGHT(BI211,1)),D211-WEEKDAY(D211)+CHOOSE(MATCH(RIGHT(BI211),{"일","월","화","수","목","금","토"},0),8,9,10,11,12,13,14)))</f>
        <v>45790</v>
      </c>
      <c r="BK211" s="99"/>
    </row>
    <row r="212" spans="2:63" x14ac:dyDescent="0.35">
      <c r="B212" s="20" t="str" cm="1">
        <f t="array" ref="B212">_xlfn.IFS(BB212&lt;&gt;BC212,"Claim확인",N212&lt;&gt;"OK","확인필요",TRUE,"")</f>
        <v/>
      </c>
      <c r="C212" s="21" t="str">
        <f t="shared" si="42"/>
        <v>010-3X6X-X4X7757X02XX284249</v>
      </c>
      <c r="D212" s="26">
        <v>45787</v>
      </c>
      <c r="E212" s="91" t="s">
        <v>255</v>
      </c>
      <c r="F212" s="25" t="s">
        <v>258</v>
      </c>
      <c r="G212" s="27" t="s">
        <v>283</v>
      </c>
      <c r="H212" s="25" t="s">
        <v>295</v>
      </c>
      <c r="I212" s="25"/>
      <c r="J212" s="25" t="s">
        <v>296</v>
      </c>
      <c r="K212" s="28">
        <v>0.29166666666666669</v>
      </c>
      <c r="L212" s="28">
        <v>0.66666666666666663</v>
      </c>
      <c r="M212" s="28">
        <v>4.1666666666666664E-2</v>
      </c>
      <c r="N212" s="25" t="s">
        <v>281</v>
      </c>
      <c r="O212" s="29" t="str">
        <f>_xlfn.XLOOKUP(Table2[[#This Row],[Key]],Table1[Key],Table1[주민등록번호],"",0)</f>
        <v>940XX41XX7X32</v>
      </c>
      <c r="P212" s="29">
        <f>_xlfn.XLOOKUP(Table2[[#This Row],[Key]],Table1[Key],Table1[비자],"",0)</f>
        <v>0</v>
      </c>
      <c r="Q212" s="29">
        <f>IF(P212=0,0,_xlfn.XLOOKUP(Table2[[#This Row],[Key]],Table1[Key],Table1[고용보험 여부],0,0))</f>
        <v>0</v>
      </c>
      <c r="R212" s="29" t="str">
        <f t="shared" si="43"/>
        <v>2505</v>
      </c>
      <c r="S212" s="30" t="str">
        <f>YEAR(Table2[[#This Row],[근무일자]])&amp;TEXT(WEEKNUM(Table2[[#This Row],[근무일자]]),"00")</f>
        <v>202519</v>
      </c>
      <c r="T212" s="31">
        <f>_xlfn.XLOOKUP(Table2[[#This Row],[Key]],Table1[Key],Table1[등록일],"",0)</f>
        <v>45751</v>
      </c>
      <c r="U212" s="32">
        <f t="shared" si="44"/>
        <v>0.33333333333333326</v>
      </c>
      <c r="V212" s="92">
        <f t="shared" si="45"/>
        <v>0</v>
      </c>
      <c r="W212" s="100" t="str">
        <f>_xlfn.XLOOKUP(Table2[[#This Row],[근무일자]],Table3[Date],Table3[Holiday],"",0)</f>
        <v/>
      </c>
      <c r="X212" s="93">
        <f>IF(D212&lt;&gt;"",1,0)+IF(COUNTIFS(Table2[주민등록번호],O212,Table2[월],TEXT(EOMONTH(D212,-1),"YYMM"))&gt;0,1+IF(COUNTIFS(Table2[주민등록번호],O212,Table2[월],TEXT(EOMONTH(D212,-2),"YYMM"))&gt;0,1+IF(COUNTIFS(Table2[주민등록번호],O212,Table2[월],TEXT(EOMONTH(D212,-3),"YYMM"))&gt;0,1,0),0),0)</f>
        <v>2</v>
      </c>
      <c r="Y212" s="29">
        <f>COUNTIFS(Table2[주민등록번호],O212,Table2[월],R212,Table2[근무일자],"&lt;="&amp;D212)</f>
        <v>4</v>
      </c>
      <c r="Z212" s="29">
        <f>COUNTIFS(Table2[주민등록번호],O212,Table2[주간],S212,Table2[근무일자],"&lt;="&amp;D212)</f>
        <v>4</v>
      </c>
      <c r="AA212" s="29">
        <f>SUMIFS(Table2[근로
시간],Table2[주민등록번호],O212,Table2[주간],S212,Table2[근무일자],"&lt;="&amp;D212)*24</f>
        <v>31.999999999999993</v>
      </c>
      <c r="AB212" s="29" t="str">
        <f>IF(AND(Y212&gt;=8,COUNTIFS(Table2[주민등록번호],O212,Table2[근무일자],"&gt;="&amp;EOMONTH(D212,-2)+1,Table2[근무일자],"&lt;="&amp;EOMONTH(D212,-1)+1)&gt;0),"V","")</f>
        <v/>
      </c>
      <c r="AC212" s="94" cm="1">
        <f t="array" ref="AC212">IF(AD212&lt;&gt;"",AD212,_xlfn.XLOOKUP(1,(D212&lt;=Table7[End])*(E212=Table7[근무처])*(F212=Table7[업무]),Table7[시급],0,0))</f>
        <v>10680</v>
      </c>
      <c r="AD212" s="95"/>
      <c r="AE212" s="94">
        <f t="shared" si="46"/>
        <v>85440</v>
      </c>
      <c r="AF212" s="96" cm="1">
        <f t="array" ref="AF212">IF(AND(AA212&gt;=15,(AA212-U212*24)&lt;=40),IF(Z212&gt;=_xlfn.XLOOKUP(1,(D212&lt;=Table7[End])*(E212=Table7[근무처])*(F212=Table7[업무]),Table7[주휴적용일],0,0),1,0)+_xlfn.XLOOKUP(1,(Table2[주간]=Table2[[#This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12" s="96" cm="1">
        <f t="array" ref="AG212">MAX((_xlfn.IFS(AF212=0,0,AF212=1,AA212,AF212&gt;1,U212*24)-IF(AA212&gt;40,AA212-40,0))/5,0)</f>
        <v>1.5999999999999996</v>
      </c>
      <c r="AH212" s="94">
        <f t="shared" si="47"/>
        <v>17088</v>
      </c>
      <c r="AI212" s="33" cm="1">
        <f t="array" ref="AI212">IF(W212="",0,ROUND(AC212*U212*24*_xlfn.XLOOKUP(1,(D212&lt;=Table7[End])*(E212=Table7[근무처])*(F212=Table7[업무]),Table7[휴일인센티브],0,0),0))</f>
        <v>0</v>
      </c>
      <c r="AJ212" s="94" cm="1">
        <f t="array" ref="AJ212">ROUND(AC212*IF(U212&gt;=8/24,U212-8/24,0)*24*_xlfn.XLOOKUP(1,(D212&lt;=Table7[End])*(E212=Table7[근무처])*(F212=Table7[업무]),Table7[야간인센티브],0,0),0)</f>
        <v>0</v>
      </c>
      <c r="AK212" s="94" cm="1">
        <f t="array" ref="AK212">IF(V212=0,0,ROUND(AC212*V212*24*_xlfn.XLOOKUP(1,(D212&lt;=Table7[End])*(E212=Table7[근무처])*(F212=Table7[업무]),Table7[야간인센티브],0,0),0))</f>
        <v>0</v>
      </c>
      <c r="AL212" s="95"/>
      <c r="AM212" s="94">
        <f t="shared" si="48"/>
        <v>102528</v>
      </c>
      <c r="AN212" s="94" cm="1">
        <f t="array" ref="AN212">IF(AM212&gt;=_xlfn.XLOOKUP(TRUE,D212&lt;=Table5[End],Table5[비과세소득기준],0,0),AM212-_xlfn.XLOOKUP(TRUE,D212&lt;=Table5[End],Table5[비과세소득기준],0,0),0)</f>
        <v>0</v>
      </c>
      <c r="AO212" s="94" cm="1">
        <f t="array" ref="AO212">ROUNDDOWN(_xlfn.LET(_xlpm.setvalue,_xlfn.XLOOKUP(TRUE,D212&lt;=Table5[End],Table5[[요율]:[근로소득세액공제]],0,0),_xlpm.tax,AN212*PRODUCT((_xlpm.setvalue-{0,1})*{1,-1}),_xlpm.threshold,_xlfn.XLOOKUP(TRUE,D212&lt;=Table5[End],Table5[소액부징수기준],0,0),IF(_xlpm.tax&gt;=_xlpm.threshold,_xlpm.tax,0)),-1)</f>
        <v>0</v>
      </c>
      <c r="AP212" s="94">
        <f>ROUNDDOWN(Table2[[#This Row],[소득세]]*10%,-1)</f>
        <v>0</v>
      </c>
      <c r="AQ212" s="94">
        <f>IF(AB212="v",AM212+IF(Y212=8,SUMIFS(Table2[지급총액],Table2[주민등록번호],O212,Table2[월],R212,Table2[월간
근무일],"&lt;="&amp;8)-AM212,0),0)+_xlfn.NUMBERVALUE(AR212)</f>
        <v>0</v>
      </c>
      <c r="AR212" s="95"/>
      <c r="AS212" s="94" cm="1">
        <f t="array" ref="AS212">ROUNDDOWN($AQ212*_xlfn.XLOOKUP(1,(AS$5=Table8[Type])*($D212&lt;=Table8[End]),Table8[요율],0,0),0)</f>
        <v>0</v>
      </c>
      <c r="AT212" s="94" cm="1">
        <f t="array" ref="AT212">ROUNDDOWN(AS212*_xlfn.XLOOKUP(1,(AT$5=Table8[Type])*($D212&lt;=Table8[End]),Table8[요율],0,0),-1)</f>
        <v>0</v>
      </c>
      <c r="AU212" s="94" cm="1">
        <f t="array" ref="AU212">ROUNDDOWN($AQ212*_xlfn.XLOOKUP(1,(AU$5=Table8[Type])*($D212&lt;=Table8[End]),Table8[요율],0,0),-1)</f>
        <v>0</v>
      </c>
      <c r="AV212" s="94" cm="1">
        <f t="array" ref="AV212">ROUNDDOWN(AM212*_xlfn.XLOOKUP(1,(AV$5=Table8[Type])*($D212&lt;=Table8[End]),Table8[요율],0,0),-1)</f>
        <v>0</v>
      </c>
      <c r="AW212" s="94" cm="1">
        <f t="array" ref="AW212">_xlfn.XLOOKUP(1,(O212=Table2[주민등록번호])*(D212&gt;Table2[근무일자]),Table2[청구 Claim 
이월],0,0,-1)</f>
        <v>0</v>
      </c>
      <c r="AX212" s="95"/>
      <c r="AY212" s="94" cm="1">
        <f t="array" ref="AY212">MAX(SUM(AO212:AP212,AS212:AX212)-_xlfn.XLOOKUP(1,(D212&lt;=Table7[End])*(E212=Table7[근무처])*(F212=Table7[업무]),Table7[1일 공제 상한],0,0),0)</f>
        <v>0</v>
      </c>
      <c r="AZ212" s="94">
        <f t="shared" si="49"/>
        <v>0</v>
      </c>
      <c r="BA212" s="94">
        <f t="shared" si="50"/>
        <v>102528</v>
      </c>
      <c r="BB212" s="97">
        <f t="shared" si="51"/>
        <v>0</v>
      </c>
      <c r="BC212" s="98"/>
      <c r="BD212" s="94">
        <f t="shared" si="52"/>
        <v>0</v>
      </c>
      <c r="BE212" s="94">
        <f t="shared" si="53"/>
        <v>0</v>
      </c>
      <c r="BF212" s="94">
        <f t="shared" si="54"/>
        <v>0</v>
      </c>
      <c r="BG212" s="94">
        <f t="shared" si="55"/>
        <v>0</v>
      </c>
      <c r="BH212" s="94" cm="1">
        <f t="array" ref="BH212">ROUNDDOWN(AM212*_xlfn.XLOOKUP(1,(BH$5=Table8[Type])*($D212&lt;=Table8[End]),Table8[요율],0,0),-1)</f>
        <v>820</v>
      </c>
      <c r="BI212" s="93" t="str" cm="1">
        <f t="array" ref="BI212">_xlfn.XLOOKUP(1,(D212&lt;=Table7[End])*(E212=Table7[근무처])*(F212=Table7[업무]),Table7[지급옵션],0,0)</f>
        <v>차주 화</v>
      </c>
      <c r="BJ212" s="83">
        <f>IF(BK212&lt;&gt;"",BK212,IFERROR(D212+_xlfn.NUMBERVALUE(RIGHT(BI212,1)),D212-WEEKDAY(D212)+CHOOSE(MATCH(RIGHT(BI212),{"일","월","화","수","목","금","토"},0),8,9,10,11,12,13,14)))</f>
        <v>45790</v>
      </c>
      <c r="BK212" s="99"/>
    </row>
    <row r="213" spans="2:63" x14ac:dyDescent="0.35">
      <c r="B213" s="20" t="str" cm="1">
        <f t="array" ref="B213">_xlfn.IFS(BB213&lt;&gt;BC213,"Claim확인",N213&lt;&gt;"OK","확인필요",TRUE,"")</f>
        <v/>
      </c>
      <c r="C213" s="21" t="str">
        <f t="shared" si="42"/>
        <v>010-2X2X-X2X2945X02XX268466</v>
      </c>
      <c r="D213" s="26">
        <v>45787</v>
      </c>
      <c r="E213" s="91" t="s">
        <v>255</v>
      </c>
      <c r="F213" s="25" t="s">
        <v>258</v>
      </c>
      <c r="G213" s="27" t="s">
        <v>285</v>
      </c>
      <c r="H213" s="25" t="s">
        <v>297</v>
      </c>
      <c r="I213" s="25"/>
      <c r="J213" s="25" t="s">
        <v>298</v>
      </c>
      <c r="K213" s="28">
        <v>0.29166666666666669</v>
      </c>
      <c r="L213" s="28">
        <v>0.66666666666666663</v>
      </c>
      <c r="M213" s="28">
        <v>4.1666666666666664E-2</v>
      </c>
      <c r="N213" s="25" t="s">
        <v>281</v>
      </c>
      <c r="O213" s="29" t="str">
        <f>_xlfn.XLOOKUP(Table2[[#This Row],[Key]],Table1[Key],Table1[주민등록번호],"",0)</f>
        <v>980XX81XX7X17</v>
      </c>
      <c r="P213" s="86">
        <f>_xlfn.XLOOKUP(Table2[[#This Row],[Key]],Table1[Key],Table1[비자],"",0)</f>
        <v>0</v>
      </c>
      <c r="Q213" s="86">
        <f>IF(P213=0,0,_xlfn.XLOOKUP(Table2[[#This Row],[Key]],Table1[Key],Table1[고용보험 여부],0,0))</f>
        <v>0</v>
      </c>
      <c r="R213" s="29" t="str">
        <f t="shared" si="43"/>
        <v>2505</v>
      </c>
      <c r="S213" s="30" t="str">
        <f>YEAR(Table2[[#This Row],[근무일자]])&amp;TEXT(WEEKNUM(Table2[[#This Row],[근무일자]]),"00")</f>
        <v>202519</v>
      </c>
      <c r="T213" s="31">
        <f>_xlfn.XLOOKUP(Table2[[#This Row],[Key]],Table1[Key],Table1[등록일],"",0)</f>
        <v>45752</v>
      </c>
      <c r="U213" s="32">
        <f t="shared" si="44"/>
        <v>0.33333333333333326</v>
      </c>
      <c r="V213" s="92">
        <f t="shared" si="45"/>
        <v>0</v>
      </c>
      <c r="W213" s="100" t="str">
        <f>_xlfn.XLOOKUP(Table2[[#This Row],[근무일자]],Table3[Date],Table3[Holiday],"",0)</f>
        <v/>
      </c>
      <c r="X213" s="93">
        <f>IF(D213&lt;&gt;"",1,0)+IF(COUNTIFS(Table2[주민등록번호],O213,Table2[월],TEXT(EOMONTH(D213,-1),"YYMM"))&gt;0,1+IF(COUNTIFS(Table2[주민등록번호],O213,Table2[월],TEXT(EOMONTH(D213,-2),"YYMM"))&gt;0,1+IF(COUNTIFS(Table2[주민등록번호],O213,Table2[월],TEXT(EOMONTH(D213,-3),"YYMM"))&gt;0,1,0),0),0)</f>
        <v>2</v>
      </c>
      <c r="Y213" s="29">
        <f>COUNTIFS(Table2[주민등록번호],O213,Table2[월],R213,Table2[근무일자],"&lt;="&amp;D213)</f>
        <v>5</v>
      </c>
      <c r="Z213" s="29">
        <f>COUNTIFS(Table2[주민등록번호],O213,Table2[주간],S213,Table2[근무일자],"&lt;="&amp;D213)</f>
        <v>5</v>
      </c>
      <c r="AA213" s="29">
        <f>SUMIFS(Table2[근로
시간],Table2[주민등록번호],O213,Table2[주간],S213,Table2[근무일자],"&lt;="&amp;D213)*24</f>
        <v>39.999999999999993</v>
      </c>
      <c r="AB213" s="29" t="str">
        <f>IF(AND(Y213&gt;=8,COUNTIFS(Table2[주민등록번호],O213,Table2[근무일자],"&gt;="&amp;EOMONTH(D213,-2)+1,Table2[근무일자],"&lt;="&amp;EOMONTH(D213,-1)+1)&gt;0),"V","")</f>
        <v/>
      </c>
      <c r="AC213" s="94" cm="1">
        <f t="array" ref="AC213">IF(AD213&lt;&gt;"",AD213,_xlfn.XLOOKUP(1,(D213&lt;=Table7[End])*(E213=Table7[근무처])*(F213=Table7[업무]),Table7[시급],0,0))</f>
        <v>10680</v>
      </c>
      <c r="AD213" s="95"/>
      <c r="AE213" s="94">
        <f t="shared" si="46"/>
        <v>85440</v>
      </c>
      <c r="AF213" s="96" cm="1">
        <f t="array" ref="AF213">IF(AND(AA213&gt;=15,(AA213-U213*24)&lt;=40),IF(Z213&gt;=_xlfn.XLOOKUP(1,(D213&lt;=Table7[End])*(E213=Table7[근무처])*(F213=Table7[업무]),Table7[주휴적용일],0,0),1,0)+_xlfn.XLOOKUP(1,(Table2[주간]=Table2[[#This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213" s="96" cm="1">
        <f t="array" ref="AG213">MAX((_xlfn.IFS(AF213=0,0,AF213=1,AA213,AF213&gt;1,U213*24)-IF(AA213&gt;40,AA213-40,0))/5,0)</f>
        <v>1.5999999999999996</v>
      </c>
      <c r="AH213" s="94">
        <f t="shared" si="47"/>
        <v>17088</v>
      </c>
      <c r="AI213" s="33" cm="1">
        <f t="array" ref="AI213">IF(W213="",0,ROUND(AC213*U213*24*_xlfn.XLOOKUP(1,(D213&lt;=Table7[End])*(E213=Table7[근무처])*(F213=Table7[업무]),Table7[휴일인센티브],0,0),0))</f>
        <v>0</v>
      </c>
      <c r="AJ213" s="94" cm="1">
        <f t="array" ref="AJ213">ROUND(AC213*IF(U213&gt;=8/24,U213-8/24,0)*24*_xlfn.XLOOKUP(1,(D213&lt;=Table7[End])*(E213=Table7[근무처])*(F213=Table7[업무]),Table7[야간인센티브],0,0),0)</f>
        <v>0</v>
      </c>
      <c r="AK213" s="94" cm="1">
        <f t="array" ref="AK213">IF(V213=0,0,ROUND(AC213*V213*24*_xlfn.XLOOKUP(1,(D213&lt;=Table7[End])*(E213=Table7[근무처])*(F213=Table7[업무]),Table7[야간인센티브],0,0),0))</f>
        <v>0</v>
      </c>
      <c r="AL213" s="95"/>
      <c r="AM213" s="94">
        <f t="shared" si="48"/>
        <v>102528</v>
      </c>
      <c r="AN213" s="94" cm="1">
        <f t="array" ref="AN213">IF(AM213&gt;=_xlfn.XLOOKUP(TRUE,D213&lt;=Table5[End],Table5[비과세소득기준],0,0),AM213-_xlfn.XLOOKUP(TRUE,D213&lt;=Table5[End],Table5[비과세소득기준],0,0),0)</f>
        <v>0</v>
      </c>
      <c r="AO213" s="94" cm="1">
        <f t="array" ref="AO213">ROUNDDOWN(_xlfn.LET(_xlpm.setvalue,_xlfn.XLOOKUP(TRUE,D213&lt;=Table5[End],Table5[[요율]:[근로소득세액공제]],0,0),_xlpm.tax,AN213*PRODUCT((_xlpm.setvalue-{0,1})*{1,-1}),_xlpm.threshold,_xlfn.XLOOKUP(TRUE,D213&lt;=Table5[End],Table5[소액부징수기준],0,0),IF(_xlpm.tax&gt;=_xlpm.threshold,_xlpm.tax,0)),-1)</f>
        <v>0</v>
      </c>
      <c r="AP213" s="94">
        <f>ROUNDDOWN(Table2[[#This Row],[소득세]]*10%,-1)</f>
        <v>0</v>
      </c>
      <c r="AQ213" s="94">
        <f>IF(AB213="v",AM213+IF(Y213=8,SUMIFS(Table2[지급총액],Table2[주민등록번호],O213,Table2[월],R213,Table2[월간
근무일],"&lt;="&amp;8)-AM213,0),0)+_xlfn.NUMBERVALUE(AR213)</f>
        <v>0</v>
      </c>
      <c r="AR213" s="95"/>
      <c r="AS213" s="94" cm="1">
        <f t="array" ref="AS213">ROUNDDOWN($AQ213*_xlfn.XLOOKUP(1,(AS$5=Table8[Type])*($D213&lt;=Table8[End]),Table8[요율],0,0),0)</f>
        <v>0</v>
      </c>
      <c r="AT213" s="94" cm="1">
        <f t="array" ref="AT213">ROUNDDOWN(AS213*_xlfn.XLOOKUP(1,(AT$5=Table8[Type])*($D213&lt;=Table8[End]),Table8[요율],0,0),-1)</f>
        <v>0</v>
      </c>
      <c r="AU213" s="94" cm="1">
        <f t="array" ref="AU213">ROUNDDOWN($AQ213*_xlfn.XLOOKUP(1,(AU$5=Table8[Type])*($D213&lt;=Table8[End]),Table8[요율],0,0),-1)</f>
        <v>0</v>
      </c>
      <c r="AV213" s="94" cm="1">
        <f t="array" ref="AV213">ROUNDDOWN(AM213*_xlfn.XLOOKUP(1,(AV$5=Table8[Type])*($D213&lt;=Table8[End]),Table8[요율],0,0),-1)</f>
        <v>0</v>
      </c>
      <c r="AW213" s="94" cm="1">
        <f t="array" ref="AW213">_xlfn.XLOOKUP(1,(O213=Table2[주민등록번호])*(D213&gt;Table2[근무일자]),Table2[청구 Claim 
이월],0,0,-1)</f>
        <v>0</v>
      </c>
      <c r="AX213" s="95"/>
      <c r="AY213" s="94" cm="1">
        <f t="array" ref="AY213">MAX(SUM(AO213:AP213,AS213:AX213)-_xlfn.XLOOKUP(1,(D213&lt;=Table7[End])*(E213=Table7[근무처])*(F213=Table7[업무]),Table7[1일 공제 상한],0,0),0)</f>
        <v>0</v>
      </c>
      <c r="AZ213" s="94">
        <f t="shared" si="49"/>
        <v>0</v>
      </c>
      <c r="BA213" s="94">
        <f t="shared" si="50"/>
        <v>102528</v>
      </c>
      <c r="BB213" s="97">
        <f t="shared" si="51"/>
        <v>0</v>
      </c>
      <c r="BC213" s="98"/>
      <c r="BD213" s="94">
        <f t="shared" si="52"/>
        <v>0</v>
      </c>
      <c r="BE213" s="94">
        <f t="shared" si="53"/>
        <v>0</v>
      </c>
      <c r="BF213" s="94">
        <f t="shared" si="54"/>
        <v>0</v>
      </c>
      <c r="BG213" s="94">
        <f t="shared" si="55"/>
        <v>0</v>
      </c>
      <c r="BH213" s="94" cm="1">
        <f t="array" ref="BH213">ROUNDDOWN(AM213*_xlfn.XLOOKUP(1,(BH$5=Table8[Type])*($D213&lt;=Table8[End]),Table8[요율],0,0),-1)</f>
        <v>820</v>
      </c>
      <c r="BI213" s="93" t="str" cm="1">
        <f t="array" ref="BI213">_xlfn.XLOOKUP(1,(D213&lt;=Table7[End])*(E213=Table7[근무처])*(F213=Table7[업무]),Table7[지급옵션],0,0)</f>
        <v>차주 화</v>
      </c>
      <c r="BJ213" s="83">
        <f>IF(BK213&lt;&gt;"",BK213,IFERROR(D213+_xlfn.NUMBERVALUE(RIGHT(BI213,1)),D213-WEEKDAY(D213)+CHOOSE(MATCH(RIGHT(BI213),{"일","월","화","수","목","금","토"},0),8,9,10,11,12,13,14)))</f>
        <v>45790</v>
      </c>
      <c r="BK213" s="99"/>
    </row>
    <row r="214" spans="2:63" x14ac:dyDescent="0.35">
      <c r="B214" s="20" t="str" cm="1">
        <f t="array" ref="B214">_xlfn.IFS(BB214&lt;&gt;BC214,"Claim확인",N214&lt;&gt;"OK","확인필요",TRUE,"")</f>
        <v/>
      </c>
      <c r="C214" s="21" t="str">
        <f t="shared" si="42"/>
        <v>010-2X2X-X2X2945X02XX268466</v>
      </c>
      <c r="D214" s="26">
        <v>45788</v>
      </c>
      <c r="E214" s="91" t="s">
        <v>255</v>
      </c>
      <c r="F214" s="25" t="s">
        <v>258</v>
      </c>
      <c r="G214" s="27" t="s">
        <v>285</v>
      </c>
      <c r="H214" s="25" t="s">
        <v>297</v>
      </c>
      <c r="I214" s="25"/>
      <c r="J214" s="25" t="s">
        <v>298</v>
      </c>
      <c r="K214" s="28">
        <v>0.29166666666666669</v>
      </c>
      <c r="L214" s="28">
        <v>0.66666666666666663</v>
      </c>
      <c r="M214" s="28">
        <v>4.1666666666666664E-2</v>
      </c>
      <c r="N214" s="25" t="s">
        <v>281</v>
      </c>
      <c r="O214" s="29" t="str">
        <f>_xlfn.XLOOKUP(Table2[[#This Row],[Key]],Table1[Key],Table1[주민등록번호],"",0)</f>
        <v>980XX81XX7X17</v>
      </c>
      <c r="P214" s="86">
        <f>_xlfn.XLOOKUP(Table2[[#This Row],[Key]],Table1[Key],Table1[비자],"",0)</f>
        <v>0</v>
      </c>
      <c r="Q214" s="86">
        <f>IF(P214=0,0,_xlfn.XLOOKUP(Table2[[#This Row],[Key]],Table1[Key],Table1[고용보험 여부],0,0))</f>
        <v>0</v>
      </c>
      <c r="R214" s="29" t="str">
        <f t="shared" si="43"/>
        <v>2505</v>
      </c>
      <c r="S214" s="30" t="str">
        <f>YEAR(Table2[[#This Row],[근무일자]])&amp;TEXT(WEEKNUM(Table2[[#This Row],[근무일자]]),"00")</f>
        <v>202520</v>
      </c>
      <c r="T214" s="31">
        <f>_xlfn.XLOOKUP(Table2[[#This Row],[Key]],Table1[Key],Table1[등록일],"",0)</f>
        <v>45752</v>
      </c>
      <c r="U214" s="32">
        <f t="shared" si="44"/>
        <v>0.33333333333333326</v>
      </c>
      <c r="V214" s="92">
        <f t="shared" si="45"/>
        <v>0</v>
      </c>
      <c r="W214" s="100" t="str">
        <f>_xlfn.XLOOKUP(Table2[[#This Row],[근무일자]],Table3[Date],Table3[Holiday],"",0)</f>
        <v/>
      </c>
      <c r="X214" s="93">
        <f>IF(D214&lt;&gt;"",1,0)+IF(COUNTIFS(Table2[주민등록번호],O214,Table2[월],TEXT(EOMONTH(D214,-1),"YYMM"))&gt;0,1+IF(COUNTIFS(Table2[주민등록번호],O214,Table2[월],TEXT(EOMONTH(D214,-2),"YYMM"))&gt;0,1+IF(COUNTIFS(Table2[주민등록번호],O214,Table2[월],TEXT(EOMONTH(D214,-3),"YYMM"))&gt;0,1,0),0),0)</f>
        <v>2</v>
      </c>
      <c r="Y214" s="29">
        <f>COUNTIFS(Table2[주민등록번호],O214,Table2[월],R214,Table2[근무일자],"&lt;="&amp;D214)</f>
        <v>6</v>
      </c>
      <c r="Z214" s="29">
        <f>COUNTIFS(Table2[주민등록번호],O214,Table2[주간],S214,Table2[근무일자],"&lt;="&amp;D214)</f>
        <v>1</v>
      </c>
      <c r="AA214" s="29">
        <f>SUMIFS(Table2[근로
시간],Table2[주민등록번호],O214,Table2[주간],S214,Table2[근무일자],"&lt;="&amp;D214)*24</f>
        <v>7.9999999999999982</v>
      </c>
      <c r="AB214" s="29" t="str">
        <f>IF(AND(Y214&gt;=8,COUNTIFS(Table2[주민등록번호],O214,Table2[근무일자],"&gt;="&amp;EOMONTH(D214,-2)+1,Table2[근무일자],"&lt;="&amp;EOMONTH(D214,-1)+1)&gt;0),"V","")</f>
        <v/>
      </c>
      <c r="AC214" s="94" cm="1">
        <f t="array" ref="AC214">IF(AD214&lt;&gt;"",AD214,_xlfn.XLOOKUP(1,(D214&lt;=Table7[End])*(E214=Table7[근무처])*(F214=Table7[업무]),Table7[시급],0,0))</f>
        <v>10680</v>
      </c>
      <c r="AD214" s="95"/>
      <c r="AE214" s="94">
        <f t="shared" si="46"/>
        <v>85440</v>
      </c>
      <c r="AF214" s="96" cm="1">
        <f t="array" ref="AF214">IF(AND(AA214&gt;=15,(AA214-U214*24)&lt;=40),IF(Z214&gt;=_xlfn.XLOOKUP(1,(D214&lt;=Table7[End])*(E214=Table7[근무처])*(F214=Table7[업무]),Table7[주휴적용일],0,0),1,0)+_xlfn.XLOOKUP(1,(Table2[주간]=Table2[[#This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14" s="96" cm="1">
        <f t="array" ref="AG214">MAX((_xlfn.IFS(AF214=0,0,AF214=1,AA214,AF214&gt;1,U214*24)-IF(AA214&gt;40,AA214-40,0))/5,0)</f>
        <v>0</v>
      </c>
      <c r="AH214" s="94">
        <f t="shared" si="47"/>
        <v>0</v>
      </c>
      <c r="AI214" s="33" cm="1">
        <f t="array" ref="AI214">IF(W214="",0,ROUND(AC214*U214*24*_xlfn.XLOOKUP(1,(D214&lt;=Table7[End])*(E214=Table7[근무처])*(F214=Table7[업무]),Table7[휴일인센티브],0,0),0))</f>
        <v>0</v>
      </c>
      <c r="AJ214" s="94" cm="1">
        <f t="array" ref="AJ214">ROUND(AC214*IF(U214&gt;=8/24,U214-8/24,0)*24*_xlfn.XLOOKUP(1,(D214&lt;=Table7[End])*(E214=Table7[근무처])*(F214=Table7[업무]),Table7[야간인센티브],0,0),0)</f>
        <v>0</v>
      </c>
      <c r="AK214" s="94" cm="1">
        <f t="array" ref="AK214">IF(V214=0,0,ROUND(AC214*V214*24*_xlfn.XLOOKUP(1,(D214&lt;=Table7[End])*(E214=Table7[근무처])*(F214=Table7[업무]),Table7[야간인센티브],0,0),0))</f>
        <v>0</v>
      </c>
      <c r="AL214" s="95"/>
      <c r="AM214" s="94">
        <f t="shared" si="48"/>
        <v>85440</v>
      </c>
      <c r="AN214" s="94" cm="1">
        <f t="array" ref="AN214">IF(AM214&gt;=_xlfn.XLOOKUP(TRUE,D214&lt;=Table5[End],Table5[비과세소득기준],0,0),AM214-_xlfn.XLOOKUP(TRUE,D214&lt;=Table5[End],Table5[비과세소득기준],0,0),0)</f>
        <v>0</v>
      </c>
      <c r="AO214" s="94" cm="1">
        <f t="array" ref="AO214">ROUNDDOWN(_xlfn.LET(_xlpm.setvalue,_xlfn.XLOOKUP(TRUE,D214&lt;=Table5[End],Table5[[요율]:[근로소득세액공제]],0,0),_xlpm.tax,AN214*PRODUCT((_xlpm.setvalue-{0,1})*{1,-1}),_xlpm.threshold,_xlfn.XLOOKUP(TRUE,D214&lt;=Table5[End],Table5[소액부징수기준],0,0),IF(_xlpm.tax&gt;=_xlpm.threshold,_xlpm.tax,0)),-1)</f>
        <v>0</v>
      </c>
      <c r="AP214" s="94">
        <f>ROUNDDOWN(Table2[[#This Row],[소득세]]*10%,-1)</f>
        <v>0</v>
      </c>
      <c r="AQ214" s="94">
        <f>IF(AB214="v",AM214+IF(Y214=8,SUMIFS(Table2[지급총액],Table2[주민등록번호],O214,Table2[월],R214,Table2[월간
근무일],"&lt;="&amp;8)-AM214,0),0)+_xlfn.NUMBERVALUE(AR214)</f>
        <v>0</v>
      </c>
      <c r="AR214" s="95"/>
      <c r="AS214" s="94" cm="1">
        <f t="array" ref="AS214">ROUNDDOWN($AQ214*_xlfn.XLOOKUP(1,(AS$5=Table8[Type])*($D214&lt;=Table8[End]),Table8[요율],0,0),0)</f>
        <v>0</v>
      </c>
      <c r="AT214" s="94" cm="1">
        <f t="array" ref="AT214">ROUNDDOWN(AS214*_xlfn.XLOOKUP(1,(AT$5=Table8[Type])*($D214&lt;=Table8[End]),Table8[요율],0,0),-1)</f>
        <v>0</v>
      </c>
      <c r="AU214" s="94" cm="1">
        <f t="array" ref="AU214">ROUNDDOWN($AQ214*_xlfn.XLOOKUP(1,(AU$5=Table8[Type])*($D214&lt;=Table8[End]),Table8[요율],0,0),-1)</f>
        <v>0</v>
      </c>
      <c r="AV214" s="94" cm="1">
        <f t="array" ref="AV214">ROUNDDOWN(AM214*_xlfn.XLOOKUP(1,(AV$5=Table8[Type])*($D214&lt;=Table8[End]),Table8[요율],0,0),-1)</f>
        <v>0</v>
      </c>
      <c r="AW214" s="94" cm="1">
        <f t="array" ref="AW214">_xlfn.XLOOKUP(1,(O214=Table2[주민등록번호])*(D214&gt;Table2[근무일자]),Table2[청구 Claim 
이월],0,0,-1)</f>
        <v>0</v>
      </c>
      <c r="AX214" s="95"/>
      <c r="AY214" s="94" cm="1">
        <f t="array" ref="AY214">MAX(SUM(AO214:AP214,AS214:AX214)-_xlfn.XLOOKUP(1,(D214&lt;=Table7[End])*(E214=Table7[근무처])*(F214=Table7[업무]),Table7[1일 공제 상한],0,0),0)</f>
        <v>0</v>
      </c>
      <c r="AZ214" s="94">
        <f t="shared" si="49"/>
        <v>0</v>
      </c>
      <c r="BA214" s="94">
        <f t="shared" si="50"/>
        <v>85440</v>
      </c>
      <c r="BB214" s="97">
        <f t="shared" si="51"/>
        <v>0</v>
      </c>
      <c r="BC214" s="98"/>
      <c r="BD214" s="94">
        <f t="shared" si="52"/>
        <v>0</v>
      </c>
      <c r="BE214" s="94">
        <f t="shared" si="53"/>
        <v>0</v>
      </c>
      <c r="BF214" s="94">
        <f t="shared" si="54"/>
        <v>0</v>
      </c>
      <c r="BG214" s="94">
        <f t="shared" si="55"/>
        <v>0</v>
      </c>
      <c r="BH214" s="94" cm="1">
        <f t="array" ref="BH214">ROUNDDOWN(AM214*_xlfn.XLOOKUP(1,(BH$5=Table8[Type])*($D214&lt;=Table8[End]),Table8[요율],0,0),-1)</f>
        <v>680</v>
      </c>
      <c r="BI214" s="93" t="str" cm="1">
        <f t="array" ref="BI214">_xlfn.XLOOKUP(1,(D214&lt;=Table7[End])*(E214=Table7[근무처])*(F214=Table7[업무]),Table7[지급옵션],0,0)</f>
        <v>차주 화</v>
      </c>
      <c r="BJ214" s="83">
        <f>IF(BK214&lt;&gt;"",BK214,IFERROR(D214+_xlfn.NUMBERVALUE(RIGHT(BI214,1)),D214-WEEKDAY(D214)+CHOOSE(MATCH(RIGHT(BI214),{"일","월","화","수","목","금","토"},0),8,9,10,11,12,13,14)))</f>
        <v>45797</v>
      </c>
      <c r="BK214" s="99"/>
    </row>
    <row r="215" spans="2:63" x14ac:dyDescent="0.35">
      <c r="B215" s="20" t="str" cm="1">
        <f t="array" ref="B215">_xlfn.IFS(BB215&lt;&gt;BC215,"Claim확인",N215&lt;&gt;"OK","확인필요",TRUE,"")</f>
        <v/>
      </c>
      <c r="C215" s="21" t="str">
        <f t="shared" si="42"/>
        <v>010-5X0X-X6X5010X57XX685907</v>
      </c>
      <c r="D215" s="26">
        <v>45788</v>
      </c>
      <c r="E215" s="91" t="s">
        <v>255</v>
      </c>
      <c r="F215" s="25" t="s">
        <v>258</v>
      </c>
      <c r="G215" s="27" t="s">
        <v>287</v>
      </c>
      <c r="H215" s="25" t="s">
        <v>301</v>
      </c>
      <c r="I215" s="25"/>
      <c r="J215" s="25" t="s">
        <v>302</v>
      </c>
      <c r="K215" s="28">
        <v>0.45833333333333331</v>
      </c>
      <c r="L215" s="28">
        <v>0.83333333333333337</v>
      </c>
      <c r="M215" s="28">
        <v>4.1666666666666664E-2</v>
      </c>
      <c r="N215" s="25" t="s">
        <v>281</v>
      </c>
      <c r="O215" s="29" t="str">
        <f>_xlfn.XLOOKUP(Table2[[#This Row],[Key]],Table1[Key],Table1[주민등록번호],"",0)</f>
        <v>980XX82XX3X25</v>
      </c>
      <c r="P215" s="29">
        <f>_xlfn.XLOOKUP(Table2[[#This Row],[Key]],Table1[Key],Table1[비자],"",0)</f>
        <v>0</v>
      </c>
      <c r="Q215" s="29">
        <f>IF(P215=0,0,_xlfn.XLOOKUP(Table2[[#This Row],[Key]],Table1[Key],Table1[고용보험 여부],0,0))</f>
        <v>0</v>
      </c>
      <c r="R215" s="29" t="str">
        <f t="shared" si="43"/>
        <v>2505</v>
      </c>
      <c r="S215" s="30" t="str">
        <f>YEAR(Table2[[#This Row],[근무일자]])&amp;TEXT(WEEKNUM(Table2[[#This Row],[근무일자]]),"00")</f>
        <v>202520</v>
      </c>
      <c r="T215" s="31">
        <f>_xlfn.XLOOKUP(Table2[[#This Row],[Key]],Table1[Key],Table1[등록일],"",0)</f>
        <v>45783</v>
      </c>
      <c r="U215" s="32">
        <f t="shared" si="44"/>
        <v>0.33333333333333337</v>
      </c>
      <c r="V215" s="92">
        <f t="shared" si="45"/>
        <v>0</v>
      </c>
      <c r="W215" s="100" t="str">
        <f>_xlfn.XLOOKUP(Table2[[#This Row],[근무일자]],Table3[Date],Table3[Holiday],"",0)</f>
        <v/>
      </c>
      <c r="X215" s="93">
        <f>IF(D215&lt;&gt;"",1,0)+IF(COUNTIFS(Table2[주민등록번호],O215,Table2[월],TEXT(EOMONTH(D215,-1),"YYMM"))&gt;0,1+IF(COUNTIFS(Table2[주민등록번호],O215,Table2[월],TEXT(EOMONTH(D215,-2),"YYMM"))&gt;0,1+IF(COUNTIFS(Table2[주민등록번호],O215,Table2[월],TEXT(EOMONTH(D215,-3),"YYMM"))&gt;0,1,0),0),0)</f>
        <v>2</v>
      </c>
      <c r="Y215" s="29">
        <f>COUNTIFS(Table2[주민등록번호],O215,Table2[월],R215,Table2[근무일자],"&lt;="&amp;D215)</f>
        <v>3</v>
      </c>
      <c r="Z215" s="29">
        <f>COUNTIFS(Table2[주민등록번호],O215,Table2[주간],S215,Table2[근무일자],"&lt;="&amp;D215)</f>
        <v>1</v>
      </c>
      <c r="AA215" s="29">
        <f>SUMIFS(Table2[근로
시간],Table2[주민등록번호],O215,Table2[주간],S215,Table2[근무일자],"&lt;="&amp;D215)*24</f>
        <v>8</v>
      </c>
      <c r="AB215" s="29" t="str">
        <f>IF(AND(Y215&gt;=8,COUNTIFS(Table2[주민등록번호],O215,Table2[근무일자],"&gt;="&amp;EOMONTH(D215,-2)+1,Table2[근무일자],"&lt;="&amp;EOMONTH(D215,-1)+1)&gt;0),"V","")</f>
        <v/>
      </c>
      <c r="AC215" s="94" cm="1">
        <f t="array" ref="AC215">IF(AD215&lt;&gt;"",AD215,_xlfn.XLOOKUP(1,(D215&lt;=Table7[End])*(E215=Table7[근무처])*(F215=Table7[업무]),Table7[시급],0,0))</f>
        <v>10680</v>
      </c>
      <c r="AD215" s="95"/>
      <c r="AE215" s="94">
        <f t="shared" si="46"/>
        <v>85440</v>
      </c>
      <c r="AF215" s="96" cm="1">
        <f t="array" ref="AF215">IF(AND(AA215&gt;=15,(AA215-U215*24)&lt;=40),IF(Z215&gt;=_xlfn.XLOOKUP(1,(D215&lt;=Table7[End])*(E215=Table7[근무처])*(F215=Table7[업무]),Table7[주휴적용일],0,0),1,0)+_xlfn.XLOOKUP(1,(Table2[주간]=Table2[[#This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15" s="96" cm="1">
        <f t="array" ref="AG215">MAX((_xlfn.IFS(AF215=0,0,AF215=1,AA215,AF215&gt;1,U215*24)-IF(AA215&gt;40,AA215-40,0))/5,0)</f>
        <v>0</v>
      </c>
      <c r="AH215" s="94">
        <f t="shared" si="47"/>
        <v>0</v>
      </c>
      <c r="AI215" s="33" cm="1">
        <f t="array" ref="AI215">IF(W215="",0,ROUND(AC215*U215*24*_xlfn.XLOOKUP(1,(D215&lt;=Table7[End])*(E215=Table7[근무처])*(F215=Table7[업무]),Table7[휴일인센티브],0,0),0))</f>
        <v>0</v>
      </c>
      <c r="AJ215" s="94" cm="1">
        <f t="array" ref="AJ215">ROUND(AC215*IF(U215&gt;=8/24,U215-8/24,0)*24*_xlfn.XLOOKUP(1,(D215&lt;=Table7[End])*(E215=Table7[근무처])*(F215=Table7[업무]),Table7[야간인센티브],0,0),0)</f>
        <v>0</v>
      </c>
      <c r="AK215" s="94" cm="1">
        <f t="array" ref="AK215">IF(V215=0,0,ROUND(AC215*V215*24*_xlfn.XLOOKUP(1,(D215&lt;=Table7[End])*(E215=Table7[근무처])*(F215=Table7[업무]),Table7[야간인센티브],0,0),0))</f>
        <v>0</v>
      </c>
      <c r="AL215" s="95"/>
      <c r="AM215" s="94">
        <f t="shared" si="48"/>
        <v>85440</v>
      </c>
      <c r="AN215" s="94" cm="1">
        <f t="array" ref="AN215">IF(AM215&gt;=_xlfn.XLOOKUP(TRUE,D215&lt;=Table5[End],Table5[비과세소득기준],0,0),AM215-_xlfn.XLOOKUP(TRUE,D215&lt;=Table5[End],Table5[비과세소득기준],0,0),0)</f>
        <v>0</v>
      </c>
      <c r="AO215" s="94" cm="1">
        <f t="array" ref="AO215">ROUNDDOWN(_xlfn.LET(_xlpm.setvalue,_xlfn.XLOOKUP(TRUE,D215&lt;=Table5[End],Table5[[요율]:[근로소득세액공제]],0,0),_xlpm.tax,AN215*PRODUCT((_xlpm.setvalue-{0,1})*{1,-1}),_xlpm.threshold,_xlfn.XLOOKUP(TRUE,D215&lt;=Table5[End],Table5[소액부징수기준],0,0),IF(_xlpm.tax&gt;=_xlpm.threshold,_xlpm.tax,0)),-1)</f>
        <v>0</v>
      </c>
      <c r="AP215" s="94">
        <f>ROUNDDOWN(Table2[[#This Row],[소득세]]*10%,-1)</f>
        <v>0</v>
      </c>
      <c r="AQ215" s="94">
        <f>IF(AB215="v",AM215+IF(Y215=8,SUMIFS(Table2[지급총액],Table2[주민등록번호],O215,Table2[월],R215,Table2[월간
근무일],"&lt;="&amp;8)-AM215,0),0)+_xlfn.NUMBERVALUE(AR215)</f>
        <v>0</v>
      </c>
      <c r="AR215" s="95"/>
      <c r="AS215" s="94" cm="1">
        <f t="array" ref="AS215">ROUNDDOWN($AQ215*_xlfn.XLOOKUP(1,(AS$5=Table8[Type])*($D215&lt;=Table8[End]),Table8[요율],0,0),0)</f>
        <v>0</v>
      </c>
      <c r="AT215" s="94" cm="1">
        <f t="array" ref="AT215">ROUNDDOWN(AS215*_xlfn.XLOOKUP(1,(AT$5=Table8[Type])*($D215&lt;=Table8[End]),Table8[요율],0,0),-1)</f>
        <v>0</v>
      </c>
      <c r="AU215" s="94" cm="1">
        <f t="array" ref="AU215">ROUNDDOWN($AQ215*_xlfn.XLOOKUP(1,(AU$5=Table8[Type])*($D215&lt;=Table8[End]),Table8[요율],0,0),-1)</f>
        <v>0</v>
      </c>
      <c r="AV215" s="94" cm="1">
        <f t="array" ref="AV215">ROUNDDOWN(AM215*_xlfn.XLOOKUP(1,(AV$5=Table8[Type])*($D215&lt;=Table8[End]),Table8[요율],0,0),-1)</f>
        <v>0</v>
      </c>
      <c r="AW215" s="94" cm="1">
        <f t="array" ref="AW215">_xlfn.XLOOKUP(1,(O215=Table2[주민등록번호])*(D215&gt;Table2[근무일자]),Table2[청구 Claim 
이월],0,0,-1)</f>
        <v>0</v>
      </c>
      <c r="AX215" s="95"/>
      <c r="AY215" s="94" cm="1">
        <f t="array" ref="AY215">MAX(SUM(AO215:AP215,AS215:AX215)-_xlfn.XLOOKUP(1,(D215&lt;=Table7[End])*(E215=Table7[근무처])*(F215=Table7[업무]),Table7[1일 공제 상한],0,0),0)</f>
        <v>0</v>
      </c>
      <c r="AZ215" s="94">
        <f t="shared" si="49"/>
        <v>0</v>
      </c>
      <c r="BA215" s="94">
        <f t="shared" si="50"/>
        <v>85440</v>
      </c>
      <c r="BB215" s="97">
        <f t="shared" si="51"/>
        <v>0</v>
      </c>
      <c r="BC215" s="98"/>
      <c r="BD215" s="94">
        <f t="shared" si="52"/>
        <v>0</v>
      </c>
      <c r="BE215" s="94">
        <f t="shared" si="53"/>
        <v>0</v>
      </c>
      <c r="BF215" s="94">
        <f t="shared" si="54"/>
        <v>0</v>
      </c>
      <c r="BG215" s="94">
        <f t="shared" si="55"/>
        <v>0</v>
      </c>
      <c r="BH215" s="94" cm="1">
        <f t="array" ref="BH215">ROUNDDOWN(AM215*_xlfn.XLOOKUP(1,(BH$5=Table8[Type])*($D215&lt;=Table8[End]),Table8[요율],0,0),-1)</f>
        <v>680</v>
      </c>
      <c r="BI215" s="93" t="str" cm="1">
        <f t="array" ref="BI215">_xlfn.XLOOKUP(1,(D215&lt;=Table7[End])*(E215=Table7[근무처])*(F215=Table7[업무]),Table7[지급옵션],0,0)</f>
        <v>차주 화</v>
      </c>
      <c r="BJ215" s="83">
        <f>IF(BK215&lt;&gt;"",BK215,IFERROR(D215+_xlfn.NUMBERVALUE(RIGHT(BI215,1)),D215-WEEKDAY(D215)+CHOOSE(MATCH(RIGHT(BI215),{"일","월","화","수","목","금","토"},0),8,9,10,11,12,13,14)))</f>
        <v>45797</v>
      </c>
      <c r="BK215" s="99"/>
    </row>
    <row r="216" spans="2:63" x14ac:dyDescent="0.35">
      <c r="B216" s="20" t="str" cm="1">
        <f t="array" ref="B216">_xlfn.IFS(BB216&lt;&gt;BC216,"Claim확인",N216&lt;&gt;"OK","확인필요",TRUE,"")</f>
        <v/>
      </c>
      <c r="C216" s="21" t="str">
        <f t="shared" si="42"/>
        <v>010-6X1X-X3X0333X04XX46879</v>
      </c>
      <c r="D216" s="26">
        <v>45789</v>
      </c>
      <c r="E216" s="91" t="s">
        <v>255</v>
      </c>
      <c r="F216" s="25" t="s">
        <v>258</v>
      </c>
      <c r="G216" s="27" t="s">
        <v>284</v>
      </c>
      <c r="H216" s="25" t="s">
        <v>293</v>
      </c>
      <c r="I216" s="25"/>
      <c r="J216" s="25" t="s">
        <v>294</v>
      </c>
      <c r="K216" s="28">
        <v>0.3125</v>
      </c>
      <c r="L216" s="28">
        <v>0.6875</v>
      </c>
      <c r="M216" s="28">
        <v>4.1666666666666664E-2</v>
      </c>
      <c r="N216" s="25" t="s">
        <v>281</v>
      </c>
      <c r="O216" s="29" t="str">
        <f>_xlfn.XLOOKUP(Table2[[#This Row],[Key]],Table1[Key],Table1[주민등록번호],"",0)</f>
        <v>971XX61XX9X25</v>
      </c>
      <c r="P216" s="29">
        <f>_xlfn.XLOOKUP(Table2[[#This Row],[Key]],Table1[Key],Table1[비자],"",0)</f>
        <v>0</v>
      </c>
      <c r="Q216" s="29">
        <f>IF(P216=0,0,_xlfn.XLOOKUP(Table2[[#This Row],[Key]],Table1[Key],Table1[고용보험 여부],0,0))</f>
        <v>0</v>
      </c>
      <c r="R216" s="29" t="str">
        <f t="shared" si="43"/>
        <v>2505</v>
      </c>
      <c r="S216" s="30" t="str">
        <f>YEAR(Table2[[#This Row],[근무일자]])&amp;TEXT(WEEKNUM(Table2[[#This Row],[근무일자]]),"00")</f>
        <v>202520</v>
      </c>
      <c r="T216" s="31">
        <f>_xlfn.XLOOKUP(Table2[[#This Row],[Key]],Table1[Key],Table1[등록일],"",0)</f>
        <v>45721</v>
      </c>
      <c r="U216" s="32">
        <f t="shared" si="44"/>
        <v>0.33333333333333331</v>
      </c>
      <c r="V216" s="92">
        <f t="shared" si="45"/>
        <v>0</v>
      </c>
      <c r="W216" s="100" t="str">
        <f>_xlfn.XLOOKUP(Table2[[#This Row],[근무일자]],Table3[Date],Table3[Holiday],"",0)</f>
        <v/>
      </c>
      <c r="X216" s="93">
        <f>IF(D216&lt;&gt;"",1,0)+IF(COUNTIFS(Table2[주민등록번호],O216,Table2[월],TEXT(EOMONTH(D216,-1),"YYMM"))&gt;0,1+IF(COUNTIFS(Table2[주민등록번호],O216,Table2[월],TEXT(EOMONTH(D216,-2),"YYMM"))&gt;0,1+IF(COUNTIFS(Table2[주민등록번호],O216,Table2[월],TEXT(EOMONTH(D216,-3),"YYMM"))&gt;0,1,0),0),0)</f>
        <v>3</v>
      </c>
      <c r="Y216" s="29">
        <f>COUNTIFS(Table2[주민등록번호],O216,Table2[월],R216,Table2[근무일자],"&lt;="&amp;D216)</f>
        <v>6</v>
      </c>
      <c r="Z216" s="29">
        <f>COUNTIFS(Table2[주민등록번호],O216,Table2[주간],S216,Table2[근무일자],"&lt;="&amp;D216)</f>
        <v>1</v>
      </c>
      <c r="AA216" s="29">
        <f>SUMIFS(Table2[근로
시간],Table2[주민등록번호],O216,Table2[주간],S216,Table2[근무일자],"&lt;="&amp;D216)*24</f>
        <v>8</v>
      </c>
      <c r="AB216" s="29" t="str">
        <f>IF(AND(Y216&gt;=8,COUNTIFS(Table2[주민등록번호],O216,Table2[근무일자],"&gt;="&amp;EOMONTH(D216,-2)+1,Table2[근무일자],"&lt;="&amp;EOMONTH(D216,-1)+1)&gt;0),"V","")</f>
        <v/>
      </c>
      <c r="AC216" s="94" cm="1">
        <f t="array" ref="AC216">IF(AD216&lt;&gt;"",AD216,_xlfn.XLOOKUP(1,(D216&lt;=Table7[End])*(E216=Table7[근무처])*(F216=Table7[업무]),Table7[시급],0,0))</f>
        <v>10680</v>
      </c>
      <c r="AD216" s="95"/>
      <c r="AE216" s="94">
        <f t="shared" si="46"/>
        <v>85440</v>
      </c>
      <c r="AF216" s="96" cm="1">
        <f t="array" ref="AF216">IF(AND(AA216&gt;=15,(AA216-U216*24)&lt;=40),IF(Z216&gt;=_xlfn.XLOOKUP(1,(D216&lt;=Table7[End])*(E216=Table7[근무처])*(F216=Table7[업무]),Table7[주휴적용일],0,0),1,0)+_xlfn.XLOOKUP(1,(Table2[주간]=Table2[[#This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16" s="96" cm="1">
        <f t="array" ref="AG216">MAX((_xlfn.IFS(AF216=0,0,AF216=1,AA216,AF216&gt;1,U216*24)-IF(AA216&gt;40,AA216-40,0))/5,0)</f>
        <v>0</v>
      </c>
      <c r="AH216" s="94">
        <f t="shared" si="47"/>
        <v>0</v>
      </c>
      <c r="AI216" s="33" cm="1">
        <f t="array" ref="AI216">IF(W216="",0,ROUND(AC216*U216*24*_xlfn.XLOOKUP(1,(D216&lt;=Table7[End])*(E216=Table7[근무처])*(F216=Table7[업무]),Table7[휴일인센티브],0,0),0))</f>
        <v>0</v>
      </c>
      <c r="AJ216" s="94" cm="1">
        <f t="array" ref="AJ216">ROUND(AC216*IF(U216&gt;=8/24,U216-8/24,0)*24*_xlfn.XLOOKUP(1,(D216&lt;=Table7[End])*(E216=Table7[근무처])*(F216=Table7[업무]),Table7[야간인센티브],0,0),0)</f>
        <v>0</v>
      </c>
      <c r="AK216" s="94" cm="1">
        <f t="array" ref="AK216">IF(V216=0,0,ROUND(AC216*V216*24*_xlfn.XLOOKUP(1,(D216&lt;=Table7[End])*(E216=Table7[근무처])*(F216=Table7[업무]),Table7[야간인센티브],0,0),0))</f>
        <v>0</v>
      </c>
      <c r="AL216" s="95"/>
      <c r="AM216" s="94">
        <f t="shared" si="48"/>
        <v>85440</v>
      </c>
      <c r="AN216" s="94" cm="1">
        <f t="array" ref="AN216">IF(AM216&gt;=_xlfn.XLOOKUP(TRUE,D216&lt;=Table5[End],Table5[비과세소득기준],0,0),AM216-_xlfn.XLOOKUP(TRUE,D216&lt;=Table5[End],Table5[비과세소득기준],0,0),0)</f>
        <v>0</v>
      </c>
      <c r="AO216" s="94" cm="1">
        <f t="array" ref="AO216">ROUNDDOWN(_xlfn.LET(_xlpm.setvalue,_xlfn.XLOOKUP(TRUE,D216&lt;=Table5[End],Table5[[요율]:[근로소득세액공제]],0,0),_xlpm.tax,AN216*PRODUCT((_xlpm.setvalue-{0,1})*{1,-1}),_xlpm.threshold,_xlfn.XLOOKUP(TRUE,D216&lt;=Table5[End],Table5[소액부징수기준],0,0),IF(_xlpm.tax&gt;=_xlpm.threshold,_xlpm.tax,0)),-1)</f>
        <v>0</v>
      </c>
      <c r="AP216" s="94">
        <f>ROUNDDOWN(Table2[[#This Row],[소득세]]*10%,-1)</f>
        <v>0</v>
      </c>
      <c r="AQ216" s="94">
        <f>IF(AB216="v",AM216+IF(Y216=8,SUMIFS(Table2[지급총액],Table2[주민등록번호],O216,Table2[월],R216,Table2[월간
근무일],"&lt;="&amp;8)-AM216,0),0)+_xlfn.NUMBERVALUE(AR216)</f>
        <v>0</v>
      </c>
      <c r="AR216" s="95"/>
      <c r="AS216" s="94" cm="1">
        <f t="array" ref="AS216">ROUNDDOWN($AQ216*_xlfn.XLOOKUP(1,(AS$5=Table8[Type])*($D216&lt;=Table8[End]),Table8[요율],0,0),0)</f>
        <v>0</v>
      </c>
      <c r="AT216" s="94" cm="1">
        <f t="array" ref="AT216">ROUNDDOWN(AS216*_xlfn.XLOOKUP(1,(AT$5=Table8[Type])*($D216&lt;=Table8[End]),Table8[요율],0,0),-1)</f>
        <v>0</v>
      </c>
      <c r="AU216" s="94" cm="1">
        <f t="array" ref="AU216">ROUNDDOWN($AQ216*_xlfn.XLOOKUP(1,(AU$5=Table8[Type])*($D216&lt;=Table8[End]),Table8[요율],0,0),-1)</f>
        <v>0</v>
      </c>
      <c r="AV216" s="94" cm="1">
        <f t="array" ref="AV216">ROUNDDOWN(AM216*_xlfn.XLOOKUP(1,(AV$5=Table8[Type])*($D216&lt;=Table8[End]),Table8[요율],0,0),-1)</f>
        <v>0</v>
      </c>
      <c r="AW216" s="94" cm="1">
        <f t="array" ref="AW216">_xlfn.XLOOKUP(1,(O216=Table2[주민등록번호])*(D216&gt;Table2[근무일자]),Table2[청구 Claim 
이월],0,0,-1)</f>
        <v>0</v>
      </c>
      <c r="AX216" s="95"/>
      <c r="AY216" s="94" cm="1">
        <f t="array" ref="AY216">MAX(SUM(AO216:AP216,AS216:AX216)-_xlfn.XLOOKUP(1,(D216&lt;=Table7[End])*(E216=Table7[근무처])*(F216=Table7[업무]),Table7[1일 공제 상한],0,0),0)</f>
        <v>0</v>
      </c>
      <c r="AZ216" s="94">
        <f t="shared" si="49"/>
        <v>0</v>
      </c>
      <c r="BA216" s="94">
        <f t="shared" si="50"/>
        <v>85440</v>
      </c>
      <c r="BB216" s="97">
        <f t="shared" si="51"/>
        <v>0</v>
      </c>
      <c r="BC216" s="98"/>
      <c r="BD216" s="94">
        <f t="shared" si="52"/>
        <v>0</v>
      </c>
      <c r="BE216" s="94">
        <f t="shared" si="53"/>
        <v>0</v>
      </c>
      <c r="BF216" s="94">
        <f t="shared" si="54"/>
        <v>0</v>
      </c>
      <c r="BG216" s="94">
        <f t="shared" si="55"/>
        <v>0</v>
      </c>
      <c r="BH216" s="94" cm="1">
        <f t="array" ref="BH216">ROUNDDOWN(AM216*_xlfn.XLOOKUP(1,(BH$5=Table8[Type])*($D216&lt;=Table8[End]),Table8[요율],0,0),-1)</f>
        <v>680</v>
      </c>
      <c r="BI216" s="93" t="str" cm="1">
        <f t="array" ref="BI216">_xlfn.XLOOKUP(1,(D216&lt;=Table7[End])*(E216=Table7[근무처])*(F216=Table7[업무]),Table7[지급옵션],0,0)</f>
        <v>차주 화</v>
      </c>
      <c r="BJ216" s="83">
        <f>IF(BK216&lt;&gt;"",BK216,IFERROR(D216+_xlfn.NUMBERVALUE(RIGHT(BI216,1)),D216-WEEKDAY(D216)+CHOOSE(MATCH(RIGHT(BI216),{"일","월","화","수","목","금","토"},0),8,9,10,11,12,13,14)))</f>
        <v>45797</v>
      </c>
      <c r="BK216" s="99"/>
    </row>
    <row r="217" spans="2:63" x14ac:dyDescent="0.35">
      <c r="B217" s="20" t="str" cm="1">
        <f t="array" ref="B217">_xlfn.IFS(BB217&lt;&gt;BC217,"Claim확인",N217&lt;&gt;"OK","확인필요",TRUE,"")</f>
        <v/>
      </c>
      <c r="C217" s="21" t="str">
        <f t="shared" si="42"/>
        <v>010-3X6X-X4X7757X02XX284249</v>
      </c>
      <c r="D217" s="26">
        <v>45789</v>
      </c>
      <c r="E217" s="91" t="s">
        <v>255</v>
      </c>
      <c r="F217" s="25" t="s">
        <v>258</v>
      </c>
      <c r="G217" s="27" t="s">
        <v>283</v>
      </c>
      <c r="H217" s="25" t="s">
        <v>295</v>
      </c>
      <c r="I217" s="25"/>
      <c r="J217" s="25" t="s">
        <v>296</v>
      </c>
      <c r="K217" s="28">
        <v>0.29166666666666669</v>
      </c>
      <c r="L217" s="28">
        <v>0.66666666666666663</v>
      </c>
      <c r="M217" s="28">
        <v>4.1666666666666664E-2</v>
      </c>
      <c r="N217" s="25" t="s">
        <v>281</v>
      </c>
      <c r="O217" s="29" t="str">
        <f>_xlfn.XLOOKUP(Table2[[#This Row],[Key]],Table1[Key],Table1[주민등록번호],"",0)</f>
        <v>940XX41XX7X32</v>
      </c>
      <c r="P217" s="29">
        <f>_xlfn.XLOOKUP(Table2[[#This Row],[Key]],Table1[Key],Table1[비자],"",0)</f>
        <v>0</v>
      </c>
      <c r="Q217" s="29">
        <f>IF(P217=0,0,_xlfn.XLOOKUP(Table2[[#This Row],[Key]],Table1[Key],Table1[고용보험 여부],0,0))</f>
        <v>0</v>
      </c>
      <c r="R217" s="29" t="str">
        <f t="shared" si="43"/>
        <v>2505</v>
      </c>
      <c r="S217" s="30" t="str">
        <f>YEAR(Table2[[#This Row],[근무일자]])&amp;TEXT(WEEKNUM(Table2[[#This Row],[근무일자]]),"00")</f>
        <v>202520</v>
      </c>
      <c r="T217" s="31">
        <f>_xlfn.XLOOKUP(Table2[[#This Row],[Key]],Table1[Key],Table1[등록일],"",0)</f>
        <v>45751</v>
      </c>
      <c r="U217" s="32">
        <f t="shared" si="44"/>
        <v>0.33333333333333326</v>
      </c>
      <c r="V217" s="92">
        <f t="shared" si="45"/>
        <v>0</v>
      </c>
      <c r="W217" s="100" t="str">
        <f>_xlfn.XLOOKUP(Table2[[#This Row],[근무일자]],Table3[Date],Table3[Holiday],"",0)</f>
        <v/>
      </c>
      <c r="X217" s="93">
        <f>IF(D217&lt;&gt;"",1,0)+IF(COUNTIFS(Table2[주민등록번호],O217,Table2[월],TEXT(EOMONTH(D217,-1),"YYMM"))&gt;0,1+IF(COUNTIFS(Table2[주민등록번호],O217,Table2[월],TEXT(EOMONTH(D217,-2),"YYMM"))&gt;0,1+IF(COUNTIFS(Table2[주민등록번호],O217,Table2[월],TEXT(EOMONTH(D217,-3),"YYMM"))&gt;0,1,0),0),0)</f>
        <v>2</v>
      </c>
      <c r="Y217" s="29">
        <f>COUNTIFS(Table2[주민등록번호],O217,Table2[월],R217,Table2[근무일자],"&lt;="&amp;D217)</f>
        <v>5</v>
      </c>
      <c r="Z217" s="29">
        <f>COUNTIFS(Table2[주민등록번호],O217,Table2[주간],S217,Table2[근무일자],"&lt;="&amp;D217)</f>
        <v>1</v>
      </c>
      <c r="AA217" s="29">
        <f>SUMIFS(Table2[근로
시간],Table2[주민등록번호],O217,Table2[주간],S217,Table2[근무일자],"&lt;="&amp;D217)*24</f>
        <v>7.9999999999999982</v>
      </c>
      <c r="AB217" s="29" t="str">
        <f>IF(AND(Y217&gt;=8,COUNTIFS(Table2[주민등록번호],O217,Table2[근무일자],"&gt;="&amp;EOMONTH(D217,-2)+1,Table2[근무일자],"&lt;="&amp;EOMONTH(D217,-1)+1)&gt;0),"V","")</f>
        <v/>
      </c>
      <c r="AC217" s="94" cm="1">
        <f t="array" ref="AC217">IF(AD217&lt;&gt;"",AD217,_xlfn.XLOOKUP(1,(D217&lt;=Table7[End])*(E217=Table7[근무처])*(F217=Table7[업무]),Table7[시급],0,0))</f>
        <v>10680</v>
      </c>
      <c r="AD217" s="95"/>
      <c r="AE217" s="94">
        <f t="shared" si="46"/>
        <v>85440</v>
      </c>
      <c r="AF217" s="96" cm="1">
        <f t="array" ref="AF217">IF(AND(AA217&gt;=15,(AA217-U217*24)&lt;=40),IF(Z217&gt;=_xlfn.XLOOKUP(1,(D217&lt;=Table7[End])*(E217=Table7[근무처])*(F217=Table7[업무]),Table7[주휴적용일],0,0),1,0)+_xlfn.XLOOKUP(1,(Table2[주간]=Table2[[#This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17" s="96" cm="1">
        <f t="array" ref="AG217">MAX((_xlfn.IFS(AF217=0,0,AF217=1,AA217,AF217&gt;1,U217*24)-IF(AA217&gt;40,AA217-40,0))/5,0)</f>
        <v>0</v>
      </c>
      <c r="AH217" s="94">
        <f t="shared" si="47"/>
        <v>0</v>
      </c>
      <c r="AI217" s="33" cm="1">
        <f t="array" ref="AI217">IF(W217="",0,ROUND(AC217*U217*24*_xlfn.XLOOKUP(1,(D217&lt;=Table7[End])*(E217=Table7[근무처])*(F217=Table7[업무]),Table7[휴일인센티브],0,0),0))</f>
        <v>0</v>
      </c>
      <c r="AJ217" s="94" cm="1">
        <f t="array" ref="AJ217">ROUND(AC217*IF(U217&gt;=8/24,U217-8/24,0)*24*_xlfn.XLOOKUP(1,(D217&lt;=Table7[End])*(E217=Table7[근무처])*(F217=Table7[업무]),Table7[야간인센티브],0,0),0)</f>
        <v>0</v>
      </c>
      <c r="AK217" s="94" cm="1">
        <f t="array" ref="AK217">IF(V217=0,0,ROUND(AC217*V217*24*_xlfn.XLOOKUP(1,(D217&lt;=Table7[End])*(E217=Table7[근무처])*(F217=Table7[업무]),Table7[야간인센티브],0,0),0))</f>
        <v>0</v>
      </c>
      <c r="AL217" s="95"/>
      <c r="AM217" s="94">
        <f t="shared" si="48"/>
        <v>85440</v>
      </c>
      <c r="AN217" s="94" cm="1">
        <f t="array" ref="AN217">IF(AM217&gt;=_xlfn.XLOOKUP(TRUE,D217&lt;=Table5[End],Table5[비과세소득기준],0,0),AM217-_xlfn.XLOOKUP(TRUE,D217&lt;=Table5[End],Table5[비과세소득기준],0,0),0)</f>
        <v>0</v>
      </c>
      <c r="AO217" s="94" cm="1">
        <f t="array" ref="AO217">ROUNDDOWN(_xlfn.LET(_xlpm.setvalue,_xlfn.XLOOKUP(TRUE,D217&lt;=Table5[End],Table5[[요율]:[근로소득세액공제]],0,0),_xlpm.tax,AN217*PRODUCT((_xlpm.setvalue-{0,1})*{1,-1}),_xlpm.threshold,_xlfn.XLOOKUP(TRUE,D217&lt;=Table5[End],Table5[소액부징수기준],0,0),IF(_xlpm.tax&gt;=_xlpm.threshold,_xlpm.tax,0)),-1)</f>
        <v>0</v>
      </c>
      <c r="AP217" s="94">
        <f>ROUNDDOWN(Table2[[#This Row],[소득세]]*10%,-1)</f>
        <v>0</v>
      </c>
      <c r="AQ217" s="94">
        <f>IF(AB217="v",AM217+IF(Y217=8,SUMIFS(Table2[지급총액],Table2[주민등록번호],O217,Table2[월],R217,Table2[월간
근무일],"&lt;="&amp;8)-AM217,0),0)+_xlfn.NUMBERVALUE(AR217)</f>
        <v>0</v>
      </c>
      <c r="AR217" s="95"/>
      <c r="AS217" s="94" cm="1">
        <f t="array" ref="AS217">ROUNDDOWN($AQ217*_xlfn.XLOOKUP(1,(AS$5=Table8[Type])*($D217&lt;=Table8[End]),Table8[요율],0,0),0)</f>
        <v>0</v>
      </c>
      <c r="AT217" s="94" cm="1">
        <f t="array" ref="AT217">ROUNDDOWN(AS217*_xlfn.XLOOKUP(1,(AT$5=Table8[Type])*($D217&lt;=Table8[End]),Table8[요율],0,0),-1)</f>
        <v>0</v>
      </c>
      <c r="AU217" s="94" cm="1">
        <f t="array" ref="AU217">ROUNDDOWN($AQ217*_xlfn.XLOOKUP(1,(AU$5=Table8[Type])*($D217&lt;=Table8[End]),Table8[요율],0,0),-1)</f>
        <v>0</v>
      </c>
      <c r="AV217" s="94" cm="1">
        <f t="array" ref="AV217">ROUNDDOWN(AM217*_xlfn.XLOOKUP(1,(AV$5=Table8[Type])*($D217&lt;=Table8[End]),Table8[요율],0,0),-1)</f>
        <v>0</v>
      </c>
      <c r="AW217" s="94" cm="1">
        <f t="array" ref="AW217">_xlfn.XLOOKUP(1,(O217=Table2[주민등록번호])*(D217&gt;Table2[근무일자]),Table2[청구 Claim 
이월],0,0,-1)</f>
        <v>0</v>
      </c>
      <c r="AX217" s="95"/>
      <c r="AY217" s="94" cm="1">
        <f t="array" ref="AY217">MAX(SUM(AO217:AP217,AS217:AX217)-_xlfn.XLOOKUP(1,(D217&lt;=Table7[End])*(E217=Table7[근무처])*(F217=Table7[업무]),Table7[1일 공제 상한],0,0),0)</f>
        <v>0</v>
      </c>
      <c r="AZ217" s="94">
        <f t="shared" si="49"/>
        <v>0</v>
      </c>
      <c r="BA217" s="94">
        <f t="shared" si="50"/>
        <v>85440</v>
      </c>
      <c r="BB217" s="97">
        <f t="shared" si="51"/>
        <v>0</v>
      </c>
      <c r="BC217" s="98"/>
      <c r="BD217" s="94">
        <f t="shared" si="52"/>
        <v>0</v>
      </c>
      <c r="BE217" s="94">
        <f t="shared" si="53"/>
        <v>0</v>
      </c>
      <c r="BF217" s="94">
        <f t="shared" si="54"/>
        <v>0</v>
      </c>
      <c r="BG217" s="94">
        <f t="shared" si="55"/>
        <v>0</v>
      </c>
      <c r="BH217" s="94" cm="1">
        <f t="array" ref="BH217">ROUNDDOWN(AM217*_xlfn.XLOOKUP(1,(BH$5=Table8[Type])*($D217&lt;=Table8[End]),Table8[요율],0,0),-1)</f>
        <v>680</v>
      </c>
      <c r="BI217" s="93" t="str" cm="1">
        <f t="array" ref="BI217">_xlfn.XLOOKUP(1,(D217&lt;=Table7[End])*(E217=Table7[근무처])*(F217=Table7[업무]),Table7[지급옵션],0,0)</f>
        <v>차주 화</v>
      </c>
      <c r="BJ217" s="83">
        <f>IF(BK217&lt;&gt;"",BK217,IFERROR(D217+_xlfn.NUMBERVALUE(RIGHT(BI217,1)),D217-WEEKDAY(D217)+CHOOSE(MATCH(RIGHT(BI217),{"일","월","화","수","목","금","토"},0),8,9,10,11,12,13,14)))</f>
        <v>45797</v>
      </c>
      <c r="BK217" s="99"/>
    </row>
    <row r="218" spans="2:63" x14ac:dyDescent="0.35">
      <c r="B218" s="20" t="str" cm="1">
        <f t="array" ref="B218">_xlfn.IFS(BB218&lt;&gt;BC218,"Claim확인",N218&lt;&gt;"OK","확인필요",TRUE,"")</f>
        <v/>
      </c>
      <c r="C218" s="21" t="str">
        <f t="shared" si="42"/>
        <v>010-2X2X-X2X2945X02XX268466</v>
      </c>
      <c r="D218" s="26">
        <v>45789</v>
      </c>
      <c r="E218" s="91" t="s">
        <v>255</v>
      </c>
      <c r="F218" s="25" t="s">
        <v>258</v>
      </c>
      <c r="G218" s="27" t="s">
        <v>285</v>
      </c>
      <c r="H218" s="25" t="s">
        <v>297</v>
      </c>
      <c r="I218" s="25"/>
      <c r="J218" s="25" t="s">
        <v>298</v>
      </c>
      <c r="K218" s="28">
        <v>0.29166666666666669</v>
      </c>
      <c r="L218" s="28">
        <v>0.66666666666666663</v>
      </c>
      <c r="M218" s="28">
        <v>4.1666666666666664E-2</v>
      </c>
      <c r="N218" s="25" t="s">
        <v>281</v>
      </c>
      <c r="O218" s="29" t="str">
        <f>_xlfn.XLOOKUP(Table2[[#This Row],[Key]],Table1[Key],Table1[주민등록번호],"",0)</f>
        <v>980XX81XX7X17</v>
      </c>
      <c r="P218" s="86">
        <f>_xlfn.XLOOKUP(Table2[[#This Row],[Key]],Table1[Key],Table1[비자],"",0)</f>
        <v>0</v>
      </c>
      <c r="Q218" s="86">
        <f>IF(P218=0,0,_xlfn.XLOOKUP(Table2[[#This Row],[Key]],Table1[Key],Table1[고용보험 여부],0,0))</f>
        <v>0</v>
      </c>
      <c r="R218" s="29" t="str">
        <f t="shared" si="43"/>
        <v>2505</v>
      </c>
      <c r="S218" s="30" t="str">
        <f>YEAR(Table2[[#This Row],[근무일자]])&amp;TEXT(WEEKNUM(Table2[[#This Row],[근무일자]]),"00")</f>
        <v>202520</v>
      </c>
      <c r="T218" s="31">
        <f>_xlfn.XLOOKUP(Table2[[#This Row],[Key]],Table1[Key],Table1[등록일],"",0)</f>
        <v>45752</v>
      </c>
      <c r="U218" s="32">
        <f t="shared" si="44"/>
        <v>0.33333333333333326</v>
      </c>
      <c r="V218" s="92">
        <f t="shared" si="45"/>
        <v>0</v>
      </c>
      <c r="W218" s="100" t="str">
        <f>_xlfn.XLOOKUP(Table2[[#This Row],[근무일자]],Table3[Date],Table3[Holiday],"",0)</f>
        <v/>
      </c>
      <c r="X218" s="93">
        <f>IF(D218&lt;&gt;"",1,0)+IF(COUNTIFS(Table2[주민등록번호],O218,Table2[월],TEXT(EOMONTH(D218,-1),"YYMM"))&gt;0,1+IF(COUNTIFS(Table2[주민등록번호],O218,Table2[월],TEXT(EOMONTH(D218,-2),"YYMM"))&gt;0,1+IF(COUNTIFS(Table2[주민등록번호],O218,Table2[월],TEXT(EOMONTH(D218,-3),"YYMM"))&gt;0,1,0),0),0)</f>
        <v>2</v>
      </c>
      <c r="Y218" s="29">
        <f>COUNTIFS(Table2[주민등록번호],O218,Table2[월],R218,Table2[근무일자],"&lt;="&amp;D218)</f>
        <v>7</v>
      </c>
      <c r="Z218" s="29">
        <f>COUNTIFS(Table2[주민등록번호],O218,Table2[주간],S218,Table2[근무일자],"&lt;="&amp;D218)</f>
        <v>2</v>
      </c>
      <c r="AA218" s="29">
        <f>SUMIFS(Table2[근로
시간],Table2[주민등록번호],O218,Table2[주간],S218,Table2[근무일자],"&lt;="&amp;D218)*24</f>
        <v>15.999999999999996</v>
      </c>
      <c r="AB218" s="29" t="str">
        <f>IF(AND(Y218&gt;=8,COUNTIFS(Table2[주민등록번호],O218,Table2[근무일자],"&gt;="&amp;EOMONTH(D218,-2)+1,Table2[근무일자],"&lt;="&amp;EOMONTH(D218,-1)+1)&gt;0),"V","")</f>
        <v/>
      </c>
      <c r="AC218" s="94" cm="1">
        <f t="array" ref="AC218">IF(AD218&lt;&gt;"",AD218,_xlfn.XLOOKUP(1,(D218&lt;=Table7[End])*(E218=Table7[근무처])*(F218=Table7[업무]),Table7[시급],0,0))</f>
        <v>10680</v>
      </c>
      <c r="AD218" s="95"/>
      <c r="AE218" s="94">
        <f t="shared" si="46"/>
        <v>85440</v>
      </c>
      <c r="AF218" s="96" cm="1">
        <f t="array" ref="AF218">IF(AND(AA218&gt;=15,(AA218-U218*24)&lt;=40),IF(Z218&gt;=_xlfn.XLOOKUP(1,(D218&lt;=Table7[End])*(E218=Table7[근무처])*(F218=Table7[업무]),Table7[주휴적용일],0,0),1,0)+_xlfn.XLOOKUP(1,(Table2[주간]=Table2[[#This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18" s="96" cm="1">
        <f t="array" ref="AG218">MAX((_xlfn.IFS(AF218=0,0,AF218=1,AA218,AF218&gt;1,U218*24)-IF(AA218&gt;40,AA218-40,0))/5,0)</f>
        <v>3.1999999999999993</v>
      </c>
      <c r="AH218" s="94">
        <f t="shared" si="47"/>
        <v>34176</v>
      </c>
      <c r="AI218" s="33" cm="1">
        <f t="array" ref="AI218">IF(W218="",0,ROUND(AC218*U218*24*_xlfn.XLOOKUP(1,(D218&lt;=Table7[End])*(E218=Table7[근무처])*(F218=Table7[업무]),Table7[휴일인센티브],0,0),0))</f>
        <v>0</v>
      </c>
      <c r="AJ218" s="94" cm="1">
        <f t="array" ref="AJ218">ROUND(AC218*IF(U218&gt;=8/24,U218-8/24,0)*24*_xlfn.XLOOKUP(1,(D218&lt;=Table7[End])*(E218=Table7[근무처])*(F218=Table7[업무]),Table7[야간인센티브],0,0),0)</f>
        <v>0</v>
      </c>
      <c r="AK218" s="94" cm="1">
        <f t="array" ref="AK218">IF(V218=0,0,ROUND(AC218*V218*24*_xlfn.XLOOKUP(1,(D218&lt;=Table7[End])*(E218=Table7[근무처])*(F218=Table7[업무]),Table7[야간인센티브],0,0),0))</f>
        <v>0</v>
      </c>
      <c r="AL218" s="95"/>
      <c r="AM218" s="94">
        <f t="shared" si="48"/>
        <v>119616</v>
      </c>
      <c r="AN218" s="94" cm="1">
        <f t="array" ref="AN218">IF(AM218&gt;=_xlfn.XLOOKUP(TRUE,D218&lt;=Table5[End],Table5[비과세소득기준],0,0),AM218-_xlfn.XLOOKUP(TRUE,D218&lt;=Table5[End],Table5[비과세소득기준],0,0),0)</f>
        <v>0</v>
      </c>
      <c r="AO218" s="94" cm="1">
        <f t="array" ref="AO218">ROUNDDOWN(_xlfn.LET(_xlpm.setvalue,_xlfn.XLOOKUP(TRUE,D218&lt;=Table5[End],Table5[[요율]:[근로소득세액공제]],0,0),_xlpm.tax,AN218*PRODUCT((_xlpm.setvalue-{0,1})*{1,-1}),_xlpm.threshold,_xlfn.XLOOKUP(TRUE,D218&lt;=Table5[End],Table5[소액부징수기준],0,0),IF(_xlpm.tax&gt;=_xlpm.threshold,_xlpm.tax,0)),-1)</f>
        <v>0</v>
      </c>
      <c r="AP218" s="94">
        <f>ROUNDDOWN(Table2[[#This Row],[소득세]]*10%,-1)</f>
        <v>0</v>
      </c>
      <c r="AQ218" s="94">
        <f>IF(AB218="v",AM218+IF(Y218=8,SUMIFS(Table2[지급총액],Table2[주민등록번호],O218,Table2[월],R218,Table2[월간
근무일],"&lt;="&amp;8)-AM218,0),0)+_xlfn.NUMBERVALUE(AR218)</f>
        <v>0</v>
      </c>
      <c r="AR218" s="95"/>
      <c r="AS218" s="94" cm="1">
        <f t="array" ref="AS218">ROUNDDOWN($AQ218*_xlfn.XLOOKUP(1,(AS$5=Table8[Type])*($D218&lt;=Table8[End]),Table8[요율],0,0),0)</f>
        <v>0</v>
      </c>
      <c r="AT218" s="94" cm="1">
        <f t="array" ref="AT218">ROUNDDOWN(AS218*_xlfn.XLOOKUP(1,(AT$5=Table8[Type])*($D218&lt;=Table8[End]),Table8[요율],0,0),-1)</f>
        <v>0</v>
      </c>
      <c r="AU218" s="94" cm="1">
        <f t="array" ref="AU218">ROUNDDOWN($AQ218*_xlfn.XLOOKUP(1,(AU$5=Table8[Type])*($D218&lt;=Table8[End]),Table8[요율],0,0),-1)</f>
        <v>0</v>
      </c>
      <c r="AV218" s="94" cm="1">
        <f t="array" ref="AV218">ROUNDDOWN(AM218*_xlfn.XLOOKUP(1,(AV$5=Table8[Type])*($D218&lt;=Table8[End]),Table8[요율],0,0),-1)</f>
        <v>0</v>
      </c>
      <c r="AW218" s="94" cm="1">
        <f t="array" ref="AW218">_xlfn.XLOOKUP(1,(O218=Table2[주민등록번호])*(D218&gt;Table2[근무일자]),Table2[청구 Claim 
이월],0,0,-1)</f>
        <v>0</v>
      </c>
      <c r="AX218" s="95"/>
      <c r="AY218" s="94" cm="1">
        <f t="array" ref="AY218">MAX(SUM(AO218:AP218,AS218:AX218)-_xlfn.XLOOKUP(1,(D218&lt;=Table7[End])*(E218=Table7[근무처])*(F218=Table7[업무]),Table7[1일 공제 상한],0,0),0)</f>
        <v>0</v>
      </c>
      <c r="AZ218" s="94">
        <f t="shared" si="49"/>
        <v>0</v>
      </c>
      <c r="BA218" s="94">
        <f t="shared" si="50"/>
        <v>119616</v>
      </c>
      <c r="BB218" s="97">
        <f t="shared" si="51"/>
        <v>0</v>
      </c>
      <c r="BC218" s="98"/>
      <c r="BD218" s="94">
        <f t="shared" si="52"/>
        <v>0</v>
      </c>
      <c r="BE218" s="94">
        <f t="shared" si="53"/>
        <v>0</v>
      </c>
      <c r="BF218" s="94">
        <f t="shared" si="54"/>
        <v>0</v>
      </c>
      <c r="BG218" s="94">
        <f t="shared" si="55"/>
        <v>0</v>
      </c>
      <c r="BH218" s="94" cm="1">
        <f t="array" ref="BH218">ROUNDDOWN(AM218*_xlfn.XLOOKUP(1,(BH$5=Table8[Type])*($D218&lt;=Table8[End]),Table8[요율],0,0),-1)</f>
        <v>950</v>
      </c>
      <c r="BI218" s="93" t="str" cm="1">
        <f t="array" ref="BI218">_xlfn.XLOOKUP(1,(D218&lt;=Table7[End])*(E218=Table7[근무처])*(F218=Table7[업무]),Table7[지급옵션],0,0)</f>
        <v>차주 화</v>
      </c>
      <c r="BJ218" s="83">
        <f>IF(BK218&lt;&gt;"",BK218,IFERROR(D218+_xlfn.NUMBERVALUE(RIGHT(BI218,1)),D218-WEEKDAY(D218)+CHOOSE(MATCH(RIGHT(BI218),{"일","월","화","수","목","금","토"},0),8,9,10,11,12,13,14)))</f>
        <v>45797</v>
      </c>
      <c r="BK218" s="99"/>
    </row>
    <row r="219" spans="2:63" x14ac:dyDescent="0.35">
      <c r="B219" s="20" t="str" cm="1">
        <f t="array" ref="B219">_xlfn.IFS(BB219&lt;&gt;BC219,"Claim확인",N219&lt;&gt;"OK","확인필요",TRUE,"")</f>
        <v/>
      </c>
      <c r="C219" s="21" t="str">
        <f t="shared" si="42"/>
        <v>010-5X0X-X6X5010X57XX685907</v>
      </c>
      <c r="D219" s="26">
        <v>45789</v>
      </c>
      <c r="E219" s="91" t="s">
        <v>255</v>
      </c>
      <c r="F219" s="25" t="s">
        <v>258</v>
      </c>
      <c r="G219" s="27" t="s">
        <v>287</v>
      </c>
      <c r="H219" s="25" t="s">
        <v>301</v>
      </c>
      <c r="I219" s="25"/>
      <c r="J219" s="25" t="s">
        <v>302</v>
      </c>
      <c r="K219" s="28">
        <v>0.45833333333333331</v>
      </c>
      <c r="L219" s="28">
        <v>0.83333333333333337</v>
      </c>
      <c r="M219" s="28">
        <v>4.1666666666666664E-2</v>
      </c>
      <c r="N219" s="25" t="s">
        <v>281</v>
      </c>
      <c r="O219" s="29" t="str">
        <f>_xlfn.XLOOKUP(Table2[[#This Row],[Key]],Table1[Key],Table1[주민등록번호],"",0)</f>
        <v>980XX82XX3X25</v>
      </c>
      <c r="P219" s="29">
        <f>_xlfn.XLOOKUP(Table2[[#This Row],[Key]],Table1[Key],Table1[비자],"",0)</f>
        <v>0</v>
      </c>
      <c r="Q219" s="29">
        <f>IF(P219=0,0,_xlfn.XLOOKUP(Table2[[#This Row],[Key]],Table1[Key],Table1[고용보험 여부],0,0))</f>
        <v>0</v>
      </c>
      <c r="R219" s="29" t="str">
        <f t="shared" si="43"/>
        <v>2505</v>
      </c>
      <c r="S219" s="30" t="str">
        <f>YEAR(Table2[[#This Row],[근무일자]])&amp;TEXT(WEEKNUM(Table2[[#This Row],[근무일자]]),"00")</f>
        <v>202520</v>
      </c>
      <c r="T219" s="31">
        <f>_xlfn.XLOOKUP(Table2[[#This Row],[Key]],Table1[Key],Table1[등록일],"",0)</f>
        <v>45783</v>
      </c>
      <c r="U219" s="32">
        <f t="shared" si="44"/>
        <v>0.33333333333333337</v>
      </c>
      <c r="V219" s="92">
        <f t="shared" si="45"/>
        <v>0</v>
      </c>
      <c r="W219" s="100" t="str">
        <f>_xlfn.XLOOKUP(Table2[[#This Row],[근무일자]],Table3[Date],Table3[Holiday],"",0)</f>
        <v/>
      </c>
      <c r="X219" s="93">
        <f>IF(D219&lt;&gt;"",1,0)+IF(COUNTIFS(Table2[주민등록번호],O219,Table2[월],TEXT(EOMONTH(D219,-1),"YYMM"))&gt;0,1+IF(COUNTIFS(Table2[주민등록번호],O219,Table2[월],TEXT(EOMONTH(D219,-2),"YYMM"))&gt;0,1+IF(COUNTIFS(Table2[주민등록번호],O219,Table2[월],TEXT(EOMONTH(D219,-3),"YYMM"))&gt;0,1,0),0),0)</f>
        <v>2</v>
      </c>
      <c r="Y219" s="29">
        <f>COUNTIFS(Table2[주민등록번호],O219,Table2[월],R219,Table2[근무일자],"&lt;="&amp;D219)</f>
        <v>4</v>
      </c>
      <c r="Z219" s="29">
        <f>COUNTIFS(Table2[주민등록번호],O219,Table2[주간],S219,Table2[근무일자],"&lt;="&amp;D219)</f>
        <v>2</v>
      </c>
      <c r="AA219" s="29">
        <f>SUMIFS(Table2[근로
시간],Table2[주민등록번호],O219,Table2[주간],S219,Table2[근무일자],"&lt;="&amp;D219)*24</f>
        <v>16</v>
      </c>
      <c r="AB219" s="29" t="str">
        <f>IF(AND(Y219&gt;=8,COUNTIFS(Table2[주민등록번호],O219,Table2[근무일자],"&gt;="&amp;EOMONTH(D219,-2)+1,Table2[근무일자],"&lt;="&amp;EOMONTH(D219,-1)+1)&gt;0),"V","")</f>
        <v/>
      </c>
      <c r="AC219" s="94" cm="1">
        <f t="array" ref="AC219">IF(AD219&lt;&gt;"",AD219,_xlfn.XLOOKUP(1,(D219&lt;=Table7[End])*(E219=Table7[근무처])*(F219=Table7[업무]),Table7[시급],0,0))</f>
        <v>10680</v>
      </c>
      <c r="AD219" s="95"/>
      <c r="AE219" s="94">
        <f t="shared" si="46"/>
        <v>85440</v>
      </c>
      <c r="AF219" s="96" cm="1">
        <f t="array" ref="AF219">IF(AND(AA219&gt;=15,(AA219-U219*24)&lt;=40),IF(Z219&gt;=_xlfn.XLOOKUP(1,(D219&lt;=Table7[End])*(E219=Table7[근무처])*(F219=Table7[업무]),Table7[주휴적용일],0,0),1,0)+_xlfn.XLOOKUP(1,(Table2[주간]=Table2[[#This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19" s="96" cm="1">
        <f t="array" ref="AG219">MAX((_xlfn.IFS(AF219=0,0,AF219=1,AA219,AF219&gt;1,U219*24)-IF(AA219&gt;40,AA219-40,0))/5,0)</f>
        <v>3.2</v>
      </c>
      <c r="AH219" s="94">
        <f t="shared" si="47"/>
        <v>34176</v>
      </c>
      <c r="AI219" s="33" cm="1">
        <f t="array" ref="AI219">IF(W219="",0,ROUND(AC219*U219*24*_xlfn.XLOOKUP(1,(D219&lt;=Table7[End])*(E219=Table7[근무처])*(F219=Table7[업무]),Table7[휴일인센티브],0,0),0))</f>
        <v>0</v>
      </c>
      <c r="AJ219" s="94" cm="1">
        <f t="array" ref="AJ219">ROUND(AC219*IF(U219&gt;=8/24,U219-8/24,0)*24*_xlfn.XLOOKUP(1,(D219&lt;=Table7[End])*(E219=Table7[근무처])*(F219=Table7[업무]),Table7[야간인센티브],0,0),0)</f>
        <v>0</v>
      </c>
      <c r="AK219" s="94" cm="1">
        <f t="array" ref="AK219">IF(V219=0,0,ROUND(AC219*V219*24*_xlfn.XLOOKUP(1,(D219&lt;=Table7[End])*(E219=Table7[근무처])*(F219=Table7[업무]),Table7[야간인센티브],0,0),0))</f>
        <v>0</v>
      </c>
      <c r="AL219" s="95"/>
      <c r="AM219" s="94">
        <f t="shared" si="48"/>
        <v>119616</v>
      </c>
      <c r="AN219" s="94" cm="1">
        <f t="array" ref="AN219">IF(AM219&gt;=_xlfn.XLOOKUP(TRUE,D219&lt;=Table5[End],Table5[비과세소득기준],0,0),AM219-_xlfn.XLOOKUP(TRUE,D219&lt;=Table5[End],Table5[비과세소득기준],0,0),0)</f>
        <v>0</v>
      </c>
      <c r="AO219" s="94" cm="1">
        <f t="array" ref="AO219">ROUNDDOWN(_xlfn.LET(_xlpm.setvalue,_xlfn.XLOOKUP(TRUE,D219&lt;=Table5[End],Table5[[요율]:[근로소득세액공제]],0,0),_xlpm.tax,AN219*PRODUCT((_xlpm.setvalue-{0,1})*{1,-1}),_xlpm.threshold,_xlfn.XLOOKUP(TRUE,D219&lt;=Table5[End],Table5[소액부징수기준],0,0),IF(_xlpm.tax&gt;=_xlpm.threshold,_xlpm.tax,0)),-1)</f>
        <v>0</v>
      </c>
      <c r="AP219" s="94">
        <f>ROUNDDOWN(Table2[[#This Row],[소득세]]*10%,-1)</f>
        <v>0</v>
      </c>
      <c r="AQ219" s="94">
        <f>IF(AB219="v",AM219+IF(Y219=8,SUMIFS(Table2[지급총액],Table2[주민등록번호],O219,Table2[월],R219,Table2[월간
근무일],"&lt;="&amp;8)-AM219,0),0)+_xlfn.NUMBERVALUE(AR219)</f>
        <v>0</v>
      </c>
      <c r="AR219" s="95"/>
      <c r="AS219" s="94" cm="1">
        <f t="array" ref="AS219">ROUNDDOWN($AQ219*_xlfn.XLOOKUP(1,(AS$5=Table8[Type])*($D219&lt;=Table8[End]),Table8[요율],0,0),0)</f>
        <v>0</v>
      </c>
      <c r="AT219" s="94" cm="1">
        <f t="array" ref="AT219">ROUNDDOWN(AS219*_xlfn.XLOOKUP(1,(AT$5=Table8[Type])*($D219&lt;=Table8[End]),Table8[요율],0,0),-1)</f>
        <v>0</v>
      </c>
      <c r="AU219" s="94" cm="1">
        <f t="array" ref="AU219">ROUNDDOWN($AQ219*_xlfn.XLOOKUP(1,(AU$5=Table8[Type])*($D219&lt;=Table8[End]),Table8[요율],0,0),-1)</f>
        <v>0</v>
      </c>
      <c r="AV219" s="94" cm="1">
        <f t="array" ref="AV219">ROUNDDOWN(AM219*_xlfn.XLOOKUP(1,(AV$5=Table8[Type])*($D219&lt;=Table8[End]),Table8[요율],0,0),-1)</f>
        <v>0</v>
      </c>
      <c r="AW219" s="94" cm="1">
        <f t="array" ref="AW219">_xlfn.XLOOKUP(1,(O219=Table2[주민등록번호])*(D219&gt;Table2[근무일자]),Table2[청구 Claim 
이월],0,0,-1)</f>
        <v>0</v>
      </c>
      <c r="AX219" s="95"/>
      <c r="AY219" s="94" cm="1">
        <f t="array" ref="AY219">MAX(SUM(AO219:AP219,AS219:AX219)-_xlfn.XLOOKUP(1,(D219&lt;=Table7[End])*(E219=Table7[근무처])*(F219=Table7[업무]),Table7[1일 공제 상한],0,0),0)</f>
        <v>0</v>
      </c>
      <c r="AZ219" s="94">
        <f t="shared" si="49"/>
        <v>0</v>
      </c>
      <c r="BA219" s="94">
        <f t="shared" si="50"/>
        <v>119616</v>
      </c>
      <c r="BB219" s="97">
        <f t="shared" si="51"/>
        <v>0</v>
      </c>
      <c r="BC219" s="98"/>
      <c r="BD219" s="94">
        <f t="shared" si="52"/>
        <v>0</v>
      </c>
      <c r="BE219" s="94">
        <f t="shared" si="53"/>
        <v>0</v>
      </c>
      <c r="BF219" s="94">
        <f t="shared" si="54"/>
        <v>0</v>
      </c>
      <c r="BG219" s="94">
        <f t="shared" si="55"/>
        <v>0</v>
      </c>
      <c r="BH219" s="94" cm="1">
        <f t="array" ref="BH219">ROUNDDOWN(AM219*_xlfn.XLOOKUP(1,(BH$5=Table8[Type])*($D219&lt;=Table8[End]),Table8[요율],0,0),-1)</f>
        <v>950</v>
      </c>
      <c r="BI219" s="93" t="str" cm="1">
        <f t="array" ref="BI219">_xlfn.XLOOKUP(1,(D219&lt;=Table7[End])*(E219=Table7[근무처])*(F219=Table7[업무]),Table7[지급옵션],0,0)</f>
        <v>차주 화</v>
      </c>
      <c r="BJ219" s="83">
        <f>IF(BK219&lt;&gt;"",BK219,IFERROR(D219+_xlfn.NUMBERVALUE(RIGHT(BI219,1)),D219-WEEKDAY(D219)+CHOOSE(MATCH(RIGHT(BI219),{"일","월","화","수","목","금","토"},0),8,9,10,11,12,13,14)))</f>
        <v>45797</v>
      </c>
      <c r="BK219" s="99"/>
    </row>
    <row r="220" spans="2:63" x14ac:dyDescent="0.35">
      <c r="B220" s="20" t="str" cm="1">
        <f t="array" ref="B220">_xlfn.IFS(BB220&lt;&gt;BC220,"Claim확인",N220&lt;&gt;"OK","확인필요",TRUE,"")</f>
        <v/>
      </c>
      <c r="C220" s="21" t="str">
        <f t="shared" si="42"/>
        <v>010-6X1X-X3X0333X04XX46879</v>
      </c>
      <c r="D220" s="26">
        <v>45790</v>
      </c>
      <c r="E220" s="91" t="s">
        <v>255</v>
      </c>
      <c r="F220" s="25" t="s">
        <v>258</v>
      </c>
      <c r="G220" s="27" t="s">
        <v>284</v>
      </c>
      <c r="H220" s="25" t="s">
        <v>293</v>
      </c>
      <c r="I220" s="25"/>
      <c r="J220" s="25" t="s">
        <v>294</v>
      </c>
      <c r="K220" s="28">
        <v>0.3125</v>
      </c>
      <c r="L220" s="28">
        <v>0.6875</v>
      </c>
      <c r="M220" s="28">
        <v>4.1666666666666664E-2</v>
      </c>
      <c r="N220" s="25" t="s">
        <v>281</v>
      </c>
      <c r="O220" s="29" t="str">
        <f>_xlfn.XLOOKUP(Table2[[#This Row],[Key]],Table1[Key],Table1[주민등록번호],"",0)</f>
        <v>971XX61XX9X25</v>
      </c>
      <c r="P220" s="29">
        <f>_xlfn.XLOOKUP(Table2[[#This Row],[Key]],Table1[Key],Table1[비자],"",0)</f>
        <v>0</v>
      </c>
      <c r="Q220" s="29">
        <f>IF(P220=0,0,_xlfn.XLOOKUP(Table2[[#This Row],[Key]],Table1[Key],Table1[고용보험 여부],0,0))</f>
        <v>0</v>
      </c>
      <c r="R220" s="29" t="str">
        <f t="shared" si="43"/>
        <v>2505</v>
      </c>
      <c r="S220" s="30" t="str">
        <f>YEAR(Table2[[#This Row],[근무일자]])&amp;TEXT(WEEKNUM(Table2[[#This Row],[근무일자]]),"00")</f>
        <v>202520</v>
      </c>
      <c r="T220" s="31">
        <f>_xlfn.XLOOKUP(Table2[[#This Row],[Key]],Table1[Key],Table1[등록일],"",0)</f>
        <v>45721</v>
      </c>
      <c r="U220" s="32">
        <f t="shared" si="44"/>
        <v>0.33333333333333331</v>
      </c>
      <c r="V220" s="92">
        <f t="shared" si="45"/>
        <v>0</v>
      </c>
      <c r="W220" s="100" t="str">
        <f>_xlfn.XLOOKUP(Table2[[#This Row],[근무일자]],Table3[Date],Table3[Holiday],"",0)</f>
        <v/>
      </c>
      <c r="X220" s="93">
        <f>IF(D220&lt;&gt;"",1,0)+IF(COUNTIFS(Table2[주민등록번호],O220,Table2[월],TEXT(EOMONTH(D220,-1),"YYMM"))&gt;0,1+IF(COUNTIFS(Table2[주민등록번호],O220,Table2[월],TEXT(EOMONTH(D220,-2),"YYMM"))&gt;0,1+IF(COUNTIFS(Table2[주민등록번호],O220,Table2[월],TEXT(EOMONTH(D220,-3),"YYMM"))&gt;0,1,0),0),0)</f>
        <v>3</v>
      </c>
      <c r="Y220" s="29">
        <f>COUNTIFS(Table2[주민등록번호],O220,Table2[월],R220,Table2[근무일자],"&lt;="&amp;D220)</f>
        <v>7</v>
      </c>
      <c r="Z220" s="29">
        <f>COUNTIFS(Table2[주민등록번호],O220,Table2[주간],S220,Table2[근무일자],"&lt;="&amp;D220)</f>
        <v>2</v>
      </c>
      <c r="AA220" s="29">
        <f>SUMIFS(Table2[근로
시간],Table2[주민등록번호],O220,Table2[주간],S220,Table2[근무일자],"&lt;="&amp;D220)*24</f>
        <v>16</v>
      </c>
      <c r="AB220" s="29" t="str">
        <f>IF(AND(Y220&gt;=8,COUNTIFS(Table2[주민등록번호],O220,Table2[근무일자],"&gt;="&amp;EOMONTH(D220,-2)+1,Table2[근무일자],"&lt;="&amp;EOMONTH(D220,-1)+1)&gt;0),"V","")</f>
        <v/>
      </c>
      <c r="AC220" s="94" cm="1">
        <f t="array" ref="AC220">IF(AD220&lt;&gt;"",AD220,_xlfn.XLOOKUP(1,(D220&lt;=Table7[End])*(E220=Table7[근무처])*(F220=Table7[업무]),Table7[시급],0,0))</f>
        <v>10680</v>
      </c>
      <c r="AD220" s="95"/>
      <c r="AE220" s="94">
        <f t="shared" si="46"/>
        <v>85440</v>
      </c>
      <c r="AF220" s="96" cm="1">
        <f t="array" ref="AF220">IF(AND(AA220&gt;=15,(AA220-U220*24)&lt;=40),IF(Z220&gt;=_xlfn.XLOOKUP(1,(D220&lt;=Table7[End])*(E220=Table7[근무처])*(F220=Table7[업무]),Table7[주휴적용일],0,0),1,0)+_xlfn.XLOOKUP(1,(Table2[주간]=Table2[[#This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20" s="96" cm="1">
        <f t="array" ref="AG220">MAX((_xlfn.IFS(AF220=0,0,AF220=1,AA220,AF220&gt;1,U220*24)-IF(AA220&gt;40,AA220-40,0))/5,0)</f>
        <v>3.2</v>
      </c>
      <c r="AH220" s="94">
        <f t="shared" si="47"/>
        <v>34176</v>
      </c>
      <c r="AI220" s="33" cm="1">
        <f t="array" ref="AI220">IF(W220="",0,ROUND(AC220*U220*24*_xlfn.XLOOKUP(1,(D220&lt;=Table7[End])*(E220=Table7[근무처])*(F220=Table7[업무]),Table7[휴일인센티브],0,0),0))</f>
        <v>0</v>
      </c>
      <c r="AJ220" s="94" cm="1">
        <f t="array" ref="AJ220">ROUND(AC220*IF(U220&gt;=8/24,U220-8/24,0)*24*_xlfn.XLOOKUP(1,(D220&lt;=Table7[End])*(E220=Table7[근무처])*(F220=Table7[업무]),Table7[야간인센티브],0,0),0)</f>
        <v>0</v>
      </c>
      <c r="AK220" s="94" cm="1">
        <f t="array" ref="AK220">IF(V220=0,0,ROUND(AC220*V220*24*_xlfn.XLOOKUP(1,(D220&lt;=Table7[End])*(E220=Table7[근무처])*(F220=Table7[업무]),Table7[야간인센티브],0,0),0))</f>
        <v>0</v>
      </c>
      <c r="AL220" s="95"/>
      <c r="AM220" s="94">
        <f t="shared" si="48"/>
        <v>119616</v>
      </c>
      <c r="AN220" s="94" cm="1">
        <f t="array" ref="AN220">IF(AM220&gt;=_xlfn.XLOOKUP(TRUE,D220&lt;=Table5[End],Table5[비과세소득기준],0,0),AM220-_xlfn.XLOOKUP(TRUE,D220&lt;=Table5[End],Table5[비과세소득기준],0,0),0)</f>
        <v>0</v>
      </c>
      <c r="AO220" s="94" cm="1">
        <f t="array" ref="AO220">ROUNDDOWN(_xlfn.LET(_xlpm.setvalue,_xlfn.XLOOKUP(TRUE,D220&lt;=Table5[End],Table5[[요율]:[근로소득세액공제]],0,0),_xlpm.tax,AN220*PRODUCT((_xlpm.setvalue-{0,1})*{1,-1}),_xlpm.threshold,_xlfn.XLOOKUP(TRUE,D220&lt;=Table5[End],Table5[소액부징수기준],0,0),IF(_xlpm.tax&gt;=_xlpm.threshold,_xlpm.tax,0)),-1)</f>
        <v>0</v>
      </c>
      <c r="AP220" s="94">
        <f>ROUNDDOWN(Table2[[#This Row],[소득세]]*10%,-1)</f>
        <v>0</v>
      </c>
      <c r="AQ220" s="94">
        <f>IF(AB220="v",AM220+IF(Y220=8,SUMIFS(Table2[지급총액],Table2[주민등록번호],O220,Table2[월],R220,Table2[월간
근무일],"&lt;="&amp;8)-AM220,0),0)+_xlfn.NUMBERVALUE(AR220)</f>
        <v>0</v>
      </c>
      <c r="AR220" s="95"/>
      <c r="AS220" s="94" cm="1">
        <f t="array" ref="AS220">ROUNDDOWN($AQ220*_xlfn.XLOOKUP(1,(AS$5=Table8[Type])*($D220&lt;=Table8[End]),Table8[요율],0,0),0)</f>
        <v>0</v>
      </c>
      <c r="AT220" s="94" cm="1">
        <f t="array" ref="AT220">ROUNDDOWN(AS220*_xlfn.XLOOKUP(1,(AT$5=Table8[Type])*($D220&lt;=Table8[End]),Table8[요율],0,0),-1)</f>
        <v>0</v>
      </c>
      <c r="AU220" s="94" cm="1">
        <f t="array" ref="AU220">ROUNDDOWN($AQ220*_xlfn.XLOOKUP(1,(AU$5=Table8[Type])*($D220&lt;=Table8[End]),Table8[요율],0,0),-1)</f>
        <v>0</v>
      </c>
      <c r="AV220" s="94" cm="1">
        <f t="array" ref="AV220">ROUNDDOWN(AM220*_xlfn.XLOOKUP(1,(AV$5=Table8[Type])*($D220&lt;=Table8[End]),Table8[요율],0,0),-1)</f>
        <v>0</v>
      </c>
      <c r="AW220" s="94" cm="1">
        <f t="array" ref="AW220">_xlfn.XLOOKUP(1,(O220=Table2[주민등록번호])*(D220&gt;Table2[근무일자]),Table2[청구 Claim 
이월],0,0,-1)</f>
        <v>0</v>
      </c>
      <c r="AX220" s="95"/>
      <c r="AY220" s="94" cm="1">
        <f t="array" ref="AY220">MAX(SUM(AO220:AP220,AS220:AX220)-_xlfn.XLOOKUP(1,(D220&lt;=Table7[End])*(E220=Table7[근무처])*(F220=Table7[업무]),Table7[1일 공제 상한],0,0),0)</f>
        <v>0</v>
      </c>
      <c r="AZ220" s="94">
        <f t="shared" si="49"/>
        <v>0</v>
      </c>
      <c r="BA220" s="94">
        <f t="shared" si="50"/>
        <v>119616</v>
      </c>
      <c r="BB220" s="97">
        <f t="shared" si="51"/>
        <v>0</v>
      </c>
      <c r="BC220" s="98"/>
      <c r="BD220" s="94">
        <f t="shared" si="52"/>
        <v>0</v>
      </c>
      <c r="BE220" s="94">
        <f t="shared" si="53"/>
        <v>0</v>
      </c>
      <c r="BF220" s="94">
        <f t="shared" si="54"/>
        <v>0</v>
      </c>
      <c r="BG220" s="94">
        <f t="shared" si="55"/>
        <v>0</v>
      </c>
      <c r="BH220" s="94" cm="1">
        <f t="array" ref="BH220">ROUNDDOWN(AM220*_xlfn.XLOOKUP(1,(BH$5=Table8[Type])*($D220&lt;=Table8[End]),Table8[요율],0,0),-1)</f>
        <v>950</v>
      </c>
      <c r="BI220" s="93" t="str" cm="1">
        <f t="array" ref="BI220">_xlfn.XLOOKUP(1,(D220&lt;=Table7[End])*(E220=Table7[근무처])*(F220=Table7[업무]),Table7[지급옵션],0,0)</f>
        <v>차주 화</v>
      </c>
      <c r="BJ220" s="83">
        <f>IF(BK220&lt;&gt;"",BK220,IFERROR(D220+_xlfn.NUMBERVALUE(RIGHT(BI220,1)),D220-WEEKDAY(D220)+CHOOSE(MATCH(RIGHT(BI220),{"일","월","화","수","목","금","토"},0),8,9,10,11,12,13,14)))</f>
        <v>45797</v>
      </c>
      <c r="BK220" s="99"/>
    </row>
    <row r="221" spans="2:63" x14ac:dyDescent="0.35">
      <c r="B221" s="20" t="str" cm="1">
        <f t="array" ref="B221">_xlfn.IFS(BB221&lt;&gt;BC221,"Claim확인",N221&lt;&gt;"OK","확인필요",TRUE,"")</f>
        <v/>
      </c>
      <c r="C221" s="21" t="str">
        <f t="shared" si="42"/>
        <v>010-3X6X-X4X7757X02XX284249</v>
      </c>
      <c r="D221" s="26">
        <v>45790</v>
      </c>
      <c r="E221" s="91" t="s">
        <v>255</v>
      </c>
      <c r="F221" s="25" t="s">
        <v>258</v>
      </c>
      <c r="G221" s="27" t="s">
        <v>283</v>
      </c>
      <c r="H221" s="25" t="s">
        <v>295</v>
      </c>
      <c r="I221" s="25"/>
      <c r="J221" s="25" t="s">
        <v>296</v>
      </c>
      <c r="K221" s="28">
        <v>0.29166666666666669</v>
      </c>
      <c r="L221" s="28">
        <v>0.66666666666666663</v>
      </c>
      <c r="M221" s="28">
        <v>4.1666666666666664E-2</v>
      </c>
      <c r="N221" s="25" t="s">
        <v>281</v>
      </c>
      <c r="O221" s="29" t="str">
        <f>_xlfn.XLOOKUP(Table2[[#This Row],[Key]],Table1[Key],Table1[주민등록번호],"",0)</f>
        <v>940XX41XX7X32</v>
      </c>
      <c r="P221" s="29">
        <f>_xlfn.XLOOKUP(Table2[[#This Row],[Key]],Table1[Key],Table1[비자],"",0)</f>
        <v>0</v>
      </c>
      <c r="Q221" s="29">
        <f>IF(P221=0,0,_xlfn.XLOOKUP(Table2[[#This Row],[Key]],Table1[Key],Table1[고용보험 여부],0,0))</f>
        <v>0</v>
      </c>
      <c r="R221" s="29" t="str">
        <f t="shared" si="43"/>
        <v>2505</v>
      </c>
      <c r="S221" s="30" t="str">
        <f>YEAR(Table2[[#This Row],[근무일자]])&amp;TEXT(WEEKNUM(Table2[[#This Row],[근무일자]]),"00")</f>
        <v>202520</v>
      </c>
      <c r="T221" s="31">
        <f>_xlfn.XLOOKUP(Table2[[#This Row],[Key]],Table1[Key],Table1[등록일],"",0)</f>
        <v>45751</v>
      </c>
      <c r="U221" s="32">
        <f t="shared" si="44"/>
        <v>0.33333333333333326</v>
      </c>
      <c r="V221" s="92">
        <f t="shared" si="45"/>
        <v>0</v>
      </c>
      <c r="W221" s="100" t="str">
        <f>_xlfn.XLOOKUP(Table2[[#This Row],[근무일자]],Table3[Date],Table3[Holiday],"",0)</f>
        <v/>
      </c>
      <c r="X221" s="93">
        <f>IF(D221&lt;&gt;"",1,0)+IF(COUNTIFS(Table2[주민등록번호],O221,Table2[월],TEXT(EOMONTH(D221,-1),"YYMM"))&gt;0,1+IF(COUNTIFS(Table2[주민등록번호],O221,Table2[월],TEXT(EOMONTH(D221,-2),"YYMM"))&gt;0,1+IF(COUNTIFS(Table2[주민등록번호],O221,Table2[월],TEXT(EOMONTH(D221,-3),"YYMM"))&gt;0,1,0),0),0)</f>
        <v>2</v>
      </c>
      <c r="Y221" s="29">
        <f>COUNTIFS(Table2[주민등록번호],O221,Table2[월],R221,Table2[근무일자],"&lt;="&amp;D221)</f>
        <v>6</v>
      </c>
      <c r="Z221" s="29">
        <f>COUNTIFS(Table2[주민등록번호],O221,Table2[주간],S221,Table2[근무일자],"&lt;="&amp;D221)</f>
        <v>2</v>
      </c>
      <c r="AA221" s="29">
        <f>SUMIFS(Table2[근로
시간],Table2[주민등록번호],O221,Table2[주간],S221,Table2[근무일자],"&lt;="&amp;D221)*24</f>
        <v>15.999999999999996</v>
      </c>
      <c r="AB221" s="29" t="str">
        <f>IF(AND(Y221&gt;=8,COUNTIFS(Table2[주민등록번호],O221,Table2[근무일자],"&gt;="&amp;EOMONTH(D221,-2)+1,Table2[근무일자],"&lt;="&amp;EOMONTH(D221,-1)+1)&gt;0),"V","")</f>
        <v/>
      </c>
      <c r="AC221" s="94" cm="1">
        <f t="array" ref="AC221">IF(AD221&lt;&gt;"",AD221,_xlfn.XLOOKUP(1,(D221&lt;=Table7[End])*(E221=Table7[근무처])*(F221=Table7[업무]),Table7[시급],0,0))</f>
        <v>10680</v>
      </c>
      <c r="AD221" s="95"/>
      <c r="AE221" s="94">
        <f t="shared" si="46"/>
        <v>85440</v>
      </c>
      <c r="AF221" s="96" cm="1">
        <f t="array" ref="AF221">IF(AND(AA221&gt;=15,(AA221-U221*24)&lt;=40),IF(Z221&gt;=_xlfn.XLOOKUP(1,(D221&lt;=Table7[End])*(E221=Table7[근무처])*(F221=Table7[업무]),Table7[주휴적용일],0,0),1,0)+_xlfn.XLOOKUP(1,(Table2[주간]=Table2[[#This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21" s="96" cm="1">
        <f t="array" ref="AG221">MAX((_xlfn.IFS(AF221=0,0,AF221=1,AA221,AF221&gt;1,U221*24)-IF(AA221&gt;40,AA221-40,0))/5,0)</f>
        <v>3.1999999999999993</v>
      </c>
      <c r="AH221" s="94">
        <f t="shared" si="47"/>
        <v>34176</v>
      </c>
      <c r="AI221" s="33" cm="1">
        <f t="array" ref="AI221">IF(W221="",0,ROUND(AC221*U221*24*_xlfn.XLOOKUP(1,(D221&lt;=Table7[End])*(E221=Table7[근무처])*(F221=Table7[업무]),Table7[휴일인센티브],0,0),0))</f>
        <v>0</v>
      </c>
      <c r="AJ221" s="94" cm="1">
        <f t="array" ref="AJ221">ROUND(AC221*IF(U221&gt;=8/24,U221-8/24,0)*24*_xlfn.XLOOKUP(1,(D221&lt;=Table7[End])*(E221=Table7[근무처])*(F221=Table7[업무]),Table7[야간인센티브],0,0),0)</f>
        <v>0</v>
      </c>
      <c r="AK221" s="94" cm="1">
        <f t="array" ref="AK221">IF(V221=0,0,ROUND(AC221*V221*24*_xlfn.XLOOKUP(1,(D221&lt;=Table7[End])*(E221=Table7[근무처])*(F221=Table7[업무]),Table7[야간인센티브],0,0),0))</f>
        <v>0</v>
      </c>
      <c r="AL221" s="95"/>
      <c r="AM221" s="94">
        <f t="shared" si="48"/>
        <v>119616</v>
      </c>
      <c r="AN221" s="94" cm="1">
        <f t="array" ref="AN221">IF(AM221&gt;=_xlfn.XLOOKUP(TRUE,D221&lt;=Table5[End],Table5[비과세소득기준],0,0),AM221-_xlfn.XLOOKUP(TRUE,D221&lt;=Table5[End],Table5[비과세소득기준],0,0),0)</f>
        <v>0</v>
      </c>
      <c r="AO221" s="94" cm="1">
        <f t="array" ref="AO221">ROUNDDOWN(_xlfn.LET(_xlpm.setvalue,_xlfn.XLOOKUP(TRUE,D221&lt;=Table5[End],Table5[[요율]:[근로소득세액공제]],0,0),_xlpm.tax,AN221*PRODUCT((_xlpm.setvalue-{0,1})*{1,-1}),_xlpm.threshold,_xlfn.XLOOKUP(TRUE,D221&lt;=Table5[End],Table5[소액부징수기준],0,0),IF(_xlpm.tax&gt;=_xlpm.threshold,_xlpm.tax,0)),-1)</f>
        <v>0</v>
      </c>
      <c r="AP221" s="94">
        <f>ROUNDDOWN(Table2[[#This Row],[소득세]]*10%,-1)</f>
        <v>0</v>
      </c>
      <c r="AQ221" s="94">
        <f>IF(AB221="v",AM221+IF(Y221=8,SUMIFS(Table2[지급총액],Table2[주민등록번호],O221,Table2[월],R221,Table2[월간
근무일],"&lt;="&amp;8)-AM221,0),0)+_xlfn.NUMBERVALUE(AR221)</f>
        <v>0</v>
      </c>
      <c r="AR221" s="95"/>
      <c r="AS221" s="94" cm="1">
        <f t="array" ref="AS221">ROUNDDOWN($AQ221*_xlfn.XLOOKUP(1,(AS$5=Table8[Type])*($D221&lt;=Table8[End]),Table8[요율],0,0),0)</f>
        <v>0</v>
      </c>
      <c r="AT221" s="94" cm="1">
        <f t="array" ref="AT221">ROUNDDOWN(AS221*_xlfn.XLOOKUP(1,(AT$5=Table8[Type])*($D221&lt;=Table8[End]),Table8[요율],0,0),-1)</f>
        <v>0</v>
      </c>
      <c r="AU221" s="94" cm="1">
        <f t="array" ref="AU221">ROUNDDOWN($AQ221*_xlfn.XLOOKUP(1,(AU$5=Table8[Type])*($D221&lt;=Table8[End]),Table8[요율],0,0),-1)</f>
        <v>0</v>
      </c>
      <c r="AV221" s="94" cm="1">
        <f t="array" ref="AV221">ROUNDDOWN(AM221*_xlfn.XLOOKUP(1,(AV$5=Table8[Type])*($D221&lt;=Table8[End]),Table8[요율],0,0),-1)</f>
        <v>0</v>
      </c>
      <c r="AW221" s="94" cm="1">
        <f t="array" ref="AW221">_xlfn.XLOOKUP(1,(O221=Table2[주민등록번호])*(D221&gt;Table2[근무일자]),Table2[청구 Claim 
이월],0,0,-1)</f>
        <v>0</v>
      </c>
      <c r="AX221" s="95"/>
      <c r="AY221" s="94" cm="1">
        <f t="array" ref="AY221">MAX(SUM(AO221:AP221,AS221:AX221)-_xlfn.XLOOKUP(1,(D221&lt;=Table7[End])*(E221=Table7[근무처])*(F221=Table7[업무]),Table7[1일 공제 상한],0,0),0)</f>
        <v>0</v>
      </c>
      <c r="AZ221" s="94">
        <f t="shared" si="49"/>
        <v>0</v>
      </c>
      <c r="BA221" s="94">
        <f t="shared" si="50"/>
        <v>119616</v>
      </c>
      <c r="BB221" s="97">
        <f t="shared" si="51"/>
        <v>0</v>
      </c>
      <c r="BC221" s="98"/>
      <c r="BD221" s="94">
        <f t="shared" si="52"/>
        <v>0</v>
      </c>
      <c r="BE221" s="94">
        <f t="shared" si="53"/>
        <v>0</v>
      </c>
      <c r="BF221" s="94">
        <f t="shared" si="54"/>
        <v>0</v>
      </c>
      <c r="BG221" s="94">
        <f t="shared" si="55"/>
        <v>0</v>
      </c>
      <c r="BH221" s="94" cm="1">
        <f t="array" ref="BH221">ROUNDDOWN(AM221*_xlfn.XLOOKUP(1,(BH$5=Table8[Type])*($D221&lt;=Table8[End]),Table8[요율],0,0),-1)</f>
        <v>950</v>
      </c>
      <c r="BI221" s="93" t="str" cm="1">
        <f t="array" ref="BI221">_xlfn.XLOOKUP(1,(D221&lt;=Table7[End])*(E221=Table7[근무처])*(F221=Table7[업무]),Table7[지급옵션],0,0)</f>
        <v>차주 화</v>
      </c>
      <c r="BJ221" s="83">
        <f>IF(BK221&lt;&gt;"",BK221,IFERROR(D221+_xlfn.NUMBERVALUE(RIGHT(BI221,1)),D221-WEEKDAY(D221)+CHOOSE(MATCH(RIGHT(BI221),{"일","월","화","수","목","금","토"},0),8,9,10,11,12,13,14)))</f>
        <v>45797</v>
      </c>
      <c r="BK221" s="99"/>
    </row>
    <row r="222" spans="2:63" x14ac:dyDescent="0.35">
      <c r="B222" s="20" t="str" cm="1">
        <f t="array" ref="B222">_xlfn.IFS(BB222&lt;&gt;BC222,"Claim확인",N222&lt;&gt;"OK","확인필요",TRUE,"")</f>
        <v/>
      </c>
      <c r="C222" s="21" t="str">
        <f t="shared" si="42"/>
        <v>010-5X0X-X6X5010X57XX685907</v>
      </c>
      <c r="D222" s="26">
        <v>45790</v>
      </c>
      <c r="E222" s="91" t="s">
        <v>255</v>
      </c>
      <c r="F222" s="25" t="s">
        <v>258</v>
      </c>
      <c r="G222" s="27" t="s">
        <v>287</v>
      </c>
      <c r="H222" s="25" t="s">
        <v>301</v>
      </c>
      <c r="I222" s="25"/>
      <c r="J222" s="25" t="s">
        <v>302</v>
      </c>
      <c r="K222" s="28">
        <v>0.45833333333333331</v>
      </c>
      <c r="L222" s="28">
        <v>0.83333333333333337</v>
      </c>
      <c r="M222" s="28">
        <v>4.1666666666666664E-2</v>
      </c>
      <c r="N222" s="25" t="s">
        <v>281</v>
      </c>
      <c r="O222" s="29" t="str">
        <f>_xlfn.XLOOKUP(Table2[[#This Row],[Key]],Table1[Key],Table1[주민등록번호],"",0)</f>
        <v>980XX82XX3X25</v>
      </c>
      <c r="P222" s="29">
        <f>_xlfn.XLOOKUP(Table2[[#This Row],[Key]],Table1[Key],Table1[비자],"",0)</f>
        <v>0</v>
      </c>
      <c r="Q222" s="29">
        <f>IF(P222=0,0,_xlfn.XLOOKUP(Table2[[#This Row],[Key]],Table1[Key],Table1[고용보험 여부],0,0))</f>
        <v>0</v>
      </c>
      <c r="R222" s="29" t="str">
        <f t="shared" si="43"/>
        <v>2505</v>
      </c>
      <c r="S222" s="30" t="str">
        <f>YEAR(Table2[[#This Row],[근무일자]])&amp;TEXT(WEEKNUM(Table2[[#This Row],[근무일자]]),"00")</f>
        <v>202520</v>
      </c>
      <c r="T222" s="31">
        <f>_xlfn.XLOOKUP(Table2[[#This Row],[Key]],Table1[Key],Table1[등록일],"",0)</f>
        <v>45783</v>
      </c>
      <c r="U222" s="32">
        <f t="shared" si="44"/>
        <v>0.33333333333333337</v>
      </c>
      <c r="V222" s="92">
        <f t="shared" si="45"/>
        <v>0</v>
      </c>
      <c r="W222" s="100" t="str">
        <f>_xlfn.XLOOKUP(Table2[[#This Row],[근무일자]],Table3[Date],Table3[Holiday],"",0)</f>
        <v/>
      </c>
      <c r="X222" s="93">
        <f>IF(D222&lt;&gt;"",1,0)+IF(COUNTIFS(Table2[주민등록번호],O222,Table2[월],TEXT(EOMONTH(D222,-1),"YYMM"))&gt;0,1+IF(COUNTIFS(Table2[주민등록번호],O222,Table2[월],TEXT(EOMONTH(D222,-2),"YYMM"))&gt;0,1+IF(COUNTIFS(Table2[주민등록번호],O222,Table2[월],TEXT(EOMONTH(D222,-3),"YYMM"))&gt;0,1,0),0),0)</f>
        <v>2</v>
      </c>
      <c r="Y222" s="29">
        <f>COUNTIFS(Table2[주민등록번호],O222,Table2[월],R222,Table2[근무일자],"&lt;="&amp;D222)</f>
        <v>5</v>
      </c>
      <c r="Z222" s="29">
        <f>COUNTIFS(Table2[주민등록번호],O222,Table2[주간],S222,Table2[근무일자],"&lt;="&amp;D222)</f>
        <v>3</v>
      </c>
      <c r="AA222" s="29">
        <f>SUMIFS(Table2[근로
시간],Table2[주민등록번호],O222,Table2[주간],S222,Table2[근무일자],"&lt;="&amp;D222)*24</f>
        <v>24</v>
      </c>
      <c r="AB222" s="29" t="str">
        <f>IF(AND(Y222&gt;=8,COUNTIFS(Table2[주민등록번호],O222,Table2[근무일자],"&gt;="&amp;EOMONTH(D222,-2)+1,Table2[근무일자],"&lt;="&amp;EOMONTH(D222,-1)+1)&gt;0),"V","")</f>
        <v/>
      </c>
      <c r="AC222" s="94" cm="1">
        <f t="array" ref="AC222">IF(AD222&lt;&gt;"",AD222,_xlfn.XLOOKUP(1,(D222&lt;=Table7[End])*(E222=Table7[근무처])*(F222=Table7[업무]),Table7[시급],0,0))</f>
        <v>10680</v>
      </c>
      <c r="AD222" s="95"/>
      <c r="AE222" s="94">
        <f t="shared" si="46"/>
        <v>85440</v>
      </c>
      <c r="AF222" s="96" cm="1">
        <f t="array" ref="AF222">IF(AND(AA222&gt;=15,(AA222-U222*24)&lt;=40),IF(Z222&gt;=_xlfn.XLOOKUP(1,(D222&lt;=Table7[End])*(E222=Table7[근무처])*(F222=Table7[업무]),Table7[주휴적용일],0,0),1,0)+_xlfn.XLOOKUP(1,(Table2[주간]=Table2[[#This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22" s="96" cm="1">
        <f t="array" ref="AG222">MAX((_xlfn.IFS(AF222=0,0,AF222=1,AA222,AF222&gt;1,U222*24)-IF(AA222&gt;40,AA222-40,0))/5,0)</f>
        <v>1.6</v>
      </c>
      <c r="AH222" s="94">
        <f t="shared" si="47"/>
        <v>17088</v>
      </c>
      <c r="AI222" s="33" cm="1">
        <f t="array" ref="AI222">IF(W222="",0,ROUND(AC222*U222*24*_xlfn.XLOOKUP(1,(D222&lt;=Table7[End])*(E222=Table7[근무처])*(F222=Table7[업무]),Table7[휴일인센티브],0,0),0))</f>
        <v>0</v>
      </c>
      <c r="AJ222" s="94" cm="1">
        <f t="array" ref="AJ222">ROUND(AC222*IF(U222&gt;=8/24,U222-8/24,0)*24*_xlfn.XLOOKUP(1,(D222&lt;=Table7[End])*(E222=Table7[근무처])*(F222=Table7[업무]),Table7[야간인센티브],0,0),0)</f>
        <v>0</v>
      </c>
      <c r="AK222" s="94" cm="1">
        <f t="array" ref="AK222">IF(V222=0,0,ROUND(AC222*V222*24*_xlfn.XLOOKUP(1,(D222&lt;=Table7[End])*(E222=Table7[근무처])*(F222=Table7[업무]),Table7[야간인센티브],0,0),0))</f>
        <v>0</v>
      </c>
      <c r="AL222" s="95"/>
      <c r="AM222" s="94">
        <f t="shared" si="48"/>
        <v>102528</v>
      </c>
      <c r="AN222" s="94" cm="1">
        <f t="array" ref="AN222">IF(AM222&gt;=_xlfn.XLOOKUP(TRUE,D222&lt;=Table5[End],Table5[비과세소득기준],0,0),AM222-_xlfn.XLOOKUP(TRUE,D222&lt;=Table5[End],Table5[비과세소득기준],0,0),0)</f>
        <v>0</v>
      </c>
      <c r="AO222" s="94" cm="1">
        <f t="array" ref="AO222">ROUNDDOWN(_xlfn.LET(_xlpm.setvalue,_xlfn.XLOOKUP(TRUE,D222&lt;=Table5[End],Table5[[요율]:[근로소득세액공제]],0,0),_xlpm.tax,AN222*PRODUCT((_xlpm.setvalue-{0,1})*{1,-1}),_xlpm.threshold,_xlfn.XLOOKUP(TRUE,D222&lt;=Table5[End],Table5[소액부징수기준],0,0),IF(_xlpm.tax&gt;=_xlpm.threshold,_xlpm.tax,0)),-1)</f>
        <v>0</v>
      </c>
      <c r="AP222" s="94">
        <f>ROUNDDOWN(Table2[[#This Row],[소득세]]*10%,-1)</f>
        <v>0</v>
      </c>
      <c r="AQ222" s="94">
        <f>IF(AB222="v",AM222+IF(Y222=8,SUMIFS(Table2[지급총액],Table2[주민등록번호],O222,Table2[월],R222,Table2[월간
근무일],"&lt;="&amp;8)-AM222,0),0)+_xlfn.NUMBERVALUE(AR222)</f>
        <v>0</v>
      </c>
      <c r="AR222" s="95"/>
      <c r="AS222" s="94" cm="1">
        <f t="array" ref="AS222">ROUNDDOWN($AQ222*_xlfn.XLOOKUP(1,(AS$5=Table8[Type])*($D222&lt;=Table8[End]),Table8[요율],0,0),0)</f>
        <v>0</v>
      </c>
      <c r="AT222" s="94" cm="1">
        <f t="array" ref="AT222">ROUNDDOWN(AS222*_xlfn.XLOOKUP(1,(AT$5=Table8[Type])*($D222&lt;=Table8[End]),Table8[요율],0,0),-1)</f>
        <v>0</v>
      </c>
      <c r="AU222" s="94" cm="1">
        <f t="array" ref="AU222">ROUNDDOWN($AQ222*_xlfn.XLOOKUP(1,(AU$5=Table8[Type])*($D222&lt;=Table8[End]),Table8[요율],0,0),-1)</f>
        <v>0</v>
      </c>
      <c r="AV222" s="94" cm="1">
        <f t="array" ref="AV222">ROUNDDOWN(AM222*_xlfn.XLOOKUP(1,(AV$5=Table8[Type])*($D222&lt;=Table8[End]),Table8[요율],0,0),-1)</f>
        <v>0</v>
      </c>
      <c r="AW222" s="94" cm="1">
        <f t="array" ref="AW222">_xlfn.XLOOKUP(1,(O222=Table2[주민등록번호])*(D222&gt;Table2[근무일자]),Table2[청구 Claim 
이월],0,0,-1)</f>
        <v>0</v>
      </c>
      <c r="AX222" s="95"/>
      <c r="AY222" s="94" cm="1">
        <f t="array" ref="AY222">MAX(SUM(AO222:AP222,AS222:AX222)-_xlfn.XLOOKUP(1,(D222&lt;=Table7[End])*(E222=Table7[근무처])*(F222=Table7[업무]),Table7[1일 공제 상한],0,0),0)</f>
        <v>0</v>
      </c>
      <c r="AZ222" s="94">
        <f t="shared" si="49"/>
        <v>0</v>
      </c>
      <c r="BA222" s="94">
        <f t="shared" si="50"/>
        <v>102528</v>
      </c>
      <c r="BB222" s="97">
        <f t="shared" si="51"/>
        <v>0</v>
      </c>
      <c r="BC222" s="98"/>
      <c r="BD222" s="94">
        <f t="shared" si="52"/>
        <v>0</v>
      </c>
      <c r="BE222" s="94">
        <f t="shared" si="53"/>
        <v>0</v>
      </c>
      <c r="BF222" s="94">
        <f t="shared" si="54"/>
        <v>0</v>
      </c>
      <c r="BG222" s="94">
        <f t="shared" si="55"/>
        <v>0</v>
      </c>
      <c r="BH222" s="94" cm="1">
        <f t="array" ref="BH222">ROUNDDOWN(AM222*_xlfn.XLOOKUP(1,(BH$5=Table8[Type])*($D222&lt;=Table8[End]),Table8[요율],0,0),-1)</f>
        <v>820</v>
      </c>
      <c r="BI222" s="93" t="str" cm="1">
        <f t="array" ref="BI222">_xlfn.XLOOKUP(1,(D222&lt;=Table7[End])*(E222=Table7[근무처])*(F222=Table7[업무]),Table7[지급옵션],0,0)</f>
        <v>차주 화</v>
      </c>
      <c r="BJ222" s="83">
        <f>IF(BK222&lt;&gt;"",BK222,IFERROR(D222+_xlfn.NUMBERVALUE(RIGHT(BI222,1)),D222-WEEKDAY(D222)+CHOOSE(MATCH(RIGHT(BI222),{"일","월","화","수","목","금","토"},0),8,9,10,11,12,13,14)))</f>
        <v>45797</v>
      </c>
      <c r="BK222" s="99"/>
    </row>
    <row r="223" spans="2:63" x14ac:dyDescent="0.35">
      <c r="B223" s="20" t="str" cm="1">
        <f t="array" ref="B223">_xlfn.IFS(BB223&lt;&gt;BC223,"Claim확인",N223&lt;&gt;"OK","확인필요",TRUE,"")</f>
        <v/>
      </c>
      <c r="C223" s="21" t="str">
        <f t="shared" si="42"/>
        <v>010-6X1X-X3X0333X04XX46879</v>
      </c>
      <c r="D223" s="26">
        <v>45791</v>
      </c>
      <c r="E223" s="91" t="s">
        <v>255</v>
      </c>
      <c r="F223" s="25" t="s">
        <v>258</v>
      </c>
      <c r="G223" s="27" t="s">
        <v>284</v>
      </c>
      <c r="H223" s="25" t="s">
        <v>293</v>
      </c>
      <c r="I223" s="25"/>
      <c r="J223" s="25" t="s">
        <v>294</v>
      </c>
      <c r="K223" s="28">
        <v>0.3125</v>
      </c>
      <c r="L223" s="28">
        <v>0.6875</v>
      </c>
      <c r="M223" s="28">
        <v>4.1666666666666664E-2</v>
      </c>
      <c r="N223" s="25" t="s">
        <v>281</v>
      </c>
      <c r="O223" s="29" t="str">
        <f>_xlfn.XLOOKUP(Table2[[#This Row],[Key]],Table1[Key],Table1[주민등록번호],"",0)</f>
        <v>971XX61XX9X25</v>
      </c>
      <c r="P223" s="29">
        <f>_xlfn.XLOOKUP(Table2[[#This Row],[Key]],Table1[Key],Table1[비자],"",0)</f>
        <v>0</v>
      </c>
      <c r="Q223" s="29">
        <f>IF(P223=0,0,_xlfn.XLOOKUP(Table2[[#This Row],[Key]],Table1[Key],Table1[고용보험 여부],0,0))</f>
        <v>0</v>
      </c>
      <c r="R223" s="29" t="str">
        <f t="shared" si="43"/>
        <v>2505</v>
      </c>
      <c r="S223" s="30" t="str">
        <f>YEAR(Table2[[#This Row],[근무일자]])&amp;TEXT(WEEKNUM(Table2[[#This Row],[근무일자]]),"00")</f>
        <v>202520</v>
      </c>
      <c r="T223" s="31">
        <f>_xlfn.XLOOKUP(Table2[[#This Row],[Key]],Table1[Key],Table1[등록일],"",0)</f>
        <v>45721</v>
      </c>
      <c r="U223" s="32">
        <f t="shared" si="44"/>
        <v>0.33333333333333331</v>
      </c>
      <c r="V223" s="92">
        <f t="shared" si="45"/>
        <v>0</v>
      </c>
      <c r="W223" s="100" t="str">
        <f>_xlfn.XLOOKUP(Table2[[#This Row],[근무일자]],Table3[Date],Table3[Holiday],"",0)</f>
        <v/>
      </c>
      <c r="X223" s="93">
        <f>IF(D223&lt;&gt;"",1,0)+IF(COUNTIFS(Table2[주민등록번호],O223,Table2[월],TEXT(EOMONTH(D223,-1),"YYMM"))&gt;0,1+IF(COUNTIFS(Table2[주민등록번호],O223,Table2[월],TEXT(EOMONTH(D223,-2),"YYMM"))&gt;0,1+IF(COUNTIFS(Table2[주민등록번호],O223,Table2[월],TEXT(EOMONTH(D223,-3),"YYMM"))&gt;0,1,0),0),0)</f>
        <v>3</v>
      </c>
      <c r="Y223" s="29">
        <f>COUNTIFS(Table2[주민등록번호],O223,Table2[월],R223,Table2[근무일자],"&lt;="&amp;D223)</f>
        <v>8</v>
      </c>
      <c r="Z223" s="29">
        <f>COUNTIFS(Table2[주민등록번호],O223,Table2[주간],S223,Table2[근무일자],"&lt;="&amp;D223)</f>
        <v>3</v>
      </c>
      <c r="AA223" s="29">
        <f>SUMIFS(Table2[근로
시간],Table2[주민등록번호],O223,Table2[주간],S223,Table2[근무일자],"&lt;="&amp;D223)*24</f>
        <v>24</v>
      </c>
      <c r="AB223" s="29" t="str">
        <f>IF(AND(Y223&gt;=8,COUNTIFS(Table2[주민등록번호],O223,Table2[근무일자],"&gt;="&amp;EOMONTH(D223,-2)+1,Table2[근무일자],"&lt;="&amp;EOMONTH(D223,-1)+1)&gt;0),"V","")</f>
        <v>V</v>
      </c>
      <c r="AC223" s="94" cm="1">
        <f t="array" ref="AC223">IF(AD223&lt;&gt;"",AD223,_xlfn.XLOOKUP(1,(D223&lt;=Table7[End])*(E223=Table7[근무처])*(F223=Table7[업무]),Table7[시급],0,0))</f>
        <v>10680</v>
      </c>
      <c r="AD223" s="95"/>
      <c r="AE223" s="94">
        <f t="shared" si="46"/>
        <v>85440</v>
      </c>
      <c r="AF223" s="96" cm="1">
        <f t="array" ref="AF223">IF(AND(AA223&gt;=15,(AA223-U223*24)&lt;=40),IF(Z223&gt;=_xlfn.XLOOKUP(1,(D223&lt;=Table7[End])*(E223=Table7[근무처])*(F223=Table7[업무]),Table7[주휴적용일],0,0),1,0)+_xlfn.XLOOKUP(1,(Table2[주간]=Table2[[#This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23" s="96" cm="1">
        <f t="array" ref="AG223">MAX((_xlfn.IFS(AF223=0,0,AF223=1,AA223,AF223&gt;1,U223*24)-IF(AA223&gt;40,AA223-40,0))/5,0)</f>
        <v>1.6</v>
      </c>
      <c r="AH223" s="94">
        <f t="shared" si="47"/>
        <v>17088</v>
      </c>
      <c r="AI223" s="33" cm="1">
        <f t="array" ref="AI223">IF(W223="",0,ROUND(AC223*U223*24*_xlfn.XLOOKUP(1,(D223&lt;=Table7[End])*(E223=Table7[근무처])*(F223=Table7[업무]),Table7[휴일인센티브],0,0),0))</f>
        <v>0</v>
      </c>
      <c r="AJ223" s="94" cm="1">
        <f t="array" ref="AJ223">ROUND(AC223*IF(U223&gt;=8/24,U223-8/24,0)*24*_xlfn.XLOOKUP(1,(D223&lt;=Table7[End])*(E223=Table7[근무처])*(F223=Table7[업무]),Table7[야간인센티브],0,0),0)</f>
        <v>0</v>
      </c>
      <c r="AK223" s="94" cm="1">
        <f t="array" ref="AK223">IF(V223=0,0,ROUND(AC223*V223*24*_xlfn.XLOOKUP(1,(D223&lt;=Table7[End])*(E223=Table7[근무처])*(F223=Table7[업무]),Table7[야간인센티브],0,0),0))</f>
        <v>0</v>
      </c>
      <c r="AL223" s="95"/>
      <c r="AM223" s="94">
        <f t="shared" si="48"/>
        <v>102528</v>
      </c>
      <c r="AN223" s="94" cm="1">
        <f t="array" ref="AN223">IF(AM223&gt;=_xlfn.XLOOKUP(TRUE,D223&lt;=Table5[End],Table5[비과세소득기준],0,0),AM223-_xlfn.XLOOKUP(TRUE,D223&lt;=Table5[End],Table5[비과세소득기준],0,0),0)</f>
        <v>0</v>
      </c>
      <c r="AO223" s="94" cm="1">
        <f t="array" ref="AO223">ROUNDDOWN(_xlfn.LET(_xlpm.setvalue,_xlfn.XLOOKUP(TRUE,D223&lt;=Table5[End],Table5[[요율]:[근로소득세액공제]],0,0),_xlpm.tax,AN223*PRODUCT((_xlpm.setvalue-{0,1})*{1,-1}),_xlpm.threshold,_xlfn.XLOOKUP(TRUE,D223&lt;=Table5[End],Table5[소액부징수기준],0,0),IF(_xlpm.tax&gt;=_xlpm.threshold,_xlpm.tax,0)),-1)</f>
        <v>0</v>
      </c>
      <c r="AP223" s="94">
        <f>ROUNDDOWN(Table2[[#This Row],[소득세]]*10%,-1)</f>
        <v>0</v>
      </c>
      <c r="AQ223" s="94">
        <f>IF(AB223="v",AM223+IF(Y223=8,SUMIFS(Table2[지급총액],Table2[주민등록번호],O223,Table2[월],R223,Table2[월간
근무일],"&lt;="&amp;8)-AM223,0),0)+_xlfn.NUMBERVALUE(AR223)</f>
        <v>820224</v>
      </c>
      <c r="AR223" s="95"/>
      <c r="AS223" s="94" cm="1">
        <f t="array" ref="AS223">ROUNDDOWN($AQ223*_xlfn.XLOOKUP(1,(AS$5=Table8[Type])*($D223&lt;=Table8[End]),Table8[요율],0,0),0)</f>
        <v>29076</v>
      </c>
      <c r="AT223" s="94" cm="1">
        <f t="array" ref="AT223">ROUNDDOWN(AS223*_xlfn.XLOOKUP(1,(AT$5=Table8[Type])*($D223&lt;=Table8[End]),Table8[요율],0,0),-1)</f>
        <v>3760</v>
      </c>
      <c r="AU223" s="94" cm="1">
        <f t="array" ref="AU223">ROUNDDOWN($AQ223*_xlfn.XLOOKUP(1,(AU$5=Table8[Type])*($D223&lt;=Table8[End]),Table8[요율],0,0),-1)</f>
        <v>36910</v>
      </c>
      <c r="AV223" s="94" cm="1">
        <f t="array" ref="AV223">ROUNDDOWN(AM223*_xlfn.XLOOKUP(1,(AV$5=Table8[Type])*($D223&lt;=Table8[End]),Table8[요율],0,0),-1)</f>
        <v>0</v>
      </c>
      <c r="AW223" s="94" cm="1">
        <f t="array" ref="AW223">_xlfn.XLOOKUP(1,(O223=Table2[주민등록번호])*(D223&gt;Table2[근무일자]),Table2[청구 Claim 
이월],0,0,-1)</f>
        <v>0</v>
      </c>
      <c r="AX223" s="95"/>
      <c r="AY223" s="94" cm="1">
        <f t="array" ref="AY223">MAX(SUM(AO223:AP223,AS223:AX223)-_xlfn.XLOOKUP(1,(D223&lt;=Table7[End])*(E223=Table7[근무처])*(F223=Table7[업무]),Table7[1일 공제 상한],0,0),0)</f>
        <v>0</v>
      </c>
      <c r="AZ223" s="94">
        <f t="shared" si="49"/>
        <v>69746</v>
      </c>
      <c r="BA223" s="94">
        <f t="shared" si="50"/>
        <v>32782</v>
      </c>
      <c r="BB223" s="97">
        <f t="shared" si="51"/>
        <v>0</v>
      </c>
      <c r="BC223" s="98"/>
      <c r="BD223" s="94">
        <f t="shared" si="52"/>
        <v>29076</v>
      </c>
      <c r="BE223" s="94">
        <f t="shared" si="53"/>
        <v>3760</v>
      </c>
      <c r="BF223" s="94">
        <f t="shared" si="54"/>
        <v>36910</v>
      </c>
      <c r="BG223" s="94">
        <f t="shared" si="55"/>
        <v>0</v>
      </c>
      <c r="BH223" s="94" cm="1">
        <f t="array" ref="BH223">ROUNDDOWN(AM223*_xlfn.XLOOKUP(1,(BH$5=Table8[Type])*($D223&lt;=Table8[End]),Table8[요율],0,0),-1)</f>
        <v>820</v>
      </c>
      <c r="BI223" s="93" t="str" cm="1">
        <f t="array" ref="BI223">_xlfn.XLOOKUP(1,(D223&lt;=Table7[End])*(E223=Table7[근무처])*(F223=Table7[업무]),Table7[지급옵션],0,0)</f>
        <v>차주 화</v>
      </c>
      <c r="BJ223" s="83">
        <f>IF(BK223&lt;&gt;"",BK223,IFERROR(D223+_xlfn.NUMBERVALUE(RIGHT(BI223,1)),D223-WEEKDAY(D223)+CHOOSE(MATCH(RIGHT(BI223),{"일","월","화","수","목","금","토"},0),8,9,10,11,12,13,14)))</f>
        <v>45797</v>
      </c>
      <c r="BK223" s="99"/>
    </row>
    <row r="224" spans="2:63" x14ac:dyDescent="0.35">
      <c r="B224" s="20" t="str" cm="1">
        <f t="array" ref="B224">_xlfn.IFS(BB224&lt;&gt;BC224,"Claim확인",N224&lt;&gt;"OK","확인필요",TRUE,"")</f>
        <v/>
      </c>
      <c r="C224" s="21" t="str">
        <f t="shared" si="42"/>
        <v>010-3X6X-X4X7757X02XX284249</v>
      </c>
      <c r="D224" s="26">
        <v>45791</v>
      </c>
      <c r="E224" s="91" t="s">
        <v>255</v>
      </c>
      <c r="F224" s="25" t="s">
        <v>258</v>
      </c>
      <c r="G224" s="27" t="s">
        <v>283</v>
      </c>
      <c r="H224" s="25" t="s">
        <v>295</v>
      </c>
      <c r="I224" s="25"/>
      <c r="J224" s="25" t="s">
        <v>296</v>
      </c>
      <c r="K224" s="28">
        <v>0.29166666666666669</v>
      </c>
      <c r="L224" s="28">
        <v>0.66666666666666663</v>
      </c>
      <c r="M224" s="28">
        <v>4.1666666666666664E-2</v>
      </c>
      <c r="N224" s="25" t="s">
        <v>281</v>
      </c>
      <c r="O224" s="29" t="str">
        <f>_xlfn.XLOOKUP(Table2[[#This Row],[Key]],Table1[Key],Table1[주민등록번호],"",0)</f>
        <v>940XX41XX7X32</v>
      </c>
      <c r="P224" s="29">
        <f>_xlfn.XLOOKUP(Table2[[#This Row],[Key]],Table1[Key],Table1[비자],"",0)</f>
        <v>0</v>
      </c>
      <c r="Q224" s="29">
        <f>IF(P224=0,0,_xlfn.XLOOKUP(Table2[[#This Row],[Key]],Table1[Key],Table1[고용보험 여부],0,0))</f>
        <v>0</v>
      </c>
      <c r="R224" s="29" t="str">
        <f t="shared" si="43"/>
        <v>2505</v>
      </c>
      <c r="S224" s="30" t="str">
        <f>YEAR(Table2[[#This Row],[근무일자]])&amp;TEXT(WEEKNUM(Table2[[#This Row],[근무일자]]),"00")</f>
        <v>202520</v>
      </c>
      <c r="T224" s="31">
        <f>_xlfn.XLOOKUP(Table2[[#This Row],[Key]],Table1[Key],Table1[등록일],"",0)</f>
        <v>45751</v>
      </c>
      <c r="U224" s="32">
        <f t="shared" si="44"/>
        <v>0.33333333333333326</v>
      </c>
      <c r="V224" s="92">
        <f t="shared" si="45"/>
        <v>0</v>
      </c>
      <c r="W224" s="100" t="str">
        <f>_xlfn.XLOOKUP(Table2[[#This Row],[근무일자]],Table3[Date],Table3[Holiday],"",0)</f>
        <v/>
      </c>
      <c r="X224" s="93">
        <f>IF(D224&lt;&gt;"",1,0)+IF(COUNTIFS(Table2[주민등록번호],O224,Table2[월],TEXT(EOMONTH(D224,-1),"YYMM"))&gt;0,1+IF(COUNTIFS(Table2[주민등록번호],O224,Table2[월],TEXT(EOMONTH(D224,-2),"YYMM"))&gt;0,1+IF(COUNTIFS(Table2[주민등록번호],O224,Table2[월],TEXT(EOMONTH(D224,-3),"YYMM"))&gt;0,1,0),0),0)</f>
        <v>2</v>
      </c>
      <c r="Y224" s="29">
        <f>COUNTIFS(Table2[주민등록번호],O224,Table2[월],R224,Table2[근무일자],"&lt;="&amp;D224)</f>
        <v>7</v>
      </c>
      <c r="Z224" s="29">
        <f>COUNTIFS(Table2[주민등록번호],O224,Table2[주간],S224,Table2[근무일자],"&lt;="&amp;D224)</f>
        <v>3</v>
      </c>
      <c r="AA224" s="29">
        <f>SUMIFS(Table2[근로
시간],Table2[주민등록번호],O224,Table2[주간],S224,Table2[근무일자],"&lt;="&amp;D224)*24</f>
        <v>23.999999999999993</v>
      </c>
      <c r="AB224" s="29" t="str">
        <f>IF(AND(Y224&gt;=8,COUNTIFS(Table2[주민등록번호],O224,Table2[근무일자],"&gt;="&amp;EOMONTH(D224,-2)+1,Table2[근무일자],"&lt;="&amp;EOMONTH(D224,-1)+1)&gt;0),"V","")</f>
        <v/>
      </c>
      <c r="AC224" s="94" cm="1">
        <f t="array" ref="AC224">IF(AD224&lt;&gt;"",AD224,_xlfn.XLOOKUP(1,(D224&lt;=Table7[End])*(E224=Table7[근무처])*(F224=Table7[업무]),Table7[시급],0,0))</f>
        <v>10680</v>
      </c>
      <c r="AD224" s="95"/>
      <c r="AE224" s="94">
        <f t="shared" si="46"/>
        <v>85440</v>
      </c>
      <c r="AF224" s="96" cm="1">
        <f t="array" ref="AF224">IF(AND(AA224&gt;=15,(AA224-U224*24)&lt;=40),IF(Z224&gt;=_xlfn.XLOOKUP(1,(D224&lt;=Table7[End])*(E224=Table7[근무처])*(F224=Table7[업무]),Table7[주휴적용일],0,0),1,0)+_xlfn.XLOOKUP(1,(Table2[주간]=Table2[[#This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24" s="96" cm="1">
        <f t="array" ref="AG224">MAX((_xlfn.IFS(AF224=0,0,AF224=1,AA224,AF224&gt;1,U224*24)-IF(AA224&gt;40,AA224-40,0))/5,0)</f>
        <v>1.5999999999999996</v>
      </c>
      <c r="AH224" s="94">
        <f t="shared" si="47"/>
        <v>17088</v>
      </c>
      <c r="AI224" s="33" cm="1">
        <f t="array" ref="AI224">IF(W224="",0,ROUND(AC224*U224*24*_xlfn.XLOOKUP(1,(D224&lt;=Table7[End])*(E224=Table7[근무처])*(F224=Table7[업무]),Table7[휴일인센티브],0,0),0))</f>
        <v>0</v>
      </c>
      <c r="AJ224" s="94" cm="1">
        <f t="array" ref="AJ224">ROUND(AC224*IF(U224&gt;=8/24,U224-8/24,0)*24*_xlfn.XLOOKUP(1,(D224&lt;=Table7[End])*(E224=Table7[근무처])*(F224=Table7[업무]),Table7[야간인센티브],0,0),0)</f>
        <v>0</v>
      </c>
      <c r="AK224" s="94" cm="1">
        <f t="array" ref="AK224">IF(V224=0,0,ROUND(AC224*V224*24*_xlfn.XLOOKUP(1,(D224&lt;=Table7[End])*(E224=Table7[근무처])*(F224=Table7[업무]),Table7[야간인센티브],0,0),0))</f>
        <v>0</v>
      </c>
      <c r="AL224" s="95"/>
      <c r="AM224" s="94">
        <f t="shared" si="48"/>
        <v>102528</v>
      </c>
      <c r="AN224" s="94" cm="1">
        <f t="array" ref="AN224">IF(AM224&gt;=_xlfn.XLOOKUP(TRUE,D224&lt;=Table5[End],Table5[비과세소득기준],0,0),AM224-_xlfn.XLOOKUP(TRUE,D224&lt;=Table5[End],Table5[비과세소득기준],0,0),0)</f>
        <v>0</v>
      </c>
      <c r="AO224" s="94" cm="1">
        <f t="array" ref="AO224">ROUNDDOWN(_xlfn.LET(_xlpm.setvalue,_xlfn.XLOOKUP(TRUE,D224&lt;=Table5[End],Table5[[요율]:[근로소득세액공제]],0,0),_xlpm.tax,AN224*PRODUCT((_xlpm.setvalue-{0,1})*{1,-1}),_xlpm.threshold,_xlfn.XLOOKUP(TRUE,D224&lt;=Table5[End],Table5[소액부징수기준],0,0),IF(_xlpm.tax&gt;=_xlpm.threshold,_xlpm.tax,0)),-1)</f>
        <v>0</v>
      </c>
      <c r="AP224" s="94">
        <f>ROUNDDOWN(Table2[[#This Row],[소득세]]*10%,-1)</f>
        <v>0</v>
      </c>
      <c r="AQ224" s="94">
        <f>IF(AB224="v",AM224+IF(Y224=8,SUMIFS(Table2[지급총액],Table2[주민등록번호],O224,Table2[월],R224,Table2[월간
근무일],"&lt;="&amp;8)-AM224,0),0)+_xlfn.NUMBERVALUE(AR224)</f>
        <v>0</v>
      </c>
      <c r="AR224" s="95"/>
      <c r="AS224" s="94" cm="1">
        <f t="array" ref="AS224">ROUNDDOWN($AQ224*_xlfn.XLOOKUP(1,(AS$5=Table8[Type])*($D224&lt;=Table8[End]),Table8[요율],0,0),0)</f>
        <v>0</v>
      </c>
      <c r="AT224" s="94" cm="1">
        <f t="array" ref="AT224">ROUNDDOWN(AS224*_xlfn.XLOOKUP(1,(AT$5=Table8[Type])*($D224&lt;=Table8[End]),Table8[요율],0,0),-1)</f>
        <v>0</v>
      </c>
      <c r="AU224" s="94" cm="1">
        <f t="array" ref="AU224">ROUNDDOWN($AQ224*_xlfn.XLOOKUP(1,(AU$5=Table8[Type])*($D224&lt;=Table8[End]),Table8[요율],0,0),-1)</f>
        <v>0</v>
      </c>
      <c r="AV224" s="94" cm="1">
        <f t="array" ref="AV224">ROUNDDOWN(AM224*_xlfn.XLOOKUP(1,(AV$5=Table8[Type])*($D224&lt;=Table8[End]),Table8[요율],0,0),-1)</f>
        <v>0</v>
      </c>
      <c r="AW224" s="94" cm="1">
        <f t="array" ref="AW224">_xlfn.XLOOKUP(1,(O224=Table2[주민등록번호])*(D224&gt;Table2[근무일자]),Table2[청구 Claim 
이월],0,0,-1)</f>
        <v>0</v>
      </c>
      <c r="AX224" s="95"/>
      <c r="AY224" s="94" cm="1">
        <f t="array" ref="AY224">MAX(SUM(AO224:AP224,AS224:AX224)-_xlfn.XLOOKUP(1,(D224&lt;=Table7[End])*(E224=Table7[근무처])*(F224=Table7[업무]),Table7[1일 공제 상한],0,0),0)</f>
        <v>0</v>
      </c>
      <c r="AZ224" s="94">
        <f t="shared" si="49"/>
        <v>0</v>
      </c>
      <c r="BA224" s="94">
        <f t="shared" si="50"/>
        <v>102528</v>
      </c>
      <c r="BB224" s="97">
        <f t="shared" si="51"/>
        <v>0</v>
      </c>
      <c r="BC224" s="98"/>
      <c r="BD224" s="94">
        <f t="shared" si="52"/>
        <v>0</v>
      </c>
      <c r="BE224" s="94">
        <f t="shared" si="53"/>
        <v>0</v>
      </c>
      <c r="BF224" s="94">
        <f t="shared" si="54"/>
        <v>0</v>
      </c>
      <c r="BG224" s="94">
        <f t="shared" si="55"/>
        <v>0</v>
      </c>
      <c r="BH224" s="94" cm="1">
        <f t="array" ref="BH224">ROUNDDOWN(AM224*_xlfn.XLOOKUP(1,(BH$5=Table8[Type])*($D224&lt;=Table8[End]),Table8[요율],0,0),-1)</f>
        <v>820</v>
      </c>
      <c r="BI224" s="93" t="str" cm="1">
        <f t="array" ref="BI224">_xlfn.XLOOKUP(1,(D224&lt;=Table7[End])*(E224=Table7[근무처])*(F224=Table7[업무]),Table7[지급옵션],0,0)</f>
        <v>차주 화</v>
      </c>
      <c r="BJ224" s="83">
        <f>IF(BK224&lt;&gt;"",BK224,IFERROR(D224+_xlfn.NUMBERVALUE(RIGHT(BI224,1)),D224-WEEKDAY(D224)+CHOOSE(MATCH(RIGHT(BI224),{"일","월","화","수","목","금","토"},0),8,9,10,11,12,13,14)))</f>
        <v>45797</v>
      </c>
      <c r="BK224" s="99"/>
    </row>
    <row r="225" spans="2:63" x14ac:dyDescent="0.35">
      <c r="B225" s="20" t="str" cm="1">
        <f t="array" ref="B225">_xlfn.IFS(BB225&lt;&gt;BC225,"Claim확인",N225&lt;&gt;"OK","확인필요",TRUE,"")</f>
        <v/>
      </c>
      <c r="C225" s="21" t="str">
        <f t="shared" si="42"/>
        <v>010-6X1X-X3X0333X04XX46879</v>
      </c>
      <c r="D225" s="26">
        <v>45792</v>
      </c>
      <c r="E225" s="91" t="s">
        <v>255</v>
      </c>
      <c r="F225" s="25" t="s">
        <v>258</v>
      </c>
      <c r="G225" s="27" t="s">
        <v>284</v>
      </c>
      <c r="H225" s="25" t="s">
        <v>293</v>
      </c>
      <c r="I225" s="25"/>
      <c r="J225" s="25" t="s">
        <v>294</v>
      </c>
      <c r="K225" s="28">
        <v>0.3125</v>
      </c>
      <c r="L225" s="28">
        <v>0.6875</v>
      </c>
      <c r="M225" s="28">
        <v>4.1666666666666664E-2</v>
      </c>
      <c r="N225" s="25" t="s">
        <v>281</v>
      </c>
      <c r="O225" s="29" t="str">
        <f>_xlfn.XLOOKUP(Table2[[#This Row],[Key]],Table1[Key],Table1[주민등록번호],"",0)</f>
        <v>971XX61XX9X25</v>
      </c>
      <c r="P225" s="29">
        <f>_xlfn.XLOOKUP(Table2[[#This Row],[Key]],Table1[Key],Table1[비자],"",0)</f>
        <v>0</v>
      </c>
      <c r="Q225" s="29">
        <f>IF(P225=0,0,_xlfn.XLOOKUP(Table2[[#This Row],[Key]],Table1[Key],Table1[고용보험 여부],0,0))</f>
        <v>0</v>
      </c>
      <c r="R225" s="29" t="str">
        <f t="shared" si="43"/>
        <v>2505</v>
      </c>
      <c r="S225" s="30" t="str">
        <f>YEAR(Table2[[#This Row],[근무일자]])&amp;TEXT(WEEKNUM(Table2[[#This Row],[근무일자]]),"00")</f>
        <v>202520</v>
      </c>
      <c r="T225" s="31">
        <f>_xlfn.XLOOKUP(Table2[[#This Row],[Key]],Table1[Key],Table1[등록일],"",0)</f>
        <v>45721</v>
      </c>
      <c r="U225" s="32">
        <f t="shared" si="44"/>
        <v>0.33333333333333331</v>
      </c>
      <c r="V225" s="92">
        <f t="shared" si="45"/>
        <v>0</v>
      </c>
      <c r="W225" s="100" t="str">
        <f>_xlfn.XLOOKUP(Table2[[#This Row],[근무일자]],Table3[Date],Table3[Holiday],"",0)</f>
        <v/>
      </c>
      <c r="X225" s="93">
        <f>IF(D225&lt;&gt;"",1,0)+IF(COUNTIFS(Table2[주민등록번호],O225,Table2[월],TEXT(EOMONTH(D225,-1),"YYMM"))&gt;0,1+IF(COUNTIFS(Table2[주민등록번호],O225,Table2[월],TEXT(EOMONTH(D225,-2),"YYMM"))&gt;0,1+IF(COUNTIFS(Table2[주민등록번호],O225,Table2[월],TEXT(EOMONTH(D225,-3),"YYMM"))&gt;0,1,0),0),0)</f>
        <v>3</v>
      </c>
      <c r="Y225" s="29">
        <f>COUNTIFS(Table2[주민등록번호],O225,Table2[월],R225,Table2[근무일자],"&lt;="&amp;D225)</f>
        <v>9</v>
      </c>
      <c r="Z225" s="29">
        <f>COUNTIFS(Table2[주민등록번호],O225,Table2[주간],S225,Table2[근무일자],"&lt;="&amp;D225)</f>
        <v>4</v>
      </c>
      <c r="AA225" s="29">
        <f>SUMIFS(Table2[근로
시간],Table2[주민등록번호],O225,Table2[주간],S225,Table2[근무일자],"&lt;="&amp;D225)*24</f>
        <v>32</v>
      </c>
      <c r="AB225" s="29" t="str">
        <f>IF(AND(Y225&gt;=8,COUNTIFS(Table2[주민등록번호],O225,Table2[근무일자],"&gt;="&amp;EOMONTH(D225,-2)+1,Table2[근무일자],"&lt;="&amp;EOMONTH(D225,-1)+1)&gt;0),"V","")</f>
        <v>V</v>
      </c>
      <c r="AC225" s="94" cm="1">
        <f t="array" ref="AC225">IF(AD225&lt;&gt;"",AD225,_xlfn.XLOOKUP(1,(D225&lt;=Table7[End])*(E225=Table7[근무처])*(F225=Table7[업무]),Table7[시급],0,0))</f>
        <v>10680</v>
      </c>
      <c r="AD225" s="95"/>
      <c r="AE225" s="94">
        <f t="shared" si="46"/>
        <v>85440</v>
      </c>
      <c r="AF225" s="96" cm="1">
        <f t="array" ref="AF225">IF(AND(AA225&gt;=15,(AA225-U225*24)&lt;=40),IF(Z225&gt;=_xlfn.XLOOKUP(1,(D225&lt;=Table7[End])*(E225=Table7[근무처])*(F225=Table7[업무]),Table7[주휴적용일],0,0),1,0)+_xlfn.XLOOKUP(1,(Table2[주간]=Table2[[#This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25" s="96" cm="1">
        <f t="array" ref="AG225">MAX((_xlfn.IFS(AF225=0,0,AF225=1,AA225,AF225&gt;1,U225*24)-IF(AA225&gt;40,AA225-40,0))/5,0)</f>
        <v>1.6</v>
      </c>
      <c r="AH225" s="94">
        <f t="shared" si="47"/>
        <v>17088</v>
      </c>
      <c r="AI225" s="33" cm="1">
        <f t="array" ref="AI225">IF(W225="",0,ROUND(AC225*U225*24*_xlfn.XLOOKUP(1,(D225&lt;=Table7[End])*(E225=Table7[근무처])*(F225=Table7[업무]),Table7[휴일인센티브],0,0),0))</f>
        <v>0</v>
      </c>
      <c r="AJ225" s="94" cm="1">
        <f t="array" ref="AJ225">ROUND(AC225*IF(U225&gt;=8/24,U225-8/24,0)*24*_xlfn.XLOOKUP(1,(D225&lt;=Table7[End])*(E225=Table7[근무처])*(F225=Table7[업무]),Table7[야간인센티브],0,0),0)</f>
        <v>0</v>
      </c>
      <c r="AK225" s="94" cm="1">
        <f t="array" ref="AK225">IF(V225=0,0,ROUND(AC225*V225*24*_xlfn.XLOOKUP(1,(D225&lt;=Table7[End])*(E225=Table7[근무처])*(F225=Table7[업무]),Table7[야간인센티브],0,0),0))</f>
        <v>0</v>
      </c>
      <c r="AL225" s="95"/>
      <c r="AM225" s="94">
        <f t="shared" si="48"/>
        <v>102528</v>
      </c>
      <c r="AN225" s="94" cm="1">
        <f t="array" ref="AN225">IF(AM225&gt;=_xlfn.XLOOKUP(TRUE,D225&lt;=Table5[End],Table5[비과세소득기준],0,0),AM225-_xlfn.XLOOKUP(TRUE,D225&lt;=Table5[End],Table5[비과세소득기준],0,0),0)</f>
        <v>0</v>
      </c>
      <c r="AO225" s="94" cm="1">
        <f t="array" ref="AO225">ROUNDDOWN(_xlfn.LET(_xlpm.setvalue,_xlfn.XLOOKUP(TRUE,D225&lt;=Table5[End],Table5[[요율]:[근로소득세액공제]],0,0),_xlpm.tax,AN225*PRODUCT((_xlpm.setvalue-{0,1})*{1,-1}),_xlpm.threshold,_xlfn.XLOOKUP(TRUE,D225&lt;=Table5[End],Table5[소액부징수기준],0,0),IF(_xlpm.tax&gt;=_xlpm.threshold,_xlpm.tax,0)),-1)</f>
        <v>0</v>
      </c>
      <c r="AP225" s="94">
        <f>ROUNDDOWN(Table2[[#This Row],[소득세]]*10%,-1)</f>
        <v>0</v>
      </c>
      <c r="AQ225" s="94">
        <f>IF(AB225="v",AM225+IF(Y225=8,SUMIFS(Table2[지급총액],Table2[주민등록번호],O225,Table2[월],R225,Table2[월간
근무일],"&lt;="&amp;8)-AM225,0),0)+_xlfn.NUMBERVALUE(AR225)</f>
        <v>102528</v>
      </c>
      <c r="AR225" s="95"/>
      <c r="AS225" s="94" cm="1">
        <f t="array" ref="AS225">ROUNDDOWN($AQ225*_xlfn.XLOOKUP(1,(AS$5=Table8[Type])*($D225&lt;=Table8[End]),Table8[요율],0,0),0)</f>
        <v>3634</v>
      </c>
      <c r="AT225" s="94" cm="1">
        <f t="array" ref="AT225">ROUNDDOWN(AS225*_xlfn.XLOOKUP(1,(AT$5=Table8[Type])*($D225&lt;=Table8[End]),Table8[요율],0,0),-1)</f>
        <v>470</v>
      </c>
      <c r="AU225" s="94" cm="1">
        <f t="array" ref="AU225">ROUNDDOWN($AQ225*_xlfn.XLOOKUP(1,(AU$5=Table8[Type])*($D225&lt;=Table8[End]),Table8[요율],0,0),-1)</f>
        <v>4610</v>
      </c>
      <c r="AV225" s="94" cm="1">
        <f t="array" ref="AV225">ROUNDDOWN(AM225*_xlfn.XLOOKUP(1,(AV$5=Table8[Type])*($D225&lt;=Table8[End]),Table8[요율],0,0),-1)</f>
        <v>0</v>
      </c>
      <c r="AW225" s="94" cm="1">
        <f t="array" ref="AW225">_xlfn.XLOOKUP(1,(O225=Table2[주민등록번호])*(D225&gt;Table2[근무일자]),Table2[청구 Claim 
이월],0,0,-1)</f>
        <v>0</v>
      </c>
      <c r="AX225" s="95"/>
      <c r="AY225" s="94" cm="1">
        <f t="array" ref="AY225">MAX(SUM(AO225:AP225,AS225:AX225)-_xlfn.XLOOKUP(1,(D225&lt;=Table7[End])*(E225=Table7[근무처])*(F225=Table7[업무]),Table7[1일 공제 상한],0,0),0)</f>
        <v>0</v>
      </c>
      <c r="AZ225" s="94">
        <f t="shared" si="49"/>
        <v>8714</v>
      </c>
      <c r="BA225" s="94">
        <f t="shared" si="50"/>
        <v>93814</v>
      </c>
      <c r="BB225" s="97">
        <f t="shared" si="51"/>
        <v>0</v>
      </c>
      <c r="BC225" s="98"/>
      <c r="BD225" s="94">
        <f t="shared" si="52"/>
        <v>3634</v>
      </c>
      <c r="BE225" s="94">
        <f t="shared" si="53"/>
        <v>470</v>
      </c>
      <c r="BF225" s="94">
        <f t="shared" si="54"/>
        <v>4610</v>
      </c>
      <c r="BG225" s="94">
        <f t="shared" si="55"/>
        <v>0</v>
      </c>
      <c r="BH225" s="94" cm="1">
        <f t="array" ref="BH225">ROUNDDOWN(AM225*_xlfn.XLOOKUP(1,(BH$5=Table8[Type])*($D225&lt;=Table8[End]),Table8[요율],0,0),-1)</f>
        <v>820</v>
      </c>
      <c r="BI225" s="93" t="str" cm="1">
        <f t="array" ref="BI225">_xlfn.XLOOKUP(1,(D225&lt;=Table7[End])*(E225=Table7[근무처])*(F225=Table7[업무]),Table7[지급옵션],0,0)</f>
        <v>차주 화</v>
      </c>
      <c r="BJ225" s="83">
        <f>IF(BK225&lt;&gt;"",BK225,IFERROR(D225+_xlfn.NUMBERVALUE(RIGHT(BI225,1)),D225-WEEKDAY(D225)+CHOOSE(MATCH(RIGHT(BI225),{"일","월","화","수","목","금","토"},0),8,9,10,11,12,13,14)))</f>
        <v>45797</v>
      </c>
      <c r="BK225" s="99"/>
    </row>
    <row r="226" spans="2:63" x14ac:dyDescent="0.35">
      <c r="B226" s="20" t="str" cm="1">
        <f t="array" ref="B226">_xlfn.IFS(BB226&lt;&gt;BC226,"Claim확인",N226&lt;&gt;"OK","확인필요",TRUE,"")</f>
        <v/>
      </c>
      <c r="C226" s="21" t="str">
        <f t="shared" si="42"/>
        <v>010-3X6X-X4X7757X02XX284249</v>
      </c>
      <c r="D226" s="26">
        <v>45792</v>
      </c>
      <c r="E226" s="91" t="s">
        <v>255</v>
      </c>
      <c r="F226" s="25" t="s">
        <v>258</v>
      </c>
      <c r="G226" s="27" t="s">
        <v>283</v>
      </c>
      <c r="H226" s="25" t="s">
        <v>295</v>
      </c>
      <c r="I226" s="25"/>
      <c r="J226" s="25" t="s">
        <v>296</v>
      </c>
      <c r="K226" s="28">
        <v>0.29166666666666669</v>
      </c>
      <c r="L226" s="28">
        <v>0.66666666666666663</v>
      </c>
      <c r="M226" s="28">
        <v>4.1666666666666664E-2</v>
      </c>
      <c r="N226" s="25" t="s">
        <v>281</v>
      </c>
      <c r="O226" s="29" t="str">
        <f>_xlfn.XLOOKUP(Table2[[#This Row],[Key]],Table1[Key],Table1[주민등록번호],"",0)</f>
        <v>940XX41XX7X32</v>
      </c>
      <c r="P226" s="29">
        <f>_xlfn.XLOOKUP(Table2[[#This Row],[Key]],Table1[Key],Table1[비자],"",0)</f>
        <v>0</v>
      </c>
      <c r="Q226" s="29">
        <f>IF(P226=0,0,_xlfn.XLOOKUP(Table2[[#This Row],[Key]],Table1[Key],Table1[고용보험 여부],0,0))</f>
        <v>0</v>
      </c>
      <c r="R226" s="29" t="str">
        <f t="shared" si="43"/>
        <v>2505</v>
      </c>
      <c r="S226" s="30" t="str">
        <f>YEAR(Table2[[#This Row],[근무일자]])&amp;TEXT(WEEKNUM(Table2[[#This Row],[근무일자]]),"00")</f>
        <v>202520</v>
      </c>
      <c r="T226" s="31">
        <f>_xlfn.XLOOKUP(Table2[[#This Row],[Key]],Table1[Key],Table1[등록일],"",0)</f>
        <v>45751</v>
      </c>
      <c r="U226" s="32">
        <f t="shared" si="44"/>
        <v>0.33333333333333326</v>
      </c>
      <c r="V226" s="92">
        <f t="shared" si="45"/>
        <v>0</v>
      </c>
      <c r="W226" s="100" t="str">
        <f>_xlfn.XLOOKUP(Table2[[#This Row],[근무일자]],Table3[Date],Table3[Holiday],"",0)</f>
        <v/>
      </c>
      <c r="X226" s="93">
        <f>IF(D226&lt;&gt;"",1,0)+IF(COUNTIFS(Table2[주민등록번호],O226,Table2[월],TEXT(EOMONTH(D226,-1),"YYMM"))&gt;0,1+IF(COUNTIFS(Table2[주민등록번호],O226,Table2[월],TEXT(EOMONTH(D226,-2),"YYMM"))&gt;0,1+IF(COUNTIFS(Table2[주민등록번호],O226,Table2[월],TEXT(EOMONTH(D226,-3),"YYMM"))&gt;0,1,0),0),0)</f>
        <v>2</v>
      </c>
      <c r="Y226" s="29">
        <f>COUNTIFS(Table2[주민등록번호],O226,Table2[월],R226,Table2[근무일자],"&lt;="&amp;D226)</f>
        <v>8</v>
      </c>
      <c r="Z226" s="29">
        <f>COUNTIFS(Table2[주민등록번호],O226,Table2[주간],S226,Table2[근무일자],"&lt;="&amp;D226)</f>
        <v>4</v>
      </c>
      <c r="AA226" s="29">
        <f>SUMIFS(Table2[근로
시간],Table2[주민등록번호],O226,Table2[주간],S226,Table2[근무일자],"&lt;="&amp;D226)*24</f>
        <v>31.999999999999993</v>
      </c>
      <c r="AB226" s="29" t="str">
        <f>IF(AND(Y226&gt;=8,COUNTIFS(Table2[주민등록번호],O226,Table2[근무일자],"&gt;="&amp;EOMONTH(D226,-2)+1,Table2[근무일자],"&lt;="&amp;EOMONTH(D226,-1)+1)&gt;0),"V","")</f>
        <v>V</v>
      </c>
      <c r="AC226" s="94" cm="1">
        <f t="array" ref="AC226">IF(AD226&lt;&gt;"",AD226,_xlfn.XLOOKUP(1,(D226&lt;=Table7[End])*(E226=Table7[근무처])*(F226=Table7[업무]),Table7[시급],0,0))</f>
        <v>10680</v>
      </c>
      <c r="AD226" s="95"/>
      <c r="AE226" s="94">
        <f t="shared" si="46"/>
        <v>85440</v>
      </c>
      <c r="AF226" s="96" cm="1">
        <f t="array" ref="AF226">IF(AND(AA226&gt;=15,(AA226-U226*24)&lt;=40),IF(Z226&gt;=_xlfn.XLOOKUP(1,(D226&lt;=Table7[End])*(E226=Table7[근무처])*(F226=Table7[업무]),Table7[주휴적용일],0,0),1,0)+_xlfn.XLOOKUP(1,(Table2[주간]=Table2[[#This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26" s="96" cm="1">
        <f t="array" ref="AG226">MAX((_xlfn.IFS(AF226=0,0,AF226=1,AA226,AF226&gt;1,U226*24)-IF(AA226&gt;40,AA226-40,0))/5,0)</f>
        <v>1.5999999999999996</v>
      </c>
      <c r="AH226" s="94">
        <f t="shared" si="47"/>
        <v>17088</v>
      </c>
      <c r="AI226" s="33" cm="1">
        <f t="array" ref="AI226">IF(W226="",0,ROUND(AC226*U226*24*_xlfn.XLOOKUP(1,(D226&lt;=Table7[End])*(E226=Table7[근무처])*(F226=Table7[업무]),Table7[휴일인센티브],0,0),0))</f>
        <v>0</v>
      </c>
      <c r="AJ226" s="94" cm="1">
        <f t="array" ref="AJ226">ROUND(AC226*IF(U226&gt;=8/24,U226-8/24,0)*24*_xlfn.XLOOKUP(1,(D226&lt;=Table7[End])*(E226=Table7[근무처])*(F226=Table7[업무]),Table7[야간인센티브],0,0),0)</f>
        <v>0</v>
      </c>
      <c r="AK226" s="94" cm="1">
        <f t="array" ref="AK226">IF(V226=0,0,ROUND(AC226*V226*24*_xlfn.XLOOKUP(1,(D226&lt;=Table7[End])*(E226=Table7[근무처])*(F226=Table7[업무]),Table7[야간인센티브],0,0),0))</f>
        <v>0</v>
      </c>
      <c r="AL226" s="95"/>
      <c r="AM226" s="94">
        <f t="shared" si="48"/>
        <v>102528</v>
      </c>
      <c r="AN226" s="94" cm="1">
        <f t="array" ref="AN226">IF(AM226&gt;=_xlfn.XLOOKUP(TRUE,D226&lt;=Table5[End],Table5[비과세소득기준],0,0),AM226-_xlfn.XLOOKUP(TRUE,D226&lt;=Table5[End],Table5[비과세소득기준],0,0),0)</f>
        <v>0</v>
      </c>
      <c r="AO226" s="94" cm="1">
        <f t="array" ref="AO226">ROUNDDOWN(_xlfn.LET(_xlpm.setvalue,_xlfn.XLOOKUP(TRUE,D226&lt;=Table5[End],Table5[[요율]:[근로소득세액공제]],0,0),_xlpm.tax,AN226*PRODUCT((_xlpm.setvalue-{0,1})*{1,-1}),_xlpm.threshold,_xlfn.XLOOKUP(TRUE,D226&lt;=Table5[End],Table5[소액부징수기준],0,0),IF(_xlpm.tax&gt;=_xlpm.threshold,_xlpm.tax,0)),-1)</f>
        <v>0</v>
      </c>
      <c r="AP226" s="94">
        <f>ROUNDDOWN(Table2[[#This Row],[소득세]]*10%,-1)</f>
        <v>0</v>
      </c>
      <c r="AQ226" s="94">
        <f>IF(AB226="v",AM226+IF(Y226=8,SUMIFS(Table2[지급총액],Table2[주민등록번호],O226,Table2[월],R226,Table2[월간
근무일],"&lt;="&amp;8)-AM226,0),0)+_xlfn.NUMBERVALUE(AR226)</f>
        <v>862944</v>
      </c>
      <c r="AR226" s="95"/>
      <c r="AS226" s="94" cm="1">
        <f t="array" ref="AS226">ROUNDDOWN($AQ226*_xlfn.XLOOKUP(1,(AS$5=Table8[Type])*($D226&lt;=Table8[End]),Table8[요율],0,0),0)</f>
        <v>30591</v>
      </c>
      <c r="AT226" s="94" cm="1">
        <f t="array" ref="AT226">ROUNDDOWN(AS226*_xlfn.XLOOKUP(1,(AT$5=Table8[Type])*($D226&lt;=Table8[End]),Table8[요율],0,0),-1)</f>
        <v>3960</v>
      </c>
      <c r="AU226" s="94" cm="1">
        <f t="array" ref="AU226">ROUNDDOWN($AQ226*_xlfn.XLOOKUP(1,(AU$5=Table8[Type])*($D226&lt;=Table8[End]),Table8[요율],0,0),-1)</f>
        <v>38830</v>
      </c>
      <c r="AV226" s="94" cm="1">
        <f t="array" ref="AV226">ROUNDDOWN(AM226*_xlfn.XLOOKUP(1,(AV$5=Table8[Type])*($D226&lt;=Table8[End]),Table8[요율],0,0),-1)</f>
        <v>0</v>
      </c>
      <c r="AW226" s="94" cm="1">
        <f t="array" ref="AW226">_xlfn.XLOOKUP(1,(O226=Table2[주민등록번호])*(D226&gt;Table2[근무일자]),Table2[청구 Claim 
이월],0,0,-1)</f>
        <v>0</v>
      </c>
      <c r="AX226" s="95"/>
      <c r="AY226" s="94" cm="1">
        <f t="array" ref="AY226">MAX(SUM(AO226:AP226,AS226:AX226)-_xlfn.XLOOKUP(1,(D226&lt;=Table7[End])*(E226=Table7[근무처])*(F226=Table7[업무]),Table7[1일 공제 상한],0,0),0)</f>
        <v>0</v>
      </c>
      <c r="AZ226" s="94">
        <f t="shared" si="49"/>
        <v>73381</v>
      </c>
      <c r="BA226" s="94">
        <f t="shared" si="50"/>
        <v>29147</v>
      </c>
      <c r="BB226" s="97">
        <f t="shared" si="51"/>
        <v>0</v>
      </c>
      <c r="BC226" s="98"/>
      <c r="BD226" s="94">
        <f t="shared" si="52"/>
        <v>30591</v>
      </c>
      <c r="BE226" s="94">
        <f t="shared" si="53"/>
        <v>3960</v>
      </c>
      <c r="BF226" s="94">
        <f t="shared" si="54"/>
        <v>38830</v>
      </c>
      <c r="BG226" s="94">
        <f t="shared" si="55"/>
        <v>0</v>
      </c>
      <c r="BH226" s="94" cm="1">
        <f t="array" ref="BH226">ROUNDDOWN(AM226*_xlfn.XLOOKUP(1,(BH$5=Table8[Type])*($D226&lt;=Table8[End]),Table8[요율],0,0),-1)</f>
        <v>820</v>
      </c>
      <c r="BI226" s="93" t="str" cm="1">
        <f t="array" ref="BI226">_xlfn.XLOOKUP(1,(D226&lt;=Table7[End])*(E226=Table7[근무처])*(F226=Table7[업무]),Table7[지급옵션],0,0)</f>
        <v>차주 화</v>
      </c>
      <c r="BJ226" s="83">
        <f>IF(BK226&lt;&gt;"",BK226,IFERROR(D226+_xlfn.NUMBERVALUE(RIGHT(BI226,1)),D226-WEEKDAY(D226)+CHOOSE(MATCH(RIGHT(BI226),{"일","월","화","수","목","금","토"},0),8,9,10,11,12,13,14)))</f>
        <v>45797</v>
      </c>
      <c r="BK226" s="99"/>
    </row>
    <row r="227" spans="2:63" x14ac:dyDescent="0.35">
      <c r="B227" s="20" t="str" cm="1">
        <f t="array" ref="B227">_xlfn.IFS(BB227&lt;&gt;BC227,"Claim확인",N227&lt;&gt;"OK","확인필요",TRUE,"")</f>
        <v/>
      </c>
      <c r="C227" s="21" t="str">
        <f t="shared" si="42"/>
        <v>010-3X6X-X4X7757X02XX284249</v>
      </c>
      <c r="D227" s="26">
        <v>45793</v>
      </c>
      <c r="E227" s="91" t="s">
        <v>255</v>
      </c>
      <c r="F227" s="25" t="s">
        <v>258</v>
      </c>
      <c r="G227" s="27" t="s">
        <v>283</v>
      </c>
      <c r="H227" s="25" t="s">
        <v>295</v>
      </c>
      <c r="I227" s="25"/>
      <c r="J227" s="25" t="s">
        <v>296</v>
      </c>
      <c r="K227" s="28">
        <v>0.29166666666666669</v>
      </c>
      <c r="L227" s="28">
        <v>0.66666666666666663</v>
      </c>
      <c r="M227" s="28">
        <v>4.1666666666666664E-2</v>
      </c>
      <c r="N227" s="25" t="s">
        <v>281</v>
      </c>
      <c r="O227" s="29" t="str">
        <f>_xlfn.XLOOKUP(Table2[[#This Row],[Key]],Table1[Key],Table1[주민등록번호],"",0)</f>
        <v>940XX41XX7X32</v>
      </c>
      <c r="P227" s="29">
        <f>_xlfn.XLOOKUP(Table2[[#This Row],[Key]],Table1[Key],Table1[비자],"",0)</f>
        <v>0</v>
      </c>
      <c r="Q227" s="29">
        <f>IF(P227=0,0,_xlfn.XLOOKUP(Table2[[#This Row],[Key]],Table1[Key],Table1[고용보험 여부],0,0))</f>
        <v>0</v>
      </c>
      <c r="R227" s="29" t="str">
        <f t="shared" si="43"/>
        <v>2505</v>
      </c>
      <c r="S227" s="30" t="str">
        <f>YEAR(Table2[[#This Row],[근무일자]])&amp;TEXT(WEEKNUM(Table2[[#This Row],[근무일자]]),"00")</f>
        <v>202520</v>
      </c>
      <c r="T227" s="31">
        <f>_xlfn.XLOOKUP(Table2[[#This Row],[Key]],Table1[Key],Table1[등록일],"",0)</f>
        <v>45751</v>
      </c>
      <c r="U227" s="32">
        <f t="shared" si="44"/>
        <v>0.33333333333333326</v>
      </c>
      <c r="V227" s="92">
        <f t="shared" si="45"/>
        <v>0</v>
      </c>
      <c r="W227" s="100" t="str">
        <f>_xlfn.XLOOKUP(Table2[[#This Row],[근무일자]],Table3[Date],Table3[Holiday],"",0)</f>
        <v/>
      </c>
      <c r="X227" s="93">
        <f>IF(D227&lt;&gt;"",1,0)+IF(COUNTIFS(Table2[주민등록번호],O227,Table2[월],TEXT(EOMONTH(D227,-1),"YYMM"))&gt;0,1+IF(COUNTIFS(Table2[주민등록번호],O227,Table2[월],TEXT(EOMONTH(D227,-2),"YYMM"))&gt;0,1+IF(COUNTIFS(Table2[주민등록번호],O227,Table2[월],TEXT(EOMONTH(D227,-3),"YYMM"))&gt;0,1,0),0),0)</f>
        <v>2</v>
      </c>
      <c r="Y227" s="29">
        <f>COUNTIFS(Table2[주민등록번호],O227,Table2[월],R227,Table2[근무일자],"&lt;="&amp;D227)</f>
        <v>9</v>
      </c>
      <c r="Z227" s="29">
        <f>COUNTIFS(Table2[주민등록번호],O227,Table2[주간],S227,Table2[근무일자],"&lt;="&amp;D227)</f>
        <v>5</v>
      </c>
      <c r="AA227" s="29">
        <f>SUMIFS(Table2[근로
시간],Table2[주민등록번호],O227,Table2[주간],S227,Table2[근무일자],"&lt;="&amp;D227)*24</f>
        <v>39.999999999999993</v>
      </c>
      <c r="AB227" s="29" t="str">
        <f>IF(AND(Y227&gt;=8,COUNTIFS(Table2[주민등록번호],O227,Table2[근무일자],"&gt;="&amp;EOMONTH(D227,-2)+1,Table2[근무일자],"&lt;="&amp;EOMONTH(D227,-1)+1)&gt;0),"V","")</f>
        <v>V</v>
      </c>
      <c r="AC227" s="94" cm="1">
        <f t="array" ref="AC227">IF(AD227&lt;&gt;"",AD227,_xlfn.XLOOKUP(1,(D227&lt;=Table7[End])*(E227=Table7[근무처])*(F227=Table7[업무]),Table7[시급],0,0))</f>
        <v>10680</v>
      </c>
      <c r="AD227" s="95"/>
      <c r="AE227" s="94">
        <f t="shared" si="46"/>
        <v>85440</v>
      </c>
      <c r="AF227" s="96" cm="1">
        <f t="array" ref="AF227">IF(AND(AA227&gt;=15,(AA227-U227*24)&lt;=40),IF(Z227&gt;=_xlfn.XLOOKUP(1,(D227&lt;=Table7[End])*(E227=Table7[근무처])*(F227=Table7[업무]),Table7[주휴적용일],0,0),1,0)+_xlfn.XLOOKUP(1,(Table2[주간]=Table2[[#This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227" s="96" cm="1">
        <f t="array" ref="AG227">MAX((_xlfn.IFS(AF227=0,0,AF227=1,AA227,AF227&gt;1,U227*24)-IF(AA227&gt;40,AA227-40,0))/5,0)</f>
        <v>1.5999999999999996</v>
      </c>
      <c r="AH227" s="94">
        <f t="shared" si="47"/>
        <v>17088</v>
      </c>
      <c r="AI227" s="33" cm="1">
        <f t="array" ref="AI227">IF(W227="",0,ROUND(AC227*U227*24*_xlfn.XLOOKUP(1,(D227&lt;=Table7[End])*(E227=Table7[근무처])*(F227=Table7[업무]),Table7[휴일인센티브],0,0),0))</f>
        <v>0</v>
      </c>
      <c r="AJ227" s="94" cm="1">
        <f t="array" ref="AJ227">ROUND(AC227*IF(U227&gt;=8/24,U227-8/24,0)*24*_xlfn.XLOOKUP(1,(D227&lt;=Table7[End])*(E227=Table7[근무처])*(F227=Table7[업무]),Table7[야간인센티브],0,0),0)</f>
        <v>0</v>
      </c>
      <c r="AK227" s="94" cm="1">
        <f t="array" ref="AK227">IF(V227=0,0,ROUND(AC227*V227*24*_xlfn.XLOOKUP(1,(D227&lt;=Table7[End])*(E227=Table7[근무처])*(F227=Table7[업무]),Table7[야간인센티브],0,0),0))</f>
        <v>0</v>
      </c>
      <c r="AL227" s="95"/>
      <c r="AM227" s="94">
        <f t="shared" si="48"/>
        <v>102528</v>
      </c>
      <c r="AN227" s="94" cm="1">
        <f t="array" ref="AN227">IF(AM227&gt;=_xlfn.XLOOKUP(TRUE,D227&lt;=Table5[End],Table5[비과세소득기준],0,0),AM227-_xlfn.XLOOKUP(TRUE,D227&lt;=Table5[End],Table5[비과세소득기준],0,0),0)</f>
        <v>0</v>
      </c>
      <c r="AO227" s="94" cm="1">
        <f t="array" ref="AO227">ROUNDDOWN(_xlfn.LET(_xlpm.setvalue,_xlfn.XLOOKUP(TRUE,D227&lt;=Table5[End],Table5[[요율]:[근로소득세액공제]],0,0),_xlpm.tax,AN227*PRODUCT((_xlpm.setvalue-{0,1})*{1,-1}),_xlpm.threshold,_xlfn.XLOOKUP(TRUE,D227&lt;=Table5[End],Table5[소액부징수기준],0,0),IF(_xlpm.tax&gt;=_xlpm.threshold,_xlpm.tax,0)),-1)</f>
        <v>0</v>
      </c>
      <c r="AP227" s="94">
        <f>ROUNDDOWN(Table2[[#This Row],[소득세]]*10%,-1)</f>
        <v>0</v>
      </c>
      <c r="AQ227" s="94">
        <f>IF(AB227="v",AM227+IF(Y227=8,SUMIFS(Table2[지급총액],Table2[주민등록번호],O227,Table2[월],R227,Table2[월간
근무일],"&lt;="&amp;8)-AM227,0),0)+_xlfn.NUMBERVALUE(AR227)</f>
        <v>102528</v>
      </c>
      <c r="AR227" s="95"/>
      <c r="AS227" s="94" cm="1">
        <f t="array" ref="AS227">ROUNDDOWN($AQ227*_xlfn.XLOOKUP(1,(AS$5=Table8[Type])*($D227&lt;=Table8[End]),Table8[요율],0,0),0)</f>
        <v>3634</v>
      </c>
      <c r="AT227" s="94" cm="1">
        <f t="array" ref="AT227">ROUNDDOWN(AS227*_xlfn.XLOOKUP(1,(AT$5=Table8[Type])*($D227&lt;=Table8[End]),Table8[요율],0,0),-1)</f>
        <v>470</v>
      </c>
      <c r="AU227" s="94" cm="1">
        <f t="array" ref="AU227">ROUNDDOWN($AQ227*_xlfn.XLOOKUP(1,(AU$5=Table8[Type])*($D227&lt;=Table8[End]),Table8[요율],0,0),-1)</f>
        <v>4610</v>
      </c>
      <c r="AV227" s="94" cm="1">
        <f t="array" ref="AV227">ROUNDDOWN(AM227*_xlfn.XLOOKUP(1,(AV$5=Table8[Type])*($D227&lt;=Table8[End]),Table8[요율],0,0),-1)</f>
        <v>0</v>
      </c>
      <c r="AW227" s="94" cm="1">
        <f t="array" ref="AW227">_xlfn.XLOOKUP(1,(O227=Table2[주민등록번호])*(D227&gt;Table2[근무일자]),Table2[청구 Claim 
이월],0,0,-1)</f>
        <v>0</v>
      </c>
      <c r="AX227" s="95"/>
      <c r="AY227" s="94" cm="1">
        <f t="array" ref="AY227">MAX(SUM(AO227:AP227,AS227:AX227)-_xlfn.XLOOKUP(1,(D227&lt;=Table7[End])*(E227=Table7[근무처])*(F227=Table7[업무]),Table7[1일 공제 상한],0,0),0)</f>
        <v>0</v>
      </c>
      <c r="AZ227" s="94">
        <f t="shared" si="49"/>
        <v>8714</v>
      </c>
      <c r="BA227" s="94">
        <f t="shared" si="50"/>
        <v>93814</v>
      </c>
      <c r="BB227" s="97">
        <f t="shared" si="51"/>
        <v>0</v>
      </c>
      <c r="BC227" s="98"/>
      <c r="BD227" s="94">
        <f t="shared" si="52"/>
        <v>3634</v>
      </c>
      <c r="BE227" s="94">
        <f t="shared" si="53"/>
        <v>470</v>
      </c>
      <c r="BF227" s="94">
        <f t="shared" si="54"/>
        <v>4610</v>
      </c>
      <c r="BG227" s="94">
        <f t="shared" si="55"/>
        <v>0</v>
      </c>
      <c r="BH227" s="94" cm="1">
        <f t="array" ref="BH227">ROUNDDOWN(AM227*_xlfn.XLOOKUP(1,(BH$5=Table8[Type])*($D227&lt;=Table8[End]),Table8[요율],0,0),-1)</f>
        <v>820</v>
      </c>
      <c r="BI227" s="93" t="str" cm="1">
        <f t="array" ref="BI227">_xlfn.XLOOKUP(1,(D227&lt;=Table7[End])*(E227=Table7[근무처])*(F227=Table7[업무]),Table7[지급옵션],0,0)</f>
        <v>차주 화</v>
      </c>
      <c r="BJ227" s="83">
        <f>IF(BK227&lt;&gt;"",BK227,IFERROR(D227+_xlfn.NUMBERVALUE(RIGHT(BI227,1)),D227-WEEKDAY(D227)+CHOOSE(MATCH(RIGHT(BI227),{"일","월","화","수","목","금","토"},0),8,9,10,11,12,13,14)))</f>
        <v>45797</v>
      </c>
      <c r="BK227" s="99"/>
    </row>
    <row r="228" spans="2:63" x14ac:dyDescent="0.35">
      <c r="B228" s="20" t="str" cm="1">
        <f t="array" ref="B228">_xlfn.IFS(BB228&lt;&gt;BC228,"Claim확인",N228&lt;&gt;"OK","확인필요",TRUE,"")</f>
        <v/>
      </c>
      <c r="C228" s="21" t="str">
        <f t="shared" si="42"/>
        <v>010-3X4X-X9X7219X02XX284640</v>
      </c>
      <c r="D228" s="26">
        <v>45793</v>
      </c>
      <c r="E228" s="91" t="s">
        <v>253</v>
      </c>
      <c r="F228" s="25" t="s">
        <v>257</v>
      </c>
      <c r="G228" s="27" t="s">
        <v>286</v>
      </c>
      <c r="H228" s="25" t="s">
        <v>299</v>
      </c>
      <c r="I228" s="25"/>
      <c r="J228" s="25" t="s">
        <v>300</v>
      </c>
      <c r="K228" s="28">
        <v>0.6875</v>
      </c>
      <c r="L228" s="28">
        <v>0.91666666666666663</v>
      </c>
      <c r="M228" s="28">
        <v>2.0833333333333332E-2</v>
      </c>
      <c r="N228" s="25" t="s">
        <v>281</v>
      </c>
      <c r="O228" s="29" t="str">
        <f>_xlfn.XLOOKUP(Table2[[#This Row],[Key]],Table1[Key],Table1[주민등록번호],"",0)</f>
        <v>931XX31XX3X14</v>
      </c>
      <c r="P228" s="29">
        <f>_xlfn.XLOOKUP(Table2[[#This Row],[Key]],Table1[Key],Table1[비자],"",0)</f>
        <v>0</v>
      </c>
      <c r="Q228" s="29">
        <f>IF(P228=0,0,_xlfn.XLOOKUP(Table2[[#This Row],[Key]],Table1[Key],Table1[고용보험 여부],0,0))</f>
        <v>0</v>
      </c>
      <c r="R228" s="29" t="str">
        <f t="shared" si="43"/>
        <v>2505</v>
      </c>
      <c r="S228" s="30" t="str">
        <f>YEAR(Table2[[#This Row],[근무일자]])&amp;TEXT(WEEKNUM(Table2[[#This Row],[근무일자]]),"00")</f>
        <v>202520</v>
      </c>
      <c r="T228" s="31">
        <f>_xlfn.XLOOKUP(Table2[[#This Row],[Key]],Table1[Key],Table1[등록일],"",0)</f>
        <v>45773</v>
      </c>
      <c r="U228" s="32">
        <f t="shared" si="44"/>
        <v>0.20833333333333329</v>
      </c>
      <c r="V228" s="92">
        <f t="shared" si="45"/>
        <v>0</v>
      </c>
      <c r="W228" s="100" t="str">
        <f>_xlfn.XLOOKUP(Table2[[#This Row],[근무일자]],Table3[Date],Table3[Holiday],"",0)</f>
        <v/>
      </c>
      <c r="X228" s="93">
        <f>IF(D228&lt;&gt;"",1,0)+IF(COUNTIFS(Table2[주민등록번호],O228,Table2[월],TEXT(EOMONTH(D228,-1),"YYMM"))&gt;0,1+IF(COUNTIFS(Table2[주민등록번호],O228,Table2[월],TEXT(EOMONTH(D228,-2),"YYMM"))&gt;0,1+IF(COUNTIFS(Table2[주민등록번호],O228,Table2[월],TEXT(EOMONTH(D228,-3),"YYMM"))&gt;0,1,0),0),0)</f>
        <v>4</v>
      </c>
      <c r="Y228" s="29">
        <f>COUNTIFS(Table2[주민등록번호],O228,Table2[월],R228,Table2[근무일자],"&lt;="&amp;D228)</f>
        <v>2</v>
      </c>
      <c r="Z228" s="29">
        <f>COUNTIFS(Table2[주민등록번호],O228,Table2[주간],S228,Table2[근무일자],"&lt;="&amp;D228)</f>
        <v>1</v>
      </c>
      <c r="AA228" s="29">
        <f>SUMIFS(Table2[근로
시간],Table2[주민등록번호],O228,Table2[주간],S228,Table2[근무일자],"&lt;="&amp;D228)*24</f>
        <v>4.9999999999999991</v>
      </c>
      <c r="AB228" s="29" t="str">
        <f>IF(AND(Y228&gt;=8,COUNTIFS(Table2[주민등록번호],O228,Table2[근무일자],"&gt;="&amp;EOMONTH(D228,-2)+1,Table2[근무일자],"&lt;="&amp;EOMONTH(D228,-1)+1)&gt;0),"V","")</f>
        <v/>
      </c>
      <c r="AC228" s="94" cm="1">
        <f t="array" ref="AC228">IF(AD228&lt;&gt;"",AD228,_xlfn.XLOOKUP(1,(D228&lt;=Table7[End])*(E228=Table7[근무처])*(F228=Table7[업무]),Table7[시급],0,0))</f>
        <v>10030</v>
      </c>
      <c r="AD228" s="95"/>
      <c r="AE228" s="94">
        <f t="shared" si="46"/>
        <v>50150</v>
      </c>
      <c r="AF228" s="96" cm="1">
        <f t="array" ref="AF228">IF(AND(AA228&gt;=15,(AA228-U228*24)&lt;=40),IF(Z228&gt;=_xlfn.XLOOKUP(1,(D228&lt;=Table7[End])*(E228=Table7[근무처])*(F228=Table7[업무]),Table7[주휴적용일],0,0),1,0)+_xlfn.XLOOKUP(1,(Table2[주간]=Table2[[#This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28" s="96" cm="1">
        <f t="array" ref="AG228">MAX((_xlfn.IFS(AF228=0,0,AF228=1,AA228,AF228&gt;1,U228*24)-IF(AA228&gt;40,AA228-40,0))/5,0)</f>
        <v>0</v>
      </c>
      <c r="AH228" s="94">
        <f t="shared" si="47"/>
        <v>0</v>
      </c>
      <c r="AI228" s="33" cm="1">
        <f t="array" ref="AI228">IF(W228="",0,ROUND(AC228*U228*24*_xlfn.XLOOKUP(1,(D228&lt;=Table7[End])*(E228=Table7[근무처])*(F228=Table7[업무]),Table7[휴일인센티브],0,0),0))</f>
        <v>0</v>
      </c>
      <c r="AJ228" s="94" cm="1">
        <f t="array" ref="AJ228">ROUND(AC228*IF(U228&gt;=8/24,U228-8/24,0)*24*_xlfn.XLOOKUP(1,(D228&lt;=Table7[End])*(E228=Table7[근무처])*(F228=Table7[업무]),Table7[야간인센티브],0,0),0)</f>
        <v>0</v>
      </c>
      <c r="AK228" s="94" cm="1">
        <f t="array" ref="AK228">IF(V228=0,0,ROUND(AC228*V228*24*_xlfn.XLOOKUP(1,(D228&lt;=Table7[End])*(E228=Table7[근무처])*(F228=Table7[업무]),Table7[야간인센티브],0,0),0))</f>
        <v>0</v>
      </c>
      <c r="AL228" s="95"/>
      <c r="AM228" s="94">
        <f t="shared" si="48"/>
        <v>50150</v>
      </c>
      <c r="AN228" s="94" cm="1">
        <f t="array" ref="AN228">IF(AM228&gt;=_xlfn.XLOOKUP(TRUE,D228&lt;=Table5[End],Table5[비과세소득기준],0,0),AM228-_xlfn.XLOOKUP(TRUE,D228&lt;=Table5[End],Table5[비과세소득기준],0,0),0)</f>
        <v>0</v>
      </c>
      <c r="AO228" s="94" cm="1">
        <f t="array" ref="AO228">ROUNDDOWN(_xlfn.LET(_xlpm.setvalue,_xlfn.XLOOKUP(TRUE,D228&lt;=Table5[End],Table5[[요율]:[근로소득세액공제]],0,0),_xlpm.tax,AN228*PRODUCT((_xlpm.setvalue-{0,1})*{1,-1}),_xlpm.threshold,_xlfn.XLOOKUP(TRUE,D228&lt;=Table5[End],Table5[소액부징수기준],0,0),IF(_xlpm.tax&gt;=_xlpm.threshold,_xlpm.tax,0)),-1)</f>
        <v>0</v>
      </c>
      <c r="AP228" s="94">
        <f>ROUNDDOWN(Table2[[#This Row],[소득세]]*10%,-1)</f>
        <v>0</v>
      </c>
      <c r="AQ228" s="94">
        <f>IF(AB228="v",AM228+IF(Y228=8,SUMIFS(Table2[지급총액],Table2[주민등록번호],O228,Table2[월],R228,Table2[월간
근무일],"&lt;="&amp;8)-AM228,0),0)+_xlfn.NUMBERVALUE(AR228)</f>
        <v>0</v>
      </c>
      <c r="AR228" s="95"/>
      <c r="AS228" s="94" cm="1">
        <f t="array" ref="AS228">ROUNDDOWN($AQ228*_xlfn.XLOOKUP(1,(AS$5=Table8[Type])*($D228&lt;=Table8[End]),Table8[요율],0,0),0)</f>
        <v>0</v>
      </c>
      <c r="AT228" s="94" cm="1">
        <f t="array" ref="AT228">ROUNDDOWN(AS228*_xlfn.XLOOKUP(1,(AT$5=Table8[Type])*($D228&lt;=Table8[End]),Table8[요율],0,0),-1)</f>
        <v>0</v>
      </c>
      <c r="AU228" s="94" cm="1">
        <f t="array" ref="AU228">ROUNDDOWN($AQ228*_xlfn.XLOOKUP(1,(AU$5=Table8[Type])*($D228&lt;=Table8[End]),Table8[요율],0,0),-1)</f>
        <v>0</v>
      </c>
      <c r="AV228" s="94" cm="1">
        <f t="array" ref="AV228">ROUNDDOWN(AM228*_xlfn.XLOOKUP(1,(AV$5=Table8[Type])*($D228&lt;=Table8[End]),Table8[요율],0,0),-1)</f>
        <v>0</v>
      </c>
      <c r="AW228" s="94" cm="1">
        <f t="array" ref="AW228">_xlfn.XLOOKUP(1,(O228=Table2[주민등록번호])*(D228&gt;Table2[근무일자]),Table2[청구 Claim 
이월],0,0,-1)</f>
        <v>0</v>
      </c>
      <c r="AX228" s="95"/>
      <c r="AY228" s="94" cm="1">
        <f t="array" ref="AY228">MAX(SUM(AO228:AP228,AS228:AX228)-_xlfn.XLOOKUP(1,(D228&lt;=Table7[End])*(E228=Table7[근무처])*(F228=Table7[업무]),Table7[1일 공제 상한],0,0),0)</f>
        <v>0</v>
      </c>
      <c r="AZ228" s="94">
        <f t="shared" si="49"/>
        <v>0</v>
      </c>
      <c r="BA228" s="94">
        <f t="shared" si="50"/>
        <v>50150</v>
      </c>
      <c r="BB228" s="97">
        <f t="shared" si="51"/>
        <v>0</v>
      </c>
      <c r="BC228" s="98"/>
      <c r="BD228" s="94">
        <f t="shared" si="52"/>
        <v>0</v>
      </c>
      <c r="BE228" s="94">
        <f t="shared" si="53"/>
        <v>0</v>
      </c>
      <c r="BF228" s="94">
        <f t="shared" si="54"/>
        <v>0</v>
      </c>
      <c r="BG228" s="94">
        <f t="shared" si="55"/>
        <v>0</v>
      </c>
      <c r="BH228" s="94" cm="1">
        <f t="array" ref="BH228">ROUNDDOWN(AM228*_xlfn.XLOOKUP(1,(BH$5=Table8[Type])*($D228&lt;=Table8[End]),Table8[요율],0,0),-1)</f>
        <v>400</v>
      </c>
      <c r="BI228" s="93" t="str" cm="1">
        <f t="array" ref="BI228">_xlfn.XLOOKUP(1,(D228&lt;=Table7[End])*(E228=Table7[근무처])*(F228=Table7[업무]),Table7[지급옵션],0,0)</f>
        <v>D+2</v>
      </c>
      <c r="BJ228" s="83">
        <f>IF(BK228&lt;&gt;"",BK228,IFERROR(D228+_xlfn.NUMBERVALUE(RIGHT(BI228,1)),D228-WEEKDAY(D228)+CHOOSE(MATCH(RIGHT(BI228),{"일","월","화","수","목","금","토"},0),8,9,10,11,12,13,14)))</f>
        <v>45795</v>
      </c>
      <c r="BK228" s="99"/>
    </row>
    <row r="229" spans="2:63" x14ac:dyDescent="0.35">
      <c r="B229" s="20" t="str" cm="1">
        <f t="array" ref="B229">_xlfn.IFS(BB229&lt;&gt;BC229,"Claim확인",N229&lt;&gt;"OK","확인필요",TRUE,"")</f>
        <v/>
      </c>
      <c r="C229" s="21" t="str">
        <f t="shared" si="42"/>
        <v>010-3X6X-X4X7757X02XX284249</v>
      </c>
      <c r="D229" s="26">
        <v>45794</v>
      </c>
      <c r="E229" s="91" t="s">
        <v>255</v>
      </c>
      <c r="F229" s="25" t="s">
        <v>258</v>
      </c>
      <c r="G229" s="27" t="s">
        <v>283</v>
      </c>
      <c r="H229" s="25" t="s">
        <v>295</v>
      </c>
      <c r="I229" s="25"/>
      <c r="J229" s="25" t="s">
        <v>296</v>
      </c>
      <c r="K229" s="28">
        <v>0.29166666666666669</v>
      </c>
      <c r="L229" s="28">
        <v>0.66666666666666663</v>
      </c>
      <c r="M229" s="28">
        <v>4.1666666666666664E-2</v>
      </c>
      <c r="N229" s="25" t="s">
        <v>281</v>
      </c>
      <c r="O229" s="29" t="str">
        <f>_xlfn.XLOOKUP(Table2[[#This Row],[Key]],Table1[Key],Table1[주민등록번호],"",0)</f>
        <v>940XX41XX7X32</v>
      </c>
      <c r="P229" s="29">
        <f>_xlfn.XLOOKUP(Table2[[#This Row],[Key]],Table1[Key],Table1[비자],"",0)</f>
        <v>0</v>
      </c>
      <c r="Q229" s="29">
        <f>IF(P229=0,0,_xlfn.XLOOKUP(Table2[[#This Row],[Key]],Table1[Key],Table1[고용보험 여부],0,0))</f>
        <v>0</v>
      </c>
      <c r="R229" s="29" t="str">
        <f t="shared" si="43"/>
        <v>2505</v>
      </c>
      <c r="S229" s="30" t="str">
        <f>YEAR(Table2[[#This Row],[근무일자]])&amp;TEXT(WEEKNUM(Table2[[#This Row],[근무일자]]),"00")</f>
        <v>202520</v>
      </c>
      <c r="T229" s="31">
        <f>_xlfn.XLOOKUP(Table2[[#This Row],[Key]],Table1[Key],Table1[등록일],"",0)</f>
        <v>45751</v>
      </c>
      <c r="U229" s="32">
        <f t="shared" si="44"/>
        <v>0.33333333333333326</v>
      </c>
      <c r="V229" s="92">
        <f t="shared" si="45"/>
        <v>0</v>
      </c>
      <c r="W229" s="100" t="str">
        <f>_xlfn.XLOOKUP(Table2[[#This Row],[근무일자]],Table3[Date],Table3[Holiday],"",0)</f>
        <v/>
      </c>
      <c r="X229" s="93">
        <f>IF(D229&lt;&gt;"",1,0)+IF(COUNTIFS(Table2[주민등록번호],O229,Table2[월],TEXT(EOMONTH(D229,-1),"YYMM"))&gt;0,1+IF(COUNTIFS(Table2[주민등록번호],O229,Table2[월],TEXT(EOMONTH(D229,-2),"YYMM"))&gt;0,1+IF(COUNTIFS(Table2[주민등록번호],O229,Table2[월],TEXT(EOMONTH(D229,-3),"YYMM"))&gt;0,1,0),0),0)</f>
        <v>2</v>
      </c>
      <c r="Y229" s="29">
        <f>COUNTIFS(Table2[주민등록번호],O229,Table2[월],R229,Table2[근무일자],"&lt;="&amp;D229)</f>
        <v>10</v>
      </c>
      <c r="Z229" s="29">
        <f>COUNTIFS(Table2[주민등록번호],O229,Table2[주간],S229,Table2[근무일자],"&lt;="&amp;D229)</f>
        <v>6</v>
      </c>
      <c r="AA229" s="29">
        <f>SUMIFS(Table2[근로
시간],Table2[주민등록번호],O229,Table2[주간],S229,Table2[근무일자],"&lt;="&amp;D229)*24</f>
        <v>47.999999999999986</v>
      </c>
      <c r="AB229" s="29" t="str">
        <f>IF(AND(Y229&gt;=8,COUNTIFS(Table2[주민등록번호],O229,Table2[근무일자],"&gt;="&amp;EOMONTH(D229,-2)+1,Table2[근무일자],"&lt;="&amp;EOMONTH(D229,-1)+1)&gt;0),"V","")</f>
        <v>V</v>
      </c>
      <c r="AC229" s="94" cm="1">
        <f t="array" ref="AC229">IF(AD229&lt;&gt;"",AD229,_xlfn.XLOOKUP(1,(D229&lt;=Table7[End])*(E229=Table7[근무처])*(F229=Table7[업무]),Table7[시급],0,0))</f>
        <v>10680</v>
      </c>
      <c r="AD229" s="95"/>
      <c r="AE229" s="94">
        <f t="shared" si="46"/>
        <v>85440</v>
      </c>
      <c r="AF229" s="96" cm="1">
        <f t="array" ref="AF229">IF(AND(AA229&gt;=15,(AA229-U229*24)&lt;=40),IF(Z229&gt;=_xlfn.XLOOKUP(1,(D229&lt;=Table7[End])*(E229=Table7[근무처])*(F229=Table7[업무]),Table7[주휴적용일],0,0),1,0)+_xlfn.XLOOKUP(1,(Table2[주간]=Table2[[#This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5</v>
      </c>
      <c r="AG229" s="96" cm="1">
        <f t="array" ref="AG229">MAX((_xlfn.IFS(AF229=0,0,AF229=1,AA229,AF229&gt;1,U229*24)-IF(AA229&gt;40,AA229-40,0))/5,0)</f>
        <v>2.4868995751603505E-15</v>
      </c>
      <c r="AH229" s="94">
        <f t="shared" si="47"/>
        <v>0</v>
      </c>
      <c r="AI229" s="33" cm="1">
        <f t="array" ref="AI229">IF(W229="",0,ROUND(AC229*U229*24*_xlfn.XLOOKUP(1,(D229&lt;=Table7[End])*(E229=Table7[근무처])*(F229=Table7[업무]),Table7[휴일인센티브],0,0),0))</f>
        <v>0</v>
      </c>
      <c r="AJ229" s="94" cm="1">
        <f t="array" ref="AJ229">ROUND(AC229*IF(U229&gt;=8/24,U229-8/24,0)*24*_xlfn.XLOOKUP(1,(D229&lt;=Table7[End])*(E229=Table7[근무처])*(F229=Table7[업무]),Table7[야간인센티브],0,0),0)</f>
        <v>0</v>
      </c>
      <c r="AK229" s="94" cm="1">
        <f t="array" ref="AK229">IF(V229=0,0,ROUND(AC229*V229*24*_xlfn.XLOOKUP(1,(D229&lt;=Table7[End])*(E229=Table7[근무처])*(F229=Table7[업무]),Table7[야간인센티브],0,0),0))</f>
        <v>0</v>
      </c>
      <c r="AL229" s="95"/>
      <c r="AM229" s="94">
        <f t="shared" si="48"/>
        <v>85440</v>
      </c>
      <c r="AN229" s="94" cm="1">
        <f t="array" ref="AN229">IF(AM229&gt;=_xlfn.XLOOKUP(TRUE,D229&lt;=Table5[End],Table5[비과세소득기준],0,0),AM229-_xlfn.XLOOKUP(TRUE,D229&lt;=Table5[End],Table5[비과세소득기준],0,0),0)</f>
        <v>0</v>
      </c>
      <c r="AO229" s="94" cm="1">
        <f t="array" ref="AO229">ROUNDDOWN(_xlfn.LET(_xlpm.setvalue,_xlfn.XLOOKUP(TRUE,D229&lt;=Table5[End],Table5[[요율]:[근로소득세액공제]],0,0),_xlpm.tax,AN229*PRODUCT((_xlpm.setvalue-{0,1})*{1,-1}),_xlpm.threshold,_xlfn.XLOOKUP(TRUE,D229&lt;=Table5[End],Table5[소액부징수기준],0,0),IF(_xlpm.tax&gt;=_xlpm.threshold,_xlpm.tax,0)),-1)</f>
        <v>0</v>
      </c>
      <c r="AP229" s="94">
        <f>ROUNDDOWN(Table2[[#This Row],[소득세]]*10%,-1)</f>
        <v>0</v>
      </c>
      <c r="AQ229" s="94">
        <f>IF(AB229="v",AM229+IF(Y229=8,SUMIFS(Table2[지급총액],Table2[주민등록번호],O229,Table2[월],R229,Table2[월간
근무일],"&lt;="&amp;8)-AM229,0),0)+_xlfn.NUMBERVALUE(AR229)</f>
        <v>85440</v>
      </c>
      <c r="AR229" s="95"/>
      <c r="AS229" s="94" cm="1">
        <f t="array" ref="AS229">ROUNDDOWN($AQ229*_xlfn.XLOOKUP(1,(AS$5=Table8[Type])*($D229&lt;=Table8[End]),Table8[요율],0,0),0)</f>
        <v>3028</v>
      </c>
      <c r="AT229" s="94" cm="1">
        <f t="array" ref="AT229">ROUNDDOWN(AS229*_xlfn.XLOOKUP(1,(AT$5=Table8[Type])*($D229&lt;=Table8[End]),Table8[요율],0,0),-1)</f>
        <v>390</v>
      </c>
      <c r="AU229" s="94" cm="1">
        <f t="array" ref="AU229">ROUNDDOWN($AQ229*_xlfn.XLOOKUP(1,(AU$5=Table8[Type])*($D229&lt;=Table8[End]),Table8[요율],0,0),-1)</f>
        <v>3840</v>
      </c>
      <c r="AV229" s="94" cm="1">
        <f t="array" ref="AV229">ROUNDDOWN(AM229*_xlfn.XLOOKUP(1,(AV$5=Table8[Type])*($D229&lt;=Table8[End]),Table8[요율],0,0),-1)</f>
        <v>0</v>
      </c>
      <c r="AW229" s="94" cm="1">
        <f t="array" ref="AW229">_xlfn.XLOOKUP(1,(O229=Table2[주민등록번호])*(D229&gt;Table2[근무일자]),Table2[청구 Claim 
이월],0,0,-1)</f>
        <v>0</v>
      </c>
      <c r="AX229" s="95"/>
      <c r="AY229" s="94" cm="1">
        <f t="array" ref="AY229">MAX(SUM(AO229:AP229,AS229:AX229)-_xlfn.XLOOKUP(1,(D229&lt;=Table7[End])*(E229=Table7[근무처])*(F229=Table7[업무]),Table7[1일 공제 상한],0,0),0)</f>
        <v>0</v>
      </c>
      <c r="AZ229" s="94">
        <f t="shared" si="49"/>
        <v>7258</v>
      </c>
      <c r="BA229" s="94">
        <f t="shared" si="50"/>
        <v>78182</v>
      </c>
      <c r="BB229" s="97">
        <f t="shared" si="51"/>
        <v>0</v>
      </c>
      <c r="BC229" s="98"/>
      <c r="BD229" s="94">
        <f t="shared" si="52"/>
        <v>3028</v>
      </c>
      <c r="BE229" s="94">
        <f t="shared" si="53"/>
        <v>390</v>
      </c>
      <c r="BF229" s="94">
        <f t="shared" si="54"/>
        <v>3840</v>
      </c>
      <c r="BG229" s="94">
        <f t="shared" si="55"/>
        <v>0</v>
      </c>
      <c r="BH229" s="94" cm="1">
        <f t="array" ref="BH229">ROUNDDOWN(AM229*_xlfn.XLOOKUP(1,(BH$5=Table8[Type])*($D229&lt;=Table8[End]),Table8[요율],0,0),-1)</f>
        <v>680</v>
      </c>
      <c r="BI229" s="93" t="str" cm="1">
        <f t="array" ref="BI229">_xlfn.XLOOKUP(1,(D229&lt;=Table7[End])*(E229=Table7[근무처])*(F229=Table7[업무]),Table7[지급옵션],0,0)</f>
        <v>차주 화</v>
      </c>
      <c r="BJ229" s="83">
        <f>IF(BK229&lt;&gt;"",BK229,IFERROR(D229+_xlfn.NUMBERVALUE(RIGHT(BI229,1)),D229-WEEKDAY(D229)+CHOOSE(MATCH(RIGHT(BI229),{"일","월","화","수","목","금","토"},0),8,9,10,11,12,13,14)))</f>
        <v>45797</v>
      </c>
      <c r="BK229" s="99"/>
    </row>
    <row r="230" spans="2:63" x14ac:dyDescent="0.35">
      <c r="B230" s="20" t="str" cm="1">
        <f t="array" ref="B230">_xlfn.IFS(BB230&lt;&gt;BC230,"Claim확인",N230&lt;&gt;"OK","확인필요",TRUE,"")</f>
        <v>Claim확인</v>
      </c>
      <c r="C230" s="21" t="str">
        <f t="shared" si="42"/>
        <v>010-2X2X-X2X2945X02XX268466</v>
      </c>
      <c r="D230" s="26">
        <v>45795</v>
      </c>
      <c r="E230" s="91" t="s">
        <v>253</v>
      </c>
      <c r="F230" s="25" t="s">
        <v>257</v>
      </c>
      <c r="G230" s="27" t="s">
        <v>285</v>
      </c>
      <c r="H230" s="25" t="s">
        <v>297</v>
      </c>
      <c r="I230" s="25"/>
      <c r="J230" s="25" t="s">
        <v>298</v>
      </c>
      <c r="K230" s="28">
        <v>0.375</v>
      </c>
      <c r="L230" s="28">
        <v>0.60416666666666663</v>
      </c>
      <c r="M230" s="28">
        <v>2.0833333333333332E-2</v>
      </c>
      <c r="N230" s="25" t="s">
        <v>281</v>
      </c>
      <c r="O230" s="29" t="str">
        <f>_xlfn.XLOOKUP(Table2[[#This Row],[Key]],Table1[Key],Table1[주민등록번호],"",0)</f>
        <v>980XX81XX7X17</v>
      </c>
      <c r="P230" s="86">
        <f>_xlfn.XLOOKUP(Table2[[#This Row],[Key]],Table1[Key],Table1[비자],"",0)</f>
        <v>0</v>
      </c>
      <c r="Q230" s="86">
        <f>IF(P230=0,0,_xlfn.XLOOKUP(Table2[[#This Row],[Key]],Table1[Key],Table1[고용보험 여부],0,0))</f>
        <v>0</v>
      </c>
      <c r="R230" s="29" t="str">
        <f t="shared" si="43"/>
        <v>2505</v>
      </c>
      <c r="S230" s="30" t="str">
        <f>YEAR(Table2[[#This Row],[근무일자]])&amp;TEXT(WEEKNUM(Table2[[#This Row],[근무일자]]),"00")</f>
        <v>202521</v>
      </c>
      <c r="T230" s="31">
        <f>_xlfn.XLOOKUP(Table2[[#This Row],[Key]],Table1[Key],Table1[등록일],"",0)</f>
        <v>45752</v>
      </c>
      <c r="U230" s="32">
        <f t="shared" si="44"/>
        <v>0.20833333333333329</v>
      </c>
      <c r="V230" s="92">
        <f t="shared" si="45"/>
        <v>0</v>
      </c>
      <c r="W230" s="100" t="str">
        <f>_xlfn.XLOOKUP(Table2[[#This Row],[근무일자]],Table3[Date],Table3[Holiday],"",0)</f>
        <v/>
      </c>
      <c r="X230" s="93">
        <f>IF(D230&lt;&gt;"",1,0)+IF(COUNTIFS(Table2[주민등록번호],O230,Table2[월],TEXT(EOMONTH(D230,-1),"YYMM"))&gt;0,1+IF(COUNTIFS(Table2[주민등록번호],O230,Table2[월],TEXT(EOMONTH(D230,-2),"YYMM"))&gt;0,1+IF(COUNTIFS(Table2[주민등록번호],O230,Table2[월],TEXT(EOMONTH(D230,-3),"YYMM"))&gt;0,1,0),0),0)</f>
        <v>2</v>
      </c>
      <c r="Y230" s="29">
        <f>COUNTIFS(Table2[주민등록번호],O230,Table2[월],R230,Table2[근무일자],"&lt;="&amp;D230)</f>
        <v>8</v>
      </c>
      <c r="Z230" s="29">
        <f>COUNTIFS(Table2[주민등록번호],O230,Table2[주간],S230,Table2[근무일자],"&lt;="&amp;D230)</f>
        <v>1</v>
      </c>
      <c r="AA230" s="29">
        <f>SUMIFS(Table2[근로
시간],Table2[주민등록번호],O230,Table2[주간],S230,Table2[근무일자],"&lt;="&amp;D230)*24</f>
        <v>4.9999999999999991</v>
      </c>
      <c r="AB230" s="29" t="str">
        <f>IF(AND(Y230&gt;=8,COUNTIFS(Table2[주민등록번호],O230,Table2[근무일자],"&gt;="&amp;EOMONTH(D230,-2)+1,Table2[근무일자],"&lt;="&amp;EOMONTH(D230,-1)+1)&gt;0),"V","")</f>
        <v>V</v>
      </c>
      <c r="AC230" s="94" cm="1">
        <f t="array" ref="AC230">IF(AD230&lt;&gt;"",AD230,_xlfn.XLOOKUP(1,(D230&lt;=Table7[End])*(E230=Table7[근무처])*(F230=Table7[업무]),Table7[시급],0,0))</f>
        <v>10030</v>
      </c>
      <c r="AD230" s="95"/>
      <c r="AE230" s="94">
        <f t="shared" si="46"/>
        <v>50150</v>
      </c>
      <c r="AF230" s="96" cm="1">
        <f t="array" ref="AF230">IF(AND(AA230&gt;=15,(AA230-U230*24)&lt;=40),IF(Z230&gt;=_xlfn.XLOOKUP(1,(D230&lt;=Table7[End])*(E230=Table7[근무처])*(F230=Table7[업무]),Table7[주휴적용일],0,0),1,0)+_xlfn.XLOOKUP(1,(Table2[주간]=Table2[[#This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30" s="96" cm="1">
        <f t="array" ref="AG230">MAX((_xlfn.IFS(AF230=0,0,AF230=1,AA230,AF230&gt;1,U230*24)-IF(AA230&gt;40,AA230-40,0))/5,0)</f>
        <v>0</v>
      </c>
      <c r="AH230" s="94">
        <f t="shared" si="47"/>
        <v>0</v>
      </c>
      <c r="AI230" s="33" cm="1">
        <f t="array" ref="AI230">IF(W230="",0,ROUND(AC230*U230*24*_xlfn.XLOOKUP(1,(D230&lt;=Table7[End])*(E230=Table7[근무처])*(F230=Table7[업무]),Table7[휴일인센티브],0,0),0))</f>
        <v>0</v>
      </c>
      <c r="AJ230" s="94" cm="1">
        <f t="array" ref="AJ230">ROUND(AC230*IF(U230&gt;=8/24,U230-8/24,0)*24*_xlfn.XLOOKUP(1,(D230&lt;=Table7[End])*(E230=Table7[근무처])*(F230=Table7[업무]),Table7[야간인센티브],0,0),0)</f>
        <v>0</v>
      </c>
      <c r="AK230" s="94" cm="1">
        <f t="array" ref="AK230">IF(V230=0,0,ROUND(AC230*V230*24*_xlfn.XLOOKUP(1,(D230&lt;=Table7[End])*(E230=Table7[근무처])*(F230=Table7[업무]),Table7[야간인센티브],0,0),0))</f>
        <v>0</v>
      </c>
      <c r="AL230" s="95"/>
      <c r="AM230" s="94">
        <f t="shared" si="48"/>
        <v>50150</v>
      </c>
      <c r="AN230" s="94" cm="1">
        <f t="array" ref="AN230">IF(AM230&gt;=_xlfn.XLOOKUP(TRUE,D230&lt;=Table5[End],Table5[비과세소득기준],0,0),AM230-_xlfn.XLOOKUP(TRUE,D230&lt;=Table5[End],Table5[비과세소득기준],0,0),0)</f>
        <v>0</v>
      </c>
      <c r="AO230" s="94" cm="1">
        <f t="array" ref="AO230">ROUNDDOWN(_xlfn.LET(_xlpm.setvalue,_xlfn.XLOOKUP(TRUE,D230&lt;=Table5[End],Table5[[요율]:[근로소득세액공제]],0,0),_xlpm.tax,AN230*PRODUCT((_xlpm.setvalue-{0,1})*{1,-1}),_xlpm.threshold,_xlfn.XLOOKUP(TRUE,D230&lt;=Table5[End],Table5[소액부징수기준],0,0),IF(_xlpm.tax&gt;=_xlpm.threshold,_xlpm.tax,0)),-1)</f>
        <v>0</v>
      </c>
      <c r="AP230" s="94">
        <f>ROUNDDOWN(Table2[[#This Row],[소득세]]*10%,-1)</f>
        <v>0</v>
      </c>
      <c r="AQ230" s="94">
        <f>IF(AB230="v",AM230+IF(Y230=8,SUMIFS(Table2[지급총액],Table2[주민등록번호],O230,Table2[월],R230,Table2[월간
근무일],"&lt;="&amp;8)-AM230,0),0)+_xlfn.NUMBERVALUE(AR230)</f>
        <v>853286</v>
      </c>
      <c r="AR230" s="95"/>
      <c r="AS230" s="94" cm="1">
        <f t="array" ref="AS230">ROUNDDOWN($AQ230*_xlfn.XLOOKUP(1,(AS$5=Table8[Type])*($D230&lt;=Table8[End]),Table8[요율],0,0),0)</f>
        <v>30248</v>
      </c>
      <c r="AT230" s="94" cm="1">
        <f t="array" ref="AT230">ROUNDDOWN(AS230*_xlfn.XLOOKUP(1,(AT$5=Table8[Type])*($D230&lt;=Table8[End]),Table8[요율],0,0),-1)</f>
        <v>3920</v>
      </c>
      <c r="AU230" s="94" cm="1">
        <f t="array" ref="AU230">ROUNDDOWN($AQ230*_xlfn.XLOOKUP(1,(AU$5=Table8[Type])*($D230&lt;=Table8[End]),Table8[요율],0,0),-1)</f>
        <v>38390</v>
      </c>
      <c r="AV230" s="94" cm="1">
        <f t="array" ref="AV230">ROUNDDOWN(AM230*_xlfn.XLOOKUP(1,(AV$5=Table8[Type])*($D230&lt;=Table8[End]),Table8[요율],0,0),-1)</f>
        <v>0</v>
      </c>
      <c r="AW230" s="94" cm="1">
        <f t="array" ref="AW230">_xlfn.XLOOKUP(1,(O230=Table2[주민등록번호])*(D230&gt;Table2[근무일자]),Table2[청구 Claim 
이월],0,0,-1)</f>
        <v>0</v>
      </c>
      <c r="AX230" s="95"/>
      <c r="AY230" s="94" cm="1">
        <f t="array" ref="AY230">MAX(SUM(AO230:AP230,AS230:AX230)-_xlfn.XLOOKUP(1,(D230&lt;=Table7[End])*(E230=Table7[근무처])*(F230=Table7[업무]),Table7[1일 공제 상한],0,0),0)</f>
        <v>0</v>
      </c>
      <c r="AZ230" s="94">
        <f t="shared" si="49"/>
        <v>72558</v>
      </c>
      <c r="BA230" s="94">
        <f t="shared" si="50"/>
        <v>0</v>
      </c>
      <c r="BB230" s="97">
        <f t="shared" si="51"/>
        <v>22408</v>
      </c>
      <c r="BC230" s="98">
        <v>22858</v>
      </c>
      <c r="BD230" s="94">
        <f t="shared" si="52"/>
        <v>30248</v>
      </c>
      <c r="BE230" s="94">
        <f t="shared" si="53"/>
        <v>3920</v>
      </c>
      <c r="BF230" s="94">
        <f t="shared" si="54"/>
        <v>38390</v>
      </c>
      <c r="BG230" s="94">
        <f t="shared" si="55"/>
        <v>0</v>
      </c>
      <c r="BH230" s="94" cm="1">
        <f t="array" ref="BH230">ROUNDDOWN(AM230*_xlfn.XLOOKUP(1,(BH$5=Table8[Type])*($D230&lt;=Table8[End]),Table8[요율],0,0),-1)</f>
        <v>400</v>
      </c>
      <c r="BI230" s="93" t="str" cm="1">
        <f t="array" ref="BI230">_xlfn.XLOOKUP(1,(D230&lt;=Table7[End])*(E230=Table7[근무처])*(F230=Table7[업무]),Table7[지급옵션],0,0)</f>
        <v>D+2</v>
      </c>
      <c r="BJ230" s="83">
        <f>IF(BK230&lt;&gt;"",BK230,IFERROR(D230+_xlfn.NUMBERVALUE(RIGHT(BI230,1)),D230-WEEKDAY(D230)+CHOOSE(MATCH(RIGHT(BI230),{"일","월","화","수","목","금","토"},0),8,9,10,11,12,13,14)))</f>
        <v>45797</v>
      </c>
      <c r="BK230" s="99"/>
    </row>
    <row r="231" spans="2:63" x14ac:dyDescent="0.35">
      <c r="B231" s="20" t="str" cm="1">
        <f t="array" ref="B231">_xlfn.IFS(BB231&lt;&gt;BC231,"Claim확인",N231&lt;&gt;"OK","확인필요",TRUE,"")</f>
        <v/>
      </c>
      <c r="C231" s="21" t="str">
        <f t="shared" si="42"/>
        <v>010-3X6X-X4X7757X02XX284249</v>
      </c>
      <c r="D231" s="26">
        <v>45796</v>
      </c>
      <c r="E231" s="91" t="s">
        <v>255</v>
      </c>
      <c r="F231" s="25" t="s">
        <v>258</v>
      </c>
      <c r="G231" s="27" t="s">
        <v>283</v>
      </c>
      <c r="H231" s="25" t="s">
        <v>295</v>
      </c>
      <c r="I231" s="25"/>
      <c r="J231" s="25" t="s">
        <v>296</v>
      </c>
      <c r="K231" s="28">
        <v>0.29166666666666669</v>
      </c>
      <c r="L231" s="28">
        <v>0.66666666666666663</v>
      </c>
      <c r="M231" s="28">
        <v>4.1666666666666664E-2</v>
      </c>
      <c r="N231" s="25" t="s">
        <v>281</v>
      </c>
      <c r="O231" s="29" t="str">
        <f>_xlfn.XLOOKUP(Table2[[#This Row],[Key]],Table1[Key],Table1[주민등록번호],"",0)</f>
        <v>940XX41XX7X32</v>
      </c>
      <c r="P231" s="29">
        <f>_xlfn.XLOOKUP(Table2[[#This Row],[Key]],Table1[Key],Table1[비자],"",0)</f>
        <v>0</v>
      </c>
      <c r="Q231" s="29">
        <f>IF(P231=0,0,_xlfn.XLOOKUP(Table2[[#This Row],[Key]],Table1[Key],Table1[고용보험 여부],0,0))</f>
        <v>0</v>
      </c>
      <c r="R231" s="29" t="str">
        <f t="shared" si="43"/>
        <v>2505</v>
      </c>
      <c r="S231" s="30" t="str">
        <f>YEAR(Table2[[#This Row],[근무일자]])&amp;TEXT(WEEKNUM(Table2[[#This Row],[근무일자]]),"00")</f>
        <v>202521</v>
      </c>
      <c r="T231" s="31">
        <f>_xlfn.XLOOKUP(Table2[[#This Row],[Key]],Table1[Key],Table1[등록일],"",0)</f>
        <v>45751</v>
      </c>
      <c r="U231" s="32">
        <f t="shared" si="44"/>
        <v>0.33333333333333326</v>
      </c>
      <c r="V231" s="92">
        <f t="shared" si="45"/>
        <v>0</v>
      </c>
      <c r="W231" s="100" t="str">
        <f>_xlfn.XLOOKUP(Table2[[#This Row],[근무일자]],Table3[Date],Table3[Holiday],"",0)</f>
        <v/>
      </c>
      <c r="X231" s="93">
        <f>IF(D231&lt;&gt;"",1,0)+IF(COUNTIFS(Table2[주민등록번호],O231,Table2[월],TEXT(EOMONTH(D231,-1),"YYMM"))&gt;0,1+IF(COUNTIFS(Table2[주민등록번호],O231,Table2[월],TEXT(EOMONTH(D231,-2),"YYMM"))&gt;0,1+IF(COUNTIFS(Table2[주민등록번호],O231,Table2[월],TEXT(EOMONTH(D231,-3),"YYMM"))&gt;0,1,0),0),0)</f>
        <v>2</v>
      </c>
      <c r="Y231" s="29">
        <f>COUNTIFS(Table2[주민등록번호],O231,Table2[월],R231,Table2[근무일자],"&lt;="&amp;D231)</f>
        <v>11</v>
      </c>
      <c r="Z231" s="29">
        <f>COUNTIFS(Table2[주민등록번호],O231,Table2[주간],S231,Table2[근무일자],"&lt;="&amp;D231)</f>
        <v>1</v>
      </c>
      <c r="AA231" s="29">
        <f>SUMIFS(Table2[근로
시간],Table2[주민등록번호],O231,Table2[주간],S231,Table2[근무일자],"&lt;="&amp;D231)*24</f>
        <v>7.9999999999999982</v>
      </c>
      <c r="AB231" s="29" t="str">
        <f>IF(AND(Y231&gt;=8,COUNTIFS(Table2[주민등록번호],O231,Table2[근무일자],"&gt;="&amp;EOMONTH(D231,-2)+1,Table2[근무일자],"&lt;="&amp;EOMONTH(D231,-1)+1)&gt;0),"V","")</f>
        <v>V</v>
      </c>
      <c r="AC231" s="94" cm="1">
        <f t="array" ref="AC231">IF(AD231&lt;&gt;"",AD231,_xlfn.XLOOKUP(1,(D231&lt;=Table7[End])*(E231=Table7[근무처])*(F231=Table7[업무]),Table7[시급],0,0))</f>
        <v>10680</v>
      </c>
      <c r="AD231" s="95"/>
      <c r="AE231" s="94">
        <f t="shared" si="46"/>
        <v>85440</v>
      </c>
      <c r="AF231" s="96" cm="1">
        <f t="array" ref="AF231">IF(AND(AA231&gt;=15,(AA231-U231*24)&lt;=40),IF(Z231&gt;=_xlfn.XLOOKUP(1,(D231&lt;=Table7[End])*(E231=Table7[근무처])*(F231=Table7[업무]),Table7[주휴적용일],0,0),1,0)+_xlfn.XLOOKUP(1,(Table2[주간]=Table2[[#This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31" s="96" cm="1">
        <f t="array" ref="AG231">MAX((_xlfn.IFS(AF231=0,0,AF231=1,AA231,AF231&gt;1,U231*24)-IF(AA231&gt;40,AA231-40,0))/5,0)</f>
        <v>0</v>
      </c>
      <c r="AH231" s="94">
        <f t="shared" si="47"/>
        <v>0</v>
      </c>
      <c r="AI231" s="33" cm="1">
        <f t="array" ref="AI231">IF(W231="",0,ROUND(AC231*U231*24*_xlfn.XLOOKUP(1,(D231&lt;=Table7[End])*(E231=Table7[근무처])*(F231=Table7[업무]),Table7[휴일인센티브],0,0),0))</f>
        <v>0</v>
      </c>
      <c r="AJ231" s="94" cm="1">
        <f t="array" ref="AJ231">ROUND(AC231*IF(U231&gt;=8/24,U231-8/24,0)*24*_xlfn.XLOOKUP(1,(D231&lt;=Table7[End])*(E231=Table7[근무처])*(F231=Table7[업무]),Table7[야간인센티브],0,0),0)</f>
        <v>0</v>
      </c>
      <c r="AK231" s="94" cm="1">
        <f t="array" ref="AK231">IF(V231=0,0,ROUND(AC231*V231*24*_xlfn.XLOOKUP(1,(D231&lt;=Table7[End])*(E231=Table7[근무처])*(F231=Table7[업무]),Table7[야간인센티브],0,0),0))</f>
        <v>0</v>
      </c>
      <c r="AL231" s="95"/>
      <c r="AM231" s="94">
        <f t="shared" si="48"/>
        <v>85440</v>
      </c>
      <c r="AN231" s="94" cm="1">
        <f t="array" ref="AN231">IF(AM231&gt;=_xlfn.XLOOKUP(TRUE,D231&lt;=Table5[End],Table5[비과세소득기준],0,0),AM231-_xlfn.XLOOKUP(TRUE,D231&lt;=Table5[End],Table5[비과세소득기준],0,0),0)</f>
        <v>0</v>
      </c>
      <c r="AO231" s="94" cm="1">
        <f t="array" ref="AO231">ROUNDDOWN(_xlfn.LET(_xlpm.setvalue,_xlfn.XLOOKUP(TRUE,D231&lt;=Table5[End],Table5[[요율]:[근로소득세액공제]],0,0),_xlpm.tax,AN231*PRODUCT((_xlpm.setvalue-{0,1})*{1,-1}),_xlpm.threshold,_xlfn.XLOOKUP(TRUE,D231&lt;=Table5[End],Table5[소액부징수기준],0,0),IF(_xlpm.tax&gt;=_xlpm.threshold,_xlpm.tax,0)),-1)</f>
        <v>0</v>
      </c>
      <c r="AP231" s="94">
        <f>ROUNDDOWN(Table2[[#This Row],[소득세]]*10%,-1)</f>
        <v>0</v>
      </c>
      <c r="AQ231" s="94">
        <f>IF(AB231="v",AM231+IF(Y231=8,SUMIFS(Table2[지급총액],Table2[주민등록번호],O231,Table2[월],R231,Table2[월간
근무일],"&lt;="&amp;8)-AM231,0),0)+_xlfn.NUMBERVALUE(AR231)</f>
        <v>85440</v>
      </c>
      <c r="AR231" s="95"/>
      <c r="AS231" s="94" cm="1">
        <f t="array" ref="AS231">ROUNDDOWN($AQ231*_xlfn.XLOOKUP(1,(AS$5=Table8[Type])*($D231&lt;=Table8[End]),Table8[요율],0,0),0)</f>
        <v>3028</v>
      </c>
      <c r="AT231" s="94" cm="1">
        <f t="array" ref="AT231">ROUNDDOWN(AS231*_xlfn.XLOOKUP(1,(AT$5=Table8[Type])*($D231&lt;=Table8[End]),Table8[요율],0,0),-1)</f>
        <v>390</v>
      </c>
      <c r="AU231" s="94" cm="1">
        <f t="array" ref="AU231">ROUNDDOWN($AQ231*_xlfn.XLOOKUP(1,(AU$5=Table8[Type])*($D231&lt;=Table8[End]),Table8[요율],0,0),-1)</f>
        <v>3840</v>
      </c>
      <c r="AV231" s="94" cm="1">
        <f t="array" ref="AV231">ROUNDDOWN(AM231*_xlfn.XLOOKUP(1,(AV$5=Table8[Type])*($D231&lt;=Table8[End]),Table8[요율],0,0),-1)</f>
        <v>0</v>
      </c>
      <c r="AW231" s="94" cm="1">
        <f t="array" ref="AW231">_xlfn.XLOOKUP(1,(O231=Table2[주민등록번호])*(D231&gt;Table2[근무일자]),Table2[청구 Claim 
이월],0,0,-1)</f>
        <v>0</v>
      </c>
      <c r="AX231" s="95"/>
      <c r="AY231" s="94" cm="1">
        <f t="array" ref="AY231">MAX(SUM(AO231:AP231,AS231:AX231)-_xlfn.XLOOKUP(1,(D231&lt;=Table7[End])*(E231=Table7[근무처])*(F231=Table7[업무]),Table7[1일 공제 상한],0,0),0)</f>
        <v>0</v>
      </c>
      <c r="AZ231" s="94">
        <f t="shared" si="49"/>
        <v>7258</v>
      </c>
      <c r="BA231" s="94">
        <f t="shared" si="50"/>
        <v>78182</v>
      </c>
      <c r="BB231" s="97">
        <f t="shared" si="51"/>
        <v>0</v>
      </c>
      <c r="BC231" s="98"/>
      <c r="BD231" s="94">
        <f t="shared" si="52"/>
        <v>3028</v>
      </c>
      <c r="BE231" s="94">
        <f t="shared" si="53"/>
        <v>390</v>
      </c>
      <c r="BF231" s="94">
        <f t="shared" si="54"/>
        <v>3840</v>
      </c>
      <c r="BG231" s="94">
        <f t="shared" si="55"/>
        <v>0</v>
      </c>
      <c r="BH231" s="94" cm="1">
        <f t="array" ref="BH231">ROUNDDOWN(AM231*_xlfn.XLOOKUP(1,(BH$5=Table8[Type])*($D231&lt;=Table8[End]),Table8[요율],0,0),-1)</f>
        <v>680</v>
      </c>
      <c r="BI231" s="93" t="str" cm="1">
        <f t="array" ref="BI231">_xlfn.XLOOKUP(1,(D231&lt;=Table7[End])*(E231=Table7[근무처])*(F231=Table7[업무]),Table7[지급옵션],0,0)</f>
        <v>차주 화</v>
      </c>
      <c r="BJ231" s="83">
        <f>IF(BK231&lt;&gt;"",BK231,IFERROR(D231+_xlfn.NUMBERVALUE(RIGHT(BI231,1)),D231-WEEKDAY(D231)+CHOOSE(MATCH(RIGHT(BI231),{"일","월","화","수","목","금","토"},0),8,9,10,11,12,13,14)))</f>
        <v>45804</v>
      </c>
      <c r="BK231" s="99"/>
    </row>
    <row r="232" spans="2:63" x14ac:dyDescent="0.35">
      <c r="B232" s="20" t="str" cm="1">
        <f t="array" ref="B232">_xlfn.IFS(BB232&lt;&gt;BC232,"Claim확인",N232&lt;&gt;"OK","확인필요",TRUE,"")</f>
        <v/>
      </c>
      <c r="C232" s="21" t="str">
        <f t="shared" si="42"/>
        <v>010-5X0X-X6X5010X57XX685907</v>
      </c>
      <c r="D232" s="26">
        <v>45796</v>
      </c>
      <c r="E232" s="91" t="s">
        <v>253</v>
      </c>
      <c r="F232" s="25" t="s">
        <v>257</v>
      </c>
      <c r="G232" s="27" t="s">
        <v>287</v>
      </c>
      <c r="H232" s="25" t="s">
        <v>301</v>
      </c>
      <c r="I232" s="25"/>
      <c r="J232" s="25" t="s">
        <v>302</v>
      </c>
      <c r="K232" s="28">
        <v>0.45833333333333331</v>
      </c>
      <c r="L232" s="28">
        <v>0.83333333333333337</v>
      </c>
      <c r="M232" s="28">
        <v>4.1666666666666664E-2</v>
      </c>
      <c r="N232" s="25" t="s">
        <v>281</v>
      </c>
      <c r="O232" s="29" t="str">
        <f>_xlfn.XLOOKUP(Table2[[#This Row],[Key]],Table1[Key],Table1[주민등록번호],"",0)</f>
        <v>980XX82XX3X25</v>
      </c>
      <c r="P232" s="29">
        <f>_xlfn.XLOOKUP(Table2[[#This Row],[Key]],Table1[Key],Table1[비자],"",0)</f>
        <v>0</v>
      </c>
      <c r="Q232" s="29">
        <f>IF(P232=0,0,_xlfn.XLOOKUP(Table2[[#This Row],[Key]],Table1[Key],Table1[고용보험 여부],0,0))</f>
        <v>0</v>
      </c>
      <c r="R232" s="29" t="str">
        <f t="shared" si="43"/>
        <v>2505</v>
      </c>
      <c r="S232" s="30" t="str">
        <f>YEAR(Table2[[#This Row],[근무일자]])&amp;TEXT(WEEKNUM(Table2[[#This Row],[근무일자]]),"00")</f>
        <v>202521</v>
      </c>
      <c r="T232" s="31">
        <f>_xlfn.XLOOKUP(Table2[[#This Row],[Key]],Table1[Key],Table1[등록일],"",0)</f>
        <v>45783</v>
      </c>
      <c r="U232" s="32">
        <f t="shared" si="44"/>
        <v>0.33333333333333337</v>
      </c>
      <c r="V232" s="92">
        <f t="shared" si="45"/>
        <v>0</v>
      </c>
      <c r="W232" s="100" t="str">
        <f>_xlfn.XLOOKUP(Table2[[#This Row],[근무일자]],Table3[Date],Table3[Holiday],"",0)</f>
        <v/>
      </c>
      <c r="X232" s="93">
        <f>IF(D232&lt;&gt;"",1,0)+IF(COUNTIFS(Table2[주민등록번호],O232,Table2[월],TEXT(EOMONTH(D232,-1),"YYMM"))&gt;0,1+IF(COUNTIFS(Table2[주민등록번호],O232,Table2[월],TEXT(EOMONTH(D232,-2),"YYMM"))&gt;0,1+IF(COUNTIFS(Table2[주민등록번호],O232,Table2[월],TEXT(EOMONTH(D232,-3),"YYMM"))&gt;0,1,0),0),0)</f>
        <v>2</v>
      </c>
      <c r="Y232" s="29">
        <f>COUNTIFS(Table2[주민등록번호],O232,Table2[월],R232,Table2[근무일자],"&lt;="&amp;D232)</f>
        <v>6</v>
      </c>
      <c r="Z232" s="29">
        <f>COUNTIFS(Table2[주민등록번호],O232,Table2[주간],S232,Table2[근무일자],"&lt;="&amp;D232)</f>
        <v>1</v>
      </c>
      <c r="AA232" s="29">
        <f>SUMIFS(Table2[근로
시간],Table2[주민등록번호],O232,Table2[주간],S232,Table2[근무일자],"&lt;="&amp;D232)*24</f>
        <v>8</v>
      </c>
      <c r="AB232" s="29" t="str">
        <f>IF(AND(Y232&gt;=8,COUNTIFS(Table2[주민등록번호],O232,Table2[근무일자],"&gt;="&amp;EOMONTH(D232,-2)+1,Table2[근무일자],"&lt;="&amp;EOMONTH(D232,-1)+1)&gt;0),"V","")</f>
        <v/>
      </c>
      <c r="AC232" s="94" cm="1">
        <f t="array" ref="AC232">IF(AD232&lt;&gt;"",AD232,_xlfn.XLOOKUP(1,(D232&lt;=Table7[End])*(E232=Table7[근무처])*(F232=Table7[업무]),Table7[시급],0,0))</f>
        <v>10030</v>
      </c>
      <c r="AD232" s="95"/>
      <c r="AE232" s="94">
        <f t="shared" si="46"/>
        <v>80240</v>
      </c>
      <c r="AF232" s="96" cm="1">
        <f t="array" ref="AF232">IF(AND(AA232&gt;=15,(AA232-U232*24)&lt;=40),IF(Z232&gt;=_xlfn.XLOOKUP(1,(D232&lt;=Table7[End])*(E232=Table7[근무처])*(F232=Table7[업무]),Table7[주휴적용일],0,0),1,0)+_xlfn.XLOOKUP(1,(Table2[주간]=Table2[[#This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32" s="96" cm="1">
        <f t="array" ref="AG232">MAX((_xlfn.IFS(AF232=0,0,AF232=1,AA232,AF232&gt;1,U232*24)-IF(AA232&gt;40,AA232-40,0))/5,0)</f>
        <v>0</v>
      </c>
      <c r="AH232" s="94">
        <f t="shared" si="47"/>
        <v>0</v>
      </c>
      <c r="AI232" s="33" cm="1">
        <f t="array" ref="AI232">IF(W232="",0,ROUND(AC232*U232*24*_xlfn.XLOOKUP(1,(D232&lt;=Table7[End])*(E232=Table7[근무처])*(F232=Table7[업무]),Table7[휴일인센티브],0,0),0))</f>
        <v>0</v>
      </c>
      <c r="AJ232" s="94" cm="1">
        <f t="array" ref="AJ232">ROUND(AC232*IF(U232&gt;=8/24,U232-8/24,0)*24*_xlfn.XLOOKUP(1,(D232&lt;=Table7[End])*(E232=Table7[근무처])*(F232=Table7[업무]),Table7[야간인센티브],0,0),0)</f>
        <v>0</v>
      </c>
      <c r="AK232" s="94" cm="1">
        <f t="array" ref="AK232">IF(V232=0,0,ROUND(AC232*V232*24*_xlfn.XLOOKUP(1,(D232&lt;=Table7[End])*(E232=Table7[근무처])*(F232=Table7[업무]),Table7[야간인센티브],0,0),0))</f>
        <v>0</v>
      </c>
      <c r="AL232" s="95"/>
      <c r="AM232" s="94">
        <f t="shared" si="48"/>
        <v>80240</v>
      </c>
      <c r="AN232" s="94" cm="1">
        <f t="array" ref="AN232">IF(AM232&gt;=_xlfn.XLOOKUP(TRUE,D232&lt;=Table5[End],Table5[비과세소득기준],0,0),AM232-_xlfn.XLOOKUP(TRUE,D232&lt;=Table5[End],Table5[비과세소득기준],0,0),0)</f>
        <v>0</v>
      </c>
      <c r="AO232" s="94" cm="1">
        <f t="array" ref="AO232">ROUNDDOWN(_xlfn.LET(_xlpm.setvalue,_xlfn.XLOOKUP(TRUE,D232&lt;=Table5[End],Table5[[요율]:[근로소득세액공제]],0,0),_xlpm.tax,AN232*PRODUCT((_xlpm.setvalue-{0,1})*{1,-1}),_xlpm.threshold,_xlfn.XLOOKUP(TRUE,D232&lt;=Table5[End],Table5[소액부징수기준],0,0),IF(_xlpm.tax&gt;=_xlpm.threshold,_xlpm.tax,0)),-1)</f>
        <v>0</v>
      </c>
      <c r="AP232" s="94">
        <f>ROUNDDOWN(Table2[[#This Row],[소득세]]*10%,-1)</f>
        <v>0</v>
      </c>
      <c r="AQ232" s="94">
        <f>IF(AB232="v",AM232+IF(Y232=8,SUMIFS(Table2[지급총액],Table2[주민등록번호],O232,Table2[월],R232,Table2[월간
근무일],"&lt;="&amp;8)-AM232,0),0)+_xlfn.NUMBERVALUE(AR232)</f>
        <v>0</v>
      </c>
      <c r="AR232" s="95"/>
      <c r="AS232" s="94" cm="1">
        <f t="array" ref="AS232">ROUNDDOWN($AQ232*_xlfn.XLOOKUP(1,(AS$5=Table8[Type])*($D232&lt;=Table8[End]),Table8[요율],0,0),0)</f>
        <v>0</v>
      </c>
      <c r="AT232" s="94" cm="1">
        <f t="array" ref="AT232">ROUNDDOWN(AS232*_xlfn.XLOOKUP(1,(AT$5=Table8[Type])*($D232&lt;=Table8[End]),Table8[요율],0,0),-1)</f>
        <v>0</v>
      </c>
      <c r="AU232" s="94" cm="1">
        <f t="array" ref="AU232">ROUNDDOWN($AQ232*_xlfn.XLOOKUP(1,(AU$5=Table8[Type])*($D232&lt;=Table8[End]),Table8[요율],0,0),-1)</f>
        <v>0</v>
      </c>
      <c r="AV232" s="94" cm="1">
        <f t="array" ref="AV232">ROUNDDOWN(AM232*_xlfn.XLOOKUP(1,(AV$5=Table8[Type])*($D232&lt;=Table8[End]),Table8[요율],0,0),-1)</f>
        <v>0</v>
      </c>
      <c r="AW232" s="94" cm="1">
        <f t="array" ref="AW232">_xlfn.XLOOKUP(1,(O232=Table2[주민등록번호])*(D232&gt;Table2[근무일자]),Table2[청구 Claim 
이월],0,0,-1)</f>
        <v>0</v>
      </c>
      <c r="AX232" s="95"/>
      <c r="AY232" s="94" cm="1">
        <f t="array" ref="AY232">MAX(SUM(AO232:AP232,AS232:AX232)-_xlfn.XLOOKUP(1,(D232&lt;=Table7[End])*(E232=Table7[근무처])*(F232=Table7[업무]),Table7[1일 공제 상한],0,0),0)</f>
        <v>0</v>
      </c>
      <c r="AZ232" s="94">
        <f t="shared" si="49"/>
        <v>0</v>
      </c>
      <c r="BA232" s="94">
        <f t="shared" si="50"/>
        <v>80240</v>
      </c>
      <c r="BB232" s="97">
        <f t="shared" si="51"/>
        <v>0</v>
      </c>
      <c r="BC232" s="98"/>
      <c r="BD232" s="94">
        <f t="shared" si="52"/>
        <v>0</v>
      </c>
      <c r="BE232" s="94">
        <f t="shared" si="53"/>
        <v>0</v>
      </c>
      <c r="BF232" s="94">
        <f t="shared" si="54"/>
        <v>0</v>
      </c>
      <c r="BG232" s="94">
        <f t="shared" si="55"/>
        <v>0</v>
      </c>
      <c r="BH232" s="94" cm="1">
        <f t="array" ref="BH232">ROUNDDOWN(AM232*_xlfn.XLOOKUP(1,(BH$5=Table8[Type])*($D232&lt;=Table8[End]),Table8[요율],0,0),-1)</f>
        <v>640</v>
      </c>
      <c r="BI232" s="93" t="str" cm="1">
        <f t="array" ref="BI232">_xlfn.XLOOKUP(1,(D232&lt;=Table7[End])*(E232=Table7[근무처])*(F232=Table7[업무]),Table7[지급옵션],0,0)</f>
        <v>D+2</v>
      </c>
      <c r="BJ232" s="83">
        <f>IF(BK232&lt;&gt;"",BK232,IFERROR(D232+_xlfn.NUMBERVALUE(RIGHT(BI232,1)),D232-WEEKDAY(D232)+CHOOSE(MATCH(RIGHT(BI232),{"일","월","화","수","목","금","토"},0),8,9,10,11,12,13,14)))</f>
        <v>45798</v>
      </c>
      <c r="BK232" s="99"/>
    </row>
    <row r="233" spans="2:63" x14ac:dyDescent="0.35">
      <c r="B233" s="20" t="str" cm="1">
        <f t="array" ref="B233">_xlfn.IFS(BB233&lt;&gt;BC233,"Claim확인",N233&lt;&gt;"OK","확인필요",TRUE,"")</f>
        <v/>
      </c>
      <c r="C233" s="21" t="str">
        <f t="shared" si="42"/>
        <v>010-3X4X-X9X7219X02XX284640</v>
      </c>
      <c r="D233" s="26">
        <v>45797</v>
      </c>
      <c r="E233" s="91" t="s">
        <v>253</v>
      </c>
      <c r="F233" s="25" t="s">
        <v>257</v>
      </c>
      <c r="G233" s="27" t="s">
        <v>286</v>
      </c>
      <c r="H233" s="25" t="s">
        <v>299</v>
      </c>
      <c r="I233" s="25"/>
      <c r="J233" s="25" t="s">
        <v>300</v>
      </c>
      <c r="K233" s="28">
        <v>0.6875</v>
      </c>
      <c r="L233" s="28">
        <v>0.91666666666666663</v>
      </c>
      <c r="M233" s="28">
        <v>2.0833333333333332E-2</v>
      </c>
      <c r="N233" s="25" t="s">
        <v>281</v>
      </c>
      <c r="O233" s="29" t="str">
        <f>_xlfn.XLOOKUP(Table2[[#This Row],[Key]],Table1[Key],Table1[주민등록번호],"",0)</f>
        <v>931XX31XX3X14</v>
      </c>
      <c r="P233" s="29">
        <f>_xlfn.XLOOKUP(Table2[[#This Row],[Key]],Table1[Key],Table1[비자],"",0)</f>
        <v>0</v>
      </c>
      <c r="Q233" s="29">
        <f>IF(P233=0,0,_xlfn.XLOOKUP(Table2[[#This Row],[Key]],Table1[Key],Table1[고용보험 여부],0,0))</f>
        <v>0</v>
      </c>
      <c r="R233" s="29" t="str">
        <f t="shared" si="43"/>
        <v>2505</v>
      </c>
      <c r="S233" s="30" t="str">
        <f>YEAR(Table2[[#This Row],[근무일자]])&amp;TEXT(WEEKNUM(Table2[[#This Row],[근무일자]]),"00")</f>
        <v>202521</v>
      </c>
      <c r="T233" s="31">
        <f>_xlfn.XLOOKUP(Table2[[#This Row],[Key]],Table1[Key],Table1[등록일],"",0)</f>
        <v>45773</v>
      </c>
      <c r="U233" s="32">
        <f t="shared" si="44"/>
        <v>0.20833333333333329</v>
      </c>
      <c r="V233" s="92">
        <f t="shared" si="45"/>
        <v>0</v>
      </c>
      <c r="W233" s="100" t="str">
        <f>_xlfn.XLOOKUP(Table2[[#This Row],[근무일자]],Table3[Date],Table3[Holiday],"",0)</f>
        <v/>
      </c>
      <c r="X233" s="93">
        <f>IF(D233&lt;&gt;"",1,0)+IF(COUNTIFS(Table2[주민등록번호],O233,Table2[월],TEXT(EOMONTH(D233,-1),"YYMM"))&gt;0,1+IF(COUNTIFS(Table2[주민등록번호],O233,Table2[월],TEXT(EOMONTH(D233,-2),"YYMM"))&gt;0,1+IF(COUNTIFS(Table2[주민등록번호],O233,Table2[월],TEXT(EOMONTH(D233,-3),"YYMM"))&gt;0,1,0),0),0)</f>
        <v>4</v>
      </c>
      <c r="Y233" s="29">
        <f>COUNTIFS(Table2[주민등록번호],O233,Table2[월],R233,Table2[근무일자],"&lt;="&amp;D233)</f>
        <v>3</v>
      </c>
      <c r="Z233" s="29">
        <f>COUNTIFS(Table2[주민등록번호],O233,Table2[주간],S233,Table2[근무일자],"&lt;="&amp;D233)</f>
        <v>1</v>
      </c>
      <c r="AA233" s="29">
        <f>SUMIFS(Table2[근로
시간],Table2[주민등록번호],O233,Table2[주간],S233,Table2[근무일자],"&lt;="&amp;D233)*24</f>
        <v>4.9999999999999991</v>
      </c>
      <c r="AB233" s="29" t="str">
        <f>IF(AND(Y233&gt;=8,COUNTIFS(Table2[주민등록번호],O233,Table2[근무일자],"&gt;="&amp;EOMONTH(D233,-2)+1,Table2[근무일자],"&lt;="&amp;EOMONTH(D233,-1)+1)&gt;0),"V","")</f>
        <v/>
      </c>
      <c r="AC233" s="94" cm="1">
        <f t="array" ref="AC233">IF(AD233&lt;&gt;"",AD233,_xlfn.XLOOKUP(1,(D233&lt;=Table7[End])*(E233=Table7[근무처])*(F233=Table7[업무]),Table7[시급],0,0))</f>
        <v>10030</v>
      </c>
      <c r="AD233" s="95"/>
      <c r="AE233" s="94">
        <f t="shared" si="46"/>
        <v>50150</v>
      </c>
      <c r="AF233" s="96" cm="1">
        <f t="array" ref="AF233">IF(AND(AA233&gt;=15,(AA233-U233*24)&lt;=40),IF(Z233&gt;=_xlfn.XLOOKUP(1,(D233&lt;=Table7[End])*(E233=Table7[근무처])*(F233=Table7[업무]),Table7[주휴적용일],0,0),1,0)+_xlfn.XLOOKUP(1,(Table2[주간]=Table2[[#This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33" s="96" cm="1">
        <f t="array" ref="AG233">MAX((_xlfn.IFS(AF233=0,0,AF233=1,AA233,AF233&gt;1,U233*24)-IF(AA233&gt;40,AA233-40,0))/5,0)</f>
        <v>0</v>
      </c>
      <c r="AH233" s="94">
        <f t="shared" si="47"/>
        <v>0</v>
      </c>
      <c r="AI233" s="33" cm="1">
        <f t="array" ref="AI233">IF(W233="",0,ROUND(AC233*U233*24*_xlfn.XLOOKUP(1,(D233&lt;=Table7[End])*(E233=Table7[근무처])*(F233=Table7[업무]),Table7[휴일인센티브],0,0),0))</f>
        <v>0</v>
      </c>
      <c r="AJ233" s="94" cm="1">
        <f t="array" ref="AJ233">ROUND(AC233*IF(U233&gt;=8/24,U233-8/24,0)*24*_xlfn.XLOOKUP(1,(D233&lt;=Table7[End])*(E233=Table7[근무처])*(F233=Table7[업무]),Table7[야간인센티브],0,0),0)</f>
        <v>0</v>
      </c>
      <c r="AK233" s="94" cm="1">
        <f t="array" ref="AK233">IF(V233=0,0,ROUND(AC233*V233*24*_xlfn.XLOOKUP(1,(D233&lt;=Table7[End])*(E233=Table7[근무처])*(F233=Table7[업무]),Table7[야간인센티브],0,0),0))</f>
        <v>0</v>
      </c>
      <c r="AL233" s="95"/>
      <c r="AM233" s="94">
        <f t="shared" si="48"/>
        <v>50150</v>
      </c>
      <c r="AN233" s="94" cm="1">
        <f t="array" ref="AN233">IF(AM233&gt;=_xlfn.XLOOKUP(TRUE,D233&lt;=Table5[End],Table5[비과세소득기준],0,0),AM233-_xlfn.XLOOKUP(TRUE,D233&lt;=Table5[End],Table5[비과세소득기준],0,0),0)</f>
        <v>0</v>
      </c>
      <c r="AO233" s="94" cm="1">
        <f t="array" ref="AO233">ROUNDDOWN(_xlfn.LET(_xlpm.setvalue,_xlfn.XLOOKUP(TRUE,D233&lt;=Table5[End],Table5[[요율]:[근로소득세액공제]],0,0),_xlpm.tax,AN233*PRODUCT((_xlpm.setvalue-{0,1})*{1,-1}),_xlpm.threshold,_xlfn.XLOOKUP(TRUE,D233&lt;=Table5[End],Table5[소액부징수기준],0,0),IF(_xlpm.tax&gt;=_xlpm.threshold,_xlpm.tax,0)),-1)</f>
        <v>0</v>
      </c>
      <c r="AP233" s="94">
        <f>ROUNDDOWN(Table2[[#This Row],[소득세]]*10%,-1)</f>
        <v>0</v>
      </c>
      <c r="AQ233" s="94">
        <f>IF(AB233="v",AM233+IF(Y233=8,SUMIFS(Table2[지급총액],Table2[주민등록번호],O233,Table2[월],R233,Table2[월간
근무일],"&lt;="&amp;8)-AM233,0),0)+_xlfn.NUMBERVALUE(AR233)</f>
        <v>0</v>
      </c>
      <c r="AR233" s="95"/>
      <c r="AS233" s="94" cm="1">
        <f t="array" ref="AS233">ROUNDDOWN($AQ233*_xlfn.XLOOKUP(1,(AS$5=Table8[Type])*($D233&lt;=Table8[End]),Table8[요율],0,0),0)</f>
        <v>0</v>
      </c>
      <c r="AT233" s="94" cm="1">
        <f t="array" ref="AT233">ROUNDDOWN(AS233*_xlfn.XLOOKUP(1,(AT$5=Table8[Type])*($D233&lt;=Table8[End]),Table8[요율],0,0),-1)</f>
        <v>0</v>
      </c>
      <c r="AU233" s="94" cm="1">
        <f t="array" ref="AU233">ROUNDDOWN($AQ233*_xlfn.XLOOKUP(1,(AU$5=Table8[Type])*($D233&lt;=Table8[End]),Table8[요율],0,0),-1)</f>
        <v>0</v>
      </c>
      <c r="AV233" s="94" cm="1">
        <f t="array" ref="AV233">ROUNDDOWN(AM233*_xlfn.XLOOKUP(1,(AV$5=Table8[Type])*($D233&lt;=Table8[End]),Table8[요율],0,0),-1)</f>
        <v>0</v>
      </c>
      <c r="AW233" s="94" cm="1">
        <f t="array" ref="AW233">_xlfn.XLOOKUP(1,(O233=Table2[주민등록번호])*(D233&gt;Table2[근무일자]),Table2[청구 Claim 
이월],0,0,-1)</f>
        <v>0</v>
      </c>
      <c r="AX233" s="95"/>
      <c r="AY233" s="94" cm="1">
        <f t="array" ref="AY233">MAX(SUM(AO233:AP233,AS233:AX233)-_xlfn.XLOOKUP(1,(D233&lt;=Table7[End])*(E233=Table7[근무처])*(F233=Table7[업무]),Table7[1일 공제 상한],0,0),0)</f>
        <v>0</v>
      </c>
      <c r="AZ233" s="94">
        <f t="shared" si="49"/>
        <v>0</v>
      </c>
      <c r="BA233" s="94">
        <f t="shared" si="50"/>
        <v>50150</v>
      </c>
      <c r="BB233" s="97">
        <f t="shared" si="51"/>
        <v>0</v>
      </c>
      <c r="BC233" s="98"/>
      <c r="BD233" s="94">
        <f t="shared" si="52"/>
        <v>0</v>
      </c>
      <c r="BE233" s="94">
        <f t="shared" si="53"/>
        <v>0</v>
      </c>
      <c r="BF233" s="94">
        <f t="shared" si="54"/>
        <v>0</v>
      </c>
      <c r="BG233" s="94">
        <f t="shared" si="55"/>
        <v>0</v>
      </c>
      <c r="BH233" s="94" cm="1">
        <f t="array" ref="BH233">ROUNDDOWN(AM233*_xlfn.XLOOKUP(1,(BH$5=Table8[Type])*($D233&lt;=Table8[End]),Table8[요율],0,0),-1)</f>
        <v>400</v>
      </c>
      <c r="BI233" s="93" t="str" cm="1">
        <f t="array" ref="BI233">_xlfn.XLOOKUP(1,(D233&lt;=Table7[End])*(E233=Table7[근무처])*(F233=Table7[업무]),Table7[지급옵션],0,0)</f>
        <v>D+2</v>
      </c>
      <c r="BJ233" s="83">
        <f>IF(BK233&lt;&gt;"",BK233,IFERROR(D233+_xlfn.NUMBERVALUE(RIGHT(BI233,1)),D233-WEEKDAY(D233)+CHOOSE(MATCH(RIGHT(BI233),{"일","월","화","수","목","금","토"},0),8,9,10,11,12,13,14)))</f>
        <v>45799</v>
      </c>
      <c r="BK233" s="99"/>
    </row>
    <row r="234" spans="2:63" x14ac:dyDescent="0.35">
      <c r="B234" s="20" t="str" cm="1">
        <f t="array" ref="B234">_xlfn.IFS(BB234&lt;&gt;BC234,"Claim확인",N234&lt;&gt;"OK","확인필요",TRUE,"")</f>
        <v/>
      </c>
      <c r="C234" s="21" t="str">
        <f t="shared" si="42"/>
        <v>010-5X0X-X6X5010X57XX685907</v>
      </c>
      <c r="D234" s="26">
        <v>45797</v>
      </c>
      <c r="E234" s="91" t="s">
        <v>253</v>
      </c>
      <c r="F234" s="25" t="s">
        <v>257</v>
      </c>
      <c r="G234" s="27" t="s">
        <v>287</v>
      </c>
      <c r="H234" s="25" t="s">
        <v>301</v>
      </c>
      <c r="I234" s="25"/>
      <c r="J234" s="25" t="s">
        <v>302</v>
      </c>
      <c r="K234" s="28">
        <v>0.45833333333333331</v>
      </c>
      <c r="L234" s="28">
        <v>0.83333333333333337</v>
      </c>
      <c r="M234" s="28">
        <v>4.1666666666666664E-2</v>
      </c>
      <c r="N234" s="25" t="s">
        <v>281</v>
      </c>
      <c r="O234" s="29" t="str">
        <f>_xlfn.XLOOKUP(Table2[[#This Row],[Key]],Table1[Key],Table1[주민등록번호],"",0)</f>
        <v>980XX82XX3X25</v>
      </c>
      <c r="P234" s="29">
        <f>_xlfn.XLOOKUP(Table2[[#This Row],[Key]],Table1[Key],Table1[비자],"",0)</f>
        <v>0</v>
      </c>
      <c r="Q234" s="29">
        <f>IF(P234=0,0,_xlfn.XLOOKUP(Table2[[#This Row],[Key]],Table1[Key],Table1[고용보험 여부],0,0))</f>
        <v>0</v>
      </c>
      <c r="R234" s="29" t="str">
        <f t="shared" si="43"/>
        <v>2505</v>
      </c>
      <c r="S234" s="30" t="str">
        <f>YEAR(Table2[[#This Row],[근무일자]])&amp;TEXT(WEEKNUM(Table2[[#This Row],[근무일자]]),"00")</f>
        <v>202521</v>
      </c>
      <c r="T234" s="31">
        <f>_xlfn.XLOOKUP(Table2[[#This Row],[Key]],Table1[Key],Table1[등록일],"",0)</f>
        <v>45783</v>
      </c>
      <c r="U234" s="32">
        <f t="shared" si="44"/>
        <v>0.33333333333333337</v>
      </c>
      <c r="V234" s="92">
        <f t="shared" si="45"/>
        <v>0</v>
      </c>
      <c r="W234" s="100" t="str">
        <f>_xlfn.XLOOKUP(Table2[[#This Row],[근무일자]],Table3[Date],Table3[Holiday],"",0)</f>
        <v/>
      </c>
      <c r="X234" s="93">
        <f>IF(D234&lt;&gt;"",1,0)+IF(COUNTIFS(Table2[주민등록번호],O234,Table2[월],TEXT(EOMONTH(D234,-1),"YYMM"))&gt;0,1+IF(COUNTIFS(Table2[주민등록번호],O234,Table2[월],TEXT(EOMONTH(D234,-2),"YYMM"))&gt;0,1+IF(COUNTIFS(Table2[주민등록번호],O234,Table2[월],TEXT(EOMONTH(D234,-3),"YYMM"))&gt;0,1,0),0),0)</f>
        <v>2</v>
      </c>
      <c r="Y234" s="29">
        <f>COUNTIFS(Table2[주민등록번호],O234,Table2[월],R234,Table2[근무일자],"&lt;="&amp;D234)</f>
        <v>7</v>
      </c>
      <c r="Z234" s="29">
        <f>COUNTIFS(Table2[주민등록번호],O234,Table2[주간],S234,Table2[근무일자],"&lt;="&amp;D234)</f>
        <v>2</v>
      </c>
      <c r="AA234" s="29">
        <f>SUMIFS(Table2[근로
시간],Table2[주민등록번호],O234,Table2[주간],S234,Table2[근무일자],"&lt;="&amp;D234)*24</f>
        <v>16</v>
      </c>
      <c r="AB234" s="29" t="str">
        <f>IF(AND(Y234&gt;=8,COUNTIFS(Table2[주민등록번호],O234,Table2[근무일자],"&gt;="&amp;EOMONTH(D234,-2)+1,Table2[근무일자],"&lt;="&amp;EOMONTH(D234,-1)+1)&gt;0),"V","")</f>
        <v/>
      </c>
      <c r="AC234" s="94" cm="1">
        <f t="array" ref="AC234">IF(AD234&lt;&gt;"",AD234,_xlfn.XLOOKUP(1,(D234&lt;=Table7[End])*(E234=Table7[근무처])*(F234=Table7[업무]),Table7[시급],0,0))</f>
        <v>10030</v>
      </c>
      <c r="AD234" s="95"/>
      <c r="AE234" s="94">
        <f t="shared" si="46"/>
        <v>80240</v>
      </c>
      <c r="AF234" s="96" cm="1">
        <f t="array" ref="AF234">IF(AND(AA234&gt;=15,(AA234-U234*24)&lt;=40),IF(Z234&gt;=_xlfn.XLOOKUP(1,(D234&lt;=Table7[End])*(E234=Table7[근무처])*(F234=Table7[업무]),Table7[주휴적용일],0,0),1,0)+_xlfn.XLOOKUP(1,(Table2[주간]=Table2[[#This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34" s="96" cm="1">
        <f t="array" ref="AG234">MAX((_xlfn.IFS(AF234=0,0,AF234=1,AA234,AF234&gt;1,U234*24)-IF(AA234&gt;40,AA234-40,0))/5,0)</f>
        <v>0</v>
      </c>
      <c r="AH234" s="94">
        <f t="shared" si="47"/>
        <v>0</v>
      </c>
      <c r="AI234" s="33" cm="1">
        <f t="array" ref="AI234">IF(W234="",0,ROUND(AC234*U234*24*_xlfn.XLOOKUP(1,(D234&lt;=Table7[End])*(E234=Table7[근무처])*(F234=Table7[업무]),Table7[휴일인센티브],0,0),0))</f>
        <v>0</v>
      </c>
      <c r="AJ234" s="94" cm="1">
        <f t="array" ref="AJ234">ROUND(AC234*IF(U234&gt;=8/24,U234-8/24,0)*24*_xlfn.XLOOKUP(1,(D234&lt;=Table7[End])*(E234=Table7[근무처])*(F234=Table7[업무]),Table7[야간인센티브],0,0),0)</f>
        <v>0</v>
      </c>
      <c r="AK234" s="94" cm="1">
        <f t="array" ref="AK234">IF(V234=0,0,ROUND(AC234*V234*24*_xlfn.XLOOKUP(1,(D234&lt;=Table7[End])*(E234=Table7[근무처])*(F234=Table7[업무]),Table7[야간인센티브],0,0),0))</f>
        <v>0</v>
      </c>
      <c r="AL234" s="95"/>
      <c r="AM234" s="94">
        <f t="shared" si="48"/>
        <v>80240</v>
      </c>
      <c r="AN234" s="94" cm="1">
        <f t="array" ref="AN234">IF(AM234&gt;=_xlfn.XLOOKUP(TRUE,D234&lt;=Table5[End],Table5[비과세소득기준],0,0),AM234-_xlfn.XLOOKUP(TRUE,D234&lt;=Table5[End],Table5[비과세소득기준],0,0),0)</f>
        <v>0</v>
      </c>
      <c r="AO234" s="94" cm="1">
        <f t="array" ref="AO234">ROUNDDOWN(_xlfn.LET(_xlpm.setvalue,_xlfn.XLOOKUP(TRUE,D234&lt;=Table5[End],Table5[[요율]:[근로소득세액공제]],0,0),_xlpm.tax,AN234*PRODUCT((_xlpm.setvalue-{0,1})*{1,-1}),_xlpm.threshold,_xlfn.XLOOKUP(TRUE,D234&lt;=Table5[End],Table5[소액부징수기준],0,0),IF(_xlpm.tax&gt;=_xlpm.threshold,_xlpm.tax,0)),-1)</f>
        <v>0</v>
      </c>
      <c r="AP234" s="94">
        <f>ROUNDDOWN(Table2[[#This Row],[소득세]]*10%,-1)</f>
        <v>0</v>
      </c>
      <c r="AQ234" s="94">
        <f>IF(AB234="v",AM234+IF(Y234=8,SUMIFS(Table2[지급총액],Table2[주민등록번호],O234,Table2[월],R234,Table2[월간
근무일],"&lt;="&amp;8)-AM234,0),0)+_xlfn.NUMBERVALUE(AR234)</f>
        <v>0</v>
      </c>
      <c r="AR234" s="95"/>
      <c r="AS234" s="94" cm="1">
        <f t="array" ref="AS234">ROUNDDOWN($AQ234*_xlfn.XLOOKUP(1,(AS$5=Table8[Type])*($D234&lt;=Table8[End]),Table8[요율],0,0),0)</f>
        <v>0</v>
      </c>
      <c r="AT234" s="94" cm="1">
        <f t="array" ref="AT234">ROUNDDOWN(AS234*_xlfn.XLOOKUP(1,(AT$5=Table8[Type])*($D234&lt;=Table8[End]),Table8[요율],0,0),-1)</f>
        <v>0</v>
      </c>
      <c r="AU234" s="94" cm="1">
        <f t="array" ref="AU234">ROUNDDOWN($AQ234*_xlfn.XLOOKUP(1,(AU$5=Table8[Type])*($D234&lt;=Table8[End]),Table8[요율],0,0),-1)</f>
        <v>0</v>
      </c>
      <c r="AV234" s="94" cm="1">
        <f t="array" ref="AV234">ROUNDDOWN(AM234*_xlfn.XLOOKUP(1,(AV$5=Table8[Type])*($D234&lt;=Table8[End]),Table8[요율],0,0),-1)</f>
        <v>0</v>
      </c>
      <c r="AW234" s="94" cm="1">
        <f t="array" ref="AW234">_xlfn.XLOOKUP(1,(O234=Table2[주민등록번호])*(D234&gt;Table2[근무일자]),Table2[청구 Claim 
이월],0,0,-1)</f>
        <v>0</v>
      </c>
      <c r="AX234" s="95"/>
      <c r="AY234" s="94" cm="1">
        <f t="array" ref="AY234">MAX(SUM(AO234:AP234,AS234:AX234)-_xlfn.XLOOKUP(1,(D234&lt;=Table7[End])*(E234=Table7[근무처])*(F234=Table7[업무]),Table7[1일 공제 상한],0,0),0)</f>
        <v>0</v>
      </c>
      <c r="AZ234" s="94">
        <f t="shared" si="49"/>
        <v>0</v>
      </c>
      <c r="BA234" s="94">
        <f t="shared" si="50"/>
        <v>80240</v>
      </c>
      <c r="BB234" s="97">
        <f t="shared" si="51"/>
        <v>0</v>
      </c>
      <c r="BC234" s="98"/>
      <c r="BD234" s="94">
        <f t="shared" si="52"/>
        <v>0</v>
      </c>
      <c r="BE234" s="94">
        <f t="shared" si="53"/>
        <v>0</v>
      </c>
      <c r="BF234" s="94">
        <f t="shared" si="54"/>
        <v>0</v>
      </c>
      <c r="BG234" s="94">
        <f t="shared" si="55"/>
        <v>0</v>
      </c>
      <c r="BH234" s="94" cm="1">
        <f t="array" ref="BH234">ROUNDDOWN(AM234*_xlfn.XLOOKUP(1,(BH$5=Table8[Type])*($D234&lt;=Table8[End]),Table8[요율],0,0),-1)</f>
        <v>640</v>
      </c>
      <c r="BI234" s="93" t="str" cm="1">
        <f t="array" ref="BI234">_xlfn.XLOOKUP(1,(D234&lt;=Table7[End])*(E234=Table7[근무처])*(F234=Table7[업무]),Table7[지급옵션],0,0)</f>
        <v>D+2</v>
      </c>
      <c r="BJ234" s="83">
        <f>IF(BK234&lt;&gt;"",BK234,IFERROR(D234+_xlfn.NUMBERVALUE(RIGHT(BI234,1)),D234-WEEKDAY(D234)+CHOOSE(MATCH(RIGHT(BI234),{"일","월","화","수","목","금","토"},0),8,9,10,11,12,13,14)))</f>
        <v>45799</v>
      </c>
      <c r="BK234" s="99"/>
    </row>
    <row r="235" spans="2:63" x14ac:dyDescent="0.35">
      <c r="B235" s="20" t="str" cm="1">
        <f t="array" ref="B235">_xlfn.IFS(BB235&lt;&gt;BC235,"Claim확인",N235&lt;&gt;"OK","확인필요",TRUE,"")</f>
        <v/>
      </c>
      <c r="C235" s="21" t="str">
        <f t="shared" si="42"/>
        <v>010-3X6X-X4X7757X02XX284249</v>
      </c>
      <c r="D235" s="26">
        <v>45798</v>
      </c>
      <c r="E235" s="91" t="s">
        <v>255</v>
      </c>
      <c r="F235" s="25" t="s">
        <v>258</v>
      </c>
      <c r="G235" s="27" t="s">
        <v>283</v>
      </c>
      <c r="H235" s="25" t="s">
        <v>295</v>
      </c>
      <c r="I235" s="25"/>
      <c r="J235" s="25" t="s">
        <v>296</v>
      </c>
      <c r="K235" s="28">
        <v>0.29166666666666669</v>
      </c>
      <c r="L235" s="28">
        <v>0.66666666666666663</v>
      </c>
      <c r="M235" s="28">
        <v>4.1666666666666664E-2</v>
      </c>
      <c r="N235" s="25" t="s">
        <v>281</v>
      </c>
      <c r="O235" s="29" t="str">
        <f>_xlfn.XLOOKUP(Table2[[#This Row],[Key]],Table1[Key],Table1[주민등록번호],"",0)</f>
        <v>940XX41XX7X32</v>
      </c>
      <c r="P235" s="29">
        <f>_xlfn.XLOOKUP(Table2[[#This Row],[Key]],Table1[Key],Table1[비자],"",0)</f>
        <v>0</v>
      </c>
      <c r="Q235" s="29">
        <f>IF(P235=0,0,_xlfn.XLOOKUP(Table2[[#This Row],[Key]],Table1[Key],Table1[고용보험 여부],0,0))</f>
        <v>0</v>
      </c>
      <c r="R235" s="29" t="str">
        <f t="shared" si="43"/>
        <v>2505</v>
      </c>
      <c r="S235" s="30" t="str">
        <f>YEAR(Table2[[#This Row],[근무일자]])&amp;TEXT(WEEKNUM(Table2[[#This Row],[근무일자]]),"00")</f>
        <v>202521</v>
      </c>
      <c r="T235" s="31">
        <f>_xlfn.XLOOKUP(Table2[[#This Row],[Key]],Table1[Key],Table1[등록일],"",0)</f>
        <v>45751</v>
      </c>
      <c r="U235" s="32">
        <f t="shared" si="44"/>
        <v>0.33333333333333326</v>
      </c>
      <c r="V235" s="92">
        <f t="shared" si="45"/>
        <v>0</v>
      </c>
      <c r="W235" s="100" t="str">
        <f>_xlfn.XLOOKUP(Table2[[#This Row],[근무일자]],Table3[Date],Table3[Holiday],"",0)</f>
        <v/>
      </c>
      <c r="X235" s="93">
        <f>IF(D235&lt;&gt;"",1,0)+IF(COUNTIFS(Table2[주민등록번호],O235,Table2[월],TEXT(EOMONTH(D235,-1),"YYMM"))&gt;0,1+IF(COUNTIFS(Table2[주민등록번호],O235,Table2[월],TEXT(EOMONTH(D235,-2),"YYMM"))&gt;0,1+IF(COUNTIFS(Table2[주민등록번호],O235,Table2[월],TEXT(EOMONTH(D235,-3),"YYMM"))&gt;0,1,0),0),0)</f>
        <v>2</v>
      </c>
      <c r="Y235" s="29">
        <f>COUNTIFS(Table2[주민등록번호],O235,Table2[월],R235,Table2[근무일자],"&lt;="&amp;D235)</f>
        <v>12</v>
      </c>
      <c r="Z235" s="29">
        <f>COUNTIFS(Table2[주민등록번호],O235,Table2[주간],S235,Table2[근무일자],"&lt;="&amp;D235)</f>
        <v>2</v>
      </c>
      <c r="AA235" s="29">
        <f>SUMIFS(Table2[근로
시간],Table2[주민등록번호],O235,Table2[주간],S235,Table2[근무일자],"&lt;="&amp;D235)*24</f>
        <v>15.999999999999996</v>
      </c>
      <c r="AB235" s="29" t="str">
        <f>IF(AND(Y235&gt;=8,COUNTIFS(Table2[주민등록번호],O235,Table2[근무일자],"&gt;="&amp;EOMONTH(D235,-2)+1,Table2[근무일자],"&lt;="&amp;EOMONTH(D235,-1)+1)&gt;0),"V","")</f>
        <v>V</v>
      </c>
      <c r="AC235" s="94" cm="1">
        <f t="array" ref="AC235">IF(AD235&lt;&gt;"",AD235,_xlfn.XLOOKUP(1,(D235&lt;=Table7[End])*(E235=Table7[근무처])*(F235=Table7[업무]),Table7[시급],0,0))</f>
        <v>10680</v>
      </c>
      <c r="AD235" s="95"/>
      <c r="AE235" s="94">
        <f t="shared" si="46"/>
        <v>85440</v>
      </c>
      <c r="AF235" s="96" cm="1">
        <f t="array" ref="AF235">IF(AND(AA235&gt;=15,(AA235-U235*24)&lt;=40),IF(Z235&gt;=_xlfn.XLOOKUP(1,(D235&lt;=Table7[End])*(E235=Table7[근무처])*(F235=Table7[업무]),Table7[주휴적용일],0,0),1,0)+_xlfn.XLOOKUP(1,(Table2[주간]=Table2[[#This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35" s="96" cm="1">
        <f t="array" ref="AG235">MAX((_xlfn.IFS(AF235=0,0,AF235=1,AA235,AF235&gt;1,U235*24)-IF(AA235&gt;40,AA235-40,0))/5,0)</f>
        <v>3.1999999999999993</v>
      </c>
      <c r="AH235" s="94">
        <f t="shared" si="47"/>
        <v>34176</v>
      </c>
      <c r="AI235" s="33" cm="1">
        <f t="array" ref="AI235">IF(W235="",0,ROUND(AC235*U235*24*_xlfn.XLOOKUP(1,(D235&lt;=Table7[End])*(E235=Table7[근무처])*(F235=Table7[업무]),Table7[휴일인센티브],0,0),0))</f>
        <v>0</v>
      </c>
      <c r="AJ235" s="94" cm="1">
        <f t="array" ref="AJ235">ROUND(AC235*IF(U235&gt;=8/24,U235-8/24,0)*24*_xlfn.XLOOKUP(1,(D235&lt;=Table7[End])*(E235=Table7[근무처])*(F235=Table7[업무]),Table7[야간인센티브],0,0),0)</f>
        <v>0</v>
      </c>
      <c r="AK235" s="94" cm="1">
        <f t="array" ref="AK235">IF(V235=0,0,ROUND(AC235*V235*24*_xlfn.XLOOKUP(1,(D235&lt;=Table7[End])*(E235=Table7[근무처])*(F235=Table7[업무]),Table7[야간인센티브],0,0),0))</f>
        <v>0</v>
      </c>
      <c r="AL235" s="95"/>
      <c r="AM235" s="94">
        <f t="shared" si="48"/>
        <v>119616</v>
      </c>
      <c r="AN235" s="94" cm="1">
        <f t="array" ref="AN235">IF(AM235&gt;=_xlfn.XLOOKUP(TRUE,D235&lt;=Table5[End],Table5[비과세소득기준],0,0),AM235-_xlfn.XLOOKUP(TRUE,D235&lt;=Table5[End],Table5[비과세소득기준],0,0),0)</f>
        <v>0</v>
      </c>
      <c r="AO235" s="94" cm="1">
        <f t="array" ref="AO235">ROUNDDOWN(_xlfn.LET(_xlpm.setvalue,_xlfn.XLOOKUP(TRUE,D235&lt;=Table5[End],Table5[[요율]:[근로소득세액공제]],0,0),_xlpm.tax,AN235*PRODUCT((_xlpm.setvalue-{0,1})*{1,-1}),_xlpm.threshold,_xlfn.XLOOKUP(TRUE,D235&lt;=Table5[End],Table5[소액부징수기준],0,0),IF(_xlpm.tax&gt;=_xlpm.threshold,_xlpm.tax,0)),-1)</f>
        <v>0</v>
      </c>
      <c r="AP235" s="94">
        <f>ROUNDDOWN(Table2[[#This Row],[소득세]]*10%,-1)</f>
        <v>0</v>
      </c>
      <c r="AQ235" s="94">
        <f>IF(AB235="v",AM235+IF(Y235=8,SUMIFS(Table2[지급총액],Table2[주민등록번호],O235,Table2[월],R235,Table2[월간
근무일],"&lt;="&amp;8)-AM235,0),0)+_xlfn.NUMBERVALUE(AR235)</f>
        <v>119616</v>
      </c>
      <c r="AR235" s="95"/>
      <c r="AS235" s="94" cm="1">
        <f t="array" ref="AS235">ROUNDDOWN($AQ235*_xlfn.XLOOKUP(1,(AS$5=Table8[Type])*($D235&lt;=Table8[End]),Table8[요율],0,0),0)</f>
        <v>4240</v>
      </c>
      <c r="AT235" s="94" cm="1">
        <f t="array" ref="AT235">ROUNDDOWN(AS235*_xlfn.XLOOKUP(1,(AT$5=Table8[Type])*($D235&lt;=Table8[End]),Table8[요율],0,0),-1)</f>
        <v>540</v>
      </c>
      <c r="AU235" s="94" cm="1">
        <f t="array" ref="AU235">ROUNDDOWN($AQ235*_xlfn.XLOOKUP(1,(AU$5=Table8[Type])*($D235&lt;=Table8[End]),Table8[요율],0,0),-1)</f>
        <v>5380</v>
      </c>
      <c r="AV235" s="94" cm="1">
        <f t="array" ref="AV235">ROUNDDOWN(AM235*_xlfn.XLOOKUP(1,(AV$5=Table8[Type])*($D235&lt;=Table8[End]),Table8[요율],0,0),-1)</f>
        <v>0</v>
      </c>
      <c r="AW235" s="94" cm="1">
        <f t="array" ref="AW235">_xlfn.XLOOKUP(1,(O235=Table2[주민등록번호])*(D235&gt;Table2[근무일자]),Table2[청구 Claim 
이월],0,0,-1)</f>
        <v>0</v>
      </c>
      <c r="AX235" s="95"/>
      <c r="AY235" s="94" cm="1">
        <f t="array" ref="AY235">MAX(SUM(AO235:AP235,AS235:AX235)-_xlfn.XLOOKUP(1,(D235&lt;=Table7[End])*(E235=Table7[근무처])*(F235=Table7[업무]),Table7[1일 공제 상한],0,0),0)</f>
        <v>0</v>
      </c>
      <c r="AZ235" s="94">
        <f t="shared" si="49"/>
        <v>10160</v>
      </c>
      <c r="BA235" s="94">
        <f t="shared" si="50"/>
        <v>109456</v>
      </c>
      <c r="BB235" s="97">
        <f t="shared" si="51"/>
        <v>0</v>
      </c>
      <c r="BC235" s="98"/>
      <c r="BD235" s="94">
        <f t="shared" si="52"/>
        <v>4240</v>
      </c>
      <c r="BE235" s="94">
        <f t="shared" si="53"/>
        <v>540</v>
      </c>
      <c r="BF235" s="94">
        <f t="shared" si="54"/>
        <v>5380</v>
      </c>
      <c r="BG235" s="94">
        <f t="shared" si="55"/>
        <v>0</v>
      </c>
      <c r="BH235" s="94" cm="1">
        <f t="array" ref="BH235">ROUNDDOWN(AM235*_xlfn.XLOOKUP(1,(BH$5=Table8[Type])*($D235&lt;=Table8[End]),Table8[요율],0,0),-1)</f>
        <v>950</v>
      </c>
      <c r="BI235" s="93" t="str" cm="1">
        <f t="array" ref="BI235">_xlfn.XLOOKUP(1,(D235&lt;=Table7[End])*(E235=Table7[근무처])*(F235=Table7[업무]),Table7[지급옵션],0,0)</f>
        <v>차주 화</v>
      </c>
      <c r="BJ235" s="83">
        <f>IF(BK235&lt;&gt;"",BK235,IFERROR(D235+_xlfn.NUMBERVALUE(RIGHT(BI235,1)),D235-WEEKDAY(D235)+CHOOSE(MATCH(RIGHT(BI235),{"일","월","화","수","목","금","토"},0),8,9,10,11,12,13,14)))</f>
        <v>45804</v>
      </c>
      <c r="BK235" s="99"/>
    </row>
    <row r="236" spans="2:63" x14ac:dyDescent="0.35">
      <c r="B236" s="20" t="str" cm="1">
        <f t="array" ref="B236">_xlfn.IFS(BB236&lt;&gt;BC236,"Claim확인",N236&lt;&gt;"OK","확인필요",TRUE,"")</f>
        <v/>
      </c>
      <c r="C236" s="21" t="str">
        <f t="shared" si="42"/>
        <v>010-3X4X-X9X7219X02XX284640</v>
      </c>
      <c r="D236" s="26">
        <v>45798</v>
      </c>
      <c r="E236" s="91" t="s">
        <v>253</v>
      </c>
      <c r="F236" s="25" t="s">
        <v>257</v>
      </c>
      <c r="G236" s="27" t="s">
        <v>286</v>
      </c>
      <c r="H236" s="25" t="s">
        <v>299</v>
      </c>
      <c r="I236" s="25"/>
      <c r="J236" s="25" t="s">
        <v>300</v>
      </c>
      <c r="K236" s="28">
        <v>0.6875</v>
      </c>
      <c r="L236" s="28">
        <v>0.91666666666666663</v>
      </c>
      <c r="M236" s="28">
        <v>2.0833333333333332E-2</v>
      </c>
      <c r="N236" s="25" t="s">
        <v>281</v>
      </c>
      <c r="O236" s="29" t="str">
        <f>_xlfn.XLOOKUP(Table2[[#This Row],[Key]],Table1[Key],Table1[주민등록번호],"",0)</f>
        <v>931XX31XX3X14</v>
      </c>
      <c r="P236" s="29">
        <f>_xlfn.XLOOKUP(Table2[[#This Row],[Key]],Table1[Key],Table1[비자],"",0)</f>
        <v>0</v>
      </c>
      <c r="Q236" s="29">
        <f>IF(P236=0,0,_xlfn.XLOOKUP(Table2[[#This Row],[Key]],Table1[Key],Table1[고용보험 여부],0,0))</f>
        <v>0</v>
      </c>
      <c r="R236" s="29" t="str">
        <f t="shared" si="43"/>
        <v>2505</v>
      </c>
      <c r="S236" s="30" t="str">
        <f>YEAR(Table2[[#This Row],[근무일자]])&amp;TEXT(WEEKNUM(Table2[[#This Row],[근무일자]]),"00")</f>
        <v>202521</v>
      </c>
      <c r="T236" s="31">
        <f>_xlfn.XLOOKUP(Table2[[#This Row],[Key]],Table1[Key],Table1[등록일],"",0)</f>
        <v>45773</v>
      </c>
      <c r="U236" s="32">
        <f t="shared" si="44"/>
        <v>0.20833333333333329</v>
      </c>
      <c r="V236" s="92">
        <f t="shared" si="45"/>
        <v>0</v>
      </c>
      <c r="W236" s="100" t="str">
        <f>_xlfn.XLOOKUP(Table2[[#This Row],[근무일자]],Table3[Date],Table3[Holiday],"",0)</f>
        <v/>
      </c>
      <c r="X236" s="93">
        <f>IF(D236&lt;&gt;"",1,0)+IF(COUNTIFS(Table2[주민등록번호],O236,Table2[월],TEXT(EOMONTH(D236,-1),"YYMM"))&gt;0,1+IF(COUNTIFS(Table2[주민등록번호],O236,Table2[월],TEXT(EOMONTH(D236,-2),"YYMM"))&gt;0,1+IF(COUNTIFS(Table2[주민등록번호],O236,Table2[월],TEXT(EOMONTH(D236,-3),"YYMM"))&gt;0,1,0),0),0)</f>
        <v>4</v>
      </c>
      <c r="Y236" s="29">
        <f>COUNTIFS(Table2[주민등록번호],O236,Table2[월],R236,Table2[근무일자],"&lt;="&amp;D236)</f>
        <v>4</v>
      </c>
      <c r="Z236" s="29">
        <f>COUNTIFS(Table2[주민등록번호],O236,Table2[주간],S236,Table2[근무일자],"&lt;="&amp;D236)</f>
        <v>2</v>
      </c>
      <c r="AA236" s="29">
        <f>SUMIFS(Table2[근로
시간],Table2[주민등록번호],O236,Table2[주간],S236,Table2[근무일자],"&lt;="&amp;D236)*24</f>
        <v>9.9999999999999982</v>
      </c>
      <c r="AB236" s="29" t="str">
        <f>IF(AND(Y236&gt;=8,COUNTIFS(Table2[주민등록번호],O236,Table2[근무일자],"&gt;="&amp;EOMONTH(D236,-2)+1,Table2[근무일자],"&lt;="&amp;EOMONTH(D236,-1)+1)&gt;0),"V","")</f>
        <v/>
      </c>
      <c r="AC236" s="94" cm="1">
        <f t="array" ref="AC236">IF(AD236&lt;&gt;"",AD236,_xlfn.XLOOKUP(1,(D236&lt;=Table7[End])*(E236=Table7[근무처])*(F236=Table7[업무]),Table7[시급],0,0))</f>
        <v>10030</v>
      </c>
      <c r="AD236" s="95"/>
      <c r="AE236" s="94">
        <f t="shared" si="46"/>
        <v>50150</v>
      </c>
      <c r="AF236" s="96" cm="1">
        <f t="array" ref="AF236">IF(AND(AA236&gt;=15,(AA236-U236*24)&lt;=40),IF(Z236&gt;=_xlfn.XLOOKUP(1,(D236&lt;=Table7[End])*(E236=Table7[근무처])*(F236=Table7[업무]),Table7[주휴적용일],0,0),1,0)+_xlfn.XLOOKUP(1,(Table2[주간]=Table2[[#This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36" s="96" cm="1">
        <f t="array" ref="AG236">MAX((_xlfn.IFS(AF236=0,0,AF236=1,AA236,AF236&gt;1,U236*24)-IF(AA236&gt;40,AA236-40,0))/5,0)</f>
        <v>0</v>
      </c>
      <c r="AH236" s="94">
        <f t="shared" si="47"/>
        <v>0</v>
      </c>
      <c r="AI236" s="33" cm="1">
        <f t="array" ref="AI236">IF(W236="",0,ROUND(AC236*U236*24*_xlfn.XLOOKUP(1,(D236&lt;=Table7[End])*(E236=Table7[근무처])*(F236=Table7[업무]),Table7[휴일인센티브],0,0),0))</f>
        <v>0</v>
      </c>
      <c r="AJ236" s="94" cm="1">
        <f t="array" ref="AJ236">ROUND(AC236*IF(U236&gt;=8/24,U236-8/24,0)*24*_xlfn.XLOOKUP(1,(D236&lt;=Table7[End])*(E236=Table7[근무처])*(F236=Table7[업무]),Table7[야간인센티브],0,0),0)</f>
        <v>0</v>
      </c>
      <c r="AK236" s="94" cm="1">
        <f t="array" ref="AK236">IF(V236=0,0,ROUND(AC236*V236*24*_xlfn.XLOOKUP(1,(D236&lt;=Table7[End])*(E236=Table7[근무처])*(F236=Table7[업무]),Table7[야간인센티브],0,0),0))</f>
        <v>0</v>
      </c>
      <c r="AL236" s="95"/>
      <c r="AM236" s="94">
        <f t="shared" si="48"/>
        <v>50150</v>
      </c>
      <c r="AN236" s="94" cm="1">
        <f t="array" ref="AN236">IF(AM236&gt;=_xlfn.XLOOKUP(TRUE,D236&lt;=Table5[End],Table5[비과세소득기준],0,0),AM236-_xlfn.XLOOKUP(TRUE,D236&lt;=Table5[End],Table5[비과세소득기준],0,0),0)</f>
        <v>0</v>
      </c>
      <c r="AO236" s="94" cm="1">
        <f t="array" ref="AO236">ROUNDDOWN(_xlfn.LET(_xlpm.setvalue,_xlfn.XLOOKUP(TRUE,D236&lt;=Table5[End],Table5[[요율]:[근로소득세액공제]],0,0),_xlpm.tax,AN236*PRODUCT((_xlpm.setvalue-{0,1})*{1,-1}),_xlpm.threshold,_xlfn.XLOOKUP(TRUE,D236&lt;=Table5[End],Table5[소액부징수기준],0,0),IF(_xlpm.tax&gt;=_xlpm.threshold,_xlpm.tax,0)),-1)</f>
        <v>0</v>
      </c>
      <c r="AP236" s="94">
        <f>ROUNDDOWN(Table2[[#This Row],[소득세]]*10%,-1)</f>
        <v>0</v>
      </c>
      <c r="AQ236" s="94">
        <f>IF(AB236="v",AM236+IF(Y236=8,SUMIFS(Table2[지급총액],Table2[주민등록번호],O236,Table2[월],R236,Table2[월간
근무일],"&lt;="&amp;8)-AM236,0),0)+_xlfn.NUMBERVALUE(AR236)</f>
        <v>0</v>
      </c>
      <c r="AR236" s="95"/>
      <c r="AS236" s="94" cm="1">
        <f t="array" ref="AS236">ROUNDDOWN($AQ236*_xlfn.XLOOKUP(1,(AS$5=Table8[Type])*($D236&lt;=Table8[End]),Table8[요율],0,0),0)</f>
        <v>0</v>
      </c>
      <c r="AT236" s="94" cm="1">
        <f t="array" ref="AT236">ROUNDDOWN(AS236*_xlfn.XLOOKUP(1,(AT$5=Table8[Type])*($D236&lt;=Table8[End]),Table8[요율],0,0),-1)</f>
        <v>0</v>
      </c>
      <c r="AU236" s="94" cm="1">
        <f t="array" ref="AU236">ROUNDDOWN($AQ236*_xlfn.XLOOKUP(1,(AU$5=Table8[Type])*($D236&lt;=Table8[End]),Table8[요율],0,0),-1)</f>
        <v>0</v>
      </c>
      <c r="AV236" s="94" cm="1">
        <f t="array" ref="AV236">ROUNDDOWN(AM236*_xlfn.XLOOKUP(1,(AV$5=Table8[Type])*($D236&lt;=Table8[End]),Table8[요율],0,0),-1)</f>
        <v>0</v>
      </c>
      <c r="AW236" s="94" cm="1">
        <f t="array" ref="AW236">_xlfn.XLOOKUP(1,(O236=Table2[주민등록번호])*(D236&gt;Table2[근무일자]),Table2[청구 Claim 
이월],0,0,-1)</f>
        <v>0</v>
      </c>
      <c r="AX236" s="95"/>
      <c r="AY236" s="94" cm="1">
        <f t="array" ref="AY236">MAX(SUM(AO236:AP236,AS236:AX236)-_xlfn.XLOOKUP(1,(D236&lt;=Table7[End])*(E236=Table7[근무처])*(F236=Table7[업무]),Table7[1일 공제 상한],0,0),0)</f>
        <v>0</v>
      </c>
      <c r="AZ236" s="94">
        <f t="shared" si="49"/>
        <v>0</v>
      </c>
      <c r="BA236" s="94">
        <f t="shared" si="50"/>
        <v>50150</v>
      </c>
      <c r="BB236" s="97">
        <f t="shared" si="51"/>
        <v>0</v>
      </c>
      <c r="BC236" s="98"/>
      <c r="BD236" s="94">
        <f t="shared" si="52"/>
        <v>0</v>
      </c>
      <c r="BE236" s="94">
        <f t="shared" si="53"/>
        <v>0</v>
      </c>
      <c r="BF236" s="94">
        <f t="shared" si="54"/>
        <v>0</v>
      </c>
      <c r="BG236" s="94">
        <f t="shared" si="55"/>
        <v>0</v>
      </c>
      <c r="BH236" s="94" cm="1">
        <f t="array" ref="BH236">ROUNDDOWN(AM236*_xlfn.XLOOKUP(1,(BH$5=Table8[Type])*($D236&lt;=Table8[End]),Table8[요율],0,0),-1)</f>
        <v>400</v>
      </c>
      <c r="BI236" s="93" t="str" cm="1">
        <f t="array" ref="BI236">_xlfn.XLOOKUP(1,(D236&lt;=Table7[End])*(E236=Table7[근무처])*(F236=Table7[업무]),Table7[지급옵션],0,0)</f>
        <v>D+2</v>
      </c>
      <c r="BJ236" s="83">
        <f>IF(BK236&lt;&gt;"",BK236,IFERROR(D236+_xlfn.NUMBERVALUE(RIGHT(BI236,1)),D236-WEEKDAY(D236)+CHOOSE(MATCH(RIGHT(BI236),{"일","월","화","수","목","금","토"},0),8,9,10,11,12,13,14)))</f>
        <v>45800</v>
      </c>
      <c r="BK236" s="99"/>
    </row>
    <row r="237" spans="2:63" x14ac:dyDescent="0.35">
      <c r="B237" s="20" t="str" cm="1">
        <f t="array" ref="B237">_xlfn.IFS(BB237&lt;&gt;BC237,"Claim확인",N237&lt;&gt;"OK","확인필요",TRUE,"")</f>
        <v/>
      </c>
      <c r="C237" s="21" t="str">
        <f t="shared" si="42"/>
        <v>010-3X6X-X4X7757X02XX284249</v>
      </c>
      <c r="D237" s="26">
        <v>45799</v>
      </c>
      <c r="E237" s="91" t="s">
        <v>255</v>
      </c>
      <c r="F237" s="25" t="s">
        <v>258</v>
      </c>
      <c r="G237" s="27" t="s">
        <v>283</v>
      </c>
      <c r="H237" s="25" t="s">
        <v>295</v>
      </c>
      <c r="I237" s="25"/>
      <c r="J237" s="25" t="s">
        <v>296</v>
      </c>
      <c r="K237" s="28">
        <v>0.29166666666666669</v>
      </c>
      <c r="L237" s="28">
        <v>0.66666666666666663</v>
      </c>
      <c r="M237" s="28">
        <v>4.1666666666666664E-2</v>
      </c>
      <c r="N237" s="25" t="s">
        <v>281</v>
      </c>
      <c r="O237" s="29" t="str">
        <f>_xlfn.XLOOKUP(Table2[[#This Row],[Key]],Table1[Key],Table1[주민등록번호],"",0)</f>
        <v>940XX41XX7X32</v>
      </c>
      <c r="P237" s="29">
        <f>_xlfn.XLOOKUP(Table2[[#This Row],[Key]],Table1[Key],Table1[비자],"",0)</f>
        <v>0</v>
      </c>
      <c r="Q237" s="29">
        <f>IF(P237=0,0,_xlfn.XLOOKUP(Table2[[#This Row],[Key]],Table1[Key],Table1[고용보험 여부],0,0))</f>
        <v>0</v>
      </c>
      <c r="R237" s="29" t="str">
        <f t="shared" si="43"/>
        <v>2505</v>
      </c>
      <c r="S237" s="30" t="str">
        <f>YEAR(Table2[[#This Row],[근무일자]])&amp;TEXT(WEEKNUM(Table2[[#This Row],[근무일자]]),"00")</f>
        <v>202521</v>
      </c>
      <c r="T237" s="31">
        <f>_xlfn.XLOOKUP(Table2[[#This Row],[Key]],Table1[Key],Table1[등록일],"",0)</f>
        <v>45751</v>
      </c>
      <c r="U237" s="32">
        <f t="shared" si="44"/>
        <v>0.33333333333333326</v>
      </c>
      <c r="V237" s="92">
        <f t="shared" si="45"/>
        <v>0</v>
      </c>
      <c r="W237" s="100" t="str">
        <f>_xlfn.XLOOKUP(Table2[[#This Row],[근무일자]],Table3[Date],Table3[Holiday],"",0)</f>
        <v/>
      </c>
      <c r="X237" s="93">
        <f>IF(D237&lt;&gt;"",1,0)+IF(COUNTIFS(Table2[주민등록번호],O237,Table2[월],TEXT(EOMONTH(D237,-1),"YYMM"))&gt;0,1+IF(COUNTIFS(Table2[주민등록번호],O237,Table2[월],TEXT(EOMONTH(D237,-2),"YYMM"))&gt;0,1+IF(COUNTIFS(Table2[주민등록번호],O237,Table2[월],TEXT(EOMONTH(D237,-3),"YYMM"))&gt;0,1,0),0),0)</f>
        <v>2</v>
      </c>
      <c r="Y237" s="29">
        <f>COUNTIFS(Table2[주민등록번호],O237,Table2[월],R237,Table2[근무일자],"&lt;="&amp;D237)</f>
        <v>13</v>
      </c>
      <c r="Z237" s="29">
        <f>COUNTIFS(Table2[주민등록번호],O237,Table2[주간],S237,Table2[근무일자],"&lt;="&amp;D237)</f>
        <v>3</v>
      </c>
      <c r="AA237" s="29">
        <f>SUMIFS(Table2[근로
시간],Table2[주민등록번호],O237,Table2[주간],S237,Table2[근무일자],"&lt;="&amp;D237)*24</f>
        <v>23.999999999999993</v>
      </c>
      <c r="AB237" s="29" t="str">
        <f>IF(AND(Y237&gt;=8,COUNTIFS(Table2[주민등록번호],O237,Table2[근무일자],"&gt;="&amp;EOMONTH(D237,-2)+1,Table2[근무일자],"&lt;="&amp;EOMONTH(D237,-1)+1)&gt;0),"V","")</f>
        <v>V</v>
      </c>
      <c r="AC237" s="94" cm="1">
        <f t="array" ref="AC237">IF(AD237&lt;&gt;"",AD237,_xlfn.XLOOKUP(1,(D237&lt;=Table7[End])*(E237=Table7[근무처])*(F237=Table7[업무]),Table7[시급],0,0))</f>
        <v>10680</v>
      </c>
      <c r="AD237" s="95"/>
      <c r="AE237" s="94">
        <f t="shared" si="46"/>
        <v>85440</v>
      </c>
      <c r="AF237" s="96" cm="1">
        <f t="array" ref="AF237">IF(AND(AA237&gt;=15,(AA237-U237*24)&lt;=40),IF(Z237&gt;=_xlfn.XLOOKUP(1,(D237&lt;=Table7[End])*(E237=Table7[근무처])*(F237=Table7[업무]),Table7[주휴적용일],0,0),1,0)+_xlfn.XLOOKUP(1,(Table2[주간]=Table2[[#This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37" s="96" cm="1">
        <f t="array" ref="AG237">MAX((_xlfn.IFS(AF237=0,0,AF237=1,AA237,AF237&gt;1,U237*24)-IF(AA237&gt;40,AA237-40,0))/5,0)</f>
        <v>1.5999999999999996</v>
      </c>
      <c r="AH237" s="94">
        <f t="shared" si="47"/>
        <v>17088</v>
      </c>
      <c r="AI237" s="33" cm="1">
        <f t="array" ref="AI237">IF(W237="",0,ROUND(AC237*U237*24*_xlfn.XLOOKUP(1,(D237&lt;=Table7[End])*(E237=Table7[근무처])*(F237=Table7[업무]),Table7[휴일인센티브],0,0),0))</f>
        <v>0</v>
      </c>
      <c r="AJ237" s="94" cm="1">
        <f t="array" ref="AJ237">ROUND(AC237*IF(U237&gt;=8/24,U237-8/24,0)*24*_xlfn.XLOOKUP(1,(D237&lt;=Table7[End])*(E237=Table7[근무처])*(F237=Table7[업무]),Table7[야간인센티브],0,0),0)</f>
        <v>0</v>
      </c>
      <c r="AK237" s="94" cm="1">
        <f t="array" ref="AK237">IF(V237=0,0,ROUND(AC237*V237*24*_xlfn.XLOOKUP(1,(D237&lt;=Table7[End])*(E237=Table7[근무처])*(F237=Table7[업무]),Table7[야간인센티브],0,0),0))</f>
        <v>0</v>
      </c>
      <c r="AL237" s="95"/>
      <c r="AM237" s="94">
        <f t="shared" si="48"/>
        <v>102528</v>
      </c>
      <c r="AN237" s="94" cm="1">
        <f t="array" ref="AN237">IF(AM237&gt;=_xlfn.XLOOKUP(TRUE,D237&lt;=Table5[End],Table5[비과세소득기준],0,0),AM237-_xlfn.XLOOKUP(TRUE,D237&lt;=Table5[End],Table5[비과세소득기준],0,0),0)</f>
        <v>0</v>
      </c>
      <c r="AO237" s="94" cm="1">
        <f t="array" ref="AO237">ROUNDDOWN(_xlfn.LET(_xlpm.setvalue,_xlfn.XLOOKUP(TRUE,D237&lt;=Table5[End],Table5[[요율]:[근로소득세액공제]],0,0),_xlpm.tax,AN237*PRODUCT((_xlpm.setvalue-{0,1})*{1,-1}),_xlpm.threshold,_xlfn.XLOOKUP(TRUE,D237&lt;=Table5[End],Table5[소액부징수기준],0,0),IF(_xlpm.tax&gt;=_xlpm.threshold,_xlpm.tax,0)),-1)</f>
        <v>0</v>
      </c>
      <c r="AP237" s="94">
        <f>ROUNDDOWN(Table2[[#This Row],[소득세]]*10%,-1)</f>
        <v>0</v>
      </c>
      <c r="AQ237" s="94">
        <f>IF(AB237="v",AM237+IF(Y237=8,SUMIFS(Table2[지급총액],Table2[주민등록번호],O237,Table2[월],R237,Table2[월간
근무일],"&lt;="&amp;8)-AM237,0),0)+_xlfn.NUMBERVALUE(AR237)</f>
        <v>102528</v>
      </c>
      <c r="AR237" s="95"/>
      <c r="AS237" s="94" cm="1">
        <f t="array" ref="AS237">ROUNDDOWN($AQ237*_xlfn.XLOOKUP(1,(AS$5=Table8[Type])*($D237&lt;=Table8[End]),Table8[요율],0,0),0)</f>
        <v>3634</v>
      </c>
      <c r="AT237" s="94" cm="1">
        <f t="array" ref="AT237">ROUNDDOWN(AS237*_xlfn.XLOOKUP(1,(AT$5=Table8[Type])*($D237&lt;=Table8[End]),Table8[요율],0,0),-1)</f>
        <v>470</v>
      </c>
      <c r="AU237" s="94" cm="1">
        <f t="array" ref="AU237">ROUNDDOWN($AQ237*_xlfn.XLOOKUP(1,(AU$5=Table8[Type])*($D237&lt;=Table8[End]),Table8[요율],0,0),-1)</f>
        <v>4610</v>
      </c>
      <c r="AV237" s="94" cm="1">
        <f t="array" ref="AV237">ROUNDDOWN(AM237*_xlfn.XLOOKUP(1,(AV$5=Table8[Type])*($D237&lt;=Table8[End]),Table8[요율],0,0),-1)</f>
        <v>0</v>
      </c>
      <c r="AW237" s="94" cm="1">
        <f t="array" ref="AW237">_xlfn.XLOOKUP(1,(O237=Table2[주민등록번호])*(D237&gt;Table2[근무일자]),Table2[청구 Claim 
이월],0,0,-1)</f>
        <v>0</v>
      </c>
      <c r="AX237" s="95"/>
      <c r="AY237" s="94" cm="1">
        <f t="array" ref="AY237">MAX(SUM(AO237:AP237,AS237:AX237)-_xlfn.XLOOKUP(1,(D237&lt;=Table7[End])*(E237=Table7[근무처])*(F237=Table7[업무]),Table7[1일 공제 상한],0,0),0)</f>
        <v>0</v>
      </c>
      <c r="AZ237" s="94">
        <f t="shared" si="49"/>
        <v>8714</v>
      </c>
      <c r="BA237" s="94">
        <f t="shared" si="50"/>
        <v>93814</v>
      </c>
      <c r="BB237" s="97">
        <f t="shared" si="51"/>
        <v>0</v>
      </c>
      <c r="BC237" s="98"/>
      <c r="BD237" s="94">
        <f t="shared" si="52"/>
        <v>3634</v>
      </c>
      <c r="BE237" s="94">
        <f t="shared" si="53"/>
        <v>470</v>
      </c>
      <c r="BF237" s="94">
        <f t="shared" si="54"/>
        <v>4610</v>
      </c>
      <c r="BG237" s="94">
        <f t="shared" si="55"/>
        <v>0</v>
      </c>
      <c r="BH237" s="94" cm="1">
        <f t="array" ref="BH237">ROUNDDOWN(AM237*_xlfn.XLOOKUP(1,(BH$5=Table8[Type])*($D237&lt;=Table8[End]),Table8[요율],0,0),-1)</f>
        <v>820</v>
      </c>
      <c r="BI237" s="93" t="str" cm="1">
        <f t="array" ref="BI237">_xlfn.XLOOKUP(1,(D237&lt;=Table7[End])*(E237=Table7[근무처])*(F237=Table7[업무]),Table7[지급옵션],0,0)</f>
        <v>차주 화</v>
      </c>
      <c r="BJ237" s="83">
        <f>IF(BK237&lt;&gt;"",BK237,IFERROR(D237+_xlfn.NUMBERVALUE(RIGHT(BI237,1)),D237-WEEKDAY(D237)+CHOOSE(MATCH(RIGHT(BI237),{"일","월","화","수","목","금","토"},0),8,9,10,11,12,13,14)))</f>
        <v>45804</v>
      </c>
      <c r="BK237" s="99"/>
    </row>
    <row r="238" spans="2:63" x14ac:dyDescent="0.35">
      <c r="B238" s="20" t="str" cm="1">
        <f t="array" ref="B238">_xlfn.IFS(BB238&lt;&gt;BC238,"Claim확인",N238&lt;&gt;"OK","확인필요",TRUE,"")</f>
        <v/>
      </c>
      <c r="C238" s="21" t="str">
        <f t="shared" si="42"/>
        <v>010-3X4X-X9X7219X02XX284640</v>
      </c>
      <c r="D238" s="26">
        <v>45799</v>
      </c>
      <c r="E238" s="91" t="s">
        <v>253</v>
      </c>
      <c r="F238" s="25" t="s">
        <v>257</v>
      </c>
      <c r="G238" s="27" t="s">
        <v>286</v>
      </c>
      <c r="H238" s="25" t="s">
        <v>299</v>
      </c>
      <c r="I238" s="25"/>
      <c r="J238" s="25" t="s">
        <v>300</v>
      </c>
      <c r="K238" s="28">
        <v>0.6875</v>
      </c>
      <c r="L238" s="28">
        <v>0.91666666666666663</v>
      </c>
      <c r="M238" s="28">
        <v>2.0833333333333332E-2</v>
      </c>
      <c r="N238" s="25" t="s">
        <v>281</v>
      </c>
      <c r="O238" s="29" t="str">
        <f>_xlfn.XLOOKUP(Table2[[#This Row],[Key]],Table1[Key],Table1[주민등록번호],"",0)</f>
        <v>931XX31XX3X14</v>
      </c>
      <c r="P238" s="29">
        <f>_xlfn.XLOOKUP(Table2[[#This Row],[Key]],Table1[Key],Table1[비자],"",0)</f>
        <v>0</v>
      </c>
      <c r="Q238" s="29">
        <f>IF(P238=0,0,_xlfn.XLOOKUP(Table2[[#This Row],[Key]],Table1[Key],Table1[고용보험 여부],0,0))</f>
        <v>0</v>
      </c>
      <c r="R238" s="29" t="str">
        <f t="shared" si="43"/>
        <v>2505</v>
      </c>
      <c r="S238" s="30" t="str">
        <f>YEAR(Table2[[#This Row],[근무일자]])&amp;TEXT(WEEKNUM(Table2[[#This Row],[근무일자]]),"00")</f>
        <v>202521</v>
      </c>
      <c r="T238" s="31">
        <f>_xlfn.XLOOKUP(Table2[[#This Row],[Key]],Table1[Key],Table1[등록일],"",0)</f>
        <v>45773</v>
      </c>
      <c r="U238" s="32">
        <f t="shared" si="44"/>
        <v>0.20833333333333329</v>
      </c>
      <c r="V238" s="92">
        <f t="shared" si="45"/>
        <v>0</v>
      </c>
      <c r="W238" s="100" t="str">
        <f>_xlfn.XLOOKUP(Table2[[#This Row],[근무일자]],Table3[Date],Table3[Holiday],"",0)</f>
        <v/>
      </c>
      <c r="X238" s="93">
        <f>IF(D238&lt;&gt;"",1,0)+IF(COUNTIFS(Table2[주민등록번호],O238,Table2[월],TEXT(EOMONTH(D238,-1),"YYMM"))&gt;0,1+IF(COUNTIFS(Table2[주민등록번호],O238,Table2[월],TEXT(EOMONTH(D238,-2),"YYMM"))&gt;0,1+IF(COUNTIFS(Table2[주민등록번호],O238,Table2[월],TEXT(EOMONTH(D238,-3),"YYMM"))&gt;0,1,0),0),0)</f>
        <v>4</v>
      </c>
      <c r="Y238" s="29">
        <f>COUNTIFS(Table2[주민등록번호],O238,Table2[월],R238,Table2[근무일자],"&lt;="&amp;D238)</f>
        <v>5</v>
      </c>
      <c r="Z238" s="29">
        <f>COUNTIFS(Table2[주민등록번호],O238,Table2[주간],S238,Table2[근무일자],"&lt;="&amp;D238)</f>
        <v>3</v>
      </c>
      <c r="AA238" s="29">
        <f>SUMIFS(Table2[근로
시간],Table2[주민등록번호],O238,Table2[주간],S238,Table2[근무일자],"&lt;="&amp;D238)*24</f>
        <v>14.999999999999996</v>
      </c>
      <c r="AB238" s="29" t="str">
        <f>IF(AND(Y238&gt;=8,COUNTIFS(Table2[주민등록번호],O238,Table2[근무일자],"&gt;="&amp;EOMONTH(D238,-2)+1,Table2[근무일자],"&lt;="&amp;EOMONTH(D238,-1)+1)&gt;0),"V","")</f>
        <v/>
      </c>
      <c r="AC238" s="94" cm="1">
        <f t="array" ref="AC238">IF(AD238&lt;&gt;"",AD238,_xlfn.XLOOKUP(1,(D238&lt;=Table7[End])*(E238=Table7[근무처])*(F238=Table7[업무]),Table7[시급],0,0))</f>
        <v>10030</v>
      </c>
      <c r="AD238" s="95"/>
      <c r="AE238" s="94">
        <f t="shared" si="46"/>
        <v>50150</v>
      </c>
      <c r="AF238" s="96" cm="1">
        <f t="array" ref="AF238">IF(AND(AA238&gt;=15,(AA238-U238*24)&lt;=40),IF(Z238&gt;=_xlfn.XLOOKUP(1,(D238&lt;=Table7[End])*(E238=Table7[근무처])*(F238=Table7[업무]),Table7[주휴적용일],0,0),1,0)+_xlfn.XLOOKUP(1,(Table2[주간]=Table2[[#This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38" s="96" cm="1">
        <f t="array" ref="AG238">MAX((_xlfn.IFS(AF238=0,0,AF238=1,AA238,AF238&gt;1,U238*24)-IF(AA238&gt;40,AA238-40,0))/5,0)</f>
        <v>0</v>
      </c>
      <c r="AH238" s="94">
        <f t="shared" si="47"/>
        <v>0</v>
      </c>
      <c r="AI238" s="33" cm="1">
        <f t="array" ref="AI238">IF(W238="",0,ROUND(AC238*U238*24*_xlfn.XLOOKUP(1,(D238&lt;=Table7[End])*(E238=Table7[근무처])*(F238=Table7[업무]),Table7[휴일인센티브],0,0),0))</f>
        <v>0</v>
      </c>
      <c r="AJ238" s="94" cm="1">
        <f t="array" ref="AJ238">ROUND(AC238*IF(U238&gt;=8/24,U238-8/24,0)*24*_xlfn.XLOOKUP(1,(D238&lt;=Table7[End])*(E238=Table7[근무처])*(F238=Table7[업무]),Table7[야간인센티브],0,0),0)</f>
        <v>0</v>
      </c>
      <c r="AK238" s="94" cm="1">
        <f t="array" ref="AK238">IF(V238=0,0,ROUND(AC238*V238*24*_xlfn.XLOOKUP(1,(D238&lt;=Table7[End])*(E238=Table7[근무처])*(F238=Table7[업무]),Table7[야간인센티브],0,0),0))</f>
        <v>0</v>
      </c>
      <c r="AL238" s="95"/>
      <c r="AM238" s="94">
        <f t="shared" si="48"/>
        <v>50150</v>
      </c>
      <c r="AN238" s="94" cm="1">
        <f t="array" ref="AN238">IF(AM238&gt;=_xlfn.XLOOKUP(TRUE,D238&lt;=Table5[End],Table5[비과세소득기준],0,0),AM238-_xlfn.XLOOKUP(TRUE,D238&lt;=Table5[End],Table5[비과세소득기준],0,0),0)</f>
        <v>0</v>
      </c>
      <c r="AO238" s="94" cm="1">
        <f t="array" ref="AO238">ROUNDDOWN(_xlfn.LET(_xlpm.setvalue,_xlfn.XLOOKUP(TRUE,D238&lt;=Table5[End],Table5[[요율]:[근로소득세액공제]],0,0),_xlpm.tax,AN238*PRODUCT((_xlpm.setvalue-{0,1})*{1,-1}),_xlpm.threshold,_xlfn.XLOOKUP(TRUE,D238&lt;=Table5[End],Table5[소액부징수기준],0,0),IF(_xlpm.tax&gt;=_xlpm.threshold,_xlpm.tax,0)),-1)</f>
        <v>0</v>
      </c>
      <c r="AP238" s="94">
        <f>ROUNDDOWN(Table2[[#This Row],[소득세]]*10%,-1)</f>
        <v>0</v>
      </c>
      <c r="AQ238" s="94">
        <f>IF(AB238="v",AM238+IF(Y238=8,SUMIFS(Table2[지급총액],Table2[주민등록번호],O238,Table2[월],R238,Table2[월간
근무일],"&lt;="&amp;8)-AM238,0),0)+_xlfn.NUMBERVALUE(AR238)</f>
        <v>0</v>
      </c>
      <c r="AR238" s="95"/>
      <c r="AS238" s="94" cm="1">
        <f t="array" ref="AS238">ROUNDDOWN($AQ238*_xlfn.XLOOKUP(1,(AS$5=Table8[Type])*($D238&lt;=Table8[End]),Table8[요율],0,0),0)</f>
        <v>0</v>
      </c>
      <c r="AT238" s="94" cm="1">
        <f t="array" ref="AT238">ROUNDDOWN(AS238*_xlfn.XLOOKUP(1,(AT$5=Table8[Type])*($D238&lt;=Table8[End]),Table8[요율],0,0),-1)</f>
        <v>0</v>
      </c>
      <c r="AU238" s="94" cm="1">
        <f t="array" ref="AU238">ROUNDDOWN($AQ238*_xlfn.XLOOKUP(1,(AU$5=Table8[Type])*($D238&lt;=Table8[End]),Table8[요율],0,0),-1)</f>
        <v>0</v>
      </c>
      <c r="AV238" s="94" cm="1">
        <f t="array" ref="AV238">ROUNDDOWN(AM238*_xlfn.XLOOKUP(1,(AV$5=Table8[Type])*($D238&lt;=Table8[End]),Table8[요율],0,0),-1)</f>
        <v>0</v>
      </c>
      <c r="AW238" s="94" cm="1">
        <f t="array" ref="AW238">_xlfn.XLOOKUP(1,(O238=Table2[주민등록번호])*(D238&gt;Table2[근무일자]),Table2[청구 Claim 
이월],0,0,-1)</f>
        <v>0</v>
      </c>
      <c r="AX238" s="95"/>
      <c r="AY238" s="94" cm="1">
        <f t="array" ref="AY238">MAX(SUM(AO238:AP238,AS238:AX238)-_xlfn.XLOOKUP(1,(D238&lt;=Table7[End])*(E238=Table7[근무처])*(F238=Table7[업무]),Table7[1일 공제 상한],0,0),0)</f>
        <v>0</v>
      </c>
      <c r="AZ238" s="94">
        <f t="shared" si="49"/>
        <v>0</v>
      </c>
      <c r="BA238" s="94">
        <f t="shared" si="50"/>
        <v>50150</v>
      </c>
      <c r="BB238" s="97">
        <f t="shared" si="51"/>
        <v>0</v>
      </c>
      <c r="BC238" s="98"/>
      <c r="BD238" s="94">
        <f t="shared" si="52"/>
        <v>0</v>
      </c>
      <c r="BE238" s="94">
        <f t="shared" si="53"/>
        <v>0</v>
      </c>
      <c r="BF238" s="94">
        <f t="shared" si="54"/>
        <v>0</v>
      </c>
      <c r="BG238" s="94">
        <f t="shared" si="55"/>
        <v>0</v>
      </c>
      <c r="BH238" s="94" cm="1">
        <f t="array" ref="BH238">ROUNDDOWN(AM238*_xlfn.XLOOKUP(1,(BH$5=Table8[Type])*($D238&lt;=Table8[End]),Table8[요율],0,0),-1)</f>
        <v>400</v>
      </c>
      <c r="BI238" s="93" t="str" cm="1">
        <f t="array" ref="BI238">_xlfn.XLOOKUP(1,(D238&lt;=Table7[End])*(E238=Table7[근무처])*(F238=Table7[업무]),Table7[지급옵션],0,0)</f>
        <v>D+2</v>
      </c>
      <c r="BJ238" s="83">
        <f>IF(BK238&lt;&gt;"",BK238,IFERROR(D238+_xlfn.NUMBERVALUE(RIGHT(BI238,1)),D238-WEEKDAY(D238)+CHOOSE(MATCH(RIGHT(BI238),{"일","월","화","수","목","금","토"},0),8,9,10,11,12,13,14)))</f>
        <v>45801</v>
      </c>
      <c r="BK238" s="99"/>
    </row>
    <row r="239" spans="2:63" x14ac:dyDescent="0.35">
      <c r="B239" s="20" t="str" cm="1">
        <f t="array" ref="B239">_xlfn.IFS(BB239&lt;&gt;BC239,"Claim확인",N239&lt;&gt;"OK","확인필요",TRUE,"")</f>
        <v/>
      </c>
      <c r="C239" s="21" t="str">
        <f t="shared" si="42"/>
        <v>010-3X6X-X4X7757X02XX284249</v>
      </c>
      <c r="D239" s="26">
        <v>45800</v>
      </c>
      <c r="E239" s="91" t="s">
        <v>255</v>
      </c>
      <c r="F239" s="25" t="s">
        <v>258</v>
      </c>
      <c r="G239" s="27" t="s">
        <v>283</v>
      </c>
      <c r="H239" s="25" t="s">
        <v>295</v>
      </c>
      <c r="I239" s="25"/>
      <c r="J239" s="25" t="s">
        <v>296</v>
      </c>
      <c r="K239" s="28">
        <v>0.29166666666666669</v>
      </c>
      <c r="L239" s="28">
        <v>0.66666666666666663</v>
      </c>
      <c r="M239" s="28">
        <v>4.1666666666666664E-2</v>
      </c>
      <c r="N239" s="25" t="s">
        <v>281</v>
      </c>
      <c r="O239" s="29" t="str">
        <f>_xlfn.XLOOKUP(Table2[[#This Row],[Key]],Table1[Key],Table1[주민등록번호],"",0)</f>
        <v>940XX41XX7X32</v>
      </c>
      <c r="P239" s="29">
        <f>_xlfn.XLOOKUP(Table2[[#This Row],[Key]],Table1[Key],Table1[비자],"",0)</f>
        <v>0</v>
      </c>
      <c r="Q239" s="29">
        <f>IF(P239=0,0,_xlfn.XLOOKUP(Table2[[#This Row],[Key]],Table1[Key],Table1[고용보험 여부],0,0))</f>
        <v>0</v>
      </c>
      <c r="R239" s="29" t="str">
        <f t="shared" si="43"/>
        <v>2505</v>
      </c>
      <c r="S239" s="30" t="str">
        <f>YEAR(Table2[[#This Row],[근무일자]])&amp;TEXT(WEEKNUM(Table2[[#This Row],[근무일자]]),"00")</f>
        <v>202521</v>
      </c>
      <c r="T239" s="31">
        <f>_xlfn.XLOOKUP(Table2[[#This Row],[Key]],Table1[Key],Table1[등록일],"",0)</f>
        <v>45751</v>
      </c>
      <c r="U239" s="32">
        <f t="shared" si="44"/>
        <v>0.33333333333333326</v>
      </c>
      <c r="V239" s="92">
        <f t="shared" si="45"/>
        <v>0</v>
      </c>
      <c r="W239" s="100" t="str">
        <f>_xlfn.XLOOKUP(Table2[[#This Row],[근무일자]],Table3[Date],Table3[Holiday],"",0)</f>
        <v/>
      </c>
      <c r="X239" s="93">
        <f>IF(D239&lt;&gt;"",1,0)+IF(COUNTIFS(Table2[주민등록번호],O239,Table2[월],TEXT(EOMONTH(D239,-1),"YYMM"))&gt;0,1+IF(COUNTIFS(Table2[주민등록번호],O239,Table2[월],TEXT(EOMONTH(D239,-2),"YYMM"))&gt;0,1+IF(COUNTIFS(Table2[주민등록번호],O239,Table2[월],TEXT(EOMONTH(D239,-3),"YYMM"))&gt;0,1,0),0),0)</f>
        <v>2</v>
      </c>
      <c r="Y239" s="29">
        <f>COUNTIFS(Table2[주민등록번호],O239,Table2[월],R239,Table2[근무일자],"&lt;="&amp;D239)</f>
        <v>14</v>
      </c>
      <c r="Z239" s="29">
        <f>COUNTIFS(Table2[주민등록번호],O239,Table2[주간],S239,Table2[근무일자],"&lt;="&amp;D239)</f>
        <v>4</v>
      </c>
      <c r="AA239" s="29">
        <f>SUMIFS(Table2[근로
시간],Table2[주민등록번호],O239,Table2[주간],S239,Table2[근무일자],"&lt;="&amp;D239)*24</f>
        <v>31.999999999999993</v>
      </c>
      <c r="AB239" s="29" t="str">
        <f>IF(AND(Y239&gt;=8,COUNTIFS(Table2[주민등록번호],O239,Table2[근무일자],"&gt;="&amp;EOMONTH(D239,-2)+1,Table2[근무일자],"&lt;="&amp;EOMONTH(D239,-1)+1)&gt;0),"V","")</f>
        <v>V</v>
      </c>
      <c r="AC239" s="94" cm="1">
        <f t="array" ref="AC239">IF(AD239&lt;&gt;"",AD239,_xlfn.XLOOKUP(1,(D239&lt;=Table7[End])*(E239=Table7[근무처])*(F239=Table7[업무]),Table7[시급],0,0))</f>
        <v>10680</v>
      </c>
      <c r="AD239" s="95"/>
      <c r="AE239" s="94">
        <f t="shared" si="46"/>
        <v>85440</v>
      </c>
      <c r="AF239" s="96" cm="1">
        <f t="array" ref="AF239">IF(AND(AA239&gt;=15,(AA239-U239*24)&lt;=40),IF(Z239&gt;=_xlfn.XLOOKUP(1,(D239&lt;=Table7[End])*(E239=Table7[근무처])*(F239=Table7[업무]),Table7[주휴적용일],0,0),1,0)+_xlfn.XLOOKUP(1,(Table2[주간]=Table2[[#This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39" s="96" cm="1">
        <f t="array" ref="AG239">MAX((_xlfn.IFS(AF239=0,0,AF239=1,AA239,AF239&gt;1,U239*24)-IF(AA239&gt;40,AA239-40,0))/5,0)</f>
        <v>1.5999999999999996</v>
      </c>
      <c r="AH239" s="94">
        <f t="shared" si="47"/>
        <v>17088</v>
      </c>
      <c r="AI239" s="33" cm="1">
        <f t="array" ref="AI239">IF(W239="",0,ROUND(AC239*U239*24*_xlfn.XLOOKUP(1,(D239&lt;=Table7[End])*(E239=Table7[근무처])*(F239=Table7[업무]),Table7[휴일인센티브],0,0),0))</f>
        <v>0</v>
      </c>
      <c r="AJ239" s="94" cm="1">
        <f t="array" ref="AJ239">ROUND(AC239*IF(U239&gt;=8/24,U239-8/24,0)*24*_xlfn.XLOOKUP(1,(D239&lt;=Table7[End])*(E239=Table7[근무처])*(F239=Table7[업무]),Table7[야간인센티브],0,0),0)</f>
        <v>0</v>
      </c>
      <c r="AK239" s="94" cm="1">
        <f t="array" ref="AK239">IF(V239=0,0,ROUND(AC239*V239*24*_xlfn.XLOOKUP(1,(D239&lt;=Table7[End])*(E239=Table7[근무처])*(F239=Table7[업무]),Table7[야간인센티브],0,0),0))</f>
        <v>0</v>
      </c>
      <c r="AL239" s="95"/>
      <c r="AM239" s="94">
        <f t="shared" si="48"/>
        <v>102528</v>
      </c>
      <c r="AN239" s="94" cm="1">
        <f t="array" ref="AN239">IF(AM239&gt;=_xlfn.XLOOKUP(TRUE,D239&lt;=Table5[End],Table5[비과세소득기준],0,0),AM239-_xlfn.XLOOKUP(TRUE,D239&lt;=Table5[End],Table5[비과세소득기준],0,0),0)</f>
        <v>0</v>
      </c>
      <c r="AO239" s="94" cm="1">
        <f t="array" ref="AO239">ROUNDDOWN(_xlfn.LET(_xlpm.setvalue,_xlfn.XLOOKUP(TRUE,D239&lt;=Table5[End],Table5[[요율]:[근로소득세액공제]],0,0),_xlpm.tax,AN239*PRODUCT((_xlpm.setvalue-{0,1})*{1,-1}),_xlpm.threshold,_xlfn.XLOOKUP(TRUE,D239&lt;=Table5[End],Table5[소액부징수기준],0,0),IF(_xlpm.tax&gt;=_xlpm.threshold,_xlpm.tax,0)),-1)</f>
        <v>0</v>
      </c>
      <c r="AP239" s="94">
        <f>ROUNDDOWN(Table2[[#This Row],[소득세]]*10%,-1)</f>
        <v>0</v>
      </c>
      <c r="AQ239" s="94">
        <f>IF(AB239="v",AM239+IF(Y239=8,SUMIFS(Table2[지급총액],Table2[주민등록번호],O239,Table2[월],R239,Table2[월간
근무일],"&lt;="&amp;8)-AM239,0),0)+_xlfn.NUMBERVALUE(AR239)</f>
        <v>102528</v>
      </c>
      <c r="AR239" s="95"/>
      <c r="AS239" s="94" cm="1">
        <f t="array" ref="AS239">ROUNDDOWN($AQ239*_xlfn.XLOOKUP(1,(AS$5=Table8[Type])*($D239&lt;=Table8[End]),Table8[요율],0,0),0)</f>
        <v>3634</v>
      </c>
      <c r="AT239" s="94" cm="1">
        <f t="array" ref="AT239">ROUNDDOWN(AS239*_xlfn.XLOOKUP(1,(AT$5=Table8[Type])*($D239&lt;=Table8[End]),Table8[요율],0,0),-1)</f>
        <v>470</v>
      </c>
      <c r="AU239" s="94" cm="1">
        <f t="array" ref="AU239">ROUNDDOWN($AQ239*_xlfn.XLOOKUP(1,(AU$5=Table8[Type])*($D239&lt;=Table8[End]),Table8[요율],0,0),-1)</f>
        <v>4610</v>
      </c>
      <c r="AV239" s="94" cm="1">
        <f t="array" ref="AV239">ROUNDDOWN(AM239*_xlfn.XLOOKUP(1,(AV$5=Table8[Type])*($D239&lt;=Table8[End]),Table8[요율],0,0),-1)</f>
        <v>0</v>
      </c>
      <c r="AW239" s="94" cm="1">
        <f t="array" ref="AW239">_xlfn.XLOOKUP(1,(O239=Table2[주민등록번호])*(D239&gt;Table2[근무일자]),Table2[청구 Claim 
이월],0,0,-1)</f>
        <v>0</v>
      </c>
      <c r="AX239" s="95"/>
      <c r="AY239" s="94" cm="1">
        <f t="array" ref="AY239">MAX(SUM(AO239:AP239,AS239:AX239)-_xlfn.XLOOKUP(1,(D239&lt;=Table7[End])*(E239=Table7[근무처])*(F239=Table7[업무]),Table7[1일 공제 상한],0,0),0)</f>
        <v>0</v>
      </c>
      <c r="AZ239" s="94">
        <f t="shared" si="49"/>
        <v>8714</v>
      </c>
      <c r="BA239" s="94">
        <f t="shared" si="50"/>
        <v>93814</v>
      </c>
      <c r="BB239" s="97">
        <f t="shared" si="51"/>
        <v>0</v>
      </c>
      <c r="BC239" s="98"/>
      <c r="BD239" s="94">
        <f t="shared" si="52"/>
        <v>3634</v>
      </c>
      <c r="BE239" s="94">
        <f t="shared" si="53"/>
        <v>470</v>
      </c>
      <c r="BF239" s="94">
        <f t="shared" si="54"/>
        <v>4610</v>
      </c>
      <c r="BG239" s="94">
        <f t="shared" si="55"/>
        <v>0</v>
      </c>
      <c r="BH239" s="94" cm="1">
        <f t="array" ref="BH239">ROUNDDOWN(AM239*_xlfn.XLOOKUP(1,(BH$5=Table8[Type])*($D239&lt;=Table8[End]),Table8[요율],0,0),-1)</f>
        <v>820</v>
      </c>
      <c r="BI239" s="93" t="str" cm="1">
        <f t="array" ref="BI239">_xlfn.XLOOKUP(1,(D239&lt;=Table7[End])*(E239=Table7[근무처])*(F239=Table7[업무]),Table7[지급옵션],0,0)</f>
        <v>차주 화</v>
      </c>
      <c r="BJ239" s="83">
        <f>IF(BK239&lt;&gt;"",BK239,IFERROR(D239+_xlfn.NUMBERVALUE(RIGHT(BI239,1)),D239-WEEKDAY(D239)+CHOOSE(MATCH(RIGHT(BI239),{"일","월","화","수","목","금","토"},0),8,9,10,11,12,13,14)))</f>
        <v>45804</v>
      </c>
      <c r="BK239" s="99"/>
    </row>
    <row r="240" spans="2:63" x14ac:dyDescent="0.35">
      <c r="B240" s="20" t="str" cm="1">
        <f t="array" ref="B240">_xlfn.IFS(BB240&lt;&gt;BC240,"Claim확인",N240&lt;&gt;"OK","확인필요",TRUE,"")</f>
        <v/>
      </c>
      <c r="C240" s="21" t="str">
        <f t="shared" si="42"/>
        <v>010-3X4X-X9X7219X02XX284640</v>
      </c>
      <c r="D240" s="26">
        <v>45801</v>
      </c>
      <c r="E240" s="91" t="s">
        <v>253</v>
      </c>
      <c r="F240" s="25" t="s">
        <v>257</v>
      </c>
      <c r="G240" s="27" t="s">
        <v>286</v>
      </c>
      <c r="H240" s="25" t="s">
        <v>299</v>
      </c>
      <c r="I240" s="25"/>
      <c r="J240" s="25" t="s">
        <v>300</v>
      </c>
      <c r="K240" s="28">
        <v>0.375</v>
      </c>
      <c r="L240" s="28">
        <v>0.60416666666666663</v>
      </c>
      <c r="M240" s="28">
        <v>2.0833333333333332E-2</v>
      </c>
      <c r="N240" s="25" t="s">
        <v>281</v>
      </c>
      <c r="O240" s="29" t="str">
        <f>_xlfn.XLOOKUP(Table2[[#This Row],[Key]],Table1[Key],Table1[주민등록번호],"",0)</f>
        <v>931XX31XX3X14</v>
      </c>
      <c r="P240" s="29">
        <f>_xlfn.XLOOKUP(Table2[[#This Row],[Key]],Table1[Key],Table1[비자],"",0)</f>
        <v>0</v>
      </c>
      <c r="Q240" s="29">
        <f>IF(P240=0,0,_xlfn.XLOOKUP(Table2[[#This Row],[Key]],Table1[Key],Table1[고용보험 여부],0,0))</f>
        <v>0</v>
      </c>
      <c r="R240" s="29" t="str">
        <f t="shared" si="43"/>
        <v>2505</v>
      </c>
      <c r="S240" s="30" t="str">
        <f>YEAR(Table2[[#This Row],[근무일자]])&amp;TEXT(WEEKNUM(Table2[[#This Row],[근무일자]]),"00")</f>
        <v>202521</v>
      </c>
      <c r="T240" s="31">
        <f>_xlfn.XLOOKUP(Table2[[#This Row],[Key]],Table1[Key],Table1[등록일],"",0)</f>
        <v>45773</v>
      </c>
      <c r="U240" s="32">
        <f t="shared" si="44"/>
        <v>0.20833333333333329</v>
      </c>
      <c r="V240" s="92">
        <f t="shared" si="45"/>
        <v>0</v>
      </c>
      <c r="W240" s="100" t="str">
        <f>_xlfn.XLOOKUP(Table2[[#This Row],[근무일자]],Table3[Date],Table3[Holiday],"",0)</f>
        <v/>
      </c>
      <c r="X240" s="93">
        <f>IF(D240&lt;&gt;"",1,0)+IF(COUNTIFS(Table2[주민등록번호],O240,Table2[월],TEXT(EOMONTH(D240,-1),"YYMM"))&gt;0,1+IF(COUNTIFS(Table2[주민등록번호],O240,Table2[월],TEXT(EOMONTH(D240,-2),"YYMM"))&gt;0,1+IF(COUNTIFS(Table2[주민등록번호],O240,Table2[월],TEXT(EOMONTH(D240,-3),"YYMM"))&gt;0,1,0),0),0)</f>
        <v>4</v>
      </c>
      <c r="Y240" s="29">
        <f>COUNTIFS(Table2[주민등록번호],O240,Table2[월],R240,Table2[근무일자],"&lt;="&amp;D240)</f>
        <v>6</v>
      </c>
      <c r="Z240" s="29">
        <f>COUNTIFS(Table2[주민등록번호],O240,Table2[주간],S240,Table2[근무일자],"&lt;="&amp;D240)</f>
        <v>4</v>
      </c>
      <c r="AA240" s="29">
        <f>SUMIFS(Table2[근로
시간],Table2[주민등록번호],O240,Table2[주간],S240,Table2[근무일자],"&lt;="&amp;D240)*24</f>
        <v>19.999999999999996</v>
      </c>
      <c r="AB240" s="29" t="str">
        <f>IF(AND(Y240&gt;=8,COUNTIFS(Table2[주민등록번호],O240,Table2[근무일자],"&gt;="&amp;EOMONTH(D240,-2)+1,Table2[근무일자],"&lt;="&amp;EOMONTH(D240,-1)+1)&gt;0),"V","")</f>
        <v/>
      </c>
      <c r="AC240" s="94" cm="1">
        <f t="array" ref="AC240">IF(AD240&lt;&gt;"",AD240,_xlfn.XLOOKUP(1,(D240&lt;=Table7[End])*(E240=Table7[근무처])*(F240=Table7[업무]),Table7[시급],0,0))</f>
        <v>10030</v>
      </c>
      <c r="AD240" s="95"/>
      <c r="AE240" s="94">
        <f t="shared" si="46"/>
        <v>50150</v>
      </c>
      <c r="AF240" s="96" cm="1">
        <f t="array" ref="AF240">IF(AND(AA240&gt;=15,(AA240-U240*24)&lt;=40),IF(Z240&gt;=_xlfn.XLOOKUP(1,(D240&lt;=Table7[End])*(E240=Table7[근무처])*(F240=Table7[업무]),Table7[주휴적용일],0,0),1,0)+_xlfn.XLOOKUP(1,(Table2[주간]=Table2[[#This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40" s="96" cm="1">
        <f t="array" ref="AG240">MAX((_xlfn.IFS(AF240=0,0,AF240=1,AA240,AF240&gt;1,U240*24)-IF(AA240&gt;40,AA240-40,0))/5,0)</f>
        <v>0</v>
      </c>
      <c r="AH240" s="94">
        <f t="shared" si="47"/>
        <v>0</v>
      </c>
      <c r="AI240" s="33" cm="1">
        <f t="array" ref="AI240">IF(W240="",0,ROUND(AC240*U240*24*_xlfn.XLOOKUP(1,(D240&lt;=Table7[End])*(E240=Table7[근무처])*(F240=Table7[업무]),Table7[휴일인센티브],0,0),0))</f>
        <v>0</v>
      </c>
      <c r="AJ240" s="94" cm="1">
        <f t="array" ref="AJ240">ROUND(AC240*IF(U240&gt;=8/24,U240-8/24,0)*24*_xlfn.XLOOKUP(1,(D240&lt;=Table7[End])*(E240=Table7[근무처])*(F240=Table7[업무]),Table7[야간인센티브],0,0),0)</f>
        <v>0</v>
      </c>
      <c r="AK240" s="94" cm="1">
        <f t="array" ref="AK240">IF(V240=0,0,ROUND(AC240*V240*24*_xlfn.XLOOKUP(1,(D240&lt;=Table7[End])*(E240=Table7[근무처])*(F240=Table7[업무]),Table7[야간인센티브],0,0),0))</f>
        <v>0</v>
      </c>
      <c r="AL240" s="95"/>
      <c r="AM240" s="94">
        <f t="shared" si="48"/>
        <v>50150</v>
      </c>
      <c r="AN240" s="94" cm="1">
        <f t="array" ref="AN240">IF(AM240&gt;=_xlfn.XLOOKUP(TRUE,D240&lt;=Table5[End],Table5[비과세소득기준],0,0),AM240-_xlfn.XLOOKUP(TRUE,D240&lt;=Table5[End],Table5[비과세소득기준],0,0),0)</f>
        <v>0</v>
      </c>
      <c r="AO240" s="94" cm="1">
        <f t="array" ref="AO240">ROUNDDOWN(_xlfn.LET(_xlpm.setvalue,_xlfn.XLOOKUP(TRUE,D240&lt;=Table5[End],Table5[[요율]:[근로소득세액공제]],0,0),_xlpm.tax,AN240*PRODUCT((_xlpm.setvalue-{0,1})*{1,-1}),_xlpm.threshold,_xlfn.XLOOKUP(TRUE,D240&lt;=Table5[End],Table5[소액부징수기준],0,0),IF(_xlpm.tax&gt;=_xlpm.threshold,_xlpm.tax,0)),-1)</f>
        <v>0</v>
      </c>
      <c r="AP240" s="94">
        <f>ROUNDDOWN(Table2[[#This Row],[소득세]]*10%,-1)</f>
        <v>0</v>
      </c>
      <c r="AQ240" s="94">
        <f>IF(AB240="v",AM240+IF(Y240=8,SUMIFS(Table2[지급총액],Table2[주민등록번호],O240,Table2[월],R240,Table2[월간
근무일],"&lt;="&amp;8)-AM240,0),0)+_xlfn.NUMBERVALUE(AR240)</f>
        <v>0</v>
      </c>
      <c r="AR240" s="95"/>
      <c r="AS240" s="94" cm="1">
        <f t="array" ref="AS240">ROUNDDOWN($AQ240*_xlfn.XLOOKUP(1,(AS$5=Table8[Type])*($D240&lt;=Table8[End]),Table8[요율],0,0),0)</f>
        <v>0</v>
      </c>
      <c r="AT240" s="94" cm="1">
        <f t="array" ref="AT240">ROUNDDOWN(AS240*_xlfn.XLOOKUP(1,(AT$5=Table8[Type])*($D240&lt;=Table8[End]),Table8[요율],0,0),-1)</f>
        <v>0</v>
      </c>
      <c r="AU240" s="94" cm="1">
        <f t="array" ref="AU240">ROUNDDOWN($AQ240*_xlfn.XLOOKUP(1,(AU$5=Table8[Type])*($D240&lt;=Table8[End]),Table8[요율],0,0),-1)</f>
        <v>0</v>
      </c>
      <c r="AV240" s="94" cm="1">
        <f t="array" ref="AV240">ROUNDDOWN(AM240*_xlfn.XLOOKUP(1,(AV$5=Table8[Type])*($D240&lt;=Table8[End]),Table8[요율],0,0),-1)</f>
        <v>0</v>
      </c>
      <c r="AW240" s="94" cm="1">
        <f t="array" ref="AW240">_xlfn.XLOOKUP(1,(O240=Table2[주민등록번호])*(D240&gt;Table2[근무일자]),Table2[청구 Claim 
이월],0,0,-1)</f>
        <v>0</v>
      </c>
      <c r="AX240" s="95"/>
      <c r="AY240" s="94" cm="1">
        <f t="array" ref="AY240">MAX(SUM(AO240:AP240,AS240:AX240)-_xlfn.XLOOKUP(1,(D240&lt;=Table7[End])*(E240=Table7[근무처])*(F240=Table7[업무]),Table7[1일 공제 상한],0,0),0)</f>
        <v>0</v>
      </c>
      <c r="AZ240" s="94">
        <f t="shared" si="49"/>
        <v>0</v>
      </c>
      <c r="BA240" s="94">
        <f t="shared" si="50"/>
        <v>50150</v>
      </c>
      <c r="BB240" s="97">
        <f t="shared" si="51"/>
        <v>0</v>
      </c>
      <c r="BC240" s="98"/>
      <c r="BD240" s="94">
        <f t="shared" si="52"/>
        <v>0</v>
      </c>
      <c r="BE240" s="94">
        <f t="shared" si="53"/>
        <v>0</v>
      </c>
      <c r="BF240" s="94">
        <f t="shared" si="54"/>
        <v>0</v>
      </c>
      <c r="BG240" s="94">
        <f t="shared" si="55"/>
        <v>0</v>
      </c>
      <c r="BH240" s="94" cm="1">
        <f t="array" ref="BH240">ROUNDDOWN(AM240*_xlfn.XLOOKUP(1,(BH$5=Table8[Type])*($D240&lt;=Table8[End]),Table8[요율],0,0),-1)</f>
        <v>400</v>
      </c>
      <c r="BI240" s="93" t="str" cm="1">
        <f t="array" ref="BI240">_xlfn.XLOOKUP(1,(D240&lt;=Table7[End])*(E240=Table7[근무처])*(F240=Table7[업무]),Table7[지급옵션],0,0)</f>
        <v>D+2</v>
      </c>
      <c r="BJ240" s="83">
        <f>IF(BK240&lt;&gt;"",BK240,IFERROR(D240+_xlfn.NUMBERVALUE(RIGHT(BI240,1)),D240-WEEKDAY(D240)+CHOOSE(MATCH(RIGHT(BI240),{"일","월","화","수","목","금","토"},0),8,9,10,11,12,13,14)))</f>
        <v>45803</v>
      </c>
      <c r="BK240" s="99"/>
    </row>
    <row r="241" spans="2:63" x14ac:dyDescent="0.35">
      <c r="B241" s="20" t="str" cm="1">
        <f t="array" ref="B241">_xlfn.IFS(BB241&lt;&gt;BC241,"Claim확인",N241&lt;&gt;"OK","확인필요",TRUE,"")</f>
        <v/>
      </c>
      <c r="C241" s="21" t="str">
        <f t="shared" si="42"/>
        <v>010-3X6X-X4X7757X02XX284249</v>
      </c>
      <c r="D241" s="26">
        <v>45801</v>
      </c>
      <c r="E241" s="91" t="s">
        <v>255</v>
      </c>
      <c r="F241" s="25" t="s">
        <v>258</v>
      </c>
      <c r="G241" s="27" t="s">
        <v>283</v>
      </c>
      <c r="H241" s="25" t="s">
        <v>295</v>
      </c>
      <c r="I241" s="25"/>
      <c r="J241" s="25" t="s">
        <v>296</v>
      </c>
      <c r="K241" s="28">
        <v>0.29166666666666669</v>
      </c>
      <c r="L241" s="28">
        <v>0.66666666666666663</v>
      </c>
      <c r="M241" s="28">
        <v>4.1666666666666664E-2</v>
      </c>
      <c r="N241" s="25" t="s">
        <v>281</v>
      </c>
      <c r="O241" s="29" t="str">
        <f>_xlfn.XLOOKUP(Table2[[#This Row],[Key]],Table1[Key],Table1[주민등록번호],"",0)</f>
        <v>940XX41XX7X32</v>
      </c>
      <c r="P241" s="29">
        <f>_xlfn.XLOOKUP(Table2[[#This Row],[Key]],Table1[Key],Table1[비자],"",0)</f>
        <v>0</v>
      </c>
      <c r="Q241" s="29">
        <f>IF(P241=0,0,_xlfn.XLOOKUP(Table2[[#This Row],[Key]],Table1[Key],Table1[고용보험 여부],0,0))</f>
        <v>0</v>
      </c>
      <c r="R241" s="29" t="str">
        <f t="shared" si="43"/>
        <v>2505</v>
      </c>
      <c r="S241" s="30" t="str">
        <f>YEAR(Table2[[#This Row],[근무일자]])&amp;TEXT(WEEKNUM(Table2[[#This Row],[근무일자]]),"00")</f>
        <v>202521</v>
      </c>
      <c r="T241" s="31">
        <f>_xlfn.XLOOKUP(Table2[[#This Row],[Key]],Table1[Key],Table1[등록일],"",0)</f>
        <v>45751</v>
      </c>
      <c r="U241" s="32">
        <f t="shared" si="44"/>
        <v>0.33333333333333326</v>
      </c>
      <c r="V241" s="92">
        <f t="shared" si="45"/>
        <v>0</v>
      </c>
      <c r="W241" s="100" t="str">
        <f>_xlfn.XLOOKUP(Table2[[#This Row],[근무일자]],Table3[Date],Table3[Holiday],"",0)</f>
        <v/>
      </c>
      <c r="X241" s="93">
        <f>IF(D241&lt;&gt;"",1,0)+IF(COUNTIFS(Table2[주민등록번호],O241,Table2[월],TEXT(EOMONTH(D241,-1),"YYMM"))&gt;0,1+IF(COUNTIFS(Table2[주민등록번호],O241,Table2[월],TEXT(EOMONTH(D241,-2),"YYMM"))&gt;0,1+IF(COUNTIFS(Table2[주민등록번호],O241,Table2[월],TEXT(EOMONTH(D241,-3),"YYMM"))&gt;0,1,0),0),0)</f>
        <v>2</v>
      </c>
      <c r="Y241" s="29">
        <f>COUNTIFS(Table2[주민등록번호],O241,Table2[월],R241,Table2[근무일자],"&lt;="&amp;D241)</f>
        <v>15</v>
      </c>
      <c r="Z241" s="29">
        <f>COUNTIFS(Table2[주민등록번호],O241,Table2[주간],S241,Table2[근무일자],"&lt;="&amp;D241)</f>
        <v>5</v>
      </c>
      <c r="AA241" s="29">
        <f>SUMIFS(Table2[근로
시간],Table2[주민등록번호],O241,Table2[주간],S241,Table2[근무일자],"&lt;="&amp;D241)*24</f>
        <v>39.999999999999993</v>
      </c>
      <c r="AB241" s="29" t="str">
        <f>IF(AND(Y241&gt;=8,COUNTIFS(Table2[주민등록번호],O241,Table2[근무일자],"&gt;="&amp;EOMONTH(D241,-2)+1,Table2[근무일자],"&lt;="&amp;EOMONTH(D241,-1)+1)&gt;0),"V","")</f>
        <v>V</v>
      </c>
      <c r="AC241" s="94" cm="1">
        <f t="array" ref="AC241">IF(AD241&lt;&gt;"",AD241,_xlfn.XLOOKUP(1,(D241&lt;=Table7[End])*(E241=Table7[근무처])*(F241=Table7[업무]),Table7[시급],0,0))</f>
        <v>10680</v>
      </c>
      <c r="AD241" s="95"/>
      <c r="AE241" s="94">
        <f t="shared" si="46"/>
        <v>85440</v>
      </c>
      <c r="AF241" s="96" cm="1">
        <f t="array" ref="AF241">IF(AND(AA241&gt;=15,(AA241-U241*24)&lt;=40),IF(Z241&gt;=_xlfn.XLOOKUP(1,(D241&lt;=Table7[End])*(E241=Table7[근무처])*(F241=Table7[업무]),Table7[주휴적용일],0,0),1,0)+_xlfn.XLOOKUP(1,(Table2[주간]=Table2[[#This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241" s="96" cm="1">
        <f t="array" ref="AG241">MAX((_xlfn.IFS(AF241=0,0,AF241=1,AA241,AF241&gt;1,U241*24)-IF(AA241&gt;40,AA241-40,0))/5,0)</f>
        <v>1.5999999999999996</v>
      </c>
      <c r="AH241" s="94">
        <f t="shared" si="47"/>
        <v>17088</v>
      </c>
      <c r="AI241" s="33" cm="1">
        <f t="array" ref="AI241">IF(W241="",0,ROUND(AC241*U241*24*_xlfn.XLOOKUP(1,(D241&lt;=Table7[End])*(E241=Table7[근무처])*(F241=Table7[업무]),Table7[휴일인센티브],0,0),0))</f>
        <v>0</v>
      </c>
      <c r="AJ241" s="94" cm="1">
        <f t="array" ref="AJ241">ROUND(AC241*IF(U241&gt;=8/24,U241-8/24,0)*24*_xlfn.XLOOKUP(1,(D241&lt;=Table7[End])*(E241=Table7[근무처])*(F241=Table7[업무]),Table7[야간인센티브],0,0),0)</f>
        <v>0</v>
      </c>
      <c r="AK241" s="94" cm="1">
        <f t="array" ref="AK241">IF(V241=0,0,ROUND(AC241*V241*24*_xlfn.XLOOKUP(1,(D241&lt;=Table7[End])*(E241=Table7[근무처])*(F241=Table7[업무]),Table7[야간인센티브],0,0),0))</f>
        <v>0</v>
      </c>
      <c r="AL241" s="95"/>
      <c r="AM241" s="94">
        <f t="shared" si="48"/>
        <v>102528</v>
      </c>
      <c r="AN241" s="94" cm="1">
        <f t="array" ref="AN241">IF(AM241&gt;=_xlfn.XLOOKUP(TRUE,D241&lt;=Table5[End],Table5[비과세소득기준],0,0),AM241-_xlfn.XLOOKUP(TRUE,D241&lt;=Table5[End],Table5[비과세소득기준],0,0),0)</f>
        <v>0</v>
      </c>
      <c r="AO241" s="94" cm="1">
        <f t="array" ref="AO241">ROUNDDOWN(_xlfn.LET(_xlpm.setvalue,_xlfn.XLOOKUP(TRUE,D241&lt;=Table5[End],Table5[[요율]:[근로소득세액공제]],0,0),_xlpm.tax,AN241*PRODUCT((_xlpm.setvalue-{0,1})*{1,-1}),_xlpm.threshold,_xlfn.XLOOKUP(TRUE,D241&lt;=Table5[End],Table5[소액부징수기준],0,0),IF(_xlpm.tax&gt;=_xlpm.threshold,_xlpm.tax,0)),-1)</f>
        <v>0</v>
      </c>
      <c r="AP241" s="94">
        <f>ROUNDDOWN(Table2[[#This Row],[소득세]]*10%,-1)</f>
        <v>0</v>
      </c>
      <c r="AQ241" s="94">
        <f>IF(AB241="v",AM241+IF(Y241=8,SUMIFS(Table2[지급총액],Table2[주민등록번호],O241,Table2[월],R241,Table2[월간
근무일],"&lt;="&amp;8)-AM241,0),0)+_xlfn.NUMBERVALUE(AR241)</f>
        <v>102528</v>
      </c>
      <c r="AR241" s="95"/>
      <c r="AS241" s="94" cm="1">
        <f t="array" ref="AS241">ROUNDDOWN($AQ241*_xlfn.XLOOKUP(1,(AS$5=Table8[Type])*($D241&lt;=Table8[End]),Table8[요율],0,0),0)</f>
        <v>3634</v>
      </c>
      <c r="AT241" s="94" cm="1">
        <f t="array" ref="AT241">ROUNDDOWN(AS241*_xlfn.XLOOKUP(1,(AT$5=Table8[Type])*($D241&lt;=Table8[End]),Table8[요율],0,0),-1)</f>
        <v>470</v>
      </c>
      <c r="AU241" s="94" cm="1">
        <f t="array" ref="AU241">ROUNDDOWN($AQ241*_xlfn.XLOOKUP(1,(AU$5=Table8[Type])*($D241&lt;=Table8[End]),Table8[요율],0,0),-1)</f>
        <v>4610</v>
      </c>
      <c r="AV241" s="94" cm="1">
        <f t="array" ref="AV241">ROUNDDOWN(AM241*_xlfn.XLOOKUP(1,(AV$5=Table8[Type])*($D241&lt;=Table8[End]),Table8[요율],0,0),-1)</f>
        <v>0</v>
      </c>
      <c r="AW241" s="94" cm="1">
        <f t="array" ref="AW241">_xlfn.XLOOKUP(1,(O241=Table2[주민등록번호])*(D241&gt;Table2[근무일자]),Table2[청구 Claim 
이월],0,0,-1)</f>
        <v>0</v>
      </c>
      <c r="AX241" s="95"/>
      <c r="AY241" s="94" cm="1">
        <f t="array" ref="AY241">MAX(SUM(AO241:AP241,AS241:AX241)-_xlfn.XLOOKUP(1,(D241&lt;=Table7[End])*(E241=Table7[근무처])*(F241=Table7[업무]),Table7[1일 공제 상한],0,0),0)</f>
        <v>0</v>
      </c>
      <c r="AZ241" s="94">
        <f t="shared" si="49"/>
        <v>8714</v>
      </c>
      <c r="BA241" s="94">
        <f t="shared" si="50"/>
        <v>93814</v>
      </c>
      <c r="BB241" s="97">
        <f t="shared" si="51"/>
        <v>0</v>
      </c>
      <c r="BC241" s="98"/>
      <c r="BD241" s="94">
        <f t="shared" si="52"/>
        <v>3634</v>
      </c>
      <c r="BE241" s="94">
        <f t="shared" si="53"/>
        <v>470</v>
      </c>
      <c r="BF241" s="94">
        <f t="shared" si="54"/>
        <v>4610</v>
      </c>
      <c r="BG241" s="94">
        <f t="shared" si="55"/>
        <v>0</v>
      </c>
      <c r="BH241" s="94" cm="1">
        <f t="array" ref="BH241">ROUNDDOWN(AM241*_xlfn.XLOOKUP(1,(BH$5=Table8[Type])*($D241&lt;=Table8[End]),Table8[요율],0,0),-1)</f>
        <v>820</v>
      </c>
      <c r="BI241" s="93" t="str" cm="1">
        <f t="array" ref="BI241">_xlfn.XLOOKUP(1,(D241&lt;=Table7[End])*(E241=Table7[근무처])*(F241=Table7[업무]),Table7[지급옵션],0,0)</f>
        <v>차주 화</v>
      </c>
      <c r="BJ241" s="83">
        <f>IF(BK241&lt;&gt;"",BK241,IFERROR(D241+_xlfn.NUMBERVALUE(RIGHT(BI241,1)),D241-WEEKDAY(D241)+CHOOSE(MATCH(RIGHT(BI241),{"일","월","화","수","목","금","토"},0),8,9,10,11,12,13,14)))</f>
        <v>45804</v>
      </c>
      <c r="BK241" s="99"/>
    </row>
    <row r="242" spans="2:63" x14ac:dyDescent="0.35">
      <c r="B242" s="20" t="str" cm="1">
        <f t="array" ref="B242">_xlfn.IFS(BB242&lt;&gt;BC242,"Claim확인",N242&lt;&gt;"OK","확인필요",TRUE,"")</f>
        <v/>
      </c>
      <c r="C242" s="21" t="str">
        <f t="shared" si="42"/>
        <v>010-3X4X-X9X7219X02XX284640</v>
      </c>
      <c r="D242" s="26">
        <v>45802</v>
      </c>
      <c r="E242" s="91" t="s">
        <v>253</v>
      </c>
      <c r="F242" s="25" t="s">
        <v>257</v>
      </c>
      <c r="G242" s="27" t="s">
        <v>286</v>
      </c>
      <c r="H242" s="25" t="s">
        <v>299</v>
      </c>
      <c r="I242" s="25"/>
      <c r="J242" s="25" t="s">
        <v>300</v>
      </c>
      <c r="K242" s="28">
        <v>0.375</v>
      </c>
      <c r="L242" s="28">
        <v>0.60416666666666663</v>
      </c>
      <c r="M242" s="28">
        <v>2.0833333333333332E-2</v>
      </c>
      <c r="N242" s="25" t="s">
        <v>281</v>
      </c>
      <c r="O242" s="29" t="str">
        <f>_xlfn.XLOOKUP(Table2[[#This Row],[Key]],Table1[Key],Table1[주민등록번호],"",0)</f>
        <v>931XX31XX3X14</v>
      </c>
      <c r="P242" s="29">
        <f>_xlfn.XLOOKUP(Table2[[#This Row],[Key]],Table1[Key],Table1[비자],"",0)</f>
        <v>0</v>
      </c>
      <c r="Q242" s="29">
        <f>IF(P242=0,0,_xlfn.XLOOKUP(Table2[[#This Row],[Key]],Table1[Key],Table1[고용보험 여부],0,0))</f>
        <v>0</v>
      </c>
      <c r="R242" s="29" t="str">
        <f t="shared" si="43"/>
        <v>2505</v>
      </c>
      <c r="S242" s="30" t="str">
        <f>YEAR(Table2[[#This Row],[근무일자]])&amp;TEXT(WEEKNUM(Table2[[#This Row],[근무일자]]),"00")</f>
        <v>202522</v>
      </c>
      <c r="T242" s="31">
        <f>_xlfn.XLOOKUP(Table2[[#This Row],[Key]],Table1[Key],Table1[등록일],"",0)</f>
        <v>45773</v>
      </c>
      <c r="U242" s="32">
        <f t="shared" si="44"/>
        <v>0.20833333333333329</v>
      </c>
      <c r="V242" s="92">
        <f t="shared" si="45"/>
        <v>0</v>
      </c>
      <c r="W242" s="100" t="str">
        <f>_xlfn.XLOOKUP(Table2[[#This Row],[근무일자]],Table3[Date],Table3[Holiday],"",0)</f>
        <v/>
      </c>
      <c r="X242" s="93">
        <f>IF(D242&lt;&gt;"",1,0)+IF(COUNTIFS(Table2[주민등록번호],O242,Table2[월],TEXT(EOMONTH(D242,-1),"YYMM"))&gt;0,1+IF(COUNTIFS(Table2[주민등록번호],O242,Table2[월],TEXT(EOMONTH(D242,-2),"YYMM"))&gt;0,1+IF(COUNTIFS(Table2[주민등록번호],O242,Table2[월],TEXT(EOMONTH(D242,-3),"YYMM"))&gt;0,1,0),0),0)</f>
        <v>4</v>
      </c>
      <c r="Y242" s="29">
        <f>COUNTIFS(Table2[주민등록번호],O242,Table2[월],R242,Table2[근무일자],"&lt;="&amp;D242)</f>
        <v>7</v>
      </c>
      <c r="Z242" s="29">
        <f>COUNTIFS(Table2[주민등록번호],O242,Table2[주간],S242,Table2[근무일자],"&lt;="&amp;D242)</f>
        <v>1</v>
      </c>
      <c r="AA242" s="29">
        <f>SUMIFS(Table2[근로
시간],Table2[주민등록번호],O242,Table2[주간],S242,Table2[근무일자],"&lt;="&amp;D242)*24</f>
        <v>4.9999999999999991</v>
      </c>
      <c r="AB242" s="29" t="str">
        <f>IF(AND(Y242&gt;=8,COUNTIFS(Table2[주민등록번호],O242,Table2[근무일자],"&gt;="&amp;EOMONTH(D242,-2)+1,Table2[근무일자],"&lt;="&amp;EOMONTH(D242,-1)+1)&gt;0),"V","")</f>
        <v/>
      </c>
      <c r="AC242" s="94" cm="1">
        <f t="array" ref="AC242">IF(AD242&lt;&gt;"",AD242,_xlfn.XLOOKUP(1,(D242&lt;=Table7[End])*(E242=Table7[근무처])*(F242=Table7[업무]),Table7[시급],0,0))</f>
        <v>10030</v>
      </c>
      <c r="AD242" s="95"/>
      <c r="AE242" s="94">
        <f t="shared" si="46"/>
        <v>50150</v>
      </c>
      <c r="AF242" s="96" cm="1">
        <f t="array" ref="AF242">IF(AND(AA242&gt;=15,(AA242-U242*24)&lt;=40),IF(Z242&gt;=_xlfn.XLOOKUP(1,(D242&lt;=Table7[End])*(E242=Table7[근무처])*(F242=Table7[업무]),Table7[주휴적용일],0,0),1,0)+_xlfn.XLOOKUP(1,(Table2[주간]=Table2[[#This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42" s="96" cm="1">
        <f t="array" ref="AG242">MAX((_xlfn.IFS(AF242=0,0,AF242=1,AA242,AF242&gt;1,U242*24)-IF(AA242&gt;40,AA242-40,0))/5,0)</f>
        <v>0</v>
      </c>
      <c r="AH242" s="94">
        <f t="shared" si="47"/>
        <v>0</v>
      </c>
      <c r="AI242" s="33" cm="1">
        <f t="array" ref="AI242">IF(W242="",0,ROUND(AC242*U242*24*_xlfn.XLOOKUP(1,(D242&lt;=Table7[End])*(E242=Table7[근무처])*(F242=Table7[업무]),Table7[휴일인센티브],0,0),0))</f>
        <v>0</v>
      </c>
      <c r="AJ242" s="94" cm="1">
        <f t="array" ref="AJ242">ROUND(AC242*IF(U242&gt;=8/24,U242-8/24,0)*24*_xlfn.XLOOKUP(1,(D242&lt;=Table7[End])*(E242=Table7[근무처])*(F242=Table7[업무]),Table7[야간인센티브],0,0),0)</f>
        <v>0</v>
      </c>
      <c r="AK242" s="94" cm="1">
        <f t="array" ref="AK242">IF(V242=0,0,ROUND(AC242*V242*24*_xlfn.XLOOKUP(1,(D242&lt;=Table7[End])*(E242=Table7[근무처])*(F242=Table7[업무]),Table7[야간인센티브],0,0),0))</f>
        <v>0</v>
      </c>
      <c r="AL242" s="95"/>
      <c r="AM242" s="94">
        <f t="shared" si="48"/>
        <v>50150</v>
      </c>
      <c r="AN242" s="94" cm="1">
        <f t="array" ref="AN242">IF(AM242&gt;=_xlfn.XLOOKUP(TRUE,D242&lt;=Table5[End],Table5[비과세소득기준],0,0),AM242-_xlfn.XLOOKUP(TRUE,D242&lt;=Table5[End],Table5[비과세소득기준],0,0),0)</f>
        <v>0</v>
      </c>
      <c r="AO242" s="94" cm="1">
        <f t="array" ref="AO242">ROUNDDOWN(_xlfn.LET(_xlpm.setvalue,_xlfn.XLOOKUP(TRUE,D242&lt;=Table5[End],Table5[[요율]:[근로소득세액공제]],0,0),_xlpm.tax,AN242*PRODUCT((_xlpm.setvalue-{0,1})*{1,-1}),_xlpm.threshold,_xlfn.XLOOKUP(TRUE,D242&lt;=Table5[End],Table5[소액부징수기준],0,0),IF(_xlpm.tax&gt;=_xlpm.threshold,_xlpm.tax,0)),-1)</f>
        <v>0</v>
      </c>
      <c r="AP242" s="94">
        <f>ROUNDDOWN(Table2[[#This Row],[소득세]]*10%,-1)</f>
        <v>0</v>
      </c>
      <c r="AQ242" s="94">
        <f>IF(AB242="v",AM242+IF(Y242=8,SUMIFS(Table2[지급총액],Table2[주민등록번호],O242,Table2[월],R242,Table2[월간
근무일],"&lt;="&amp;8)-AM242,0),0)+_xlfn.NUMBERVALUE(AR242)</f>
        <v>0</v>
      </c>
      <c r="AR242" s="95"/>
      <c r="AS242" s="94" cm="1">
        <f t="array" ref="AS242">ROUNDDOWN($AQ242*_xlfn.XLOOKUP(1,(AS$5=Table8[Type])*($D242&lt;=Table8[End]),Table8[요율],0,0),0)</f>
        <v>0</v>
      </c>
      <c r="AT242" s="94" cm="1">
        <f t="array" ref="AT242">ROUNDDOWN(AS242*_xlfn.XLOOKUP(1,(AT$5=Table8[Type])*($D242&lt;=Table8[End]),Table8[요율],0,0),-1)</f>
        <v>0</v>
      </c>
      <c r="AU242" s="94" cm="1">
        <f t="array" ref="AU242">ROUNDDOWN($AQ242*_xlfn.XLOOKUP(1,(AU$5=Table8[Type])*($D242&lt;=Table8[End]),Table8[요율],0,0),-1)</f>
        <v>0</v>
      </c>
      <c r="AV242" s="94" cm="1">
        <f t="array" ref="AV242">ROUNDDOWN(AM242*_xlfn.XLOOKUP(1,(AV$5=Table8[Type])*($D242&lt;=Table8[End]),Table8[요율],0,0),-1)</f>
        <v>0</v>
      </c>
      <c r="AW242" s="94" cm="1">
        <f t="array" ref="AW242">_xlfn.XLOOKUP(1,(O242=Table2[주민등록번호])*(D242&gt;Table2[근무일자]),Table2[청구 Claim 
이월],0,0,-1)</f>
        <v>0</v>
      </c>
      <c r="AX242" s="95"/>
      <c r="AY242" s="94" cm="1">
        <f t="array" ref="AY242">MAX(SUM(AO242:AP242,AS242:AX242)-_xlfn.XLOOKUP(1,(D242&lt;=Table7[End])*(E242=Table7[근무처])*(F242=Table7[업무]),Table7[1일 공제 상한],0,0),0)</f>
        <v>0</v>
      </c>
      <c r="AZ242" s="94">
        <f t="shared" si="49"/>
        <v>0</v>
      </c>
      <c r="BA242" s="94">
        <f t="shared" si="50"/>
        <v>50150</v>
      </c>
      <c r="BB242" s="97">
        <f t="shared" si="51"/>
        <v>0</v>
      </c>
      <c r="BC242" s="98"/>
      <c r="BD242" s="94">
        <f t="shared" si="52"/>
        <v>0</v>
      </c>
      <c r="BE242" s="94">
        <f t="shared" si="53"/>
        <v>0</v>
      </c>
      <c r="BF242" s="94">
        <f t="shared" si="54"/>
        <v>0</v>
      </c>
      <c r="BG242" s="94">
        <f t="shared" si="55"/>
        <v>0</v>
      </c>
      <c r="BH242" s="94" cm="1">
        <f t="array" ref="BH242">ROUNDDOWN(AM242*_xlfn.XLOOKUP(1,(BH$5=Table8[Type])*($D242&lt;=Table8[End]),Table8[요율],0,0),-1)</f>
        <v>400</v>
      </c>
      <c r="BI242" s="93" t="str" cm="1">
        <f t="array" ref="BI242">_xlfn.XLOOKUP(1,(D242&lt;=Table7[End])*(E242=Table7[근무처])*(F242=Table7[업무]),Table7[지급옵션],0,0)</f>
        <v>D+2</v>
      </c>
      <c r="BJ242" s="83">
        <f>IF(BK242&lt;&gt;"",BK242,IFERROR(D242+_xlfn.NUMBERVALUE(RIGHT(BI242,1)),D242-WEEKDAY(D242)+CHOOSE(MATCH(RIGHT(BI242),{"일","월","화","수","목","금","토"},0),8,9,10,11,12,13,14)))</f>
        <v>45804</v>
      </c>
      <c r="BK242" s="99"/>
    </row>
    <row r="243" spans="2:63" x14ac:dyDescent="0.35">
      <c r="B243" s="20" t="str" cm="1">
        <f t="array" ref="B243">_xlfn.IFS(BB243&lt;&gt;BC243,"Claim확인",N243&lt;&gt;"OK","확인필요",TRUE,"")</f>
        <v/>
      </c>
      <c r="C243" s="21" t="str">
        <f t="shared" si="42"/>
        <v>010-3X6X-X4X7757X02XX284249</v>
      </c>
      <c r="D243" s="26">
        <v>45802</v>
      </c>
      <c r="E243" s="91" t="s">
        <v>255</v>
      </c>
      <c r="F243" s="25" t="s">
        <v>258</v>
      </c>
      <c r="G243" s="27" t="s">
        <v>283</v>
      </c>
      <c r="H243" s="25" t="s">
        <v>295</v>
      </c>
      <c r="I243" s="25"/>
      <c r="J243" s="25" t="s">
        <v>296</v>
      </c>
      <c r="K243" s="28">
        <v>0.29166666666666669</v>
      </c>
      <c r="L243" s="28">
        <v>0.66666666666666663</v>
      </c>
      <c r="M243" s="28">
        <v>4.1666666666666664E-2</v>
      </c>
      <c r="N243" s="25" t="s">
        <v>281</v>
      </c>
      <c r="O243" s="29" t="str">
        <f>_xlfn.XLOOKUP(Table2[[#This Row],[Key]],Table1[Key],Table1[주민등록번호],"",0)</f>
        <v>940XX41XX7X32</v>
      </c>
      <c r="P243" s="29">
        <f>_xlfn.XLOOKUP(Table2[[#This Row],[Key]],Table1[Key],Table1[비자],"",0)</f>
        <v>0</v>
      </c>
      <c r="Q243" s="29">
        <f>IF(P243=0,0,_xlfn.XLOOKUP(Table2[[#This Row],[Key]],Table1[Key],Table1[고용보험 여부],0,0))</f>
        <v>0</v>
      </c>
      <c r="R243" s="29" t="str">
        <f t="shared" si="43"/>
        <v>2505</v>
      </c>
      <c r="S243" s="30" t="str">
        <f>YEAR(Table2[[#This Row],[근무일자]])&amp;TEXT(WEEKNUM(Table2[[#This Row],[근무일자]]),"00")</f>
        <v>202522</v>
      </c>
      <c r="T243" s="31">
        <f>_xlfn.XLOOKUP(Table2[[#This Row],[Key]],Table1[Key],Table1[등록일],"",0)</f>
        <v>45751</v>
      </c>
      <c r="U243" s="32">
        <f t="shared" si="44"/>
        <v>0.33333333333333326</v>
      </c>
      <c r="V243" s="92">
        <f t="shared" si="45"/>
        <v>0</v>
      </c>
      <c r="W243" s="100" t="str">
        <f>_xlfn.XLOOKUP(Table2[[#This Row],[근무일자]],Table3[Date],Table3[Holiday],"",0)</f>
        <v/>
      </c>
      <c r="X243" s="93">
        <f>IF(D243&lt;&gt;"",1,0)+IF(COUNTIFS(Table2[주민등록번호],O243,Table2[월],TEXT(EOMONTH(D243,-1),"YYMM"))&gt;0,1+IF(COUNTIFS(Table2[주민등록번호],O243,Table2[월],TEXT(EOMONTH(D243,-2),"YYMM"))&gt;0,1+IF(COUNTIFS(Table2[주민등록번호],O243,Table2[월],TEXT(EOMONTH(D243,-3),"YYMM"))&gt;0,1,0),0),0)</f>
        <v>2</v>
      </c>
      <c r="Y243" s="29">
        <f>COUNTIFS(Table2[주민등록번호],O243,Table2[월],R243,Table2[근무일자],"&lt;="&amp;D243)</f>
        <v>16</v>
      </c>
      <c r="Z243" s="29">
        <f>COUNTIFS(Table2[주민등록번호],O243,Table2[주간],S243,Table2[근무일자],"&lt;="&amp;D243)</f>
        <v>1</v>
      </c>
      <c r="AA243" s="29">
        <f>SUMIFS(Table2[근로
시간],Table2[주민등록번호],O243,Table2[주간],S243,Table2[근무일자],"&lt;="&amp;D243)*24</f>
        <v>7.9999999999999982</v>
      </c>
      <c r="AB243" s="29" t="str">
        <f>IF(AND(Y243&gt;=8,COUNTIFS(Table2[주민등록번호],O243,Table2[근무일자],"&gt;="&amp;EOMONTH(D243,-2)+1,Table2[근무일자],"&lt;="&amp;EOMONTH(D243,-1)+1)&gt;0),"V","")</f>
        <v>V</v>
      </c>
      <c r="AC243" s="94" cm="1">
        <f t="array" ref="AC243">IF(AD243&lt;&gt;"",AD243,_xlfn.XLOOKUP(1,(D243&lt;=Table7[End])*(E243=Table7[근무처])*(F243=Table7[업무]),Table7[시급],0,0))</f>
        <v>10680</v>
      </c>
      <c r="AD243" s="95"/>
      <c r="AE243" s="94">
        <f t="shared" si="46"/>
        <v>85440</v>
      </c>
      <c r="AF243" s="96" cm="1">
        <f t="array" ref="AF243">IF(AND(AA243&gt;=15,(AA243-U243*24)&lt;=40),IF(Z243&gt;=_xlfn.XLOOKUP(1,(D243&lt;=Table7[End])*(E243=Table7[근무처])*(F243=Table7[업무]),Table7[주휴적용일],0,0),1,0)+_xlfn.XLOOKUP(1,(Table2[주간]=Table2[[#This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43" s="96" cm="1">
        <f t="array" ref="AG243">MAX((_xlfn.IFS(AF243=0,0,AF243=1,AA243,AF243&gt;1,U243*24)-IF(AA243&gt;40,AA243-40,0))/5,0)</f>
        <v>0</v>
      </c>
      <c r="AH243" s="94">
        <f t="shared" si="47"/>
        <v>0</v>
      </c>
      <c r="AI243" s="33" cm="1">
        <f t="array" ref="AI243">IF(W243="",0,ROUND(AC243*U243*24*_xlfn.XLOOKUP(1,(D243&lt;=Table7[End])*(E243=Table7[근무처])*(F243=Table7[업무]),Table7[휴일인센티브],0,0),0))</f>
        <v>0</v>
      </c>
      <c r="AJ243" s="94" cm="1">
        <f t="array" ref="AJ243">ROUND(AC243*IF(U243&gt;=8/24,U243-8/24,0)*24*_xlfn.XLOOKUP(1,(D243&lt;=Table7[End])*(E243=Table7[근무처])*(F243=Table7[업무]),Table7[야간인센티브],0,0),0)</f>
        <v>0</v>
      </c>
      <c r="AK243" s="94" cm="1">
        <f t="array" ref="AK243">IF(V243=0,0,ROUND(AC243*V243*24*_xlfn.XLOOKUP(1,(D243&lt;=Table7[End])*(E243=Table7[근무처])*(F243=Table7[업무]),Table7[야간인센티브],0,0),0))</f>
        <v>0</v>
      </c>
      <c r="AL243" s="95"/>
      <c r="AM243" s="94">
        <f t="shared" si="48"/>
        <v>85440</v>
      </c>
      <c r="AN243" s="94" cm="1">
        <f t="array" ref="AN243">IF(AM243&gt;=_xlfn.XLOOKUP(TRUE,D243&lt;=Table5[End],Table5[비과세소득기준],0,0),AM243-_xlfn.XLOOKUP(TRUE,D243&lt;=Table5[End],Table5[비과세소득기준],0,0),0)</f>
        <v>0</v>
      </c>
      <c r="AO243" s="94" cm="1">
        <f t="array" ref="AO243">ROUNDDOWN(_xlfn.LET(_xlpm.setvalue,_xlfn.XLOOKUP(TRUE,D243&lt;=Table5[End],Table5[[요율]:[근로소득세액공제]],0,0),_xlpm.tax,AN243*PRODUCT((_xlpm.setvalue-{0,1})*{1,-1}),_xlpm.threshold,_xlfn.XLOOKUP(TRUE,D243&lt;=Table5[End],Table5[소액부징수기준],0,0),IF(_xlpm.tax&gt;=_xlpm.threshold,_xlpm.tax,0)),-1)</f>
        <v>0</v>
      </c>
      <c r="AP243" s="94">
        <f>ROUNDDOWN(Table2[[#This Row],[소득세]]*10%,-1)</f>
        <v>0</v>
      </c>
      <c r="AQ243" s="94">
        <f>IF(AB243="v",AM243+IF(Y243=8,SUMIFS(Table2[지급총액],Table2[주민등록번호],O243,Table2[월],R243,Table2[월간
근무일],"&lt;="&amp;8)-AM243,0),0)+_xlfn.NUMBERVALUE(AR243)</f>
        <v>85440</v>
      </c>
      <c r="AR243" s="95"/>
      <c r="AS243" s="94" cm="1">
        <f t="array" ref="AS243">ROUNDDOWN($AQ243*_xlfn.XLOOKUP(1,(AS$5=Table8[Type])*($D243&lt;=Table8[End]),Table8[요율],0,0),0)</f>
        <v>3028</v>
      </c>
      <c r="AT243" s="94" cm="1">
        <f t="array" ref="AT243">ROUNDDOWN(AS243*_xlfn.XLOOKUP(1,(AT$5=Table8[Type])*($D243&lt;=Table8[End]),Table8[요율],0,0),-1)</f>
        <v>390</v>
      </c>
      <c r="AU243" s="94" cm="1">
        <f t="array" ref="AU243">ROUNDDOWN($AQ243*_xlfn.XLOOKUP(1,(AU$5=Table8[Type])*($D243&lt;=Table8[End]),Table8[요율],0,0),-1)</f>
        <v>3840</v>
      </c>
      <c r="AV243" s="94" cm="1">
        <f t="array" ref="AV243">ROUNDDOWN(AM243*_xlfn.XLOOKUP(1,(AV$5=Table8[Type])*($D243&lt;=Table8[End]),Table8[요율],0,0),-1)</f>
        <v>0</v>
      </c>
      <c r="AW243" s="94" cm="1">
        <f t="array" ref="AW243">_xlfn.XLOOKUP(1,(O243=Table2[주민등록번호])*(D243&gt;Table2[근무일자]),Table2[청구 Claim 
이월],0,0,-1)</f>
        <v>0</v>
      </c>
      <c r="AX243" s="95"/>
      <c r="AY243" s="94" cm="1">
        <f t="array" ref="AY243">MAX(SUM(AO243:AP243,AS243:AX243)-_xlfn.XLOOKUP(1,(D243&lt;=Table7[End])*(E243=Table7[근무처])*(F243=Table7[업무]),Table7[1일 공제 상한],0,0),0)</f>
        <v>0</v>
      </c>
      <c r="AZ243" s="94">
        <f t="shared" si="49"/>
        <v>7258</v>
      </c>
      <c r="BA243" s="94">
        <f t="shared" si="50"/>
        <v>78182</v>
      </c>
      <c r="BB243" s="97">
        <f t="shared" si="51"/>
        <v>0</v>
      </c>
      <c r="BC243" s="98"/>
      <c r="BD243" s="94">
        <f t="shared" si="52"/>
        <v>3028</v>
      </c>
      <c r="BE243" s="94">
        <f t="shared" si="53"/>
        <v>390</v>
      </c>
      <c r="BF243" s="94">
        <f t="shared" si="54"/>
        <v>3840</v>
      </c>
      <c r="BG243" s="94">
        <f t="shared" si="55"/>
        <v>0</v>
      </c>
      <c r="BH243" s="94" cm="1">
        <f t="array" ref="BH243">ROUNDDOWN(AM243*_xlfn.XLOOKUP(1,(BH$5=Table8[Type])*($D243&lt;=Table8[End]),Table8[요율],0,0),-1)</f>
        <v>680</v>
      </c>
      <c r="BI243" s="93" t="str" cm="1">
        <f t="array" ref="BI243">_xlfn.XLOOKUP(1,(D243&lt;=Table7[End])*(E243=Table7[근무처])*(F243=Table7[업무]),Table7[지급옵션],0,0)</f>
        <v>차주 화</v>
      </c>
      <c r="BJ243" s="83">
        <f>IF(BK243&lt;&gt;"",BK243,IFERROR(D243+_xlfn.NUMBERVALUE(RIGHT(BI243,1)),D243-WEEKDAY(D243)+CHOOSE(MATCH(RIGHT(BI243),{"일","월","화","수","목","금","토"},0),8,9,10,11,12,13,14)))</f>
        <v>45811</v>
      </c>
      <c r="BK243" s="99"/>
    </row>
    <row r="244" spans="2:63" x14ac:dyDescent="0.35">
      <c r="B244" s="20" t="str" cm="1">
        <f t="array" ref="B244">_xlfn.IFS(BB244&lt;&gt;BC244,"Claim확인",N244&lt;&gt;"OK","확인필요",TRUE,"")</f>
        <v/>
      </c>
      <c r="C244" s="21" t="str">
        <f t="shared" si="42"/>
        <v>010-3X6X-X4X7757X02XX284249</v>
      </c>
      <c r="D244" s="26">
        <v>45803</v>
      </c>
      <c r="E244" s="91" t="s">
        <v>255</v>
      </c>
      <c r="F244" s="25" t="s">
        <v>258</v>
      </c>
      <c r="G244" s="27" t="s">
        <v>283</v>
      </c>
      <c r="H244" s="25" t="s">
        <v>295</v>
      </c>
      <c r="I244" s="25"/>
      <c r="J244" s="25" t="s">
        <v>296</v>
      </c>
      <c r="K244" s="28">
        <v>0.29166666666666669</v>
      </c>
      <c r="L244" s="28">
        <v>0.66666666666666663</v>
      </c>
      <c r="M244" s="28">
        <v>4.1666666666666664E-2</v>
      </c>
      <c r="N244" s="25" t="s">
        <v>281</v>
      </c>
      <c r="O244" s="29" t="str">
        <f>_xlfn.XLOOKUP(Table2[[#This Row],[Key]],Table1[Key],Table1[주민등록번호],"",0)</f>
        <v>940XX41XX7X32</v>
      </c>
      <c r="P244" s="29">
        <f>_xlfn.XLOOKUP(Table2[[#This Row],[Key]],Table1[Key],Table1[비자],"",0)</f>
        <v>0</v>
      </c>
      <c r="Q244" s="29">
        <f>IF(P244=0,0,_xlfn.XLOOKUP(Table2[[#This Row],[Key]],Table1[Key],Table1[고용보험 여부],0,0))</f>
        <v>0</v>
      </c>
      <c r="R244" s="29" t="str">
        <f t="shared" si="43"/>
        <v>2505</v>
      </c>
      <c r="S244" s="30" t="str">
        <f>YEAR(Table2[[#This Row],[근무일자]])&amp;TEXT(WEEKNUM(Table2[[#This Row],[근무일자]]),"00")</f>
        <v>202522</v>
      </c>
      <c r="T244" s="31">
        <f>_xlfn.XLOOKUP(Table2[[#This Row],[Key]],Table1[Key],Table1[등록일],"",0)</f>
        <v>45751</v>
      </c>
      <c r="U244" s="32">
        <f t="shared" si="44"/>
        <v>0.33333333333333326</v>
      </c>
      <c r="V244" s="92">
        <f t="shared" si="45"/>
        <v>0</v>
      </c>
      <c r="W244" s="100" t="str">
        <f>_xlfn.XLOOKUP(Table2[[#This Row],[근무일자]],Table3[Date],Table3[Holiday],"",0)</f>
        <v/>
      </c>
      <c r="X244" s="93">
        <f>IF(D244&lt;&gt;"",1,0)+IF(COUNTIFS(Table2[주민등록번호],O244,Table2[월],TEXT(EOMONTH(D244,-1),"YYMM"))&gt;0,1+IF(COUNTIFS(Table2[주민등록번호],O244,Table2[월],TEXT(EOMONTH(D244,-2),"YYMM"))&gt;0,1+IF(COUNTIFS(Table2[주민등록번호],O244,Table2[월],TEXT(EOMONTH(D244,-3),"YYMM"))&gt;0,1,0),0),0)</f>
        <v>2</v>
      </c>
      <c r="Y244" s="29">
        <f>COUNTIFS(Table2[주민등록번호],O244,Table2[월],R244,Table2[근무일자],"&lt;="&amp;D244)</f>
        <v>17</v>
      </c>
      <c r="Z244" s="29">
        <f>COUNTIFS(Table2[주민등록번호],O244,Table2[주간],S244,Table2[근무일자],"&lt;="&amp;D244)</f>
        <v>2</v>
      </c>
      <c r="AA244" s="29">
        <f>SUMIFS(Table2[근로
시간],Table2[주민등록번호],O244,Table2[주간],S244,Table2[근무일자],"&lt;="&amp;D244)*24</f>
        <v>15.999999999999996</v>
      </c>
      <c r="AB244" s="29" t="str">
        <f>IF(AND(Y244&gt;=8,COUNTIFS(Table2[주민등록번호],O244,Table2[근무일자],"&gt;="&amp;EOMONTH(D244,-2)+1,Table2[근무일자],"&lt;="&amp;EOMONTH(D244,-1)+1)&gt;0),"V","")</f>
        <v>V</v>
      </c>
      <c r="AC244" s="94" cm="1">
        <f t="array" ref="AC244">IF(AD244&lt;&gt;"",AD244,_xlfn.XLOOKUP(1,(D244&lt;=Table7[End])*(E244=Table7[근무처])*(F244=Table7[업무]),Table7[시급],0,0))</f>
        <v>10680</v>
      </c>
      <c r="AD244" s="95"/>
      <c r="AE244" s="94">
        <f t="shared" si="46"/>
        <v>85440</v>
      </c>
      <c r="AF244" s="96" cm="1">
        <f t="array" ref="AF244">IF(AND(AA244&gt;=15,(AA244-U244*24)&lt;=40),IF(Z244&gt;=_xlfn.XLOOKUP(1,(D244&lt;=Table7[End])*(E244=Table7[근무처])*(F244=Table7[업무]),Table7[주휴적용일],0,0),1,0)+_xlfn.XLOOKUP(1,(Table2[주간]=Table2[[#This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44" s="96" cm="1">
        <f t="array" ref="AG244">MAX((_xlfn.IFS(AF244=0,0,AF244=1,AA244,AF244&gt;1,U244*24)-IF(AA244&gt;40,AA244-40,0))/5,0)</f>
        <v>3.1999999999999993</v>
      </c>
      <c r="AH244" s="94">
        <f t="shared" si="47"/>
        <v>34176</v>
      </c>
      <c r="AI244" s="33" cm="1">
        <f t="array" ref="AI244">IF(W244="",0,ROUND(AC244*U244*24*_xlfn.XLOOKUP(1,(D244&lt;=Table7[End])*(E244=Table7[근무처])*(F244=Table7[업무]),Table7[휴일인센티브],0,0),0))</f>
        <v>0</v>
      </c>
      <c r="AJ244" s="94" cm="1">
        <f t="array" ref="AJ244">ROUND(AC244*IF(U244&gt;=8/24,U244-8/24,0)*24*_xlfn.XLOOKUP(1,(D244&lt;=Table7[End])*(E244=Table7[근무처])*(F244=Table7[업무]),Table7[야간인센티브],0,0),0)</f>
        <v>0</v>
      </c>
      <c r="AK244" s="94" cm="1">
        <f t="array" ref="AK244">IF(V244=0,0,ROUND(AC244*V244*24*_xlfn.XLOOKUP(1,(D244&lt;=Table7[End])*(E244=Table7[근무처])*(F244=Table7[업무]),Table7[야간인센티브],0,0),0))</f>
        <v>0</v>
      </c>
      <c r="AL244" s="95"/>
      <c r="AM244" s="94">
        <f t="shared" si="48"/>
        <v>119616</v>
      </c>
      <c r="AN244" s="94" cm="1">
        <f t="array" ref="AN244">IF(AM244&gt;=_xlfn.XLOOKUP(TRUE,D244&lt;=Table5[End],Table5[비과세소득기준],0,0),AM244-_xlfn.XLOOKUP(TRUE,D244&lt;=Table5[End],Table5[비과세소득기준],0,0),0)</f>
        <v>0</v>
      </c>
      <c r="AO244" s="94" cm="1">
        <f t="array" ref="AO244">ROUNDDOWN(_xlfn.LET(_xlpm.setvalue,_xlfn.XLOOKUP(TRUE,D244&lt;=Table5[End],Table5[[요율]:[근로소득세액공제]],0,0),_xlpm.tax,AN244*PRODUCT((_xlpm.setvalue-{0,1})*{1,-1}),_xlpm.threshold,_xlfn.XLOOKUP(TRUE,D244&lt;=Table5[End],Table5[소액부징수기준],0,0),IF(_xlpm.tax&gt;=_xlpm.threshold,_xlpm.tax,0)),-1)</f>
        <v>0</v>
      </c>
      <c r="AP244" s="94">
        <f>ROUNDDOWN(Table2[[#This Row],[소득세]]*10%,-1)</f>
        <v>0</v>
      </c>
      <c r="AQ244" s="94">
        <f>IF(AB244="v",AM244+IF(Y244=8,SUMIFS(Table2[지급총액],Table2[주민등록번호],O244,Table2[월],R244,Table2[월간
근무일],"&lt;="&amp;8)-AM244,0),0)+_xlfn.NUMBERVALUE(AR244)</f>
        <v>119616</v>
      </c>
      <c r="AR244" s="95"/>
      <c r="AS244" s="94" cm="1">
        <f t="array" ref="AS244">ROUNDDOWN($AQ244*_xlfn.XLOOKUP(1,(AS$5=Table8[Type])*($D244&lt;=Table8[End]),Table8[요율],0,0),0)</f>
        <v>4240</v>
      </c>
      <c r="AT244" s="94" cm="1">
        <f t="array" ref="AT244">ROUNDDOWN(AS244*_xlfn.XLOOKUP(1,(AT$5=Table8[Type])*($D244&lt;=Table8[End]),Table8[요율],0,0),-1)</f>
        <v>540</v>
      </c>
      <c r="AU244" s="94" cm="1">
        <f t="array" ref="AU244">ROUNDDOWN($AQ244*_xlfn.XLOOKUP(1,(AU$5=Table8[Type])*($D244&lt;=Table8[End]),Table8[요율],0,0),-1)</f>
        <v>5380</v>
      </c>
      <c r="AV244" s="94" cm="1">
        <f t="array" ref="AV244">ROUNDDOWN(AM244*_xlfn.XLOOKUP(1,(AV$5=Table8[Type])*($D244&lt;=Table8[End]),Table8[요율],0,0),-1)</f>
        <v>0</v>
      </c>
      <c r="AW244" s="94" cm="1">
        <f t="array" ref="AW244">_xlfn.XLOOKUP(1,(O244=Table2[주민등록번호])*(D244&gt;Table2[근무일자]),Table2[청구 Claim 
이월],0,0,-1)</f>
        <v>0</v>
      </c>
      <c r="AX244" s="95"/>
      <c r="AY244" s="94" cm="1">
        <f t="array" ref="AY244">MAX(SUM(AO244:AP244,AS244:AX244)-_xlfn.XLOOKUP(1,(D244&lt;=Table7[End])*(E244=Table7[근무처])*(F244=Table7[업무]),Table7[1일 공제 상한],0,0),0)</f>
        <v>0</v>
      </c>
      <c r="AZ244" s="94">
        <f t="shared" si="49"/>
        <v>10160</v>
      </c>
      <c r="BA244" s="94">
        <f t="shared" si="50"/>
        <v>109456</v>
      </c>
      <c r="BB244" s="97">
        <f t="shared" si="51"/>
        <v>0</v>
      </c>
      <c r="BC244" s="98"/>
      <c r="BD244" s="94">
        <f t="shared" si="52"/>
        <v>4240</v>
      </c>
      <c r="BE244" s="94">
        <f t="shared" si="53"/>
        <v>540</v>
      </c>
      <c r="BF244" s="94">
        <f t="shared" si="54"/>
        <v>5380</v>
      </c>
      <c r="BG244" s="94">
        <f t="shared" si="55"/>
        <v>0</v>
      </c>
      <c r="BH244" s="94" cm="1">
        <f t="array" ref="BH244">ROUNDDOWN(AM244*_xlfn.XLOOKUP(1,(BH$5=Table8[Type])*($D244&lt;=Table8[End]),Table8[요율],0,0),-1)</f>
        <v>950</v>
      </c>
      <c r="BI244" s="93" t="str" cm="1">
        <f t="array" ref="BI244">_xlfn.XLOOKUP(1,(D244&lt;=Table7[End])*(E244=Table7[근무처])*(F244=Table7[업무]),Table7[지급옵션],0,0)</f>
        <v>차주 화</v>
      </c>
      <c r="BJ244" s="83">
        <f>IF(BK244&lt;&gt;"",BK244,IFERROR(D244+_xlfn.NUMBERVALUE(RIGHT(BI244,1)),D244-WEEKDAY(D244)+CHOOSE(MATCH(RIGHT(BI244),{"일","월","화","수","목","금","토"},0),8,9,10,11,12,13,14)))</f>
        <v>45811</v>
      </c>
      <c r="BK244" s="99"/>
    </row>
    <row r="245" spans="2:63" x14ac:dyDescent="0.35">
      <c r="B245" s="20" t="str" cm="1">
        <f t="array" ref="B245">_xlfn.IFS(BB245&lt;&gt;BC245,"Claim확인",N245&lt;&gt;"OK","확인필요",TRUE,"")</f>
        <v/>
      </c>
      <c r="C245" s="21" t="str">
        <f t="shared" si="42"/>
        <v>010-3X4X-X9X7219X02XX284640</v>
      </c>
      <c r="D245" s="26">
        <v>45803</v>
      </c>
      <c r="E245" s="91" t="s">
        <v>253</v>
      </c>
      <c r="F245" s="25" t="s">
        <v>257</v>
      </c>
      <c r="G245" s="27" t="s">
        <v>286</v>
      </c>
      <c r="H245" s="25" t="s">
        <v>299</v>
      </c>
      <c r="I245" s="25"/>
      <c r="J245" s="25" t="s">
        <v>300</v>
      </c>
      <c r="K245" s="28">
        <v>0.6875</v>
      </c>
      <c r="L245" s="28">
        <v>0.91666666666666663</v>
      </c>
      <c r="M245" s="28">
        <v>2.0833333333333332E-2</v>
      </c>
      <c r="N245" s="25" t="s">
        <v>281</v>
      </c>
      <c r="O245" s="29" t="str">
        <f>_xlfn.XLOOKUP(Table2[[#This Row],[Key]],Table1[Key],Table1[주민등록번호],"",0)</f>
        <v>931XX31XX3X14</v>
      </c>
      <c r="P245" s="29">
        <f>_xlfn.XLOOKUP(Table2[[#This Row],[Key]],Table1[Key],Table1[비자],"",0)</f>
        <v>0</v>
      </c>
      <c r="Q245" s="29">
        <f>IF(P245=0,0,_xlfn.XLOOKUP(Table2[[#This Row],[Key]],Table1[Key],Table1[고용보험 여부],0,0))</f>
        <v>0</v>
      </c>
      <c r="R245" s="29" t="str">
        <f t="shared" si="43"/>
        <v>2505</v>
      </c>
      <c r="S245" s="30" t="str">
        <f>YEAR(Table2[[#This Row],[근무일자]])&amp;TEXT(WEEKNUM(Table2[[#This Row],[근무일자]]),"00")</f>
        <v>202522</v>
      </c>
      <c r="T245" s="31">
        <f>_xlfn.XLOOKUP(Table2[[#This Row],[Key]],Table1[Key],Table1[등록일],"",0)</f>
        <v>45773</v>
      </c>
      <c r="U245" s="32">
        <f t="shared" si="44"/>
        <v>0.20833333333333329</v>
      </c>
      <c r="V245" s="92">
        <f t="shared" si="45"/>
        <v>0</v>
      </c>
      <c r="W245" s="100" t="str">
        <f>_xlfn.XLOOKUP(Table2[[#This Row],[근무일자]],Table3[Date],Table3[Holiday],"",0)</f>
        <v/>
      </c>
      <c r="X245" s="93">
        <f>IF(D245&lt;&gt;"",1,0)+IF(COUNTIFS(Table2[주민등록번호],O245,Table2[월],TEXT(EOMONTH(D245,-1),"YYMM"))&gt;0,1+IF(COUNTIFS(Table2[주민등록번호],O245,Table2[월],TEXT(EOMONTH(D245,-2),"YYMM"))&gt;0,1+IF(COUNTIFS(Table2[주민등록번호],O245,Table2[월],TEXT(EOMONTH(D245,-3),"YYMM"))&gt;0,1,0),0),0)</f>
        <v>4</v>
      </c>
      <c r="Y245" s="29">
        <f>COUNTIFS(Table2[주민등록번호],O245,Table2[월],R245,Table2[근무일자],"&lt;="&amp;D245)</f>
        <v>8</v>
      </c>
      <c r="Z245" s="29">
        <f>COUNTIFS(Table2[주민등록번호],O245,Table2[주간],S245,Table2[근무일자],"&lt;="&amp;D245)</f>
        <v>2</v>
      </c>
      <c r="AA245" s="29">
        <f>SUMIFS(Table2[근로
시간],Table2[주민등록번호],O245,Table2[주간],S245,Table2[근무일자],"&lt;="&amp;D245)*24</f>
        <v>9.9999999999999982</v>
      </c>
      <c r="AB245" s="29" t="str">
        <f>IF(AND(Y245&gt;=8,COUNTIFS(Table2[주민등록번호],O245,Table2[근무일자],"&gt;="&amp;EOMONTH(D245,-2)+1,Table2[근무일자],"&lt;="&amp;EOMONTH(D245,-1)+1)&gt;0),"V","")</f>
        <v>V</v>
      </c>
      <c r="AC245" s="94" cm="1">
        <f t="array" ref="AC245">IF(AD245&lt;&gt;"",AD245,_xlfn.XLOOKUP(1,(D245&lt;=Table7[End])*(E245=Table7[근무처])*(F245=Table7[업무]),Table7[시급],0,0))</f>
        <v>10030</v>
      </c>
      <c r="AD245" s="95"/>
      <c r="AE245" s="94">
        <f t="shared" si="46"/>
        <v>50150</v>
      </c>
      <c r="AF245" s="96" cm="1">
        <f t="array" ref="AF245">IF(AND(AA245&gt;=15,(AA245-U245*24)&lt;=40),IF(Z245&gt;=_xlfn.XLOOKUP(1,(D245&lt;=Table7[End])*(E245=Table7[근무처])*(F245=Table7[업무]),Table7[주휴적용일],0,0),1,0)+_xlfn.XLOOKUP(1,(Table2[주간]=Table2[[#This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45" s="96" cm="1">
        <f t="array" ref="AG245">MAX((_xlfn.IFS(AF245=0,0,AF245=1,AA245,AF245&gt;1,U245*24)-IF(AA245&gt;40,AA245-40,0))/5,0)</f>
        <v>0</v>
      </c>
      <c r="AH245" s="94">
        <f t="shared" si="47"/>
        <v>0</v>
      </c>
      <c r="AI245" s="33" cm="1">
        <f t="array" ref="AI245">IF(W245="",0,ROUND(AC245*U245*24*_xlfn.XLOOKUP(1,(D245&lt;=Table7[End])*(E245=Table7[근무처])*(F245=Table7[업무]),Table7[휴일인센티브],0,0),0))</f>
        <v>0</v>
      </c>
      <c r="AJ245" s="94" cm="1">
        <f t="array" ref="AJ245">ROUND(AC245*IF(U245&gt;=8/24,U245-8/24,0)*24*_xlfn.XLOOKUP(1,(D245&lt;=Table7[End])*(E245=Table7[근무처])*(F245=Table7[업무]),Table7[야간인센티브],0,0),0)</f>
        <v>0</v>
      </c>
      <c r="AK245" s="94" cm="1">
        <f t="array" ref="AK245">IF(V245=0,0,ROUND(AC245*V245*24*_xlfn.XLOOKUP(1,(D245&lt;=Table7[End])*(E245=Table7[근무처])*(F245=Table7[업무]),Table7[야간인센티브],0,0),0))</f>
        <v>0</v>
      </c>
      <c r="AL245" s="95"/>
      <c r="AM245" s="94">
        <f t="shared" si="48"/>
        <v>50150</v>
      </c>
      <c r="AN245" s="94" cm="1">
        <f t="array" ref="AN245">IF(AM245&gt;=_xlfn.XLOOKUP(TRUE,D245&lt;=Table5[End],Table5[비과세소득기준],0,0),AM245-_xlfn.XLOOKUP(TRUE,D245&lt;=Table5[End],Table5[비과세소득기준],0,0),0)</f>
        <v>0</v>
      </c>
      <c r="AO245" s="94" cm="1">
        <f t="array" ref="AO245">ROUNDDOWN(_xlfn.LET(_xlpm.setvalue,_xlfn.XLOOKUP(TRUE,D245&lt;=Table5[End],Table5[[요율]:[근로소득세액공제]],0,0),_xlpm.tax,AN245*PRODUCT((_xlpm.setvalue-{0,1})*{1,-1}),_xlpm.threshold,_xlfn.XLOOKUP(TRUE,D245&lt;=Table5[End],Table5[소액부징수기준],0,0),IF(_xlpm.tax&gt;=_xlpm.threshold,_xlpm.tax,0)),-1)</f>
        <v>0</v>
      </c>
      <c r="AP245" s="94">
        <f>ROUNDDOWN(Table2[[#This Row],[소득세]]*10%,-1)</f>
        <v>0</v>
      </c>
      <c r="AQ245" s="94">
        <f>IF(AB245="v",AM245+IF(Y245=8,SUMIFS(Table2[지급총액],Table2[주민등록번호],O245,Table2[월],R245,Table2[월간
근무일],"&lt;="&amp;8)-AM245,0),0)+_xlfn.NUMBERVALUE(AR245)</f>
        <v>436490</v>
      </c>
      <c r="AR245" s="95"/>
      <c r="AS245" s="94" cm="1">
        <f t="array" ref="AS245">ROUNDDOWN($AQ245*_xlfn.XLOOKUP(1,(AS$5=Table8[Type])*($D245&lt;=Table8[End]),Table8[요율],0,0),0)</f>
        <v>15473</v>
      </c>
      <c r="AT245" s="94" cm="1">
        <f t="array" ref="AT245">ROUNDDOWN(AS245*_xlfn.XLOOKUP(1,(AT$5=Table8[Type])*($D245&lt;=Table8[End]),Table8[요율],0,0),-1)</f>
        <v>2000</v>
      </c>
      <c r="AU245" s="94" cm="1">
        <f t="array" ref="AU245">ROUNDDOWN($AQ245*_xlfn.XLOOKUP(1,(AU$5=Table8[Type])*($D245&lt;=Table8[End]),Table8[요율],0,0),-1)</f>
        <v>19640</v>
      </c>
      <c r="AV245" s="94" cm="1">
        <f t="array" ref="AV245">ROUNDDOWN(AM245*_xlfn.XLOOKUP(1,(AV$5=Table8[Type])*($D245&lt;=Table8[End]),Table8[요율],0,0),-1)</f>
        <v>0</v>
      </c>
      <c r="AW245" s="94" cm="1">
        <f t="array" ref="AW245">_xlfn.XLOOKUP(1,(O245=Table2[주민등록번호])*(D245&gt;Table2[근무일자]),Table2[청구 Claim 
이월],0,0,-1)</f>
        <v>0</v>
      </c>
      <c r="AX245" s="95"/>
      <c r="AY245" s="94" cm="1">
        <f t="array" ref="AY245">MAX(SUM(AO245:AP245,AS245:AX245)-_xlfn.XLOOKUP(1,(D245&lt;=Table7[End])*(E245=Table7[근무처])*(F245=Table7[업무]),Table7[1일 공제 상한],0,0),0)</f>
        <v>0</v>
      </c>
      <c r="AZ245" s="94">
        <f t="shared" si="49"/>
        <v>37113</v>
      </c>
      <c r="BA245" s="94">
        <f t="shared" si="50"/>
        <v>13037</v>
      </c>
      <c r="BB245" s="97">
        <f t="shared" si="51"/>
        <v>0</v>
      </c>
      <c r="BC245" s="98"/>
      <c r="BD245" s="94">
        <f t="shared" si="52"/>
        <v>15473</v>
      </c>
      <c r="BE245" s="94">
        <f t="shared" si="53"/>
        <v>2000</v>
      </c>
      <c r="BF245" s="94">
        <f t="shared" si="54"/>
        <v>19640</v>
      </c>
      <c r="BG245" s="94">
        <f t="shared" si="55"/>
        <v>0</v>
      </c>
      <c r="BH245" s="94" cm="1">
        <f t="array" ref="BH245">ROUNDDOWN(AM245*_xlfn.XLOOKUP(1,(BH$5=Table8[Type])*($D245&lt;=Table8[End]),Table8[요율],0,0),-1)</f>
        <v>400</v>
      </c>
      <c r="BI245" s="93" t="str" cm="1">
        <f t="array" ref="BI245">_xlfn.XLOOKUP(1,(D245&lt;=Table7[End])*(E245=Table7[근무처])*(F245=Table7[업무]),Table7[지급옵션],0,0)</f>
        <v>D+2</v>
      </c>
      <c r="BJ245" s="83">
        <f>IF(BK245&lt;&gt;"",BK245,IFERROR(D245+_xlfn.NUMBERVALUE(RIGHT(BI245,1)),D245-WEEKDAY(D245)+CHOOSE(MATCH(RIGHT(BI245),{"일","월","화","수","목","금","토"},0),8,9,10,11,12,13,14)))</f>
        <v>45805</v>
      </c>
      <c r="BK245" s="99"/>
    </row>
    <row r="246" spans="2:63" x14ac:dyDescent="0.35">
      <c r="B246" s="20" t="str" cm="1">
        <f t="array" ref="B246">_xlfn.IFS(BB246&lt;&gt;BC246,"Claim확인",N246&lt;&gt;"OK","확인필요",TRUE,"")</f>
        <v/>
      </c>
      <c r="C246" s="21" t="str">
        <f t="shared" si="42"/>
        <v>010-3X6X-X4X7757X02XX284249</v>
      </c>
      <c r="D246" s="26">
        <v>45804</v>
      </c>
      <c r="E246" s="91" t="s">
        <v>255</v>
      </c>
      <c r="F246" s="25" t="s">
        <v>258</v>
      </c>
      <c r="G246" s="27" t="s">
        <v>283</v>
      </c>
      <c r="H246" s="25" t="s">
        <v>295</v>
      </c>
      <c r="I246" s="25"/>
      <c r="J246" s="25" t="s">
        <v>296</v>
      </c>
      <c r="K246" s="28">
        <v>0.29166666666666669</v>
      </c>
      <c r="L246" s="28">
        <v>0.66666666666666663</v>
      </c>
      <c r="M246" s="28">
        <v>4.1666666666666664E-2</v>
      </c>
      <c r="N246" s="25" t="s">
        <v>281</v>
      </c>
      <c r="O246" s="29" t="str">
        <f>_xlfn.XLOOKUP(Table2[[#This Row],[Key]],Table1[Key],Table1[주민등록번호],"",0)</f>
        <v>940XX41XX7X32</v>
      </c>
      <c r="P246" s="29">
        <f>_xlfn.XLOOKUP(Table2[[#This Row],[Key]],Table1[Key],Table1[비자],"",0)</f>
        <v>0</v>
      </c>
      <c r="Q246" s="29">
        <f>IF(P246=0,0,_xlfn.XLOOKUP(Table2[[#This Row],[Key]],Table1[Key],Table1[고용보험 여부],0,0))</f>
        <v>0</v>
      </c>
      <c r="R246" s="29" t="str">
        <f t="shared" si="43"/>
        <v>2505</v>
      </c>
      <c r="S246" s="30" t="str">
        <f>YEAR(Table2[[#This Row],[근무일자]])&amp;TEXT(WEEKNUM(Table2[[#This Row],[근무일자]]),"00")</f>
        <v>202522</v>
      </c>
      <c r="T246" s="31">
        <f>_xlfn.XLOOKUP(Table2[[#This Row],[Key]],Table1[Key],Table1[등록일],"",0)</f>
        <v>45751</v>
      </c>
      <c r="U246" s="32">
        <f t="shared" si="44"/>
        <v>0.33333333333333326</v>
      </c>
      <c r="V246" s="92">
        <f t="shared" si="45"/>
        <v>0</v>
      </c>
      <c r="W246" s="100" t="str">
        <f>_xlfn.XLOOKUP(Table2[[#This Row],[근무일자]],Table3[Date],Table3[Holiday],"",0)</f>
        <v/>
      </c>
      <c r="X246" s="93">
        <f>IF(D246&lt;&gt;"",1,0)+IF(COUNTIFS(Table2[주민등록번호],O246,Table2[월],TEXT(EOMONTH(D246,-1),"YYMM"))&gt;0,1+IF(COUNTIFS(Table2[주민등록번호],O246,Table2[월],TEXT(EOMONTH(D246,-2),"YYMM"))&gt;0,1+IF(COUNTIFS(Table2[주민등록번호],O246,Table2[월],TEXT(EOMONTH(D246,-3),"YYMM"))&gt;0,1,0),0),0)</f>
        <v>2</v>
      </c>
      <c r="Y246" s="29">
        <f>COUNTIFS(Table2[주민등록번호],O246,Table2[월],R246,Table2[근무일자],"&lt;="&amp;D246)</f>
        <v>18</v>
      </c>
      <c r="Z246" s="29">
        <f>COUNTIFS(Table2[주민등록번호],O246,Table2[주간],S246,Table2[근무일자],"&lt;="&amp;D246)</f>
        <v>3</v>
      </c>
      <c r="AA246" s="29">
        <f>SUMIFS(Table2[근로
시간],Table2[주민등록번호],O246,Table2[주간],S246,Table2[근무일자],"&lt;="&amp;D246)*24</f>
        <v>23.999999999999993</v>
      </c>
      <c r="AB246" s="29" t="str">
        <f>IF(AND(Y246&gt;=8,COUNTIFS(Table2[주민등록번호],O246,Table2[근무일자],"&gt;="&amp;EOMONTH(D246,-2)+1,Table2[근무일자],"&lt;="&amp;EOMONTH(D246,-1)+1)&gt;0),"V","")</f>
        <v>V</v>
      </c>
      <c r="AC246" s="94" cm="1">
        <f t="array" ref="AC246">IF(AD246&lt;&gt;"",AD246,_xlfn.XLOOKUP(1,(D246&lt;=Table7[End])*(E246=Table7[근무처])*(F246=Table7[업무]),Table7[시급],0,0))</f>
        <v>10680</v>
      </c>
      <c r="AD246" s="95"/>
      <c r="AE246" s="94">
        <f t="shared" si="46"/>
        <v>85440</v>
      </c>
      <c r="AF246" s="96" cm="1">
        <f t="array" ref="AF246">IF(AND(AA246&gt;=15,(AA246-U246*24)&lt;=40),IF(Z246&gt;=_xlfn.XLOOKUP(1,(D246&lt;=Table7[End])*(E246=Table7[근무처])*(F246=Table7[업무]),Table7[주휴적용일],0,0),1,0)+_xlfn.XLOOKUP(1,(Table2[주간]=Table2[[#This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46" s="96" cm="1">
        <f t="array" ref="AG246">MAX((_xlfn.IFS(AF246=0,0,AF246=1,AA246,AF246&gt;1,U246*24)-IF(AA246&gt;40,AA246-40,0))/5,0)</f>
        <v>1.5999999999999996</v>
      </c>
      <c r="AH246" s="94">
        <f t="shared" si="47"/>
        <v>17088</v>
      </c>
      <c r="AI246" s="33" cm="1">
        <f t="array" ref="AI246">IF(W246="",0,ROUND(AC246*U246*24*_xlfn.XLOOKUP(1,(D246&lt;=Table7[End])*(E246=Table7[근무처])*(F246=Table7[업무]),Table7[휴일인센티브],0,0),0))</f>
        <v>0</v>
      </c>
      <c r="AJ246" s="94" cm="1">
        <f t="array" ref="AJ246">ROUND(AC246*IF(U246&gt;=8/24,U246-8/24,0)*24*_xlfn.XLOOKUP(1,(D246&lt;=Table7[End])*(E246=Table7[근무처])*(F246=Table7[업무]),Table7[야간인센티브],0,0),0)</f>
        <v>0</v>
      </c>
      <c r="AK246" s="94" cm="1">
        <f t="array" ref="AK246">IF(V246=0,0,ROUND(AC246*V246*24*_xlfn.XLOOKUP(1,(D246&lt;=Table7[End])*(E246=Table7[근무처])*(F246=Table7[업무]),Table7[야간인센티브],0,0),0))</f>
        <v>0</v>
      </c>
      <c r="AL246" s="95"/>
      <c r="AM246" s="94">
        <f t="shared" si="48"/>
        <v>102528</v>
      </c>
      <c r="AN246" s="94" cm="1">
        <f t="array" ref="AN246">IF(AM246&gt;=_xlfn.XLOOKUP(TRUE,D246&lt;=Table5[End],Table5[비과세소득기준],0,0),AM246-_xlfn.XLOOKUP(TRUE,D246&lt;=Table5[End],Table5[비과세소득기준],0,0),0)</f>
        <v>0</v>
      </c>
      <c r="AO246" s="94" cm="1">
        <f t="array" ref="AO246">ROUNDDOWN(_xlfn.LET(_xlpm.setvalue,_xlfn.XLOOKUP(TRUE,D246&lt;=Table5[End],Table5[[요율]:[근로소득세액공제]],0,0),_xlpm.tax,AN246*PRODUCT((_xlpm.setvalue-{0,1})*{1,-1}),_xlpm.threshold,_xlfn.XLOOKUP(TRUE,D246&lt;=Table5[End],Table5[소액부징수기준],0,0),IF(_xlpm.tax&gt;=_xlpm.threshold,_xlpm.tax,0)),-1)</f>
        <v>0</v>
      </c>
      <c r="AP246" s="94">
        <f>ROUNDDOWN(Table2[[#This Row],[소득세]]*10%,-1)</f>
        <v>0</v>
      </c>
      <c r="AQ246" s="94">
        <f>IF(AB246="v",AM246+IF(Y246=8,SUMIFS(Table2[지급총액],Table2[주민등록번호],O246,Table2[월],R246,Table2[월간
근무일],"&lt;="&amp;8)-AM246,0),0)+_xlfn.NUMBERVALUE(AR246)</f>
        <v>102528</v>
      </c>
      <c r="AR246" s="95"/>
      <c r="AS246" s="94" cm="1">
        <f t="array" ref="AS246">ROUNDDOWN($AQ246*_xlfn.XLOOKUP(1,(AS$5=Table8[Type])*($D246&lt;=Table8[End]),Table8[요율],0,0),0)</f>
        <v>3634</v>
      </c>
      <c r="AT246" s="94" cm="1">
        <f t="array" ref="AT246">ROUNDDOWN(AS246*_xlfn.XLOOKUP(1,(AT$5=Table8[Type])*($D246&lt;=Table8[End]),Table8[요율],0,0),-1)</f>
        <v>470</v>
      </c>
      <c r="AU246" s="94" cm="1">
        <f t="array" ref="AU246">ROUNDDOWN($AQ246*_xlfn.XLOOKUP(1,(AU$5=Table8[Type])*($D246&lt;=Table8[End]),Table8[요율],0,0),-1)</f>
        <v>4610</v>
      </c>
      <c r="AV246" s="94" cm="1">
        <f t="array" ref="AV246">ROUNDDOWN(AM246*_xlfn.XLOOKUP(1,(AV$5=Table8[Type])*($D246&lt;=Table8[End]),Table8[요율],0,0),-1)</f>
        <v>0</v>
      </c>
      <c r="AW246" s="94" cm="1">
        <f t="array" ref="AW246">_xlfn.XLOOKUP(1,(O246=Table2[주민등록번호])*(D246&gt;Table2[근무일자]),Table2[청구 Claim 
이월],0,0,-1)</f>
        <v>0</v>
      </c>
      <c r="AX246" s="95"/>
      <c r="AY246" s="94" cm="1">
        <f t="array" ref="AY246">MAX(SUM(AO246:AP246,AS246:AX246)-_xlfn.XLOOKUP(1,(D246&lt;=Table7[End])*(E246=Table7[근무처])*(F246=Table7[업무]),Table7[1일 공제 상한],0,0),0)</f>
        <v>0</v>
      </c>
      <c r="AZ246" s="94">
        <f t="shared" si="49"/>
        <v>8714</v>
      </c>
      <c r="BA246" s="94">
        <f t="shared" si="50"/>
        <v>93814</v>
      </c>
      <c r="BB246" s="97">
        <f t="shared" si="51"/>
        <v>0</v>
      </c>
      <c r="BC246" s="98"/>
      <c r="BD246" s="94">
        <f t="shared" si="52"/>
        <v>3634</v>
      </c>
      <c r="BE246" s="94">
        <f t="shared" si="53"/>
        <v>470</v>
      </c>
      <c r="BF246" s="94">
        <f t="shared" si="54"/>
        <v>4610</v>
      </c>
      <c r="BG246" s="94">
        <f t="shared" si="55"/>
        <v>0</v>
      </c>
      <c r="BH246" s="94" cm="1">
        <f t="array" ref="BH246">ROUNDDOWN(AM246*_xlfn.XLOOKUP(1,(BH$5=Table8[Type])*($D246&lt;=Table8[End]),Table8[요율],0,0),-1)</f>
        <v>820</v>
      </c>
      <c r="BI246" s="93" t="str" cm="1">
        <f t="array" ref="BI246">_xlfn.XLOOKUP(1,(D246&lt;=Table7[End])*(E246=Table7[근무처])*(F246=Table7[업무]),Table7[지급옵션],0,0)</f>
        <v>차주 화</v>
      </c>
      <c r="BJ246" s="83">
        <f>IF(BK246&lt;&gt;"",BK246,IFERROR(D246+_xlfn.NUMBERVALUE(RIGHT(BI246,1)),D246-WEEKDAY(D246)+CHOOSE(MATCH(RIGHT(BI246),{"일","월","화","수","목","금","토"},0),8,9,10,11,12,13,14)))</f>
        <v>45811</v>
      </c>
      <c r="BK246" s="99"/>
    </row>
    <row r="247" spans="2:63" x14ac:dyDescent="0.35">
      <c r="B247" s="20" t="str" cm="1">
        <f t="array" ref="B247">_xlfn.IFS(BB247&lt;&gt;BC247,"Claim확인",N247&lt;&gt;"OK","확인필요",TRUE,"")</f>
        <v/>
      </c>
      <c r="C247" s="21" t="str">
        <f t="shared" si="42"/>
        <v>010-3X4X-X9X7219X02XX284640</v>
      </c>
      <c r="D247" s="26">
        <v>45804</v>
      </c>
      <c r="E247" s="91" t="s">
        <v>253</v>
      </c>
      <c r="F247" s="25" t="s">
        <v>257</v>
      </c>
      <c r="G247" s="27" t="s">
        <v>286</v>
      </c>
      <c r="H247" s="25" t="s">
        <v>299</v>
      </c>
      <c r="I247" s="25"/>
      <c r="J247" s="25" t="s">
        <v>300</v>
      </c>
      <c r="K247" s="28">
        <v>0.6875</v>
      </c>
      <c r="L247" s="28">
        <v>0.91666666666666663</v>
      </c>
      <c r="M247" s="28">
        <v>2.0833333333333332E-2</v>
      </c>
      <c r="N247" s="25" t="s">
        <v>281</v>
      </c>
      <c r="O247" s="29" t="str">
        <f>_xlfn.XLOOKUP(Table2[[#This Row],[Key]],Table1[Key],Table1[주민등록번호],"",0)</f>
        <v>931XX31XX3X14</v>
      </c>
      <c r="P247" s="29">
        <f>_xlfn.XLOOKUP(Table2[[#This Row],[Key]],Table1[Key],Table1[비자],"",0)</f>
        <v>0</v>
      </c>
      <c r="Q247" s="29">
        <f>IF(P247=0,0,_xlfn.XLOOKUP(Table2[[#This Row],[Key]],Table1[Key],Table1[고용보험 여부],0,0))</f>
        <v>0</v>
      </c>
      <c r="R247" s="29" t="str">
        <f t="shared" si="43"/>
        <v>2505</v>
      </c>
      <c r="S247" s="30" t="str">
        <f>YEAR(Table2[[#This Row],[근무일자]])&amp;TEXT(WEEKNUM(Table2[[#This Row],[근무일자]]),"00")</f>
        <v>202522</v>
      </c>
      <c r="T247" s="31">
        <f>_xlfn.XLOOKUP(Table2[[#This Row],[Key]],Table1[Key],Table1[등록일],"",0)</f>
        <v>45773</v>
      </c>
      <c r="U247" s="32">
        <f t="shared" si="44"/>
        <v>0.20833333333333329</v>
      </c>
      <c r="V247" s="92">
        <f t="shared" si="45"/>
        <v>0</v>
      </c>
      <c r="W247" s="100" t="str">
        <f>_xlfn.XLOOKUP(Table2[[#This Row],[근무일자]],Table3[Date],Table3[Holiday],"",0)</f>
        <v/>
      </c>
      <c r="X247" s="93">
        <f>IF(D247&lt;&gt;"",1,0)+IF(COUNTIFS(Table2[주민등록번호],O247,Table2[월],TEXT(EOMONTH(D247,-1),"YYMM"))&gt;0,1+IF(COUNTIFS(Table2[주민등록번호],O247,Table2[월],TEXT(EOMONTH(D247,-2),"YYMM"))&gt;0,1+IF(COUNTIFS(Table2[주민등록번호],O247,Table2[월],TEXT(EOMONTH(D247,-3),"YYMM"))&gt;0,1,0),0),0)</f>
        <v>4</v>
      </c>
      <c r="Y247" s="29">
        <f>COUNTIFS(Table2[주민등록번호],O247,Table2[월],R247,Table2[근무일자],"&lt;="&amp;D247)</f>
        <v>9</v>
      </c>
      <c r="Z247" s="29">
        <f>COUNTIFS(Table2[주민등록번호],O247,Table2[주간],S247,Table2[근무일자],"&lt;="&amp;D247)</f>
        <v>3</v>
      </c>
      <c r="AA247" s="29">
        <f>SUMIFS(Table2[근로
시간],Table2[주민등록번호],O247,Table2[주간],S247,Table2[근무일자],"&lt;="&amp;D247)*24</f>
        <v>14.999999999999996</v>
      </c>
      <c r="AB247" s="29" t="str">
        <f>IF(AND(Y247&gt;=8,COUNTIFS(Table2[주민등록번호],O247,Table2[근무일자],"&gt;="&amp;EOMONTH(D247,-2)+1,Table2[근무일자],"&lt;="&amp;EOMONTH(D247,-1)+1)&gt;0),"V","")</f>
        <v>V</v>
      </c>
      <c r="AC247" s="94" cm="1">
        <f t="array" ref="AC247">IF(AD247&lt;&gt;"",AD247,_xlfn.XLOOKUP(1,(D247&lt;=Table7[End])*(E247=Table7[근무처])*(F247=Table7[업무]),Table7[시급],0,0))</f>
        <v>10030</v>
      </c>
      <c r="AD247" s="95"/>
      <c r="AE247" s="94">
        <f t="shared" si="46"/>
        <v>50150</v>
      </c>
      <c r="AF247" s="96" cm="1">
        <f t="array" ref="AF247">IF(AND(AA247&gt;=15,(AA247-U247*24)&lt;=40),IF(Z247&gt;=_xlfn.XLOOKUP(1,(D247&lt;=Table7[End])*(E247=Table7[근무처])*(F247=Table7[업무]),Table7[주휴적용일],0,0),1,0)+_xlfn.XLOOKUP(1,(Table2[주간]=Table2[[#This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47" s="96" cm="1">
        <f t="array" ref="AG247">MAX((_xlfn.IFS(AF247=0,0,AF247=1,AA247,AF247&gt;1,U247*24)-IF(AA247&gt;40,AA247-40,0))/5,0)</f>
        <v>0</v>
      </c>
      <c r="AH247" s="94">
        <f t="shared" si="47"/>
        <v>0</v>
      </c>
      <c r="AI247" s="33" cm="1">
        <f t="array" ref="AI247">IF(W247="",0,ROUND(AC247*U247*24*_xlfn.XLOOKUP(1,(D247&lt;=Table7[End])*(E247=Table7[근무처])*(F247=Table7[업무]),Table7[휴일인센티브],0,0),0))</f>
        <v>0</v>
      </c>
      <c r="AJ247" s="94" cm="1">
        <f t="array" ref="AJ247">ROUND(AC247*IF(U247&gt;=8/24,U247-8/24,0)*24*_xlfn.XLOOKUP(1,(D247&lt;=Table7[End])*(E247=Table7[근무처])*(F247=Table7[업무]),Table7[야간인센티브],0,0),0)</f>
        <v>0</v>
      </c>
      <c r="AK247" s="94" cm="1">
        <f t="array" ref="AK247">IF(V247=0,0,ROUND(AC247*V247*24*_xlfn.XLOOKUP(1,(D247&lt;=Table7[End])*(E247=Table7[근무처])*(F247=Table7[업무]),Table7[야간인센티브],0,0),0))</f>
        <v>0</v>
      </c>
      <c r="AL247" s="95"/>
      <c r="AM247" s="94">
        <f t="shared" si="48"/>
        <v>50150</v>
      </c>
      <c r="AN247" s="94" cm="1">
        <f t="array" ref="AN247">IF(AM247&gt;=_xlfn.XLOOKUP(TRUE,D247&lt;=Table5[End],Table5[비과세소득기준],0,0),AM247-_xlfn.XLOOKUP(TRUE,D247&lt;=Table5[End],Table5[비과세소득기준],0,0),0)</f>
        <v>0</v>
      </c>
      <c r="AO247" s="94" cm="1">
        <f t="array" ref="AO247">ROUNDDOWN(_xlfn.LET(_xlpm.setvalue,_xlfn.XLOOKUP(TRUE,D247&lt;=Table5[End],Table5[[요율]:[근로소득세액공제]],0,0),_xlpm.tax,AN247*PRODUCT((_xlpm.setvalue-{0,1})*{1,-1}),_xlpm.threshold,_xlfn.XLOOKUP(TRUE,D247&lt;=Table5[End],Table5[소액부징수기준],0,0),IF(_xlpm.tax&gt;=_xlpm.threshold,_xlpm.tax,0)),-1)</f>
        <v>0</v>
      </c>
      <c r="AP247" s="94">
        <f>ROUNDDOWN(Table2[[#This Row],[소득세]]*10%,-1)</f>
        <v>0</v>
      </c>
      <c r="AQ247" s="94">
        <f>IF(AB247="v",AM247+IF(Y247=8,SUMIFS(Table2[지급총액],Table2[주민등록번호],O247,Table2[월],R247,Table2[월간
근무일],"&lt;="&amp;8)-AM247,0),0)+_xlfn.NUMBERVALUE(AR247)</f>
        <v>50150</v>
      </c>
      <c r="AR247" s="95"/>
      <c r="AS247" s="94" cm="1">
        <f t="array" ref="AS247">ROUNDDOWN($AQ247*_xlfn.XLOOKUP(1,(AS$5=Table8[Type])*($D247&lt;=Table8[End]),Table8[요율],0,0),0)</f>
        <v>1777</v>
      </c>
      <c r="AT247" s="94" cm="1">
        <f t="array" ref="AT247">ROUNDDOWN(AS247*_xlfn.XLOOKUP(1,(AT$5=Table8[Type])*($D247&lt;=Table8[End]),Table8[요율],0,0),-1)</f>
        <v>230</v>
      </c>
      <c r="AU247" s="94" cm="1">
        <f t="array" ref="AU247">ROUNDDOWN($AQ247*_xlfn.XLOOKUP(1,(AU$5=Table8[Type])*($D247&lt;=Table8[End]),Table8[요율],0,0),-1)</f>
        <v>2250</v>
      </c>
      <c r="AV247" s="94" cm="1">
        <f t="array" ref="AV247">ROUNDDOWN(AM247*_xlfn.XLOOKUP(1,(AV$5=Table8[Type])*($D247&lt;=Table8[End]),Table8[요율],0,0),-1)</f>
        <v>0</v>
      </c>
      <c r="AW247" s="94" cm="1">
        <f t="array" ref="AW247">_xlfn.XLOOKUP(1,(O247=Table2[주민등록번호])*(D247&gt;Table2[근무일자]),Table2[청구 Claim 
이월],0,0,-1)</f>
        <v>0</v>
      </c>
      <c r="AX247" s="95"/>
      <c r="AY247" s="94" cm="1">
        <f t="array" ref="AY247">MAX(SUM(AO247:AP247,AS247:AX247)-_xlfn.XLOOKUP(1,(D247&lt;=Table7[End])*(E247=Table7[근무처])*(F247=Table7[업무]),Table7[1일 공제 상한],0,0),0)</f>
        <v>0</v>
      </c>
      <c r="AZ247" s="94">
        <f t="shared" si="49"/>
        <v>4257</v>
      </c>
      <c r="BA247" s="94">
        <f t="shared" si="50"/>
        <v>45893</v>
      </c>
      <c r="BB247" s="97">
        <f t="shared" si="51"/>
        <v>0</v>
      </c>
      <c r="BC247" s="98"/>
      <c r="BD247" s="94">
        <f t="shared" si="52"/>
        <v>1777</v>
      </c>
      <c r="BE247" s="94">
        <f t="shared" si="53"/>
        <v>230</v>
      </c>
      <c r="BF247" s="94">
        <f t="shared" si="54"/>
        <v>2250</v>
      </c>
      <c r="BG247" s="94">
        <f t="shared" si="55"/>
        <v>0</v>
      </c>
      <c r="BH247" s="94" cm="1">
        <f t="array" ref="BH247">ROUNDDOWN(AM247*_xlfn.XLOOKUP(1,(BH$5=Table8[Type])*($D247&lt;=Table8[End]),Table8[요율],0,0),-1)</f>
        <v>400</v>
      </c>
      <c r="BI247" s="93" t="str" cm="1">
        <f t="array" ref="BI247">_xlfn.XLOOKUP(1,(D247&lt;=Table7[End])*(E247=Table7[근무처])*(F247=Table7[업무]),Table7[지급옵션],0,0)</f>
        <v>D+2</v>
      </c>
      <c r="BJ247" s="83">
        <f>IF(BK247&lt;&gt;"",BK247,IFERROR(D247+_xlfn.NUMBERVALUE(RIGHT(BI247,1)),D247-WEEKDAY(D247)+CHOOSE(MATCH(RIGHT(BI247),{"일","월","화","수","목","금","토"},0),8,9,10,11,12,13,14)))</f>
        <v>45806</v>
      </c>
      <c r="BK247" s="99"/>
    </row>
    <row r="248" spans="2:63" x14ac:dyDescent="0.35">
      <c r="B248" s="20" t="str" cm="1">
        <f t="array" ref="B248">_xlfn.IFS(BB248&lt;&gt;BC248,"Claim확인",N248&lt;&gt;"OK","확인필요",TRUE,"")</f>
        <v>Claim확인</v>
      </c>
      <c r="C248" s="21" t="str">
        <f t="shared" si="42"/>
        <v>010-5X0X-X6X5010X57XX685907</v>
      </c>
      <c r="D248" s="26">
        <v>45804</v>
      </c>
      <c r="E248" s="91" t="s">
        <v>255</v>
      </c>
      <c r="F248" s="25" t="s">
        <v>258</v>
      </c>
      <c r="G248" s="27" t="s">
        <v>287</v>
      </c>
      <c r="H248" s="25" t="s">
        <v>301</v>
      </c>
      <c r="I248" s="25"/>
      <c r="J248" s="25" t="s">
        <v>302</v>
      </c>
      <c r="K248" s="28">
        <v>0.52083333333333337</v>
      </c>
      <c r="L248" s="28">
        <v>0.75</v>
      </c>
      <c r="M248" s="28">
        <v>2.0833333333333332E-2</v>
      </c>
      <c r="N248" s="25" t="s">
        <v>281</v>
      </c>
      <c r="O248" s="29" t="str">
        <f>_xlfn.XLOOKUP(Table2[[#This Row],[Key]],Table1[Key],Table1[주민등록번호],"",0)</f>
        <v>980XX82XX3X25</v>
      </c>
      <c r="P248" s="29">
        <f>_xlfn.XLOOKUP(Table2[[#This Row],[Key]],Table1[Key],Table1[비자],"",0)</f>
        <v>0</v>
      </c>
      <c r="Q248" s="29">
        <f>IF(P248=0,0,_xlfn.XLOOKUP(Table2[[#This Row],[Key]],Table1[Key],Table1[고용보험 여부],0,0))</f>
        <v>0</v>
      </c>
      <c r="R248" s="29" t="str">
        <f t="shared" si="43"/>
        <v>2505</v>
      </c>
      <c r="S248" s="30" t="str">
        <f>YEAR(Table2[[#This Row],[근무일자]])&amp;TEXT(WEEKNUM(Table2[[#This Row],[근무일자]]),"00")</f>
        <v>202522</v>
      </c>
      <c r="T248" s="31">
        <f>_xlfn.XLOOKUP(Table2[[#This Row],[Key]],Table1[Key],Table1[등록일],"",0)</f>
        <v>45783</v>
      </c>
      <c r="U248" s="32">
        <f t="shared" si="44"/>
        <v>0.20833333333333329</v>
      </c>
      <c r="V248" s="92">
        <f t="shared" si="45"/>
        <v>0</v>
      </c>
      <c r="W248" s="100" t="str">
        <f>_xlfn.XLOOKUP(Table2[[#This Row],[근무일자]],Table3[Date],Table3[Holiday],"",0)</f>
        <v/>
      </c>
      <c r="X248" s="93">
        <f>IF(D248&lt;&gt;"",1,0)+IF(COUNTIFS(Table2[주민등록번호],O248,Table2[월],TEXT(EOMONTH(D248,-1),"YYMM"))&gt;0,1+IF(COUNTIFS(Table2[주민등록번호],O248,Table2[월],TEXT(EOMONTH(D248,-2),"YYMM"))&gt;0,1+IF(COUNTIFS(Table2[주민등록번호],O248,Table2[월],TEXT(EOMONTH(D248,-3),"YYMM"))&gt;0,1,0),0),0)</f>
        <v>2</v>
      </c>
      <c r="Y248" s="29">
        <f>COUNTIFS(Table2[주민등록번호],O248,Table2[월],R248,Table2[근무일자],"&lt;="&amp;D248)</f>
        <v>8</v>
      </c>
      <c r="Z248" s="29">
        <f>COUNTIFS(Table2[주민등록번호],O248,Table2[주간],S248,Table2[근무일자],"&lt;="&amp;D248)</f>
        <v>1</v>
      </c>
      <c r="AA248" s="29">
        <f>SUMIFS(Table2[근로
시간],Table2[주민등록번호],O248,Table2[주간],S248,Table2[근무일자],"&lt;="&amp;D248)*24</f>
        <v>4.9999999999999991</v>
      </c>
      <c r="AB248" s="29" t="str">
        <f>IF(AND(Y248&gt;=8,COUNTIFS(Table2[주민등록번호],O248,Table2[근무일자],"&gt;="&amp;EOMONTH(D248,-2)+1,Table2[근무일자],"&lt;="&amp;EOMONTH(D248,-1)+1)&gt;0),"V","")</f>
        <v>V</v>
      </c>
      <c r="AC248" s="94" cm="1">
        <f t="array" ref="AC248">IF(AD248&lt;&gt;"",AD248,_xlfn.XLOOKUP(1,(D248&lt;=Table7[End])*(E248=Table7[근무처])*(F248=Table7[업무]),Table7[시급],0,0))</f>
        <v>10680</v>
      </c>
      <c r="AD248" s="95"/>
      <c r="AE248" s="94">
        <f t="shared" si="46"/>
        <v>53400</v>
      </c>
      <c r="AF248" s="96" cm="1">
        <f t="array" ref="AF248">IF(AND(AA248&gt;=15,(AA248-U248*24)&lt;=40),IF(Z248&gt;=_xlfn.XLOOKUP(1,(D248&lt;=Table7[End])*(E248=Table7[근무처])*(F248=Table7[업무]),Table7[주휴적용일],0,0),1,0)+_xlfn.XLOOKUP(1,(Table2[주간]=Table2[[#This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48" s="96" cm="1">
        <f t="array" ref="AG248">MAX((_xlfn.IFS(AF248=0,0,AF248=1,AA248,AF248&gt;1,U248*24)-IF(AA248&gt;40,AA248-40,0))/5,0)</f>
        <v>0</v>
      </c>
      <c r="AH248" s="94">
        <f t="shared" si="47"/>
        <v>0</v>
      </c>
      <c r="AI248" s="33" cm="1">
        <f t="array" ref="AI248">IF(W248="",0,ROUND(AC248*U248*24*_xlfn.XLOOKUP(1,(D248&lt;=Table7[End])*(E248=Table7[근무처])*(F248=Table7[업무]),Table7[휴일인센티브],0,0),0))</f>
        <v>0</v>
      </c>
      <c r="AJ248" s="94" cm="1">
        <f t="array" ref="AJ248">ROUND(AC248*IF(U248&gt;=8/24,U248-8/24,0)*24*_xlfn.XLOOKUP(1,(D248&lt;=Table7[End])*(E248=Table7[근무처])*(F248=Table7[업무]),Table7[야간인센티브],0,0),0)</f>
        <v>0</v>
      </c>
      <c r="AK248" s="94" cm="1">
        <f t="array" ref="AK248">IF(V248=0,0,ROUND(AC248*V248*24*_xlfn.XLOOKUP(1,(D248&lt;=Table7[End])*(E248=Table7[근무처])*(F248=Table7[업무]),Table7[야간인센티브],0,0),0))</f>
        <v>0</v>
      </c>
      <c r="AL248" s="95"/>
      <c r="AM248" s="94">
        <f t="shared" si="48"/>
        <v>53400</v>
      </c>
      <c r="AN248" s="94" cm="1">
        <f t="array" ref="AN248">IF(AM248&gt;=_xlfn.XLOOKUP(TRUE,D248&lt;=Table5[End],Table5[비과세소득기준],0,0),AM248-_xlfn.XLOOKUP(TRUE,D248&lt;=Table5[End],Table5[비과세소득기준],0,0),0)</f>
        <v>0</v>
      </c>
      <c r="AO248" s="94" cm="1">
        <f t="array" ref="AO248">ROUNDDOWN(_xlfn.LET(_xlpm.setvalue,_xlfn.XLOOKUP(TRUE,D248&lt;=Table5[End],Table5[[요율]:[근로소득세액공제]],0,0),_xlpm.tax,AN248*PRODUCT((_xlpm.setvalue-{0,1})*{1,-1}),_xlpm.threshold,_xlfn.XLOOKUP(TRUE,D248&lt;=Table5[End],Table5[소액부징수기준],0,0),IF(_xlpm.tax&gt;=_xlpm.threshold,_xlpm.tax,0)),-1)</f>
        <v>0</v>
      </c>
      <c r="AP248" s="94">
        <f>ROUNDDOWN(Table2[[#This Row],[소득세]]*10%,-1)</f>
        <v>0</v>
      </c>
      <c r="AQ248" s="94">
        <f>IF(AB248="v",AM248+IF(Y248=8,SUMIFS(Table2[지급총액],Table2[주민등록번호],O248,Table2[월],R248,Table2[월간
근무일],"&lt;="&amp;8)-AM248,0),0)+_xlfn.NUMBERVALUE(AR248)</f>
        <v>769240</v>
      </c>
      <c r="AR248" s="95"/>
      <c r="AS248" s="94" cm="1">
        <f t="array" ref="AS248">ROUNDDOWN($AQ248*_xlfn.XLOOKUP(1,(AS$5=Table8[Type])*($D248&lt;=Table8[End]),Table8[요율],0,0),0)</f>
        <v>27269</v>
      </c>
      <c r="AT248" s="94" cm="1">
        <f t="array" ref="AT248">ROUNDDOWN(AS248*_xlfn.XLOOKUP(1,(AT$5=Table8[Type])*($D248&lt;=Table8[End]),Table8[요율],0,0),-1)</f>
        <v>3530</v>
      </c>
      <c r="AU248" s="94" cm="1">
        <f t="array" ref="AU248">ROUNDDOWN($AQ248*_xlfn.XLOOKUP(1,(AU$5=Table8[Type])*($D248&lt;=Table8[End]),Table8[요율],0,0),-1)</f>
        <v>34610</v>
      </c>
      <c r="AV248" s="94" cm="1">
        <f t="array" ref="AV248">ROUNDDOWN(AM248*_xlfn.XLOOKUP(1,(AV$5=Table8[Type])*($D248&lt;=Table8[End]),Table8[요율],0,0),-1)</f>
        <v>0</v>
      </c>
      <c r="AW248" s="94" cm="1">
        <f t="array" ref="AW248">_xlfn.XLOOKUP(1,(O248=Table2[주민등록번호])*(D248&gt;Table2[근무일자]),Table2[청구 Claim 
이월],0,0,-1)</f>
        <v>0</v>
      </c>
      <c r="AX248" s="95"/>
      <c r="AY248" s="94" cm="1">
        <f t="array" ref="AY248">MAX(SUM(AO248:AP248,AS248:AX248)-_xlfn.XLOOKUP(1,(D248&lt;=Table7[End])*(E248=Table7[근무처])*(F248=Table7[업무]),Table7[1일 공제 상한],0,0),0)</f>
        <v>0</v>
      </c>
      <c r="AZ248" s="94">
        <f t="shared" si="49"/>
        <v>65409</v>
      </c>
      <c r="BA248" s="94">
        <f t="shared" si="50"/>
        <v>0</v>
      </c>
      <c r="BB248" s="97">
        <f t="shared" si="51"/>
        <v>12009</v>
      </c>
      <c r="BC248" s="98">
        <v>12489</v>
      </c>
      <c r="BD248" s="94">
        <f t="shared" si="52"/>
        <v>27269</v>
      </c>
      <c r="BE248" s="94">
        <f t="shared" si="53"/>
        <v>3530</v>
      </c>
      <c r="BF248" s="94">
        <f t="shared" si="54"/>
        <v>34610</v>
      </c>
      <c r="BG248" s="94">
        <f t="shared" si="55"/>
        <v>0</v>
      </c>
      <c r="BH248" s="94" cm="1">
        <f t="array" ref="BH248">ROUNDDOWN(AM248*_xlfn.XLOOKUP(1,(BH$5=Table8[Type])*($D248&lt;=Table8[End]),Table8[요율],0,0),-1)</f>
        <v>420</v>
      </c>
      <c r="BI248" s="93" t="str" cm="1">
        <f t="array" ref="BI248">_xlfn.XLOOKUP(1,(D248&lt;=Table7[End])*(E248=Table7[근무처])*(F248=Table7[업무]),Table7[지급옵션],0,0)</f>
        <v>차주 화</v>
      </c>
      <c r="BJ248" s="83">
        <f>IF(BK248&lt;&gt;"",BK248,IFERROR(D248+_xlfn.NUMBERVALUE(RIGHT(BI248,1)),D248-WEEKDAY(D248)+CHOOSE(MATCH(RIGHT(BI248),{"일","월","화","수","목","금","토"},0),8,9,10,11,12,13,14)))</f>
        <v>45811</v>
      </c>
      <c r="BK248" s="99"/>
    </row>
    <row r="249" spans="2:63" x14ac:dyDescent="0.35">
      <c r="B249" s="20" t="str" cm="1">
        <f t="array" ref="B249">_xlfn.IFS(BB249&lt;&gt;BC249,"Claim확인",N249&lt;&gt;"OK","확인필요",TRUE,"")</f>
        <v/>
      </c>
      <c r="C249" s="21" t="str">
        <f t="shared" si="42"/>
        <v>010-3X6X-X4X7757X02XX284249</v>
      </c>
      <c r="D249" s="26">
        <v>45806</v>
      </c>
      <c r="E249" s="91" t="s">
        <v>255</v>
      </c>
      <c r="F249" s="25" t="s">
        <v>258</v>
      </c>
      <c r="G249" s="27" t="s">
        <v>283</v>
      </c>
      <c r="H249" s="25" t="s">
        <v>295</v>
      </c>
      <c r="I249" s="25"/>
      <c r="J249" s="25" t="s">
        <v>296</v>
      </c>
      <c r="K249" s="28">
        <v>0.29166666666666669</v>
      </c>
      <c r="L249" s="28">
        <v>0.66666666666666663</v>
      </c>
      <c r="M249" s="28">
        <v>4.1666666666666664E-2</v>
      </c>
      <c r="N249" s="25" t="s">
        <v>281</v>
      </c>
      <c r="O249" s="29" t="str">
        <f>_xlfn.XLOOKUP(Table2[[#This Row],[Key]],Table1[Key],Table1[주민등록번호],"",0)</f>
        <v>940XX41XX7X32</v>
      </c>
      <c r="P249" s="29">
        <f>_xlfn.XLOOKUP(Table2[[#This Row],[Key]],Table1[Key],Table1[비자],"",0)</f>
        <v>0</v>
      </c>
      <c r="Q249" s="29">
        <f>IF(P249=0,0,_xlfn.XLOOKUP(Table2[[#This Row],[Key]],Table1[Key],Table1[고용보험 여부],0,0))</f>
        <v>0</v>
      </c>
      <c r="R249" s="29" t="str">
        <f t="shared" si="43"/>
        <v>2505</v>
      </c>
      <c r="S249" s="30" t="str">
        <f>YEAR(Table2[[#This Row],[근무일자]])&amp;TEXT(WEEKNUM(Table2[[#This Row],[근무일자]]),"00")</f>
        <v>202522</v>
      </c>
      <c r="T249" s="31">
        <f>_xlfn.XLOOKUP(Table2[[#This Row],[Key]],Table1[Key],Table1[등록일],"",0)</f>
        <v>45751</v>
      </c>
      <c r="U249" s="32">
        <f t="shared" si="44"/>
        <v>0.33333333333333326</v>
      </c>
      <c r="V249" s="92">
        <f t="shared" si="45"/>
        <v>0</v>
      </c>
      <c r="W249" s="100" t="str">
        <f>_xlfn.XLOOKUP(Table2[[#This Row],[근무일자]],Table3[Date],Table3[Holiday],"",0)</f>
        <v/>
      </c>
      <c r="X249" s="93">
        <f>IF(D249&lt;&gt;"",1,0)+IF(COUNTIFS(Table2[주민등록번호],O249,Table2[월],TEXT(EOMONTH(D249,-1),"YYMM"))&gt;0,1+IF(COUNTIFS(Table2[주민등록번호],O249,Table2[월],TEXT(EOMONTH(D249,-2),"YYMM"))&gt;0,1+IF(COUNTIFS(Table2[주민등록번호],O249,Table2[월],TEXT(EOMONTH(D249,-3),"YYMM"))&gt;0,1,0),0),0)</f>
        <v>2</v>
      </c>
      <c r="Y249" s="29">
        <f>COUNTIFS(Table2[주민등록번호],O249,Table2[월],R249,Table2[근무일자],"&lt;="&amp;D249)</f>
        <v>19</v>
      </c>
      <c r="Z249" s="29">
        <f>COUNTIFS(Table2[주민등록번호],O249,Table2[주간],S249,Table2[근무일자],"&lt;="&amp;D249)</f>
        <v>4</v>
      </c>
      <c r="AA249" s="29">
        <f>SUMIFS(Table2[근로
시간],Table2[주민등록번호],O249,Table2[주간],S249,Table2[근무일자],"&lt;="&amp;D249)*24</f>
        <v>31.999999999999993</v>
      </c>
      <c r="AB249" s="29" t="str">
        <f>IF(AND(Y249&gt;=8,COUNTIFS(Table2[주민등록번호],O249,Table2[근무일자],"&gt;="&amp;EOMONTH(D249,-2)+1,Table2[근무일자],"&lt;="&amp;EOMONTH(D249,-1)+1)&gt;0),"V","")</f>
        <v>V</v>
      </c>
      <c r="AC249" s="94" cm="1">
        <f t="array" ref="AC249">IF(AD249&lt;&gt;"",AD249,_xlfn.XLOOKUP(1,(D249&lt;=Table7[End])*(E249=Table7[근무처])*(F249=Table7[업무]),Table7[시급],0,0))</f>
        <v>10680</v>
      </c>
      <c r="AD249" s="95"/>
      <c r="AE249" s="94">
        <f t="shared" si="46"/>
        <v>85440</v>
      </c>
      <c r="AF249" s="96" cm="1">
        <f t="array" ref="AF249">IF(AND(AA249&gt;=15,(AA249-U249*24)&lt;=40),IF(Z249&gt;=_xlfn.XLOOKUP(1,(D249&lt;=Table7[End])*(E249=Table7[근무처])*(F249=Table7[업무]),Table7[주휴적용일],0,0),1,0)+_xlfn.XLOOKUP(1,(Table2[주간]=Table2[[#This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49" s="96" cm="1">
        <f t="array" ref="AG249">MAX((_xlfn.IFS(AF249=0,0,AF249=1,AA249,AF249&gt;1,U249*24)-IF(AA249&gt;40,AA249-40,0))/5,0)</f>
        <v>1.5999999999999996</v>
      </c>
      <c r="AH249" s="94">
        <f t="shared" si="47"/>
        <v>17088</v>
      </c>
      <c r="AI249" s="33" cm="1">
        <f t="array" ref="AI249">IF(W249="",0,ROUND(AC249*U249*24*_xlfn.XLOOKUP(1,(D249&lt;=Table7[End])*(E249=Table7[근무처])*(F249=Table7[업무]),Table7[휴일인센티브],0,0),0))</f>
        <v>0</v>
      </c>
      <c r="AJ249" s="94" cm="1">
        <f t="array" ref="AJ249">ROUND(AC249*IF(U249&gt;=8/24,U249-8/24,0)*24*_xlfn.XLOOKUP(1,(D249&lt;=Table7[End])*(E249=Table7[근무처])*(F249=Table7[업무]),Table7[야간인센티브],0,0),0)</f>
        <v>0</v>
      </c>
      <c r="AK249" s="94" cm="1">
        <f t="array" ref="AK249">IF(V249=0,0,ROUND(AC249*V249*24*_xlfn.XLOOKUP(1,(D249&lt;=Table7[End])*(E249=Table7[근무처])*(F249=Table7[업무]),Table7[야간인센티브],0,0),0))</f>
        <v>0</v>
      </c>
      <c r="AL249" s="95"/>
      <c r="AM249" s="94">
        <f t="shared" si="48"/>
        <v>102528</v>
      </c>
      <c r="AN249" s="94" cm="1">
        <f t="array" ref="AN249">IF(AM249&gt;=_xlfn.XLOOKUP(TRUE,D249&lt;=Table5[End],Table5[비과세소득기준],0,0),AM249-_xlfn.XLOOKUP(TRUE,D249&lt;=Table5[End],Table5[비과세소득기준],0,0),0)</f>
        <v>0</v>
      </c>
      <c r="AO249" s="94" cm="1">
        <f t="array" ref="AO249">ROUNDDOWN(_xlfn.LET(_xlpm.setvalue,_xlfn.XLOOKUP(TRUE,D249&lt;=Table5[End],Table5[[요율]:[근로소득세액공제]],0,0),_xlpm.tax,AN249*PRODUCT((_xlpm.setvalue-{0,1})*{1,-1}),_xlpm.threshold,_xlfn.XLOOKUP(TRUE,D249&lt;=Table5[End],Table5[소액부징수기준],0,0),IF(_xlpm.tax&gt;=_xlpm.threshold,_xlpm.tax,0)),-1)</f>
        <v>0</v>
      </c>
      <c r="AP249" s="94">
        <f>ROUNDDOWN(Table2[[#This Row],[소득세]]*10%,-1)</f>
        <v>0</v>
      </c>
      <c r="AQ249" s="94">
        <f>IF(AB249="v",AM249+IF(Y249=8,SUMIFS(Table2[지급총액],Table2[주민등록번호],O249,Table2[월],R249,Table2[월간
근무일],"&lt;="&amp;8)-AM249,0),0)+_xlfn.NUMBERVALUE(AR249)</f>
        <v>102528</v>
      </c>
      <c r="AR249" s="95"/>
      <c r="AS249" s="94" cm="1">
        <f t="array" ref="AS249">ROUNDDOWN($AQ249*_xlfn.XLOOKUP(1,(AS$5=Table8[Type])*($D249&lt;=Table8[End]),Table8[요율],0,0),0)</f>
        <v>3634</v>
      </c>
      <c r="AT249" s="94" cm="1">
        <f t="array" ref="AT249">ROUNDDOWN(AS249*_xlfn.XLOOKUP(1,(AT$5=Table8[Type])*($D249&lt;=Table8[End]),Table8[요율],0,0),-1)</f>
        <v>470</v>
      </c>
      <c r="AU249" s="94" cm="1">
        <f t="array" ref="AU249">ROUNDDOWN($AQ249*_xlfn.XLOOKUP(1,(AU$5=Table8[Type])*($D249&lt;=Table8[End]),Table8[요율],0,0),-1)</f>
        <v>4610</v>
      </c>
      <c r="AV249" s="94" cm="1">
        <f t="array" ref="AV249">ROUNDDOWN(AM249*_xlfn.XLOOKUP(1,(AV$5=Table8[Type])*($D249&lt;=Table8[End]),Table8[요율],0,0),-1)</f>
        <v>0</v>
      </c>
      <c r="AW249" s="94" cm="1">
        <f t="array" ref="AW249">_xlfn.XLOOKUP(1,(O249=Table2[주민등록번호])*(D249&gt;Table2[근무일자]),Table2[청구 Claim 
이월],0,0,-1)</f>
        <v>0</v>
      </c>
      <c r="AX249" s="95"/>
      <c r="AY249" s="94" cm="1">
        <f t="array" ref="AY249">MAX(SUM(AO249:AP249,AS249:AX249)-_xlfn.XLOOKUP(1,(D249&lt;=Table7[End])*(E249=Table7[근무처])*(F249=Table7[업무]),Table7[1일 공제 상한],0,0),0)</f>
        <v>0</v>
      </c>
      <c r="AZ249" s="94">
        <f t="shared" si="49"/>
        <v>8714</v>
      </c>
      <c r="BA249" s="94">
        <f t="shared" si="50"/>
        <v>93814</v>
      </c>
      <c r="BB249" s="97">
        <f t="shared" si="51"/>
        <v>0</v>
      </c>
      <c r="BC249" s="98"/>
      <c r="BD249" s="94">
        <f t="shared" si="52"/>
        <v>3634</v>
      </c>
      <c r="BE249" s="94">
        <f t="shared" si="53"/>
        <v>470</v>
      </c>
      <c r="BF249" s="94">
        <f t="shared" si="54"/>
        <v>4610</v>
      </c>
      <c r="BG249" s="94">
        <f t="shared" si="55"/>
        <v>0</v>
      </c>
      <c r="BH249" s="94" cm="1">
        <f t="array" ref="BH249">ROUNDDOWN(AM249*_xlfn.XLOOKUP(1,(BH$5=Table8[Type])*($D249&lt;=Table8[End]),Table8[요율],0,0),-1)</f>
        <v>820</v>
      </c>
      <c r="BI249" s="93" t="str" cm="1">
        <f t="array" ref="BI249">_xlfn.XLOOKUP(1,(D249&lt;=Table7[End])*(E249=Table7[근무처])*(F249=Table7[업무]),Table7[지급옵션],0,0)</f>
        <v>차주 화</v>
      </c>
      <c r="BJ249" s="83">
        <f>IF(BK249&lt;&gt;"",BK249,IFERROR(D249+_xlfn.NUMBERVALUE(RIGHT(BI249,1)),D249-WEEKDAY(D249)+CHOOSE(MATCH(RIGHT(BI249),{"일","월","화","수","목","금","토"},0),8,9,10,11,12,13,14)))</f>
        <v>45811</v>
      </c>
      <c r="BK249" s="99"/>
    </row>
    <row r="250" spans="2:63" x14ac:dyDescent="0.35">
      <c r="B250" s="20" t="str" cm="1">
        <f t="array" ref="B250">_xlfn.IFS(BB250&lt;&gt;BC250,"Claim확인",N250&lt;&gt;"OK","확인필요",TRUE,"")</f>
        <v/>
      </c>
      <c r="C250" s="21" t="str">
        <f t="shared" si="42"/>
        <v>010-3X4X-X9X7219X02XX284640</v>
      </c>
      <c r="D250" s="26">
        <v>45806</v>
      </c>
      <c r="E250" s="91" t="s">
        <v>253</v>
      </c>
      <c r="F250" s="25" t="s">
        <v>257</v>
      </c>
      <c r="G250" s="27" t="s">
        <v>286</v>
      </c>
      <c r="H250" s="25" t="s">
        <v>299</v>
      </c>
      <c r="I250" s="25"/>
      <c r="J250" s="25" t="s">
        <v>300</v>
      </c>
      <c r="K250" s="28">
        <v>0.6875</v>
      </c>
      <c r="L250" s="28">
        <v>0.91666666666666663</v>
      </c>
      <c r="M250" s="28">
        <v>2.0833333333333332E-2</v>
      </c>
      <c r="N250" s="25" t="s">
        <v>281</v>
      </c>
      <c r="O250" s="29" t="str">
        <f>_xlfn.XLOOKUP(Table2[[#This Row],[Key]],Table1[Key],Table1[주민등록번호],"",0)</f>
        <v>931XX31XX3X14</v>
      </c>
      <c r="P250" s="29">
        <f>_xlfn.XLOOKUP(Table2[[#This Row],[Key]],Table1[Key],Table1[비자],"",0)</f>
        <v>0</v>
      </c>
      <c r="Q250" s="29">
        <f>IF(P250=0,0,_xlfn.XLOOKUP(Table2[[#This Row],[Key]],Table1[Key],Table1[고용보험 여부],0,0))</f>
        <v>0</v>
      </c>
      <c r="R250" s="29" t="str">
        <f t="shared" si="43"/>
        <v>2505</v>
      </c>
      <c r="S250" s="30" t="str">
        <f>YEAR(Table2[[#This Row],[근무일자]])&amp;TEXT(WEEKNUM(Table2[[#This Row],[근무일자]]),"00")</f>
        <v>202522</v>
      </c>
      <c r="T250" s="31">
        <f>_xlfn.XLOOKUP(Table2[[#This Row],[Key]],Table1[Key],Table1[등록일],"",0)</f>
        <v>45773</v>
      </c>
      <c r="U250" s="32">
        <f t="shared" si="44"/>
        <v>0.20833333333333329</v>
      </c>
      <c r="V250" s="92">
        <f t="shared" si="45"/>
        <v>0</v>
      </c>
      <c r="W250" s="100" t="str">
        <f>_xlfn.XLOOKUP(Table2[[#This Row],[근무일자]],Table3[Date],Table3[Holiday],"",0)</f>
        <v/>
      </c>
      <c r="X250" s="93">
        <f>IF(D250&lt;&gt;"",1,0)+IF(COUNTIFS(Table2[주민등록번호],O250,Table2[월],TEXT(EOMONTH(D250,-1),"YYMM"))&gt;0,1+IF(COUNTIFS(Table2[주민등록번호],O250,Table2[월],TEXT(EOMONTH(D250,-2),"YYMM"))&gt;0,1+IF(COUNTIFS(Table2[주민등록번호],O250,Table2[월],TEXT(EOMONTH(D250,-3),"YYMM"))&gt;0,1,0),0),0)</f>
        <v>4</v>
      </c>
      <c r="Y250" s="29">
        <f>COUNTIFS(Table2[주민등록번호],O250,Table2[월],R250,Table2[근무일자],"&lt;="&amp;D250)</f>
        <v>10</v>
      </c>
      <c r="Z250" s="29">
        <f>COUNTIFS(Table2[주민등록번호],O250,Table2[주간],S250,Table2[근무일자],"&lt;="&amp;D250)</f>
        <v>4</v>
      </c>
      <c r="AA250" s="29">
        <f>SUMIFS(Table2[근로
시간],Table2[주민등록번호],O250,Table2[주간],S250,Table2[근무일자],"&lt;="&amp;D250)*24</f>
        <v>19.999999999999996</v>
      </c>
      <c r="AB250" s="29" t="str">
        <f>IF(AND(Y250&gt;=8,COUNTIFS(Table2[주민등록번호],O250,Table2[근무일자],"&gt;="&amp;EOMONTH(D250,-2)+1,Table2[근무일자],"&lt;="&amp;EOMONTH(D250,-1)+1)&gt;0),"V","")</f>
        <v>V</v>
      </c>
      <c r="AC250" s="94" cm="1">
        <f t="array" ref="AC250">IF(AD250&lt;&gt;"",AD250,_xlfn.XLOOKUP(1,(D250&lt;=Table7[End])*(E250=Table7[근무처])*(F250=Table7[업무]),Table7[시급],0,0))</f>
        <v>10030</v>
      </c>
      <c r="AD250" s="95"/>
      <c r="AE250" s="94">
        <f t="shared" si="46"/>
        <v>50150</v>
      </c>
      <c r="AF250" s="96" cm="1">
        <f t="array" ref="AF250">IF(AND(AA250&gt;=15,(AA250-U250*24)&lt;=40),IF(Z250&gt;=_xlfn.XLOOKUP(1,(D250&lt;=Table7[End])*(E250=Table7[근무처])*(F250=Table7[업무]),Table7[주휴적용일],0,0),1,0)+_xlfn.XLOOKUP(1,(Table2[주간]=Table2[[#This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50" s="96" cm="1">
        <f t="array" ref="AG250">MAX((_xlfn.IFS(AF250=0,0,AF250=1,AA250,AF250&gt;1,U250*24)-IF(AA250&gt;40,AA250-40,0))/5,0)</f>
        <v>0</v>
      </c>
      <c r="AH250" s="94">
        <f t="shared" si="47"/>
        <v>0</v>
      </c>
      <c r="AI250" s="33" cm="1">
        <f t="array" ref="AI250">IF(W250="",0,ROUND(AC250*U250*24*_xlfn.XLOOKUP(1,(D250&lt;=Table7[End])*(E250=Table7[근무처])*(F250=Table7[업무]),Table7[휴일인센티브],0,0),0))</f>
        <v>0</v>
      </c>
      <c r="AJ250" s="94" cm="1">
        <f t="array" ref="AJ250">ROUND(AC250*IF(U250&gt;=8/24,U250-8/24,0)*24*_xlfn.XLOOKUP(1,(D250&lt;=Table7[End])*(E250=Table7[근무처])*(F250=Table7[업무]),Table7[야간인센티브],0,0),0)</f>
        <v>0</v>
      </c>
      <c r="AK250" s="94" cm="1">
        <f t="array" ref="AK250">IF(V250=0,0,ROUND(AC250*V250*24*_xlfn.XLOOKUP(1,(D250&lt;=Table7[End])*(E250=Table7[근무처])*(F250=Table7[업무]),Table7[야간인센티브],0,0),0))</f>
        <v>0</v>
      </c>
      <c r="AL250" s="95"/>
      <c r="AM250" s="94">
        <f t="shared" si="48"/>
        <v>50150</v>
      </c>
      <c r="AN250" s="94" cm="1">
        <f t="array" ref="AN250">IF(AM250&gt;=_xlfn.XLOOKUP(TRUE,D250&lt;=Table5[End],Table5[비과세소득기준],0,0),AM250-_xlfn.XLOOKUP(TRUE,D250&lt;=Table5[End],Table5[비과세소득기준],0,0),0)</f>
        <v>0</v>
      </c>
      <c r="AO250" s="94" cm="1">
        <f t="array" ref="AO250">ROUNDDOWN(_xlfn.LET(_xlpm.setvalue,_xlfn.XLOOKUP(TRUE,D250&lt;=Table5[End],Table5[[요율]:[근로소득세액공제]],0,0),_xlpm.tax,AN250*PRODUCT((_xlpm.setvalue-{0,1})*{1,-1}),_xlpm.threshold,_xlfn.XLOOKUP(TRUE,D250&lt;=Table5[End],Table5[소액부징수기준],0,0),IF(_xlpm.tax&gt;=_xlpm.threshold,_xlpm.tax,0)),-1)</f>
        <v>0</v>
      </c>
      <c r="AP250" s="94">
        <f>ROUNDDOWN(Table2[[#This Row],[소득세]]*10%,-1)</f>
        <v>0</v>
      </c>
      <c r="AQ250" s="94">
        <f>IF(AB250="v",AM250+IF(Y250=8,SUMIFS(Table2[지급총액],Table2[주민등록번호],O250,Table2[월],R250,Table2[월간
근무일],"&lt;="&amp;8)-AM250,0),0)+_xlfn.NUMBERVALUE(AR250)</f>
        <v>50150</v>
      </c>
      <c r="AR250" s="95"/>
      <c r="AS250" s="94" cm="1">
        <f t="array" ref="AS250">ROUNDDOWN($AQ250*_xlfn.XLOOKUP(1,(AS$5=Table8[Type])*($D250&lt;=Table8[End]),Table8[요율],0,0),0)</f>
        <v>1777</v>
      </c>
      <c r="AT250" s="94" cm="1">
        <f t="array" ref="AT250">ROUNDDOWN(AS250*_xlfn.XLOOKUP(1,(AT$5=Table8[Type])*($D250&lt;=Table8[End]),Table8[요율],0,0),-1)</f>
        <v>230</v>
      </c>
      <c r="AU250" s="94" cm="1">
        <f t="array" ref="AU250">ROUNDDOWN($AQ250*_xlfn.XLOOKUP(1,(AU$5=Table8[Type])*($D250&lt;=Table8[End]),Table8[요율],0,0),-1)</f>
        <v>2250</v>
      </c>
      <c r="AV250" s="94" cm="1">
        <f t="array" ref="AV250">ROUNDDOWN(AM250*_xlfn.XLOOKUP(1,(AV$5=Table8[Type])*($D250&lt;=Table8[End]),Table8[요율],0,0),-1)</f>
        <v>0</v>
      </c>
      <c r="AW250" s="94" cm="1">
        <f t="array" ref="AW250">_xlfn.XLOOKUP(1,(O250=Table2[주민등록번호])*(D250&gt;Table2[근무일자]),Table2[청구 Claim 
이월],0,0,-1)</f>
        <v>0</v>
      </c>
      <c r="AX250" s="95"/>
      <c r="AY250" s="94" cm="1">
        <f t="array" ref="AY250">MAX(SUM(AO250:AP250,AS250:AX250)-_xlfn.XLOOKUP(1,(D250&lt;=Table7[End])*(E250=Table7[근무처])*(F250=Table7[업무]),Table7[1일 공제 상한],0,0),0)</f>
        <v>0</v>
      </c>
      <c r="AZ250" s="94">
        <f t="shared" si="49"/>
        <v>4257</v>
      </c>
      <c r="BA250" s="94">
        <f t="shared" si="50"/>
        <v>45893</v>
      </c>
      <c r="BB250" s="97">
        <f t="shared" si="51"/>
        <v>0</v>
      </c>
      <c r="BC250" s="98"/>
      <c r="BD250" s="94">
        <f t="shared" si="52"/>
        <v>1777</v>
      </c>
      <c r="BE250" s="94">
        <f t="shared" si="53"/>
        <v>230</v>
      </c>
      <c r="BF250" s="94">
        <f t="shared" si="54"/>
        <v>2250</v>
      </c>
      <c r="BG250" s="94">
        <f t="shared" si="55"/>
        <v>0</v>
      </c>
      <c r="BH250" s="94" cm="1">
        <f t="array" ref="BH250">ROUNDDOWN(AM250*_xlfn.XLOOKUP(1,(BH$5=Table8[Type])*($D250&lt;=Table8[End]),Table8[요율],0,0),-1)</f>
        <v>400</v>
      </c>
      <c r="BI250" s="93" t="str" cm="1">
        <f t="array" ref="BI250">_xlfn.XLOOKUP(1,(D250&lt;=Table7[End])*(E250=Table7[근무처])*(F250=Table7[업무]),Table7[지급옵션],0,0)</f>
        <v>D+2</v>
      </c>
      <c r="BJ250" s="83">
        <f>IF(BK250&lt;&gt;"",BK250,IFERROR(D250+_xlfn.NUMBERVALUE(RIGHT(BI250,1)),D250-WEEKDAY(D250)+CHOOSE(MATCH(RIGHT(BI250),{"일","월","화","수","목","금","토"},0),8,9,10,11,12,13,14)))</f>
        <v>45808</v>
      </c>
      <c r="BK250" s="99"/>
    </row>
    <row r="251" spans="2:63" x14ac:dyDescent="0.35">
      <c r="B251" s="20" t="str" cm="1">
        <f t="array" ref="B251">_xlfn.IFS(BB251&lt;&gt;BC251,"Claim확인",N251&lt;&gt;"OK","확인필요",TRUE,"")</f>
        <v/>
      </c>
      <c r="C251" s="21" t="str">
        <f t="shared" si="42"/>
        <v>010-3X4X-X9X7219X02XX284640</v>
      </c>
      <c r="D251" s="26">
        <v>45807</v>
      </c>
      <c r="E251" s="91" t="s">
        <v>253</v>
      </c>
      <c r="F251" s="25" t="s">
        <v>257</v>
      </c>
      <c r="G251" s="27" t="s">
        <v>286</v>
      </c>
      <c r="H251" s="25" t="s">
        <v>299</v>
      </c>
      <c r="I251" s="25"/>
      <c r="J251" s="25" t="s">
        <v>300</v>
      </c>
      <c r="K251" s="28">
        <v>0.6875</v>
      </c>
      <c r="L251" s="28">
        <v>0.91666666666666663</v>
      </c>
      <c r="M251" s="28">
        <v>2.0833333333333332E-2</v>
      </c>
      <c r="N251" s="25" t="s">
        <v>281</v>
      </c>
      <c r="O251" s="29" t="str">
        <f>_xlfn.XLOOKUP(Table2[[#This Row],[Key]],Table1[Key],Table1[주민등록번호],"",0)</f>
        <v>931XX31XX3X14</v>
      </c>
      <c r="P251" s="29">
        <f>_xlfn.XLOOKUP(Table2[[#This Row],[Key]],Table1[Key],Table1[비자],"",0)</f>
        <v>0</v>
      </c>
      <c r="Q251" s="29">
        <f>IF(P251=0,0,_xlfn.XLOOKUP(Table2[[#This Row],[Key]],Table1[Key],Table1[고용보험 여부],0,0))</f>
        <v>0</v>
      </c>
      <c r="R251" s="29" t="str">
        <f t="shared" si="43"/>
        <v>2505</v>
      </c>
      <c r="S251" s="30" t="str">
        <f>YEAR(Table2[[#This Row],[근무일자]])&amp;TEXT(WEEKNUM(Table2[[#This Row],[근무일자]]),"00")</f>
        <v>202522</v>
      </c>
      <c r="T251" s="31">
        <f>_xlfn.XLOOKUP(Table2[[#This Row],[Key]],Table1[Key],Table1[등록일],"",0)</f>
        <v>45773</v>
      </c>
      <c r="U251" s="32">
        <f t="shared" si="44"/>
        <v>0.20833333333333329</v>
      </c>
      <c r="V251" s="92">
        <f t="shared" si="45"/>
        <v>0</v>
      </c>
      <c r="W251" s="100" t="str">
        <f>_xlfn.XLOOKUP(Table2[[#This Row],[근무일자]],Table3[Date],Table3[Holiday],"",0)</f>
        <v/>
      </c>
      <c r="X251" s="93">
        <f>IF(D251&lt;&gt;"",1,0)+IF(COUNTIFS(Table2[주민등록번호],O251,Table2[월],TEXT(EOMONTH(D251,-1),"YYMM"))&gt;0,1+IF(COUNTIFS(Table2[주민등록번호],O251,Table2[월],TEXT(EOMONTH(D251,-2),"YYMM"))&gt;0,1+IF(COUNTIFS(Table2[주민등록번호],O251,Table2[월],TEXT(EOMONTH(D251,-3),"YYMM"))&gt;0,1,0),0),0)</f>
        <v>4</v>
      </c>
      <c r="Y251" s="29">
        <f>COUNTIFS(Table2[주민등록번호],O251,Table2[월],R251,Table2[근무일자],"&lt;="&amp;D251)</f>
        <v>11</v>
      </c>
      <c r="Z251" s="29">
        <f>COUNTIFS(Table2[주민등록번호],O251,Table2[주간],S251,Table2[근무일자],"&lt;="&amp;D251)</f>
        <v>5</v>
      </c>
      <c r="AA251" s="29">
        <f>SUMIFS(Table2[근로
시간],Table2[주민등록번호],O251,Table2[주간],S251,Table2[근무일자],"&lt;="&amp;D251)*24</f>
        <v>24.999999999999996</v>
      </c>
      <c r="AB251" s="29" t="str">
        <f>IF(AND(Y251&gt;=8,COUNTIFS(Table2[주민등록번호],O251,Table2[근무일자],"&gt;="&amp;EOMONTH(D251,-2)+1,Table2[근무일자],"&lt;="&amp;EOMONTH(D251,-1)+1)&gt;0),"V","")</f>
        <v>V</v>
      </c>
      <c r="AC251" s="94" cm="1">
        <f t="array" ref="AC251">IF(AD251&lt;&gt;"",AD251,_xlfn.XLOOKUP(1,(D251&lt;=Table7[End])*(E251=Table7[근무처])*(F251=Table7[업무]),Table7[시급],0,0))</f>
        <v>10030</v>
      </c>
      <c r="AD251" s="95"/>
      <c r="AE251" s="94">
        <f t="shared" si="46"/>
        <v>50150</v>
      </c>
      <c r="AF251" s="96" cm="1">
        <f t="array" ref="AF251">IF(AND(AA251&gt;=15,(AA251-U251*24)&lt;=40),IF(Z251&gt;=_xlfn.XLOOKUP(1,(D251&lt;=Table7[End])*(E251=Table7[근무처])*(F251=Table7[업무]),Table7[주휴적용일],0,0),1,0)+_xlfn.XLOOKUP(1,(Table2[주간]=Table2[[#This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51" s="96" cm="1">
        <f t="array" ref="AG251">MAX((_xlfn.IFS(AF251=0,0,AF251=1,AA251,AF251&gt;1,U251*24)-IF(AA251&gt;40,AA251-40,0))/5,0)</f>
        <v>4.9999999999999991</v>
      </c>
      <c r="AH251" s="94">
        <f t="shared" si="47"/>
        <v>50150</v>
      </c>
      <c r="AI251" s="33" cm="1">
        <f t="array" ref="AI251">IF(W251="",0,ROUND(AC251*U251*24*_xlfn.XLOOKUP(1,(D251&lt;=Table7[End])*(E251=Table7[근무처])*(F251=Table7[업무]),Table7[휴일인센티브],0,0),0))</f>
        <v>0</v>
      </c>
      <c r="AJ251" s="94" cm="1">
        <f t="array" ref="AJ251">ROUND(AC251*IF(U251&gt;=8/24,U251-8/24,0)*24*_xlfn.XLOOKUP(1,(D251&lt;=Table7[End])*(E251=Table7[근무처])*(F251=Table7[업무]),Table7[야간인센티브],0,0),0)</f>
        <v>0</v>
      </c>
      <c r="AK251" s="94" cm="1">
        <f t="array" ref="AK251">IF(V251=0,0,ROUND(AC251*V251*24*_xlfn.XLOOKUP(1,(D251&lt;=Table7[End])*(E251=Table7[근무처])*(F251=Table7[업무]),Table7[야간인센티브],0,0),0))</f>
        <v>0</v>
      </c>
      <c r="AL251" s="95"/>
      <c r="AM251" s="94">
        <f t="shared" si="48"/>
        <v>100300</v>
      </c>
      <c r="AN251" s="94" cm="1">
        <f t="array" ref="AN251">IF(AM251&gt;=_xlfn.XLOOKUP(TRUE,D251&lt;=Table5[End],Table5[비과세소득기준],0,0),AM251-_xlfn.XLOOKUP(TRUE,D251&lt;=Table5[End],Table5[비과세소득기준],0,0),0)</f>
        <v>0</v>
      </c>
      <c r="AO251" s="94" cm="1">
        <f t="array" ref="AO251">ROUNDDOWN(_xlfn.LET(_xlpm.setvalue,_xlfn.XLOOKUP(TRUE,D251&lt;=Table5[End],Table5[[요율]:[근로소득세액공제]],0,0),_xlpm.tax,AN251*PRODUCT((_xlpm.setvalue-{0,1})*{1,-1}),_xlpm.threshold,_xlfn.XLOOKUP(TRUE,D251&lt;=Table5[End],Table5[소액부징수기준],0,0),IF(_xlpm.tax&gt;=_xlpm.threshold,_xlpm.tax,0)),-1)</f>
        <v>0</v>
      </c>
      <c r="AP251" s="94">
        <f>ROUNDDOWN(Table2[[#This Row],[소득세]]*10%,-1)</f>
        <v>0</v>
      </c>
      <c r="AQ251" s="94">
        <f>IF(AB251="v",AM251+IF(Y251=8,SUMIFS(Table2[지급총액],Table2[주민등록번호],O251,Table2[월],R251,Table2[월간
근무일],"&lt;="&amp;8)-AM251,0),0)+_xlfn.NUMBERVALUE(AR251)</f>
        <v>100300</v>
      </c>
      <c r="AR251" s="95"/>
      <c r="AS251" s="94" cm="1">
        <f t="array" ref="AS251">ROUNDDOWN($AQ251*_xlfn.XLOOKUP(1,(AS$5=Table8[Type])*($D251&lt;=Table8[End]),Table8[요율],0,0),0)</f>
        <v>3555</v>
      </c>
      <c r="AT251" s="94" cm="1">
        <f t="array" ref="AT251">ROUNDDOWN(AS251*_xlfn.XLOOKUP(1,(AT$5=Table8[Type])*($D251&lt;=Table8[End]),Table8[요율],0,0),-1)</f>
        <v>460</v>
      </c>
      <c r="AU251" s="94" cm="1">
        <f t="array" ref="AU251">ROUNDDOWN($AQ251*_xlfn.XLOOKUP(1,(AU$5=Table8[Type])*($D251&lt;=Table8[End]),Table8[요율],0,0),-1)</f>
        <v>4510</v>
      </c>
      <c r="AV251" s="94" cm="1">
        <f t="array" ref="AV251">ROUNDDOWN(AM251*_xlfn.XLOOKUP(1,(AV$5=Table8[Type])*($D251&lt;=Table8[End]),Table8[요율],0,0),-1)</f>
        <v>0</v>
      </c>
      <c r="AW251" s="94" cm="1">
        <f t="array" ref="AW251">_xlfn.XLOOKUP(1,(O251=Table2[주민등록번호])*(D251&gt;Table2[근무일자]),Table2[청구 Claim 
이월],0,0,-1)</f>
        <v>0</v>
      </c>
      <c r="AX251" s="95"/>
      <c r="AY251" s="94" cm="1">
        <f t="array" ref="AY251">MAX(SUM(AO251:AP251,AS251:AX251)-_xlfn.XLOOKUP(1,(D251&lt;=Table7[End])*(E251=Table7[근무처])*(F251=Table7[업무]),Table7[1일 공제 상한],0,0),0)</f>
        <v>0</v>
      </c>
      <c r="AZ251" s="94">
        <f t="shared" si="49"/>
        <v>8525</v>
      </c>
      <c r="BA251" s="94">
        <f t="shared" si="50"/>
        <v>91775</v>
      </c>
      <c r="BB251" s="97">
        <f t="shared" si="51"/>
        <v>0</v>
      </c>
      <c r="BC251" s="98"/>
      <c r="BD251" s="94">
        <f t="shared" si="52"/>
        <v>3555</v>
      </c>
      <c r="BE251" s="94">
        <f t="shared" si="53"/>
        <v>460</v>
      </c>
      <c r="BF251" s="94">
        <f t="shared" si="54"/>
        <v>4510</v>
      </c>
      <c r="BG251" s="94">
        <f t="shared" si="55"/>
        <v>0</v>
      </c>
      <c r="BH251" s="94" cm="1">
        <f t="array" ref="BH251">ROUNDDOWN(AM251*_xlfn.XLOOKUP(1,(BH$5=Table8[Type])*($D251&lt;=Table8[End]),Table8[요율],0,0),-1)</f>
        <v>800</v>
      </c>
      <c r="BI251" s="93" t="str" cm="1">
        <f t="array" ref="BI251">_xlfn.XLOOKUP(1,(D251&lt;=Table7[End])*(E251=Table7[근무처])*(F251=Table7[업무]),Table7[지급옵션],0,0)</f>
        <v>D+2</v>
      </c>
      <c r="BJ251" s="83">
        <f>IF(BK251&lt;&gt;"",BK251,IFERROR(D251+_xlfn.NUMBERVALUE(RIGHT(BI251,1)),D251-WEEKDAY(D251)+CHOOSE(MATCH(RIGHT(BI251),{"일","월","화","수","목","금","토"},0),8,9,10,11,12,13,14)))</f>
        <v>45809</v>
      </c>
      <c r="BK251" s="99"/>
    </row>
    <row r="252" spans="2:63" x14ac:dyDescent="0.35">
      <c r="B252" s="20" t="str" cm="1">
        <f t="array" ref="B252">_xlfn.IFS(BB252&lt;&gt;BC252,"Claim확인",N252&lt;&gt;"OK","확인필요",TRUE,"")</f>
        <v/>
      </c>
      <c r="C252" s="21" t="str">
        <f t="shared" si="42"/>
        <v>010-3X6X-X4X7757X02XX284249</v>
      </c>
      <c r="D252" s="26">
        <v>45808</v>
      </c>
      <c r="E252" s="91" t="s">
        <v>255</v>
      </c>
      <c r="F252" s="25" t="s">
        <v>258</v>
      </c>
      <c r="G252" s="27" t="s">
        <v>283</v>
      </c>
      <c r="H252" s="25" t="s">
        <v>295</v>
      </c>
      <c r="I252" s="25"/>
      <c r="J252" s="25" t="s">
        <v>296</v>
      </c>
      <c r="K252" s="28">
        <v>0.3125</v>
      </c>
      <c r="L252" s="28">
        <v>0.54166666666666663</v>
      </c>
      <c r="M252" s="28">
        <v>2.0833333333333332E-2</v>
      </c>
      <c r="N252" s="25" t="s">
        <v>281</v>
      </c>
      <c r="O252" s="29" t="str">
        <f>_xlfn.XLOOKUP(Table2[[#This Row],[Key]],Table1[Key],Table1[주민등록번호],"",0)</f>
        <v>940XX41XX7X32</v>
      </c>
      <c r="P252" s="29">
        <f>_xlfn.XLOOKUP(Table2[[#This Row],[Key]],Table1[Key],Table1[비자],"",0)</f>
        <v>0</v>
      </c>
      <c r="Q252" s="29">
        <f>IF(P252=0,0,_xlfn.XLOOKUP(Table2[[#This Row],[Key]],Table1[Key],Table1[고용보험 여부],0,0))</f>
        <v>0</v>
      </c>
      <c r="R252" s="29" t="str">
        <f t="shared" si="43"/>
        <v>2505</v>
      </c>
      <c r="S252" s="30" t="str">
        <f>YEAR(Table2[[#This Row],[근무일자]])&amp;TEXT(WEEKNUM(Table2[[#This Row],[근무일자]]),"00")</f>
        <v>202522</v>
      </c>
      <c r="T252" s="31">
        <f>_xlfn.XLOOKUP(Table2[[#This Row],[Key]],Table1[Key],Table1[등록일],"",0)</f>
        <v>45751</v>
      </c>
      <c r="U252" s="32">
        <f t="shared" si="44"/>
        <v>0.20833333333333329</v>
      </c>
      <c r="V252" s="92">
        <f t="shared" si="45"/>
        <v>0</v>
      </c>
      <c r="W252" s="100" t="str">
        <f>_xlfn.XLOOKUP(Table2[[#This Row],[근무일자]],Table3[Date],Table3[Holiday],"",0)</f>
        <v/>
      </c>
      <c r="X252" s="93">
        <f>IF(D252&lt;&gt;"",1,0)+IF(COUNTIFS(Table2[주민등록번호],O252,Table2[월],TEXT(EOMONTH(D252,-1),"YYMM"))&gt;0,1+IF(COUNTIFS(Table2[주민등록번호],O252,Table2[월],TEXT(EOMONTH(D252,-2),"YYMM"))&gt;0,1+IF(COUNTIFS(Table2[주민등록번호],O252,Table2[월],TEXT(EOMONTH(D252,-3),"YYMM"))&gt;0,1,0),0),0)</f>
        <v>2</v>
      </c>
      <c r="Y252" s="29">
        <f>COUNTIFS(Table2[주민등록번호],O252,Table2[월],R252,Table2[근무일자],"&lt;="&amp;D252)</f>
        <v>20</v>
      </c>
      <c r="Z252" s="29">
        <f>COUNTIFS(Table2[주민등록번호],O252,Table2[주간],S252,Table2[근무일자],"&lt;="&amp;D252)</f>
        <v>5</v>
      </c>
      <c r="AA252" s="29">
        <f>SUMIFS(Table2[근로
시간],Table2[주민등록번호],O252,Table2[주간],S252,Table2[근무일자],"&lt;="&amp;D252)*24</f>
        <v>36.999999999999993</v>
      </c>
      <c r="AB252" s="29" t="str">
        <f>IF(AND(Y252&gt;=8,COUNTIFS(Table2[주민등록번호],O252,Table2[근무일자],"&gt;="&amp;EOMONTH(D252,-2)+1,Table2[근무일자],"&lt;="&amp;EOMONTH(D252,-1)+1)&gt;0),"V","")</f>
        <v>V</v>
      </c>
      <c r="AC252" s="94" cm="1">
        <f t="array" ref="AC252">IF(AD252&lt;&gt;"",AD252,_xlfn.XLOOKUP(1,(D252&lt;=Table7[End])*(E252=Table7[근무처])*(F252=Table7[업무]),Table7[시급],0,0))</f>
        <v>10680</v>
      </c>
      <c r="AD252" s="95"/>
      <c r="AE252" s="94">
        <f t="shared" si="46"/>
        <v>53400</v>
      </c>
      <c r="AF252" s="96" cm="1">
        <f t="array" ref="AF252">IF(AND(AA252&gt;=15,(AA252-U252*24)&lt;=40),IF(Z252&gt;=_xlfn.XLOOKUP(1,(D252&lt;=Table7[End])*(E252=Table7[근무처])*(F252=Table7[업무]),Table7[주휴적용일],0,0),1,0)+_xlfn.XLOOKUP(1,(Table2[주간]=Table2[[#This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252" s="96" cm="1">
        <f t="array" ref="AG252">MAX((_xlfn.IFS(AF252=0,0,AF252=1,AA252,AF252&gt;1,U252*24)-IF(AA252&gt;40,AA252-40,0))/5,0)</f>
        <v>0.99999999999999978</v>
      </c>
      <c r="AH252" s="94">
        <f t="shared" si="47"/>
        <v>10680</v>
      </c>
      <c r="AI252" s="33" cm="1">
        <f t="array" ref="AI252">IF(W252="",0,ROUND(AC252*U252*24*_xlfn.XLOOKUP(1,(D252&lt;=Table7[End])*(E252=Table7[근무처])*(F252=Table7[업무]),Table7[휴일인센티브],0,0),0))</f>
        <v>0</v>
      </c>
      <c r="AJ252" s="94" cm="1">
        <f t="array" ref="AJ252">ROUND(AC252*IF(U252&gt;=8/24,U252-8/24,0)*24*_xlfn.XLOOKUP(1,(D252&lt;=Table7[End])*(E252=Table7[근무처])*(F252=Table7[업무]),Table7[야간인센티브],0,0),0)</f>
        <v>0</v>
      </c>
      <c r="AK252" s="94" cm="1">
        <f t="array" ref="AK252">IF(V252=0,0,ROUND(AC252*V252*24*_xlfn.XLOOKUP(1,(D252&lt;=Table7[End])*(E252=Table7[근무처])*(F252=Table7[업무]),Table7[야간인센티브],0,0),0))</f>
        <v>0</v>
      </c>
      <c r="AL252" s="95"/>
      <c r="AM252" s="94">
        <f t="shared" si="48"/>
        <v>64080</v>
      </c>
      <c r="AN252" s="94" cm="1">
        <f t="array" ref="AN252">IF(AM252&gt;=_xlfn.XLOOKUP(TRUE,D252&lt;=Table5[End],Table5[비과세소득기준],0,0),AM252-_xlfn.XLOOKUP(TRUE,D252&lt;=Table5[End],Table5[비과세소득기준],0,0),0)</f>
        <v>0</v>
      </c>
      <c r="AO252" s="94" cm="1">
        <f t="array" ref="AO252">ROUNDDOWN(_xlfn.LET(_xlpm.setvalue,_xlfn.XLOOKUP(TRUE,D252&lt;=Table5[End],Table5[[요율]:[근로소득세액공제]],0,0),_xlpm.tax,AN252*PRODUCT((_xlpm.setvalue-{0,1})*{1,-1}),_xlpm.threshold,_xlfn.XLOOKUP(TRUE,D252&lt;=Table5[End],Table5[소액부징수기준],0,0),IF(_xlpm.tax&gt;=_xlpm.threshold,_xlpm.tax,0)),-1)</f>
        <v>0</v>
      </c>
      <c r="AP252" s="94">
        <f>ROUNDDOWN(Table2[[#This Row],[소득세]]*10%,-1)</f>
        <v>0</v>
      </c>
      <c r="AQ252" s="94">
        <f>IF(AB252="v",AM252+IF(Y252=8,SUMIFS(Table2[지급총액],Table2[주민등록번호],O252,Table2[월],R252,Table2[월간
근무일],"&lt;="&amp;8)-AM252,0),0)+_xlfn.NUMBERVALUE(AR252)</f>
        <v>64080</v>
      </c>
      <c r="AR252" s="95"/>
      <c r="AS252" s="94" cm="1">
        <f t="array" ref="AS252">ROUNDDOWN($AQ252*_xlfn.XLOOKUP(1,(AS$5=Table8[Type])*($D252&lt;=Table8[End]),Table8[요율],0,0),0)</f>
        <v>2271</v>
      </c>
      <c r="AT252" s="94" cm="1">
        <f t="array" ref="AT252">ROUNDDOWN(AS252*_xlfn.XLOOKUP(1,(AT$5=Table8[Type])*($D252&lt;=Table8[End]),Table8[요율],0,0),-1)</f>
        <v>290</v>
      </c>
      <c r="AU252" s="94" cm="1">
        <f t="array" ref="AU252">ROUNDDOWN($AQ252*_xlfn.XLOOKUP(1,(AU$5=Table8[Type])*($D252&lt;=Table8[End]),Table8[요율],0,0),-1)</f>
        <v>2880</v>
      </c>
      <c r="AV252" s="94" cm="1">
        <f t="array" ref="AV252">ROUNDDOWN(AM252*_xlfn.XLOOKUP(1,(AV$5=Table8[Type])*($D252&lt;=Table8[End]),Table8[요율],0,0),-1)</f>
        <v>0</v>
      </c>
      <c r="AW252" s="94" cm="1">
        <f t="array" ref="AW252">_xlfn.XLOOKUP(1,(O252=Table2[주민등록번호])*(D252&gt;Table2[근무일자]),Table2[청구 Claim 
이월],0,0,-1)</f>
        <v>0</v>
      </c>
      <c r="AX252" s="95"/>
      <c r="AY252" s="94" cm="1">
        <f t="array" ref="AY252">MAX(SUM(AO252:AP252,AS252:AX252)-_xlfn.XLOOKUP(1,(D252&lt;=Table7[End])*(E252=Table7[근무처])*(F252=Table7[업무]),Table7[1일 공제 상한],0,0),0)</f>
        <v>0</v>
      </c>
      <c r="AZ252" s="94">
        <f t="shared" si="49"/>
        <v>5441</v>
      </c>
      <c r="BA252" s="94">
        <f t="shared" si="50"/>
        <v>58639</v>
      </c>
      <c r="BB252" s="97">
        <f t="shared" si="51"/>
        <v>0</v>
      </c>
      <c r="BC252" s="98"/>
      <c r="BD252" s="94">
        <f t="shared" si="52"/>
        <v>2271</v>
      </c>
      <c r="BE252" s="94">
        <f t="shared" si="53"/>
        <v>290</v>
      </c>
      <c r="BF252" s="94">
        <f t="shared" si="54"/>
        <v>2880</v>
      </c>
      <c r="BG252" s="94">
        <f t="shared" si="55"/>
        <v>0</v>
      </c>
      <c r="BH252" s="94" cm="1">
        <f t="array" ref="BH252">ROUNDDOWN(AM252*_xlfn.XLOOKUP(1,(BH$5=Table8[Type])*($D252&lt;=Table8[End]),Table8[요율],0,0),-1)</f>
        <v>510</v>
      </c>
      <c r="BI252" s="93" t="str" cm="1">
        <f t="array" ref="BI252">_xlfn.XLOOKUP(1,(D252&lt;=Table7[End])*(E252=Table7[근무처])*(F252=Table7[업무]),Table7[지급옵션],0,0)</f>
        <v>차주 화</v>
      </c>
      <c r="BJ252" s="83">
        <f>IF(BK252&lt;&gt;"",BK252,IFERROR(D252+_xlfn.NUMBERVALUE(RIGHT(BI252,1)),D252-WEEKDAY(D252)+CHOOSE(MATCH(RIGHT(BI252),{"일","월","화","수","목","금","토"},0),8,9,10,11,12,13,14)))</f>
        <v>45811</v>
      </c>
      <c r="BK252" s="99"/>
    </row>
    <row r="253" spans="2:63" x14ac:dyDescent="0.35">
      <c r="B253" s="20" t="str" cm="1">
        <f t="array" ref="B253">_xlfn.IFS(BB253&lt;&gt;BC253,"Claim확인",N253&lt;&gt;"OK","확인필요",TRUE,"")</f>
        <v/>
      </c>
      <c r="C253" s="21" t="str">
        <f t="shared" si="42"/>
        <v>010-3X6X-X4X7757X02XX284249</v>
      </c>
      <c r="D253" s="26">
        <v>45809</v>
      </c>
      <c r="E253" s="91" t="s">
        <v>255</v>
      </c>
      <c r="F253" s="25" t="s">
        <v>258</v>
      </c>
      <c r="G253" s="27" t="s">
        <v>283</v>
      </c>
      <c r="H253" s="25" t="s">
        <v>295</v>
      </c>
      <c r="I253" s="25"/>
      <c r="J253" s="25" t="s">
        <v>296</v>
      </c>
      <c r="K253" s="28">
        <v>0.3125</v>
      </c>
      <c r="L253" s="28">
        <v>0.54166666666666663</v>
      </c>
      <c r="M253" s="28">
        <v>2.0833333333333332E-2</v>
      </c>
      <c r="N253" s="25" t="s">
        <v>281</v>
      </c>
      <c r="O253" s="29" t="str">
        <f>_xlfn.XLOOKUP(Table2[[#This Row],[Key]],Table1[Key],Table1[주민등록번호],"",0)</f>
        <v>940XX41XX7X32</v>
      </c>
      <c r="P253" s="29">
        <f>_xlfn.XLOOKUP(Table2[[#This Row],[Key]],Table1[Key],Table1[비자],"",0)</f>
        <v>0</v>
      </c>
      <c r="Q253" s="29">
        <f>IF(P253=0,0,_xlfn.XLOOKUP(Table2[[#This Row],[Key]],Table1[Key],Table1[고용보험 여부],0,0))</f>
        <v>0</v>
      </c>
      <c r="R253" s="29" t="str">
        <f t="shared" si="43"/>
        <v>2506</v>
      </c>
      <c r="S253" s="30" t="str">
        <f>YEAR(Table2[[#This Row],[근무일자]])&amp;TEXT(WEEKNUM(Table2[[#This Row],[근무일자]]),"00")</f>
        <v>202523</v>
      </c>
      <c r="T253" s="31">
        <f>_xlfn.XLOOKUP(Table2[[#This Row],[Key]],Table1[Key],Table1[등록일],"",0)</f>
        <v>45751</v>
      </c>
      <c r="U253" s="32">
        <f t="shared" si="44"/>
        <v>0.20833333333333329</v>
      </c>
      <c r="V253" s="92">
        <f t="shared" si="45"/>
        <v>0</v>
      </c>
      <c r="W253" s="100" t="str">
        <f>_xlfn.XLOOKUP(Table2[[#This Row],[근무일자]],Table3[Date],Table3[Holiday],"",0)</f>
        <v/>
      </c>
      <c r="X253" s="93">
        <f>IF(D253&lt;&gt;"",1,0)+IF(COUNTIFS(Table2[주민등록번호],O253,Table2[월],TEXT(EOMONTH(D253,-1),"YYMM"))&gt;0,1+IF(COUNTIFS(Table2[주민등록번호],O253,Table2[월],TEXT(EOMONTH(D253,-2),"YYMM"))&gt;0,1+IF(COUNTIFS(Table2[주민등록번호],O253,Table2[월],TEXT(EOMONTH(D253,-3),"YYMM"))&gt;0,1,0),0),0)</f>
        <v>3</v>
      </c>
      <c r="Y253" s="29">
        <f>COUNTIFS(Table2[주민등록번호],O253,Table2[월],R253,Table2[근무일자],"&lt;="&amp;D253)</f>
        <v>1</v>
      </c>
      <c r="Z253" s="29">
        <f>COUNTIFS(Table2[주민등록번호],O253,Table2[주간],S253,Table2[근무일자],"&lt;="&amp;D253)</f>
        <v>1</v>
      </c>
      <c r="AA253" s="29">
        <f>SUMIFS(Table2[근로
시간],Table2[주민등록번호],O253,Table2[주간],S253,Table2[근무일자],"&lt;="&amp;D253)*24</f>
        <v>4.9999999999999991</v>
      </c>
      <c r="AB253" s="29" t="str">
        <f>IF(AND(Y253&gt;=8,COUNTIFS(Table2[주민등록번호],O253,Table2[근무일자],"&gt;="&amp;EOMONTH(D253,-2)+1,Table2[근무일자],"&lt;="&amp;EOMONTH(D253,-1)+1)&gt;0),"V","")</f>
        <v/>
      </c>
      <c r="AC253" s="94" cm="1">
        <f t="array" ref="AC253">IF(AD253&lt;&gt;"",AD253,_xlfn.XLOOKUP(1,(D253&lt;=Table7[End])*(E253=Table7[근무처])*(F253=Table7[업무]),Table7[시급],0,0))</f>
        <v>10680</v>
      </c>
      <c r="AD253" s="95"/>
      <c r="AE253" s="94">
        <f t="shared" si="46"/>
        <v>53400</v>
      </c>
      <c r="AF253" s="96" cm="1">
        <f t="array" ref="AF253">IF(AND(AA253&gt;=15,(AA253-U253*24)&lt;=40),IF(Z253&gt;=_xlfn.XLOOKUP(1,(D253&lt;=Table7[End])*(E253=Table7[근무처])*(F253=Table7[업무]),Table7[주휴적용일],0,0),1,0)+_xlfn.XLOOKUP(1,(Table2[주간]=Table2[[#This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53" s="96" cm="1">
        <f t="array" ref="AG253">MAX((_xlfn.IFS(AF253=0,0,AF253=1,AA253,AF253&gt;1,U253*24)-IF(AA253&gt;40,AA253-40,0))/5,0)</f>
        <v>0</v>
      </c>
      <c r="AH253" s="94">
        <f t="shared" si="47"/>
        <v>0</v>
      </c>
      <c r="AI253" s="33" cm="1">
        <f t="array" ref="AI253">IF(W253="",0,ROUND(AC253*U253*24*_xlfn.XLOOKUP(1,(D253&lt;=Table7[End])*(E253=Table7[근무처])*(F253=Table7[업무]),Table7[휴일인센티브],0,0),0))</f>
        <v>0</v>
      </c>
      <c r="AJ253" s="94" cm="1">
        <f t="array" ref="AJ253">ROUND(AC253*IF(U253&gt;=8/24,U253-8/24,0)*24*_xlfn.XLOOKUP(1,(D253&lt;=Table7[End])*(E253=Table7[근무처])*(F253=Table7[업무]),Table7[야간인센티브],0,0),0)</f>
        <v>0</v>
      </c>
      <c r="AK253" s="94" cm="1">
        <f t="array" ref="AK253">IF(V253=0,0,ROUND(AC253*V253*24*_xlfn.XLOOKUP(1,(D253&lt;=Table7[End])*(E253=Table7[근무처])*(F253=Table7[업무]),Table7[야간인센티브],0,0),0))</f>
        <v>0</v>
      </c>
      <c r="AL253" s="95"/>
      <c r="AM253" s="94">
        <f t="shared" si="48"/>
        <v>53400</v>
      </c>
      <c r="AN253" s="94" cm="1">
        <f t="array" ref="AN253">IF(AM253&gt;=_xlfn.XLOOKUP(TRUE,D253&lt;=Table5[End],Table5[비과세소득기준],0,0),AM253-_xlfn.XLOOKUP(TRUE,D253&lt;=Table5[End],Table5[비과세소득기준],0,0),0)</f>
        <v>0</v>
      </c>
      <c r="AO253" s="94" cm="1">
        <f t="array" ref="AO253">ROUNDDOWN(_xlfn.LET(_xlpm.setvalue,_xlfn.XLOOKUP(TRUE,D253&lt;=Table5[End],Table5[[요율]:[근로소득세액공제]],0,0),_xlpm.tax,AN253*PRODUCT((_xlpm.setvalue-{0,1})*{1,-1}),_xlpm.threshold,_xlfn.XLOOKUP(TRUE,D253&lt;=Table5[End],Table5[소액부징수기준],0,0),IF(_xlpm.tax&gt;=_xlpm.threshold,_xlpm.tax,0)),-1)</f>
        <v>0</v>
      </c>
      <c r="AP253" s="94">
        <f>ROUNDDOWN(Table2[[#This Row],[소득세]]*10%,-1)</f>
        <v>0</v>
      </c>
      <c r="AQ253" s="94">
        <f>IF(AB253="v",AM253+IF(Y253=8,SUMIFS(Table2[지급총액],Table2[주민등록번호],O253,Table2[월],R253,Table2[월간
근무일],"&lt;="&amp;8)-AM253,0),0)+_xlfn.NUMBERVALUE(AR253)</f>
        <v>0</v>
      </c>
      <c r="AR253" s="95"/>
      <c r="AS253" s="94" cm="1">
        <f t="array" ref="AS253">ROUNDDOWN($AQ253*_xlfn.XLOOKUP(1,(AS$5=Table8[Type])*($D253&lt;=Table8[End]),Table8[요율],0,0),0)</f>
        <v>0</v>
      </c>
      <c r="AT253" s="94" cm="1">
        <f t="array" ref="AT253">ROUNDDOWN(AS253*_xlfn.XLOOKUP(1,(AT$5=Table8[Type])*($D253&lt;=Table8[End]),Table8[요율],0,0),-1)</f>
        <v>0</v>
      </c>
      <c r="AU253" s="94" cm="1">
        <f t="array" ref="AU253">ROUNDDOWN($AQ253*_xlfn.XLOOKUP(1,(AU$5=Table8[Type])*($D253&lt;=Table8[End]),Table8[요율],0,0),-1)</f>
        <v>0</v>
      </c>
      <c r="AV253" s="94" cm="1">
        <f t="array" ref="AV253">ROUNDDOWN(AM253*_xlfn.XLOOKUP(1,(AV$5=Table8[Type])*($D253&lt;=Table8[End]),Table8[요율],0,0),-1)</f>
        <v>0</v>
      </c>
      <c r="AW253" s="94" cm="1">
        <f t="array" ref="AW253">_xlfn.XLOOKUP(1,(O253=Table2[주민등록번호])*(D253&gt;Table2[근무일자]),Table2[청구 Claim 
이월],0,0,-1)</f>
        <v>0</v>
      </c>
      <c r="AX253" s="95"/>
      <c r="AY253" s="94" cm="1">
        <f t="array" ref="AY253">MAX(SUM(AO253:AP253,AS253:AX253)-_xlfn.XLOOKUP(1,(D253&lt;=Table7[End])*(E253=Table7[근무처])*(F253=Table7[업무]),Table7[1일 공제 상한],0,0),0)</f>
        <v>0</v>
      </c>
      <c r="AZ253" s="94">
        <f t="shared" si="49"/>
        <v>0</v>
      </c>
      <c r="BA253" s="94">
        <f t="shared" si="50"/>
        <v>53400</v>
      </c>
      <c r="BB253" s="97">
        <f t="shared" si="51"/>
        <v>0</v>
      </c>
      <c r="BC253" s="98"/>
      <c r="BD253" s="94">
        <f t="shared" si="52"/>
        <v>0</v>
      </c>
      <c r="BE253" s="94">
        <f t="shared" si="53"/>
        <v>0</v>
      </c>
      <c r="BF253" s="94">
        <f t="shared" si="54"/>
        <v>0</v>
      </c>
      <c r="BG253" s="94">
        <f t="shared" si="55"/>
        <v>0</v>
      </c>
      <c r="BH253" s="94" cm="1">
        <f t="array" ref="BH253">ROUNDDOWN(AM253*_xlfn.XLOOKUP(1,(BH$5=Table8[Type])*($D253&lt;=Table8[End]),Table8[요율],0,0),-1)</f>
        <v>420</v>
      </c>
      <c r="BI253" s="93" t="str" cm="1">
        <f t="array" ref="BI253">_xlfn.XLOOKUP(1,(D253&lt;=Table7[End])*(E253=Table7[근무처])*(F253=Table7[업무]),Table7[지급옵션],0,0)</f>
        <v>차주 화</v>
      </c>
      <c r="BJ253" s="83">
        <f>IF(BK253&lt;&gt;"",BK253,IFERROR(D253+_xlfn.NUMBERVALUE(RIGHT(BI253,1)),D253-WEEKDAY(D253)+CHOOSE(MATCH(RIGHT(BI253),{"일","월","화","수","목","금","토"},0),8,9,10,11,12,13,14)))</f>
        <v>45818</v>
      </c>
      <c r="BK253" s="99"/>
    </row>
    <row r="254" spans="2:63" x14ac:dyDescent="0.35">
      <c r="B254" s="20" t="str" cm="1">
        <f t="array" ref="B254">_xlfn.IFS(BB254&lt;&gt;BC254,"Claim확인",N254&lt;&gt;"OK","확인필요",TRUE,"")</f>
        <v/>
      </c>
      <c r="C254" s="21" t="str">
        <f t="shared" si="42"/>
        <v>010-3X4X-X9X7219X02XX284640</v>
      </c>
      <c r="D254" s="26">
        <v>45809</v>
      </c>
      <c r="E254" s="91" t="s">
        <v>253</v>
      </c>
      <c r="F254" s="25" t="s">
        <v>257</v>
      </c>
      <c r="G254" s="27" t="s">
        <v>286</v>
      </c>
      <c r="H254" s="25" t="s">
        <v>299</v>
      </c>
      <c r="I254" s="25"/>
      <c r="J254" s="25" t="s">
        <v>300</v>
      </c>
      <c r="K254" s="28">
        <v>0.375</v>
      </c>
      <c r="L254" s="28">
        <v>0.60416666666666663</v>
      </c>
      <c r="M254" s="28">
        <v>2.0833333333333332E-2</v>
      </c>
      <c r="N254" s="25" t="s">
        <v>281</v>
      </c>
      <c r="O254" s="29" t="str">
        <f>_xlfn.XLOOKUP(Table2[[#This Row],[Key]],Table1[Key],Table1[주민등록번호],"",0)</f>
        <v>931XX31XX3X14</v>
      </c>
      <c r="P254" s="29">
        <f>_xlfn.XLOOKUP(Table2[[#This Row],[Key]],Table1[Key],Table1[비자],"",0)</f>
        <v>0</v>
      </c>
      <c r="Q254" s="29">
        <f>IF(P254=0,0,_xlfn.XLOOKUP(Table2[[#This Row],[Key]],Table1[Key],Table1[고용보험 여부],0,0))</f>
        <v>0</v>
      </c>
      <c r="R254" s="29" t="str">
        <f t="shared" si="43"/>
        <v>2506</v>
      </c>
      <c r="S254" s="30" t="str">
        <f>YEAR(Table2[[#This Row],[근무일자]])&amp;TEXT(WEEKNUM(Table2[[#This Row],[근무일자]]),"00")</f>
        <v>202523</v>
      </c>
      <c r="T254" s="31">
        <f>_xlfn.XLOOKUP(Table2[[#This Row],[Key]],Table1[Key],Table1[등록일],"",0)</f>
        <v>45773</v>
      </c>
      <c r="U254" s="32">
        <f t="shared" si="44"/>
        <v>0.20833333333333329</v>
      </c>
      <c r="V254" s="92">
        <f t="shared" si="45"/>
        <v>0</v>
      </c>
      <c r="W254" s="100" t="str">
        <f>_xlfn.XLOOKUP(Table2[[#This Row],[근무일자]],Table3[Date],Table3[Holiday],"",0)</f>
        <v/>
      </c>
      <c r="X254" s="93">
        <f>IF(D254&lt;&gt;"",1,0)+IF(COUNTIFS(Table2[주민등록번호],O254,Table2[월],TEXT(EOMONTH(D254,-1),"YYMM"))&gt;0,1+IF(COUNTIFS(Table2[주민등록번호],O254,Table2[월],TEXT(EOMONTH(D254,-2),"YYMM"))&gt;0,1+IF(COUNTIFS(Table2[주민등록번호],O254,Table2[월],TEXT(EOMONTH(D254,-3),"YYMM"))&gt;0,1,0),0),0)</f>
        <v>4</v>
      </c>
      <c r="Y254" s="29">
        <f>COUNTIFS(Table2[주민등록번호],O254,Table2[월],R254,Table2[근무일자],"&lt;="&amp;D254)</f>
        <v>1</v>
      </c>
      <c r="Z254" s="29">
        <f>COUNTIFS(Table2[주민등록번호],O254,Table2[주간],S254,Table2[근무일자],"&lt;="&amp;D254)</f>
        <v>1</v>
      </c>
      <c r="AA254" s="29">
        <f>SUMIFS(Table2[근로
시간],Table2[주민등록번호],O254,Table2[주간],S254,Table2[근무일자],"&lt;="&amp;D254)*24</f>
        <v>4.9999999999999991</v>
      </c>
      <c r="AB254" s="29" t="str">
        <f>IF(AND(Y254&gt;=8,COUNTIFS(Table2[주민등록번호],O254,Table2[근무일자],"&gt;="&amp;EOMONTH(D254,-2)+1,Table2[근무일자],"&lt;="&amp;EOMONTH(D254,-1)+1)&gt;0),"V","")</f>
        <v/>
      </c>
      <c r="AC254" s="94" cm="1">
        <f t="array" ref="AC254">IF(AD254&lt;&gt;"",AD254,_xlfn.XLOOKUP(1,(D254&lt;=Table7[End])*(E254=Table7[근무처])*(F254=Table7[업무]),Table7[시급],0,0))</f>
        <v>10030</v>
      </c>
      <c r="AD254" s="95"/>
      <c r="AE254" s="94">
        <f t="shared" si="46"/>
        <v>50150</v>
      </c>
      <c r="AF254" s="96" cm="1">
        <f t="array" ref="AF254">IF(AND(AA254&gt;=15,(AA254-U254*24)&lt;=40),IF(Z254&gt;=_xlfn.XLOOKUP(1,(D254&lt;=Table7[End])*(E254=Table7[근무처])*(F254=Table7[업무]),Table7[주휴적용일],0,0),1,0)+_xlfn.XLOOKUP(1,(Table2[주간]=Table2[[#This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54" s="96" cm="1">
        <f t="array" ref="AG254">MAX((_xlfn.IFS(AF254=0,0,AF254=1,AA254,AF254&gt;1,U254*24)-IF(AA254&gt;40,AA254-40,0))/5,0)</f>
        <v>0</v>
      </c>
      <c r="AH254" s="94">
        <f t="shared" si="47"/>
        <v>0</v>
      </c>
      <c r="AI254" s="33" cm="1">
        <f t="array" ref="AI254">IF(W254="",0,ROUND(AC254*U254*24*_xlfn.XLOOKUP(1,(D254&lt;=Table7[End])*(E254=Table7[근무처])*(F254=Table7[업무]),Table7[휴일인센티브],0,0),0))</f>
        <v>0</v>
      </c>
      <c r="AJ254" s="94" cm="1">
        <f t="array" ref="AJ254">ROUND(AC254*IF(U254&gt;=8/24,U254-8/24,0)*24*_xlfn.XLOOKUP(1,(D254&lt;=Table7[End])*(E254=Table7[근무처])*(F254=Table7[업무]),Table7[야간인센티브],0,0),0)</f>
        <v>0</v>
      </c>
      <c r="AK254" s="94" cm="1">
        <f t="array" ref="AK254">IF(V254=0,0,ROUND(AC254*V254*24*_xlfn.XLOOKUP(1,(D254&lt;=Table7[End])*(E254=Table7[근무처])*(F254=Table7[업무]),Table7[야간인센티브],0,0),0))</f>
        <v>0</v>
      </c>
      <c r="AL254" s="95"/>
      <c r="AM254" s="94">
        <f t="shared" si="48"/>
        <v>50150</v>
      </c>
      <c r="AN254" s="94" cm="1">
        <f t="array" ref="AN254">IF(AM254&gt;=_xlfn.XLOOKUP(TRUE,D254&lt;=Table5[End],Table5[비과세소득기준],0,0),AM254-_xlfn.XLOOKUP(TRUE,D254&lt;=Table5[End],Table5[비과세소득기준],0,0),0)</f>
        <v>0</v>
      </c>
      <c r="AO254" s="94" cm="1">
        <f t="array" ref="AO254">ROUNDDOWN(_xlfn.LET(_xlpm.setvalue,_xlfn.XLOOKUP(TRUE,D254&lt;=Table5[End],Table5[[요율]:[근로소득세액공제]],0,0),_xlpm.tax,AN254*PRODUCT((_xlpm.setvalue-{0,1})*{1,-1}),_xlpm.threshold,_xlfn.XLOOKUP(TRUE,D254&lt;=Table5[End],Table5[소액부징수기준],0,0),IF(_xlpm.tax&gt;=_xlpm.threshold,_xlpm.tax,0)),-1)</f>
        <v>0</v>
      </c>
      <c r="AP254" s="94">
        <f>ROUNDDOWN(Table2[[#This Row],[소득세]]*10%,-1)</f>
        <v>0</v>
      </c>
      <c r="AQ254" s="94">
        <f>IF(AB254="v",AM254+IF(Y254=8,SUMIFS(Table2[지급총액],Table2[주민등록번호],O254,Table2[월],R254,Table2[월간
근무일],"&lt;="&amp;8)-AM254,0),0)+_xlfn.NUMBERVALUE(AR254)</f>
        <v>0</v>
      </c>
      <c r="AR254" s="95"/>
      <c r="AS254" s="94" cm="1">
        <f t="array" ref="AS254">ROUNDDOWN($AQ254*_xlfn.XLOOKUP(1,(AS$5=Table8[Type])*($D254&lt;=Table8[End]),Table8[요율],0,0),0)</f>
        <v>0</v>
      </c>
      <c r="AT254" s="94" cm="1">
        <f t="array" ref="AT254">ROUNDDOWN(AS254*_xlfn.XLOOKUP(1,(AT$5=Table8[Type])*($D254&lt;=Table8[End]),Table8[요율],0,0),-1)</f>
        <v>0</v>
      </c>
      <c r="AU254" s="94" cm="1">
        <f t="array" ref="AU254">ROUNDDOWN($AQ254*_xlfn.XLOOKUP(1,(AU$5=Table8[Type])*($D254&lt;=Table8[End]),Table8[요율],0,0),-1)</f>
        <v>0</v>
      </c>
      <c r="AV254" s="94" cm="1">
        <f t="array" ref="AV254">ROUNDDOWN(AM254*_xlfn.XLOOKUP(1,(AV$5=Table8[Type])*($D254&lt;=Table8[End]),Table8[요율],0,0),-1)</f>
        <v>0</v>
      </c>
      <c r="AW254" s="94" cm="1">
        <f t="array" ref="AW254">_xlfn.XLOOKUP(1,(O254=Table2[주민등록번호])*(D254&gt;Table2[근무일자]),Table2[청구 Claim 
이월],0,0,-1)</f>
        <v>0</v>
      </c>
      <c r="AX254" s="95"/>
      <c r="AY254" s="94" cm="1">
        <f t="array" ref="AY254">MAX(SUM(AO254:AP254,AS254:AX254)-_xlfn.XLOOKUP(1,(D254&lt;=Table7[End])*(E254=Table7[근무처])*(F254=Table7[업무]),Table7[1일 공제 상한],0,0),0)</f>
        <v>0</v>
      </c>
      <c r="AZ254" s="94">
        <f t="shared" si="49"/>
        <v>0</v>
      </c>
      <c r="BA254" s="94">
        <f t="shared" si="50"/>
        <v>50150</v>
      </c>
      <c r="BB254" s="97">
        <f t="shared" si="51"/>
        <v>0</v>
      </c>
      <c r="BC254" s="98"/>
      <c r="BD254" s="94">
        <f t="shared" si="52"/>
        <v>0</v>
      </c>
      <c r="BE254" s="94">
        <f t="shared" si="53"/>
        <v>0</v>
      </c>
      <c r="BF254" s="94">
        <f t="shared" si="54"/>
        <v>0</v>
      </c>
      <c r="BG254" s="94">
        <f t="shared" si="55"/>
        <v>0</v>
      </c>
      <c r="BH254" s="94" cm="1">
        <f t="array" ref="BH254">ROUNDDOWN(AM254*_xlfn.XLOOKUP(1,(BH$5=Table8[Type])*($D254&lt;=Table8[End]),Table8[요율],0,0),-1)</f>
        <v>400</v>
      </c>
      <c r="BI254" s="93" t="str" cm="1">
        <f t="array" ref="BI254">_xlfn.XLOOKUP(1,(D254&lt;=Table7[End])*(E254=Table7[근무처])*(F254=Table7[업무]),Table7[지급옵션],0,0)</f>
        <v>D+2</v>
      </c>
      <c r="BJ254" s="83">
        <f>IF(BK254&lt;&gt;"",BK254,IFERROR(D254+_xlfn.NUMBERVALUE(RIGHT(BI254,1)),D254-WEEKDAY(D254)+CHOOSE(MATCH(RIGHT(BI254),{"일","월","화","수","목","금","토"},0),8,9,10,11,12,13,14)))</f>
        <v>45811</v>
      </c>
      <c r="BK254" s="99"/>
    </row>
    <row r="255" spans="2:63" x14ac:dyDescent="0.35">
      <c r="B255" s="20" t="str" cm="1">
        <f t="array" ref="B255">_xlfn.IFS(BB255&lt;&gt;BC255,"Claim확인",N255&lt;&gt;"OK","확인필요",TRUE,"")</f>
        <v/>
      </c>
      <c r="C255" s="21" t="str">
        <f t="shared" si="42"/>
        <v>010-3X6X-X4X7757X02XX284249</v>
      </c>
      <c r="D255" s="26">
        <v>45810</v>
      </c>
      <c r="E255" s="91" t="s">
        <v>255</v>
      </c>
      <c r="F255" s="25" t="s">
        <v>258</v>
      </c>
      <c r="G255" s="27" t="s">
        <v>283</v>
      </c>
      <c r="H255" s="25" t="s">
        <v>295</v>
      </c>
      <c r="I255" s="25"/>
      <c r="J255" s="25" t="s">
        <v>296</v>
      </c>
      <c r="K255" s="28">
        <v>0.3125</v>
      </c>
      <c r="L255" s="28">
        <v>0.54166666666666663</v>
      </c>
      <c r="M255" s="28">
        <v>2.0833333333333332E-2</v>
      </c>
      <c r="N255" s="25" t="s">
        <v>281</v>
      </c>
      <c r="O255" s="29" t="str">
        <f>_xlfn.XLOOKUP(Table2[[#This Row],[Key]],Table1[Key],Table1[주민등록번호],"",0)</f>
        <v>940XX41XX7X32</v>
      </c>
      <c r="P255" s="29">
        <f>_xlfn.XLOOKUP(Table2[[#This Row],[Key]],Table1[Key],Table1[비자],"",0)</f>
        <v>0</v>
      </c>
      <c r="Q255" s="29">
        <f>IF(P255=0,0,_xlfn.XLOOKUP(Table2[[#This Row],[Key]],Table1[Key],Table1[고용보험 여부],0,0))</f>
        <v>0</v>
      </c>
      <c r="R255" s="29" t="str">
        <f t="shared" si="43"/>
        <v>2506</v>
      </c>
      <c r="S255" s="30" t="str">
        <f>YEAR(Table2[[#This Row],[근무일자]])&amp;TEXT(WEEKNUM(Table2[[#This Row],[근무일자]]),"00")</f>
        <v>202523</v>
      </c>
      <c r="T255" s="31">
        <f>_xlfn.XLOOKUP(Table2[[#This Row],[Key]],Table1[Key],Table1[등록일],"",0)</f>
        <v>45751</v>
      </c>
      <c r="U255" s="32">
        <f t="shared" si="44"/>
        <v>0.20833333333333329</v>
      </c>
      <c r="V255" s="92">
        <f t="shared" si="45"/>
        <v>0</v>
      </c>
      <c r="W255" s="100" t="str">
        <f>_xlfn.XLOOKUP(Table2[[#This Row],[근무일자]],Table3[Date],Table3[Holiday],"",0)</f>
        <v/>
      </c>
      <c r="X255" s="93">
        <f>IF(D255&lt;&gt;"",1,0)+IF(COUNTIFS(Table2[주민등록번호],O255,Table2[월],TEXT(EOMONTH(D255,-1),"YYMM"))&gt;0,1+IF(COUNTIFS(Table2[주민등록번호],O255,Table2[월],TEXT(EOMONTH(D255,-2),"YYMM"))&gt;0,1+IF(COUNTIFS(Table2[주민등록번호],O255,Table2[월],TEXT(EOMONTH(D255,-3),"YYMM"))&gt;0,1,0),0),0)</f>
        <v>3</v>
      </c>
      <c r="Y255" s="29">
        <f>COUNTIFS(Table2[주민등록번호],O255,Table2[월],R255,Table2[근무일자],"&lt;="&amp;D255)</f>
        <v>2</v>
      </c>
      <c r="Z255" s="29">
        <f>COUNTIFS(Table2[주민등록번호],O255,Table2[주간],S255,Table2[근무일자],"&lt;="&amp;D255)</f>
        <v>2</v>
      </c>
      <c r="AA255" s="29">
        <f>SUMIFS(Table2[근로
시간],Table2[주민등록번호],O255,Table2[주간],S255,Table2[근무일자],"&lt;="&amp;D255)*24</f>
        <v>9.9999999999999982</v>
      </c>
      <c r="AB255" s="29" t="str">
        <f>IF(AND(Y255&gt;=8,COUNTIFS(Table2[주민등록번호],O255,Table2[근무일자],"&gt;="&amp;EOMONTH(D255,-2)+1,Table2[근무일자],"&lt;="&amp;EOMONTH(D255,-1)+1)&gt;0),"V","")</f>
        <v/>
      </c>
      <c r="AC255" s="94" cm="1">
        <f t="array" ref="AC255">IF(AD255&lt;&gt;"",AD255,_xlfn.XLOOKUP(1,(D255&lt;=Table7[End])*(E255=Table7[근무처])*(F255=Table7[업무]),Table7[시급],0,0))</f>
        <v>10680</v>
      </c>
      <c r="AD255" s="95"/>
      <c r="AE255" s="94">
        <f t="shared" si="46"/>
        <v>53400</v>
      </c>
      <c r="AF255" s="96" cm="1">
        <f t="array" ref="AF255">IF(AND(AA255&gt;=15,(AA255-U255*24)&lt;=40),IF(Z255&gt;=_xlfn.XLOOKUP(1,(D255&lt;=Table7[End])*(E255=Table7[근무처])*(F255=Table7[업무]),Table7[주휴적용일],0,0),1,0)+_xlfn.XLOOKUP(1,(Table2[주간]=Table2[[#This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55" s="96" cm="1">
        <f t="array" ref="AG255">MAX((_xlfn.IFS(AF255=0,0,AF255=1,AA255,AF255&gt;1,U255*24)-IF(AA255&gt;40,AA255-40,0))/5,0)</f>
        <v>0</v>
      </c>
      <c r="AH255" s="94">
        <f t="shared" si="47"/>
        <v>0</v>
      </c>
      <c r="AI255" s="33" cm="1">
        <f t="array" ref="AI255">IF(W255="",0,ROUND(AC255*U255*24*_xlfn.XLOOKUP(1,(D255&lt;=Table7[End])*(E255=Table7[근무처])*(F255=Table7[업무]),Table7[휴일인센티브],0,0),0))</f>
        <v>0</v>
      </c>
      <c r="AJ255" s="94" cm="1">
        <f t="array" ref="AJ255">ROUND(AC255*IF(U255&gt;=8/24,U255-8/24,0)*24*_xlfn.XLOOKUP(1,(D255&lt;=Table7[End])*(E255=Table7[근무처])*(F255=Table7[업무]),Table7[야간인센티브],0,0),0)</f>
        <v>0</v>
      </c>
      <c r="AK255" s="94" cm="1">
        <f t="array" ref="AK255">IF(V255=0,0,ROUND(AC255*V255*24*_xlfn.XLOOKUP(1,(D255&lt;=Table7[End])*(E255=Table7[근무처])*(F255=Table7[업무]),Table7[야간인센티브],0,0),0))</f>
        <v>0</v>
      </c>
      <c r="AL255" s="95"/>
      <c r="AM255" s="94">
        <f t="shared" si="48"/>
        <v>53400</v>
      </c>
      <c r="AN255" s="94" cm="1">
        <f t="array" ref="AN255">IF(AM255&gt;=_xlfn.XLOOKUP(TRUE,D255&lt;=Table5[End],Table5[비과세소득기준],0,0),AM255-_xlfn.XLOOKUP(TRUE,D255&lt;=Table5[End],Table5[비과세소득기준],0,0),0)</f>
        <v>0</v>
      </c>
      <c r="AO255" s="94" cm="1">
        <f t="array" ref="AO255">ROUNDDOWN(_xlfn.LET(_xlpm.setvalue,_xlfn.XLOOKUP(TRUE,D255&lt;=Table5[End],Table5[[요율]:[근로소득세액공제]],0,0),_xlpm.tax,AN255*PRODUCT((_xlpm.setvalue-{0,1})*{1,-1}),_xlpm.threshold,_xlfn.XLOOKUP(TRUE,D255&lt;=Table5[End],Table5[소액부징수기준],0,0),IF(_xlpm.tax&gt;=_xlpm.threshold,_xlpm.tax,0)),-1)</f>
        <v>0</v>
      </c>
      <c r="AP255" s="94">
        <f>ROUNDDOWN(Table2[[#This Row],[소득세]]*10%,-1)</f>
        <v>0</v>
      </c>
      <c r="AQ255" s="94">
        <f>IF(AB255="v",AM255+IF(Y255=8,SUMIFS(Table2[지급총액],Table2[주민등록번호],O255,Table2[월],R255,Table2[월간
근무일],"&lt;="&amp;8)-AM255,0),0)+_xlfn.NUMBERVALUE(AR255)</f>
        <v>0</v>
      </c>
      <c r="AR255" s="95"/>
      <c r="AS255" s="94" cm="1">
        <f t="array" ref="AS255">ROUNDDOWN($AQ255*_xlfn.XLOOKUP(1,(AS$5=Table8[Type])*($D255&lt;=Table8[End]),Table8[요율],0,0),0)</f>
        <v>0</v>
      </c>
      <c r="AT255" s="94" cm="1">
        <f t="array" ref="AT255">ROUNDDOWN(AS255*_xlfn.XLOOKUP(1,(AT$5=Table8[Type])*($D255&lt;=Table8[End]),Table8[요율],0,0),-1)</f>
        <v>0</v>
      </c>
      <c r="AU255" s="94" cm="1">
        <f t="array" ref="AU255">ROUNDDOWN($AQ255*_xlfn.XLOOKUP(1,(AU$5=Table8[Type])*($D255&lt;=Table8[End]),Table8[요율],0,0),-1)</f>
        <v>0</v>
      </c>
      <c r="AV255" s="94" cm="1">
        <f t="array" ref="AV255">ROUNDDOWN(AM255*_xlfn.XLOOKUP(1,(AV$5=Table8[Type])*($D255&lt;=Table8[End]),Table8[요율],0,0),-1)</f>
        <v>0</v>
      </c>
      <c r="AW255" s="94" cm="1">
        <f t="array" ref="AW255">_xlfn.XLOOKUP(1,(O255=Table2[주민등록번호])*(D255&gt;Table2[근무일자]),Table2[청구 Claim 
이월],0,0,-1)</f>
        <v>0</v>
      </c>
      <c r="AX255" s="95"/>
      <c r="AY255" s="94" cm="1">
        <f t="array" ref="AY255">MAX(SUM(AO255:AP255,AS255:AX255)-_xlfn.XLOOKUP(1,(D255&lt;=Table7[End])*(E255=Table7[근무처])*(F255=Table7[업무]),Table7[1일 공제 상한],0,0),0)</f>
        <v>0</v>
      </c>
      <c r="AZ255" s="94">
        <f t="shared" si="49"/>
        <v>0</v>
      </c>
      <c r="BA255" s="94">
        <f t="shared" si="50"/>
        <v>53400</v>
      </c>
      <c r="BB255" s="97">
        <f t="shared" si="51"/>
        <v>0</v>
      </c>
      <c r="BC255" s="98"/>
      <c r="BD255" s="94">
        <f t="shared" si="52"/>
        <v>0</v>
      </c>
      <c r="BE255" s="94">
        <f t="shared" si="53"/>
        <v>0</v>
      </c>
      <c r="BF255" s="94">
        <f t="shared" si="54"/>
        <v>0</v>
      </c>
      <c r="BG255" s="94">
        <f t="shared" si="55"/>
        <v>0</v>
      </c>
      <c r="BH255" s="94" cm="1">
        <f t="array" ref="BH255">ROUNDDOWN(AM255*_xlfn.XLOOKUP(1,(BH$5=Table8[Type])*($D255&lt;=Table8[End]),Table8[요율],0,0),-1)</f>
        <v>420</v>
      </c>
      <c r="BI255" s="93" t="str" cm="1">
        <f t="array" ref="BI255">_xlfn.XLOOKUP(1,(D255&lt;=Table7[End])*(E255=Table7[근무처])*(F255=Table7[업무]),Table7[지급옵션],0,0)</f>
        <v>차주 화</v>
      </c>
      <c r="BJ255" s="83">
        <f>IF(BK255&lt;&gt;"",BK255,IFERROR(D255+_xlfn.NUMBERVALUE(RIGHT(BI255,1)),D255-WEEKDAY(D255)+CHOOSE(MATCH(RIGHT(BI255),{"일","월","화","수","목","금","토"},0),8,9,10,11,12,13,14)))</f>
        <v>45818</v>
      </c>
      <c r="BK255" s="99"/>
    </row>
    <row r="256" spans="2:63" x14ac:dyDescent="0.35">
      <c r="B256" s="20" t="str" cm="1">
        <f t="array" ref="B256">_xlfn.IFS(BB256&lt;&gt;BC256,"Claim확인",N256&lt;&gt;"OK","확인필요",TRUE,"")</f>
        <v/>
      </c>
      <c r="C256" s="21" t="str">
        <f t="shared" si="42"/>
        <v>010-3X6X-X4X7757X02XX284249</v>
      </c>
      <c r="D256" s="26">
        <v>45811</v>
      </c>
      <c r="E256" s="91" t="s">
        <v>255</v>
      </c>
      <c r="F256" s="25" t="s">
        <v>258</v>
      </c>
      <c r="G256" s="27" t="s">
        <v>283</v>
      </c>
      <c r="H256" s="25" t="s">
        <v>295</v>
      </c>
      <c r="I256" s="25"/>
      <c r="J256" s="25" t="s">
        <v>296</v>
      </c>
      <c r="K256" s="28">
        <v>0.3125</v>
      </c>
      <c r="L256" s="28">
        <v>0.6875</v>
      </c>
      <c r="M256" s="28">
        <v>4.1666666666666664E-2</v>
      </c>
      <c r="N256" s="25" t="s">
        <v>281</v>
      </c>
      <c r="O256" s="29" t="str">
        <f>_xlfn.XLOOKUP(Table2[[#This Row],[Key]],Table1[Key],Table1[주민등록번호],"",0)</f>
        <v>940XX41XX7X32</v>
      </c>
      <c r="P256" s="29">
        <f>_xlfn.XLOOKUP(Table2[[#This Row],[Key]],Table1[Key],Table1[비자],"",0)</f>
        <v>0</v>
      </c>
      <c r="Q256" s="29">
        <f>IF(P256=0,0,_xlfn.XLOOKUP(Table2[[#This Row],[Key]],Table1[Key],Table1[고용보험 여부],0,0))</f>
        <v>0</v>
      </c>
      <c r="R256" s="29" t="str">
        <f t="shared" si="43"/>
        <v>2506</v>
      </c>
      <c r="S256" s="30" t="str">
        <f>YEAR(Table2[[#This Row],[근무일자]])&amp;TEXT(WEEKNUM(Table2[[#This Row],[근무일자]]),"00")</f>
        <v>202523</v>
      </c>
      <c r="T256" s="31">
        <f>_xlfn.XLOOKUP(Table2[[#This Row],[Key]],Table1[Key],Table1[등록일],"",0)</f>
        <v>45751</v>
      </c>
      <c r="U256" s="32">
        <f t="shared" si="44"/>
        <v>0.33333333333333331</v>
      </c>
      <c r="V256" s="92">
        <f t="shared" si="45"/>
        <v>0</v>
      </c>
      <c r="W256" s="100" t="str">
        <f>_xlfn.XLOOKUP(Table2[[#This Row],[근무일자]],Table3[Date],Table3[Holiday],"",0)</f>
        <v>대통령 선거</v>
      </c>
      <c r="X256" s="93">
        <f>IF(D256&lt;&gt;"",1,0)+IF(COUNTIFS(Table2[주민등록번호],O256,Table2[월],TEXT(EOMONTH(D256,-1),"YYMM"))&gt;0,1+IF(COUNTIFS(Table2[주민등록번호],O256,Table2[월],TEXT(EOMONTH(D256,-2),"YYMM"))&gt;0,1+IF(COUNTIFS(Table2[주민등록번호],O256,Table2[월],TEXT(EOMONTH(D256,-3),"YYMM"))&gt;0,1,0),0),0)</f>
        <v>3</v>
      </c>
      <c r="Y256" s="29">
        <f>COUNTIFS(Table2[주민등록번호],O256,Table2[월],R256,Table2[근무일자],"&lt;="&amp;D256)</f>
        <v>3</v>
      </c>
      <c r="Z256" s="29">
        <f>COUNTIFS(Table2[주민등록번호],O256,Table2[주간],S256,Table2[근무일자],"&lt;="&amp;D256)</f>
        <v>3</v>
      </c>
      <c r="AA256" s="29">
        <f>SUMIFS(Table2[근로
시간],Table2[주민등록번호],O256,Table2[주간],S256,Table2[근무일자],"&lt;="&amp;D256)*24</f>
        <v>17.999999999999996</v>
      </c>
      <c r="AB256" s="29" t="str">
        <f>IF(AND(Y256&gt;=8,COUNTIFS(Table2[주민등록번호],O256,Table2[근무일자],"&gt;="&amp;EOMONTH(D256,-2)+1,Table2[근무일자],"&lt;="&amp;EOMONTH(D256,-1)+1)&gt;0),"V","")</f>
        <v/>
      </c>
      <c r="AC256" s="94" cm="1">
        <f t="array" ref="AC256">IF(AD256&lt;&gt;"",AD256,_xlfn.XLOOKUP(1,(D256&lt;=Table7[End])*(E256=Table7[근무처])*(F256=Table7[업무]),Table7[시급],0,0))</f>
        <v>10680</v>
      </c>
      <c r="AD256" s="95"/>
      <c r="AE256" s="94">
        <f t="shared" si="46"/>
        <v>85440</v>
      </c>
      <c r="AF256" s="96" cm="1">
        <f t="array" ref="AF256">IF(AND(AA256&gt;=15,(AA256-U256*24)&lt;=40),IF(Z256&gt;=_xlfn.XLOOKUP(1,(D256&lt;=Table7[End])*(E256=Table7[근무처])*(F256=Table7[업무]),Table7[주휴적용일],0,0),1,0)+_xlfn.XLOOKUP(1,(Table2[주간]=Table2[[#This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56" s="96" cm="1">
        <f t="array" ref="AG256">MAX((_xlfn.IFS(AF256=0,0,AF256=1,AA256,AF256&gt;1,U256*24)-IF(AA256&gt;40,AA256-40,0))/5,0)</f>
        <v>3.5999999999999992</v>
      </c>
      <c r="AH256" s="94">
        <f t="shared" si="47"/>
        <v>38448</v>
      </c>
      <c r="AI256" s="33" cm="1">
        <f t="array" ref="AI256">IF(W256="",0,ROUND(AC256*U256*24*_xlfn.XLOOKUP(1,(D256&lt;=Table7[End])*(E256=Table7[근무처])*(F256=Table7[업무]),Table7[휴일인센티브],0,0),0))</f>
        <v>42720</v>
      </c>
      <c r="AJ256" s="94" cm="1">
        <f t="array" ref="AJ256">ROUND(AC256*IF(U256&gt;=8/24,U256-8/24,0)*24*_xlfn.XLOOKUP(1,(D256&lt;=Table7[End])*(E256=Table7[근무처])*(F256=Table7[업무]),Table7[야간인센티브],0,0),0)</f>
        <v>0</v>
      </c>
      <c r="AK256" s="94" cm="1">
        <f t="array" ref="AK256">IF(V256=0,0,ROUND(AC256*V256*24*_xlfn.XLOOKUP(1,(D256&lt;=Table7[End])*(E256=Table7[근무처])*(F256=Table7[업무]),Table7[야간인센티브],0,0),0))</f>
        <v>0</v>
      </c>
      <c r="AL256" s="95"/>
      <c r="AM256" s="94">
        <f t="shared" si="48"/>
        <v>166608</v>
      </c>
      <c r="AN256" s="94" cm="1">
        <f t="array" ref="AN256">IF(AM256&gt;=_xlfn.XLOOKUP(TRUE,D256&lt;=Table5[End],Table5[비과세소득기준],0,0),AM256-_xlfn.XLOOKUP(TRUE,D256&lt;=Table5[End],Table5[비과세소득기준],0,0),0)</f>
        <v>16608</v>
      </c>
      <c r="AO256" s="94" cm="1">
        <f t="array" ref="AO256">ROUNDDOWN(_xlfn.LET(_xlpm.setvalue,_xlfn.XLOOKUP(TRUE,D256&lt;=Table5[End],Table5[[요율]:[근로소득세액공제]],0,0),_xlpm.tax,AN256*PRODUCT((_xlpm.setvalue-{0,1})*{1,-1}),_xlpm.threshold,_xlfn.XLOOKUP(TRUE,D256&lt;=Table5[End],Table5[소액부징수기준],0,0),IF(_xlpm.tax&gt;=_xlpm.threshold,_xlpm.tax,0)),-1)</f>
        <v>0</v>
      </c>
      <c r="AP256" s="94">
        <f>ROUNDDOWN(Table2[[#This Row],[소득세]]*10%,-1)</f>
        <v>0</v>
      </c>
      <c r="AQ256" s="94">
        <f>IF(AB256="v",AM256+IF(Y256=8,SUMIFS(Table2[지급총액],Table2[주민등록번호],O256,Table2[월],R256,Table2[월간
근무일],"&lt;="&amp;8)-AM256,0),0)+_xlfn.NUMBERVALUE(AR256)</f>
        <v>0</v>
      </c>
      <c r="AR256" s="95"/>
      <c r="AS256" s="94" cm="1">
        <f t="array" ref="AS256">ROUNDDOWN($AQ256*_xlfn.XLOOKUP(1,(AS$5=Table8[Type])*($D256&lt;=Table8[End]),Table8[요율],0,0),0)</f>
        <v>0</v>
      </c>
      <c r="AT256" s="94" cm="1">
        <f t="array" ref="AT256">ROUNDDOWN(AS256*_xlfn.XLOOKUP(1,(AT$5=Table8[Type])*($D256&lt;=Table8[End]),Table8[요율],0,0),-1)</f>
        <v>0</v>
      </c>
      <c r="AU256" s="94" cm="1">
        <f t="array" ref="AU256">ROUNDDOWN($AQ256*_xlfn.XLOOKUP(1,(AU$5=Table8[Type])*($D256&lt;=Table8[End]),Table8[요율],0,0),-1)</f>
        <v>0</v>
      </c>
      <c r="AV256" s="94" cm="1">
        <f t="array" ref="AV256">ROUNDDOWN(AM256*_xlfn.XLOOKUP(1,(AV$5=Table8[Type])*($D256&lt;=Table8[End]),Table8[요율],0,0),-1)</f>
        <v>0</v>
      </c>
      <c r="AW256" s="94" cm="1">
        <f t="array" ref="AW256">_xlfn.XLOOKUP(1,(O256=Table2[주민등록번호])*(D256&gt;Table2[근무일자]),Table2[청구 Claim 
이월],0,0,-1)</f>
        <v>0</v>
      </c>
      <c r="AX256" s="95"/>
      <c r="AY256" s="94" cm="1">
        <f t="array" ref="AY256">MAX(SUM(AO256:AP256,AS256:AX256)-_xlfn.XLOOKUP(1,(D256&lt;=Table7[End])*(E256=Table7[근무처])*(F256=Table7[업무]),Table7[1일 공제 상한],0,0),0)</f>
        <v>0</v>
      </c>
      <c r="AZ256" s="94">
        <f t="shared" si="49"/>
        <v>0</v>
      </c>
      <c r="BA256" s="94">
        <f t="shared" si="50"/>
        <v>166608</v>
      </c>
      <c r="BB256" s="97">
        <f t="shared" si="51"/>
        <v>0</v>
      </c>
      <c r="BC256" s="98"/>
      <c r="BD256" s="94">
        <f t="shared" si="52"/>
        <v>0</v>
      </c>
      <c r="BE256" s="94">
        <f t="shared" si="53"/>
        <v>0</v>
      </c>
      <c r="BF256" s="94">
        <f t="shared" si="54"/>
        <v>0</v>
      </c>
      <c r="BG256" s="94">
        <f t="shared" si="55"/>
        <v>0</v>
      </c>
      <c r="BH256" s="94" cm="1">
        <f t="array" ref="BH256">ROUNDDOWN(AM256*_xlfn.XLOOKUP(1,(BH$5=Table8[Type])*($D256&lt;=Table8[End]),Table8[요율],0,0),-1)</f>
        <v>1330</v>
      </c>
      <c r="BI256" s="93" t="str" cm="1">
        <f t="array" ref="BI256">_xlfn.XLOOKUP(1,(D256&lt;=Table7[End])*(E256=Table7[근무처])*(F256=Table7[업무]),Table7[지급옵션],0,0)</f>
        <v>차주 화</v>
      </c>
      <c r="BJ256" s="83">
        <f>IF(BK256&lt;&gt;"",BK256,IFERROR(D256+_xlfn.NUMBERVALUE(RIGHT(BI256,1)),D256-WEEKDAY(D256)+CHOOSE(MATCH(RIGHT(BI256),{"일","월","화","수","목","금","토"},0),8,9,10,11,12,13,14)))</f>
        <v>45818</v>
      </c>
      <c r="BK256" s="99"/>
    </row>
    <row r="257" spans="2:63" x14ac:dyDescent="0.35">
      <c r="B257" s="20" t="str" cm="1">
        <f t="array" ref="B257">_xlfn.IFS(BB257&lt;&gt;BC257,"Claim확인",N257&lt;&gt;"OK","확인필요",TRUE,"")</f>
        <v/>
      </c>
      <c r="C257" s="21" t="str">
        <f t="shared" si="42"/>
        <v>010-3X4X-X9X7219X02XX284640</v>
      </c>
      <c r="D257" s="26">
        <v>45811</v>
      </c>
      <c r="E257" s="91" t="s">
        <v>253</v>
      </c>
      <c r="F257" s="25" t="s">
        <v>257</v>
      </c>
      <c r="G257" s="27" t="s">
        <v>286</v>
      </c>
      <c r="H257" s="25" t="s">
        <v>299</v>
      </c>
      <c r="I257" s="25"/>
      <c r="J257" s="25" t="s">
        <v>300</v>
      </c>
      <c r="K257" s="28">
        <v>0.6875</v>
      </c>
      <c r="L257" s="28">
        <v>0.91666666666666663</v>
      </c>
      <c r="M257" s="28">
        <v>2.0833333333333332E-2</v>
      </c>
      <c r="N257" s="25" t="s">
        <v>281</v>
      </c>
      <c r="O257" s="29" t="str">
        <f>_xlfn.XLOOKUP(Table2[[#This Row],[Key]],Table1[Key],Table1[주민등록번호],"",0)</f>
        <v>931XX31XX3X14</v>
      </c>
      <c r="P257" s="29">
        <f>_xlfn.XLOOKUP(Table2[[#This Row],[Key]],Table1[Key],Table1[비자],"",0)</f>
        <v>0</v>
      </c>
      <c r="Q257" s="29">
        <f>IF(P257=0,0,_xlfn.XLOOKUP(Table2[[#This Row],[Key]],Table1[Key],Table1[고용보험 여부],0,0))</f>
        <v>0</v>
      </c>
      <c r="R257" s="29" t="str">
        <f t="shared" si="43"/>
        <v>2506</v>
      </c>
      <c r="S257" s="30" t="str">
        <f>YEAR(Table2[[#This Row],[근무일자]])&amp;TEXT(WEEKNUM(Table2[[#This Row],[근무일자]]),"00")</f>
        <v>202523</v>
      </c>
      <c r="T257" s="31">
        <f>_xlfn.XLOOKUP(Table2[[#This Row],[Key]],Table1[Key],Table1[등록일],"",0)</f>
        <v>45773</v>
      </c>
      <c r="U257" s="32">
        <f t="shared" si="44"/>
        <v>0.20833333333333329</v>
      </c>
      <c r="V257" s="92">
        <f t="shared" si="45"/>
        <v>0</v>
      </c>
      <c r="W257" s="100" t="str">
        <f>_xlfn.XLOOKUP(Table2[[#This Row],[근무일자]],Table3[Date],Table3[Holiday],"",0)</f>
        <v>대통령 선거</v>
      </c>
      <c r="X257" s="93">
        <f>IF(D257&lt;&gt;"",1,0)+IF(COUNTIFS(Table2[주민등록번호],O257,Table2[월],TEXT(EOMONTH(D257,-1),"YYMM"))&gt;0,1+IF(COUNTIFS(Table2[주민등록번호],O257,Table2[월],TEXT(EOMONTH(D257,-2),"YYMM"))&gt;0,1+IF(COUNTIFS(Table2[주민등록번호],O257,Table2[월],TEXT(EOMONTH(D257,-3),"YYMM"))&gt;0,1,0),0),0)</f>
        <v>4</v>
      </c>
      <c r="Y257" s="29">
        <f>COUNTIFS(Table2[주민등록번호],O257,Table2[월],R257,Table2[근무일자],"&lt;="&amp;D257)</f>
        <v>2</v>
      </c>
      <c r="Z257" s="29">
        <f>COUNTIFS(Table2[주민등록번호],O257,Table2[주간],S257,Table2[근무일자],"&lt;="&amp;D257)</f>
        <v>2</v>
      </c>
      <c r="AA257" s="29">
        <f>SUMIFS(Table2[근로
시간],Table2[주민등록번호],O257,Table2[주간],S257,Table2[근무일자],"&lt;="&amp;D257)*24</f>
        <v>9.9999999999999982</v>
      </c>
      <c r="AB257" s="29" t="str">
        <f>IF(AND(Y257&gt;=8,COUNTIFS(Table2[주민등록번호],O257,Table2[근무일자],"&gt;="&amp;EOMONTH(D257,-2)+1,Table2[근무일자],"&lt;="&amp;EOMONTH(D257,-1)+1)&gt;0),"V","")</f>
        <v/>
      </c>
      <c r="AC257" s="94" cm="1">
        <f t="array" ref="AC257">IF(AD257&lt;&gt;"",AD257,_xlfn.XLOOKUP(1,(D257&lt;=Table7[End])*(E257=Table7[근무처])*(F257=Table7[업무]),Table7[시급],0,0))</f>
        <v>10030</v>
      </c>
      <c r="AD257" s="95"/>
      <c r="AE257" s="94">
        <f t="shared" si="46"/>
        <v>50150</v>
      </c>
      <c r="AF257" s="96" cm="1">
        <f t="array" ref="AF257">IF(AND(AA257&gt;=15,(AA257-U257*24)&lt;=40),IF(Z257&gt;=_xlfn.XLOOKUP(1,(D257&lt;=Table7[End])*(E257=Table7[근무처])*(F257=Table7[업무]),Table7[주휴적용일],0,0),1,0)+_xlfn.XLOOKUP(1,(Table2[주간]=Table2[[#This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57" s="96" cm="1">
        <f t="array" ref="AG257">MAX((_xlfn.IFS(AF257=0,0,AF257=1,AA257,AF257&gt;1,U257*24)-IF(AA257&gt;40,AA257-40,0))/5,0)</f>
        <v>0</v>
      </c>
      <c r="AH257" s="94">
        <f t="shared" si="47"/>
        <v>0</v>
      </c>
      <c r="AI257" s="33" cm="1">
        <f t="array" ref="AI257">IF(W257="",0,ROUND(AC257*U257*24*_xlfn.XLOOKUP(1,(D257&lt;=Table7[End])*(E257=Table7[근무처])*(F257=Table7[업무]),Table7[휴일인센티브],0,0),0))</f>
        <v>25075</v>
      </c>
      <c r="AJ257" s="94" cm="1">
        <f t="array" ref="AJ257">ROUND(AC257*IF(U257&gt;=8/24,U257-8/24,0)*24*_xlfn.XLOOKUP(1,(D257&lt;=Table7[End])*(E257=Table7[근무처])*(F257=Table7[업무]),Table7[야간인센티브],0,0),0)</f>
        <v>0</v>
      </c>
      <c r="AK257" s="94" cm="1">
        <f t="array" ref="AK257">IF(V257=0,0,ROUND(AC257*V257*24*_xlfn.XLOOKUP(1,(D257&lt;=Table7[End])*(E257=Table7[근무처])*(F257=Table7[업무]),Table7[야간인센티브],0,0),0))</f>
        <v>0</v>
      </c>
      <c r="AL257" s="95"/>
      <c r="AM257" s="94">
        <f t="shared" si="48"/>
        <v>75225</v>
      </c>
      <c r="AN257" s="94" cm="1">
        <f t="array" ref="AN257">IF(AM257&gt;=_xlfn.XLOOKUP(TRUE,D257&lt;=Table5[End],Table5[비과세소득기준],0,0),AM257-_xlfn.XLOOKUP(TRUE,D257&lt;=Table5[End],Table5[비과세소득기준],0,0),0)</f>
        <v>0</v>
      </c>
      <c r="AO257" s="94" cm="1">
        <f t="array" ref="AO257">ROUNDDOWN(_xlfn.LET(_xlpm.setvalue,_xlfn.XLOOKUP(TRUE,D257&lt;=Table5[End],Table5[[요율]:[근로소득세액공제]],0,0),_xlpm.tax,AN257*PRODUCT((_xlpm.setvalue-{0,1})*{1,-1}),_xlpm.threshold,_xlfn.XLOOKUP(TRUE,D257&lt;=Table5[End],Table5[소액부징수기준],0,0),IF(_xlpm.tax&gt;=_xlpm.threshold,_xlpm.tax,0)),-1)</f>
        <v>0</v>
      </c>
      <c r="AP257" s="94">
        <f>ROUNDDOWN(Table2[[#This Row],[소득세]]*10%,-1)</f>
        <v>0</v>
      </c>
      <c r="AQ257" s="94">
        <f>IF(AB257="v",AM257+IF(Y257=8,SUMIFS(Table2[지급총액],Table2[주민등록번호],O257,Table2[월],R257,Table2[월간
근무일],"&lt;="&amp;8)-AM257,0),0)+_xlfn.NUMBERVALUE(AR257)</f>
        <v>0</v>
      </c>
      <c r="AR257" s="95"/>
      <c r="AS257" s="94" cm="1">
        <f t="array" ref="AS257">ROUNDDOWN($AQ257*_xlfn.XLOOKUP(1,(AS$5=Table8[Type])*($D257&lt;=Table8[End]),Table8[요율],0,0),0)</f>
        <v>0</v>
      </c>
      <c r="AT257" s="94" cm="1">
        <f t="array" ref="AT257">ROUNDDOWN(AS257*_xlfn.XLOOKUP(1,(AT$5=Table8[Type])*($D257&lt;=Table8[End]),Table8[요율],0,0),-1)</f>
        <v>0</v>
      </c>
      <c r="AU257" s="94" cm="1">
        <f t="array" ref="AU257">ROUNDDOWN($AQ257*_xlfn.XLOOKUP(1,(AU$5=Table8[Type])*($D257&lt;=Table8[End]),Table8[요율],0,0),-1)</f>
        <v>0</v>
      </c>
      <c r="AV257" s="94" cm="1">
        <f t="array" ref="AV257">ROUNDDOWN(AM257*_xlfn.XLOOKUP(1,(AV$5=Table8[Type])*($D257&lt;=Table8[End]),Table8[요율],0,0),-1)</f>
        <v>0</v>
      </c>
      <c r="AW257" s="94" cm="1">
        <f t="array" ref="AW257">_xlfn.XLOOKUP(1,(O257=Table2[주민등록번호])*(D257&gt;Table2[근무일자]),Table2[청구 Claim 
이월],0,0,-1)</f>
        <v>0</v>
      </c>
      <c r="AX257" s="95"/>
      <c r="AY257" s="94" cm="1">
        <f t="array" ref="AY257">MAX(SUM(AO257:AP257,AS257:AX257)-_xlfn.XLOOKUP(1,(D257&lt;=Table7[End])*(E257=Table7[근무처])*(F257=Table7[업무]),Table7[1일 공제 상한],0,0),0)</f>
        <v>0</v>
      </c>
      <c r="AZ257" s="94">
        <f t="shared" si="49"/>
        <v>0</v>
      </c>
      <c r="BA257" s="94">
        <f t="shared" si="50"/>
        <v>75225</v>
      </c>
      <c r="BB257" s="97">
        <f t="shared" si="51"/>
        <v>0</v>
      </c>
      <c r="BC257" s="98"/>
      <c r="BD257" s="94">
        <f t="shared" si="52"/>
        <v>0</v>
      </c>
      <c r="BE257" s="94">
        <f t="shared" si="53"/>
        <v>0</v>
      </c>
      <c r="BF257" s="94">
        <f t="shared" si="54"/>
        <v>0</v>
      </c>
      <c r="BG257" s="94">
        <f t="shared" si="55"/>
        <v>0</v>
      </c>
      <c r="BH257" s="94" cm="1">
        <f t="array" ref="BH257">ROUNDDOWN(AM257*_xlfn.XLOOKUP(1,(BH$5=Table8[Type])*($D257&lt;=Table8[End]),Table8[요율],0,0),-1)</f>
        <v>600</v>
      </c>
      <c r="BI257" s="93" t="str" cm="1">
        <f t="array" ref="BI257">_xlfn.XLOOKUP(1,(D257&lt;=Table7[End])*(E257=Table7[근무처])*(F257=Table7[업무]),Table7[지급옵션],0,0)</f>
        <v>D+2</v>
      </c>
      <c r="BJ257" s="83">
        <f>IF(BK257&lt;&gt;"",BK257,IFERROR(D257+_xlfn.NUMBERVALUE(RIGHT(BI257,1)),D257-WEEKDAY(D257)+CHOOSE(MATCH(RIGHT(BI257),{"일","월","화","수","목","금","토"},0),8,9,10,11,12,13,14)))</f>
        <v>45813</v>
      </c>
      <c r="BK257" s="99"/>
    </row>
    <row r="258" spans="2:63" x14ac:dyDescent="0.35">
      <c r="B258" s="20" t="str" cm="1">
        <f t="array" ref="B258">_xlfn.IFS(BB258&lt;&gt;BC258,"Claim확인",N258&lt;&gt;"OK","확인필요",TRUE,"")</f>
        <v/>
      </c>
      <c r="C258" s="21" t="str">
        <f t="shared" si="42"/>
        <v>010-3X6X-X4X7757X02XX284249</v>
      </c>
      <c r="D258" s="26">
        <v>45812</v>
      </c>
      <c r="E258" s="91" t="s">
        <v>255</v>
      </c>
      <c r="F258" s="25" t="s">
        <v>258</v>
      </c>
      <c r="G258" s="27" t="s">
        <v>283</v>
      </c>
      <c r="H258" s="25" t="s">
        <v>295</v>
      </c>
      <c r="I258" s="25"/>
      <c r="J258" s="25" t="s">
        <v>296</v>
      </c>
      <c r="K258" s="28">
        <v>0.3125</v>
      </c>
      <c r="L258" s="28">
        <v>0.54166666666666663</v>
      </c>
      <c r="M258" s="28">
        <v>2.0833333333333332E-2</v>
      </c>
      <c r="N258" s="25" t="s">
        <v>281</v>
      </c>
      <c r="O258" s="29" t="str">
        <f>_xlfn.XLOOKUP(Table2[[#This Row],[Key]],Table1[Key],Table1[주민등록번호],"",0)</f>
        <v>940XX41XX7X32</v>
      </c>
      <c r="P258" s="29">
        <f>_xlfn.XLOOKUP(Table2[[#This Row],[Key]],Table1[Key],Table1[비자],"",0)</f>
        <v>0</v>
      </c>
      <c r="Q258" s="29">
        <f>IF(P258=0,0,_xlfn.XLOOKUP(Table2[[#This Row],[Key]],Table1[Key],Table1[고용보험 여부],0,0))</f>
        <v>0</v>
      </c>
      <c r="R258" s="29" t="str">
        <f t="shared" si="43"/>
        <v>2506</v>
      </c>
      <c r="S258" s="30" t="str">
        <f>YEAR(Table2[[#This Row],[근무일자]])&amp;TEXT(WEEKNUM(Table2[[#This Row],[근무일자]]),"00")</f>
        <v>202523</v>
      </c>
      <c r="T258" s="31">
        <f>_xlfn.XLOOKUP(Table2[[#This Row],[Key]],Table1[Key],Table1[등록일],"",0)</f>
        <v>45751</v>
      </c>
      <c r="U258" s="32">
        <f t="shared" si="44"/>
        <v>0.20833333333333329</v>
      </c>
      <c r="V258" s="92">
        <f t="shared" si="45"/>
        <v>0</v>
      </c>
      <c r="W258" s="100" t="str">
        <f>_xlfn.XLOOKUP(Table2[[#This Row],[근무일자]],Table3[Date],Table3[Holiday],"",0)</f>
        <v/>
      </c>
      <c r="X258" s="93">
        <f>IF(D258&lt;&gt;"",1,0)+IF(COUNTIFS(Table2[주민등록번호],O258,Table2[월],TEXT(EOMONTH(D258,-1),"YYMM"))&gt;0,1+IF(COUNTIFS(Table2[주민등록번호],O258,Table2[월],TEXT(EOMONTH(D258,-2),"YYMM"))&gt;0,1+IF(COUNTIFS(Table2[주민등록번호],O258,Table2[월],TEXT(EOMONTH(D258,-3),"YYMM"))&gt;0,1,0),0),0)</f>
        <v>3</v>
      </c>
      <c r="Y258" s="29">
        <f>COUNTIFS(Table2[주민등록번호],O258,Table2[월],R258,Table2[근무일자],"&lt;="&amp;D258)</f>
        <v>4</v>
      </c>
      <c r="Z258" s="29">
        <f>COUNTIFS(Table2[주민등록번호],O258,Table2[주간],S258,Table2[근무일자],"&lt;="&amp;D258)</f>
        <v>4</v>
      </c>
      <c r="AA258" s="29">
        <f>SUMIFS(Table2[근로
시간],Table2[주민등록번호],O258,Table2[주간],S258,Table2[근무일자],"&lt;="&amp;D258)*24</f>
        <v>22.999999999999996</v>
      </c>
      <c r="AB258" s="29" t="str">
        <f>IF(AND(Y258&gt;=8,COUNTIFS(Table2[주민등록번호],O258,Table2[근무일자],"&gt;="&amp;EOMONTH(D258,-2)+1,Table2[근무일자],"&lt;="&amp;EOMONTH(D258,-1)+1)&gt;0),"V","")</f>
        <v/>
      </c>
      <c r="AC258" s="94" cm="1">
        <f t="array" ref="AC258">IF(AD258&lt;&gt;"",AD258,_xlfn.XLOOKUP(1,(D258&lt;=Table7[End])*(E258=Table7[근무처])*(F258=Table7[업무]),Table7[시급],0,0))</f>
        <v>10680</v>
      </c>
      <c r="AD258" s="95"/>
      <c r="AE258" s="94">
        <f t="shared" si="46"/>
        <v>53400</v>
      </c>
      <c r="AF258" s="96" cm="1">
        <f t="array" ref="AF258">IF(AND(AA258&gt;=15,(AA258-U258*24)&lt;=40),IF(Z258&gt;=_xlfn.XLOOKUP(1,(D258&lt;=Table7[End])*(E258=Table7[근무처])*(F258=Table7[업무]),Table7[주휴적용일],0,0),1,0)+_xlfn.XLOOKUP(1,(Table2[주간]=Table2[[#This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58" s="96" cm="1">
        <f t="array" ref="AG258">MAX((_xlfn.IFS(AF258=0,0,AF258=1,AA258,AF258&gt;1,U258*24)-IF(AA258&gt;40,AA258-40,0))/5,0)</f>
        <v>0.99999999999999978</v>
      </c>
      <c r="AH258" s="94">
        <f t="shared" si="47"/>
        <v>10680</v>
      </c>
      <c r="AI258" s="33" cm="1">
        <f t="array" ref="AI258">IF(W258="",0,ROUND(AC258*U258*24*_xlfn.XLOOKUP(1,(D258&lt;=Table7[End])*(E258=Table7[근무처])*(F258=Table7[업무]),Table7[휴일인센티브],0,0),0))</f>
        <v>0</v>
      </c>
      <c r="AJ258" s="94" cm="1">
        <f t="array" ref="AJ258">ROUND(AC258*IF(U258&gt;=8/24,U258-8/24,0)*24*_xlfn.XLOOKUP(1,(D258&lt;=Table7[End])*(E258=Table7[근무처])*(F258=Table7[업무]),Table7[야간인센티브],0,0),0)</f>
        <v>0</v>
      </c>
      <c r="AK258" s="94" cm="1">
        <f t="array" ref="AK258">IF(V258=0,0,ROUND(AC258*V258*24*_xlfn.XLOOKUP(1,(D258&lt;=Table7[End])*(E258=Table7[근무처])*(F258=Table7[업무]),Table7[야간인센티브],0,0),0))</f>
        <v>0</v>
      </c>
      <c r="AL258" s="95"/>
      <c r="AM258" s="94">
        <f t="shared" si="48"/>
        <v>64080</v>
      </c>
      <c r="AN258" s="94" cm="1">
        <f t="array" ref="AN258">IF(AM258&gt;=_xlfn.XLOOKUP(TRUE,D258&lt;=Table5[End],Table5[비과세소득기준],0,0),AM258-_xlfn.XLOOKUP(TRUE,D258&lt;=Table5[End],Table5[비과세소득기준],0,0),0)</f>
        <v>0</v>
      </c>
      <c r="AO258" s="94" cm="1">
        <f t="array" ref="AO258">ROUNDDOWN(_xlfn.LET(_xlpm.setvalue,_xlfn.XLOOKUP(TRUE,D258&lt;=Table5[End],Table5[[요율]:[근로소득세액공제]],0,0),_xlpm.tax,AN258*PRODUCT((_xlpm.setvalue-{0,1})*{1,-1}),_xlpm.threshold,_xlfn.XLOOKUP(TRUE,D258&lt;=Table5[End],Table5[소액부징수기준],0,0),IF(_xlpm.tax&gt;=_xlpm.threshold,_xlpm.tax,0)),-1)</f>
        <v>0</v>
      </c>
      <c r="AP258" s="94">
        <f>ROUNDDOWN(Table2[[#This Row],[소득세]]*10%,-1)</f>
        <v>0</v>
      </c>
      <c r="AQ258" s="94">
        <f>IF(AB258="v",AM258+IF(Y258=8,SUMIFS(Table2[지급총액],Table2[주민등록번호],O258,Table2[월],R258,Table2[월간
근무일],"&lt;="&amp;8)-AM258,0),0)+_xlfn.NUMBERVALUE(AR258)</f>
        <v>0</v>
      </c>
      <c r="AR258" s="95"/>
      <c r="AS258" s="94" cm="1">
        <f t="array" ref="AS258">ROUNDDOWN($AQ258*_xlfn.XLOOKUP(1,(AS$5=Table8[Type])*($D258&lt;=Table8[End]),Table8[요율],0,0),0)</f>
        <v>0</v>
      </c>
      <c r="AT258" s="94" cm="1">
        <f t="array" ref="AT258">ROUNDDOWN(AS258*_xlfn.XLOOKUP(1,(AT$5=Table8[Type])*($D258&lt;=Table8[End]),Table8[요율],0,0),-1)</f>
        <v>0</v>
      </c>
      <c r="AU258" s="94" cm="1">
        <f t="array" ref="AU258">ROUNDDOWN($AQ258*_xlfn.XLOOKUP(1,(AU$5=Table8[Type])*($D258&lt;=Table8[End]),Table8[요율],0,0),-1)</f>
        <v>0</v>
      </c>
      <c r="AV258" s="94" cm="1">
        <f t="array" ref="AV258">ROUNDDOWN(AM258*_xlfn.XLOOKUP(1,(AV$5=Table8[Type])*($D258&lt;=Table8[End]),Table8[요율],0,0),-1)</f>
        <v>0</v>
      </c>
      <c r="AW258" s="94" cm="1">
        <f t="array" ref="AW258">_xlfn.XLOOKUP(1,(O258=Table2[주민등록번호])*(D258&gt;Table2[근무일자]),Table2[청구 Claim 
이월],0,0,-1)</f>
        <v>0</v>
      </c>
      <c r="AX258" s="95"/>
      <c r="AY258" s="94" cm="1">
        <f t="array" ref="AY258">MAX(SUM(AO258:AP258,AS258:AX258)-_xlfn.XLOOKUP(1,(D258&lt;=Table7[End])*(E258=Table7[근무처])*(F258=Table7[업무]),Table7[1일 공제 상한],0,0),0)</f>
        <v>0</v>
      </c>
      <c r="AZ258" s="94">
        <f t="shared" si="49"/>
        <v>0</v>
      </c>
      <c r="BA258" s="94">
        <f t="shared" si="50"/>
        <v>64080</v>
      </c>
      <c r="BB258" s="97">
        <f t="shared" si="51"/>
        <v>0</v>
      </c>
      <c r="BC258" s="98"/>
      <c r="BD258" s="94">
        <f t="shared" si="52"/>
        <v>0</v>
      </c>
      <c r="BE258" s="94">
        <f t="shared" si="53"/>
        <v>0</v>
      </c>
      <c r="BF258" s="94">
        <f t="shared" si="54"/>
        <v>0</v>
      </c>
      <c r="BG258" s="94">
        <f t="shared" si="55"/>
        <v>0</v>
      </c>
      <c r="BH258" s="94" cm="1">
        <f t="array" ref="BH258">ROUNDDOWN(AM258*_xlfn.XLOOKUP(1,(BH$5=Table8[Type])*($D258&lt;=Table8[End]),Table8[요율],0,0),-1)</f>
        <v>510</v>
      </c>
      <c r="BI258" s="93" t="str" cm="1">
        <f t="array" ref="BI258">_xlfn.XLOOKUP(1,(D258&lt;=Table7[End])*(E258=Table7[근무처])*(F258=Table7[업무]),Table7[지급옵션],0,0)</f>
        <v>차주 화</v>
      </c>
      <c r="BJ258" s="83">
        <f>IF(BK258&lt;&gt;"",BK258,IFERROR(D258+_xlfn.NUMBERVALUE(RIGHT(BI258,1)),D258-WEEKDAY(D258)+CHOOSE(MATCH(RIGHT(BI258),{"일","월","화","수","목","금","토"},0),8,9,10,11,12,13,14)))</f>
        <v>45818</v>
      </c>
      <c r="BK258" s="99"/>
    </row>
    <row r="259" spans="2:63" x14ac:dyDescent="0.35">
      <c r="B259" s="20" t="str" cm="1">
        <f t="array" ref="B259">_xlfn.IFS(BB259&lt;&gt;BC259,"Claim확인",N259&lt;&gt;"OK","확인필요",TRUE,"")</f>
        <v/>
      </c>
      <c r="C259" s="21" t="str">
        <f t="shared" si="42"/>
        <v>010-3X6X-X4X7757X02XX284249</v>
      </c>
      <c r="D259" s="26">
        <v>45813</v>
      </c>
      <c r="E259" s="91" t="s">
        <v>255</v>
      </c>
      <c r="F259" s="25" t="s">
        <v>258</v>
      </c>
      <c r="G259" s="27" t="s">
        <v>283</v>
      </c>
      <c r="H259" s="25" t="s">
        <v>295</v>
      </c>
      <c r="I259" s="25"/>
      <c r="J259" s="25" t="s">
        <v>296</v>
      </c>
      <c r="K259" s="28">
        <v>0.3125</v>
      </c>
      <c r="L259" s="28">
        <v>0.54166666666666663</v>
      </c>
      <c r="M259" s="28">
        <v>2.0833333333333332E-2</v>
      </c>
      <c r="N259" s="25" t="s">
        <v>281</v>
      </c>
      <c r="O259" s="29" t="str">
        <f>_xlfn.XLOOKUP(Table2[[#This Row],[Key]],Table1[Key],Table1[주민등록번호],"",0)</f>
        <v>940XX41XX7X32</v>
      </c>
      <c r="P259" s="29">
        <f>_xlfn.XLOOKUP(Table2[[#This Row],[Key]],Table1[Key],Table1[비자],"",0)</f>
        <v>0</v>
      </c>
      <c r="Q259" s="29">
        <f>IF(P259=0,0,_xlfn.XLOOKUP(Table2[[#This Row],[Key]],Table1[Key],Table1[고용보험 여부],0,0))</f>
        <v>0</v>
      </c>
      <c r="R259" s="29" t="str">
        <f t="shared" si="43"/>
        <v>2506</v>
      </c>
      <c r="S259" s="30" t="str">
        <f>YEAR(Table2[[#This Row],[근무일자]])&amp;TEXT(WEEKNUM(Table2[[#This Row],[근무일자]]),"00")</f>
        <v>202523</v>
      </c>
      <c r="T259" s="31">
        <f>_xlfn.XLOOKUP(Table2[[#This Row],[Key]],Table1[Key],Table1[등록일],"",0)</f>
        <v>45751</v>
      </c>
      <c r="U259" s="32">
        <f t="shared" si="44"/>
        <v>0.20833333333333329</v>
      </c>
      <c r="V259" s="92">
        <f t="shared" si="45"/>
        <v>0</v>
      </c>
      <c r="W259" s="100" t="str">
        <f>_xlfn.XLOOKUP(Table2[[#This Row],[근무일자]],Table3[Date],Table3[Holiday],"",0)</f>
        <v/>
      </c>
      <c r="X259" s="93">
        <f>IF(D259&lt;&gt;"",1,0)+IF(COUNTIFS(Table2[주민등록번호],O259,Table2[월],TEXT(EOMONTH(D259,-1),"YYMM"))&gt;0,1+IF(COUNTIFS(Table2[주민등록번호],O259,Table2[월],TEXT(EOMONTH(D259,-2),"YYMM"))&gt;0,1+IF(COUNTIFS(Table2[주민등록번호],O259,Table2[월],TEXT(EOMONTH(D259,-3),"YYMM"))&gt;0,1,0),0),0)</f>
        <v>3</v>
      </c>
      <c r="Y259" s="29">
        <f>COUNTIFS(Table2[주민등록번호],O259,Table2[월],R259,Table2[근무일자],"&lt;="&amp;D259)</f>
        <v>5</v>
      </c>
      <c r="Z259" s="29">
        <f>COUNTIFS(Table2[주민등록번호],O259,Table2[주간],S259,Table2[근무일자],"&lt;="&amp;D259)</f>
        <v>5</v>
      </c>
      <c r="AA259" s="29">
        <f>SUMIFS(Table2[근로
시간],Table2[주민등록번호],O259,Table2[주간],S259,Table2[근무일자],"&lt;="&amp;D259)*24</f>
        <v>27.999999999999996</v>
      </c>
      <c r="AB259" s="29" t="str">
        <f>IF(AND(Y259&gt;=8,COUNTIFS(Table2[주민등록번호],O259,Table2[근무일자],"&gt;="&amp;EOMONTH(D259,-2)+1,Table2[근무일자],"&lt;="&amp;EOMONTH(D259,-1)+1)&gt;0),"V","")</f>
        <v/>
      </c>
      <c r="AC259" s="94" cm="1">
        <f t="array" ref="AC259">IF(AD259&lt;&gt;"",AD259,_xlfn.XLOOKUP(1,(D259&lt;=Table7[End])*(E259=Table7[근무처])*(F259=Table7[업무]),Table7[시급],0,0))</f>
        <v>10680</v>
      </c>
      <c r="AD259" s="95"/>
      <c r="AE259" s="94">
        <f t="shared" si="46"/>
        <v>53400</v>
      </c>
      <c r="AF259" s="96" cm="1">
        <f t="array" ref="AF259">IF(AND(AA259&gt;=15,(AA259-U259*24)&lt;=40),IF(Z259&gt;=_xlfn.XLOOKUP(1,(D259&lt;=Table7[End])*(E259=Table7[근무처])*(F259=Table7[업무]),Table7[주휴적용일],0,0),1,0)+_xlfn.XLOOKUP(1,(Table2[주간]=Table2[[#This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59" s="96" cm="1">
        <f t="array" ref="AG259">MAX((_xlfn.IFS(AF259=0,0,AF259=1,AA259,AF259&gt;1,U259*24)-IF(AA259&gt;40,AA259-40,0))/5,0)</f>
        <v>0.99999999999999978</v>
      </c>
      <c r="AH259" s="94">
        <f t="shared" si="47"/>
        <v>10680</v>
      </c>
      <c r="AI259" s="33" cm="1">
        <f t="array" ref="AI259">IF(W259="",0,ROUND(AC259*U259*24*_xlfn.XLOOKUP(1,(D259&lt;=Table7[End])*(E259=Table7[근무처])*(F259=Table7[업무]),Table7[휴일인센티브],0,0),0))</f>
        <v>0</v>
      </c>
      <c r="AJ259" s="94" cm="1">
        <f t="array" ref="AJ259">ROUND(AC259*IF(U259&gt;=8/24,U259-8/24,0)*24*_xlfn.XLOOKUP(1,(D259&lt;=Table7[End])*(E259=Table7[근무처])*(F259=Table7[업무]),Table7[야간인센티브],0,0),0)</f>
        <v>0</v>
      </c>
      <c r="AK259" s="94" cm="1">
        <f t="array" ref="AK259">IF(V259=0,0,ROUND(AC259*V259*24*_xlfn.XLOOKUP(1,(D259&lt;=Table7[End])*(E259=Table7[근무처])*(F259=Table7[업무]),Table7[야간인센티브],0,0),0))</f>
        <v>0</v>
      </c>
      <c r="AL259" s="95"/>
      <c r="AM259" s="94">
        <f t="shared" si="48"/>
        <v>64080</v>
      </c>
      <c r="AN259" s="94" cm="1">
        <f t="array" ref="AN259">IF(AM259&gt;=_xlfn.XLOOKUP(TRUE,D259&lt;=Table5[End],Table5[비과세소득기준],0,0),AM259-_xlfn.XLOOKUP(TRUE,D259&lt;=Table5[End],Table5[비과세소득기준],0,0),0)</f>
        <v>0</v>
      </c>
      <c r="AO259" s="94" cm="1">
        <f t="array" ref="AO259">ROUNDDOWN(_xlfn.LET(_xlpm.setvalue,_xlfn.XLOOKUP(TRUE,D259&lt;=Table5[End],Table5[[요율]:[근로소득세액공제]],0,0),_xlpm.tax,AN259*PRODUCT((_xlpm.setvalue-{0,1})*{1,-1}),_xlpm.threshold,_xlfn.XLOOKUP(TRUE,D259&lt;=Table5[End],Table5[소액부징수기준],0,0),IF(_xlpm.tax&gt;=_xlpm.threshold,_xlpm.tax,0)),-1)</f>
        <v>0</v>
      </c>
      <c r="AP259" s="94">
        <f>ROUNDDOWN(Table2[[#This Row],[소득세]]*10%,-1)</f>
        <v>0</v>
      </c>
      <c r="AQ259" s="94">
        <f>IF(AB259="v",AM259+IF(Y259=8,SUMIFS(Table2[지급총액],Table2[주민등록번호],O259,Table2[월],R259,Table2[월간
근무일],"&lt;="&amp;8)-AM259,0),0)+_xlfn.NUMBERVALUE(AR259)</f>
        <v>0</v>
      </c>
      <c r="AR259" s="95"/>
      <c r="AS259" s="94" cm="1">
        <f t="array" ref="AS259">ROUNDDOWN($AQ259*_xlfn.XLOOKUP(1,(AS$5=Table8[Type])*($D259&lt;=Table8[End]),Table8[요율],0,0),0)</f>
        <v>0</v>
      </c>
      <c r="AT259" s="94" cm="1">
        <f t="array" ref="AT259">ROUNDDOWN(AS259*_xlfn.XLOOKUP(1,(AT$5=Table8[Type])*($D259&lt;=Table8[End]),Table8[요율],0,0),-1)</f>
        <v>0</v>
      </c>
      <c r="AU259" s="94" cm="1">
        <f t="array" ref="AU259">ROUNDDOWN($AQ259*_xlfn.XLOOKUP(1,(AU$5=Table8[Type])*($D259&lt;=Table8[End]),Table8[요율],0,0),-1)</f>
        <v>0</v>
      </c>
      <c r="AV259" s="94" cm="1">
        <f t="array" ref="AV259">ROUNDDOWN(AM259*_xlfn.XLOOKUP(1,(AV$5=Table8[Type])*($D259&lt;=Table8[End]),Table8[요율],0,0),-1)</f>
        <v>0</v>
      </c>
      <c r="AW259" s="94" cm="1">
        <f t="array" ref="AW259">_xlfn.XLOOKUP(1,(O259=Table2[주민등록번호])*(D259&gt;Table2[근무일자]),Table2[청구 Claim 
이월],0,0,-1)</f>
        <v>0</v>
      </c>
      <c r="AX259" s="95"/>
      <c r="AY259" s="94" cm="1">
        <f t="array" ref="AY259">MAX(SUM(AO259:AP259,AS259:AX259)-_xlfn.XLOOKUP(1,(D259&lt;=Table7[End])*(E259=Table7[근무처])*(F259=Table7[업무]),Table7[1일 공제 상한],0,0),0)</f>
        <v>0</v>
      </c>
      <c r="AZ259" s="94">
        <f t="shared" si="49"/>
        <v>0</v>
      </c>
      <c r="BA259" s="94">
        <f t="shared" si="50"/>
        <v>64080</v>
      </c>
      <c r="BB259" s="97">
        <f t="shared" si="51"/>
        <v>0</v>
      </c>
      <c r="BC259" s="98"/>
      <c r="BD259" s="94">
        <f t="shared" si="52"/>
        <v>0</v>
      </c>
      <c r="BE259" s="94">
        <f t="shared" si="53"/>
        <v>0</v>
      </c>
      <c r="BF259" s="94">
        <f t="shared" si="54"/>
        <v>0</v>
      </c>
      <c r="BG259" s="94">
        <f t="shared" si="55"/>
        <v>0</v>
      </c>
      <c r="BH259" s="94" cm="1">
        <f t="array" ref="BH259">ROUNDDOWN(AM259*_xlfn.XLOOKUP(1,(BH$5=Table8[Type])*($D259&lt;=Table8[End]),Table8[요율],0,0),-1)</f>
        <v>510</v>
      </c>
      <c r="BI259" s="93" t="str" cm="1">
        <f t="array" ref="BI259">_xlfn.XLOOKUP(1,(D259&lt;=Table7[End])*(E259=Table7[근무처])*(F259=Table7[업무]),Table7[지급옵션],0,0)</f>
        <v>차주 화</v>
      </c>
      <c r="BJ259" s="83">
        <f>IF(BK259&lt;&gt;"",BK259,IFERROR(D259+_xlfn.NUMBERVALUE(RIGHT(BI259,1)),D259-WEEKDAY(D259)+CHOOSE(MATCH(RIGHT(BI259),{"일","월","화","수","목","금","토"},0),8,9,10,11,12,13,14)))</f>
        <v>45818</v>
      </c>
      <c r="BK259" s="99"/>
    </row>
    <row r="260" spans="2:63" x14ac:dyDescent="0.35">
      <c r="B260" s="20" t="str" cm="1">
        <f t="array" ref="B260">_xlfn.IFS(BB260&lt;&gt;BC260,"Claim확인",N260&lt;&gt;"OK","확인필요",TRUE,"")</f>
        <v/>
      </c>
      <c r="C260" s="21" t="str">
        <f t="shared" si="42"/>
        <v>010-3X4X-X9X7219X02XX284640</v>
      </c>
      <c r="D260" s="26">
        <v>45813</v>
      </c>
      <c r="E260" s="91" t="s">
        <v>253</v>
      </c>
      <c r="F260" s="25" t="s">
        <v>257</v>
      </c>
      <c r="G260" s="27" t="s">
        <v>286</v>
      </c>
      <c r="H260" s="25" t="s">
        <v>299</v>
      </c>
      <c r="I260" s="25"/>
      <c r="J260" s="25" t="s">
        <v>300</v>
      </c>
      <c r="K260" s="28">
        <v>0.6875</v>
      </c>
      <c r="L260" s="28">
        <v>0.91666666666666663</v>
      </c>
      <c r="M260" s="28">
        <v>2.0833333333333332E-2</v>
      </c>
      <c r="N260" s="25" t="s">
        <v>281</v>
      </c>
      <c r="O260" s="29" t="str">
        <f>_xlfn.XLOOKUP(Table2[[#This Row],[Key]],Table1[Key],Table1[주민등록번호],"",0)</f>
        <v>931XX31XX3X14</v>
      </c>
      <c r="P260" s="29">
        <f>_xlfn.XLOOKUP(Table2[[#This Row],[Key]],Table1[Key],Table1[비자],"",0)</f>
        <v>0</v>
      </c>
      <c r="Q260" s="29">
        <f>IF(P260=0,0,_xlfn.XLOOKUP(Table2[[#This Row],[Key]],Table1[Key],Table1[고용보험 여부],0,0))</f>
        <v>0</v>
      </c>
      <c r="R260" s="29" t="str">
        <f t="shared" si="43"/>
        <v>2506</v>
      </c>
      <c r="S260" s="30" t="str">
        <f>YEAR(Table2[[#This Row],[근무일자]])&amp;TEXT(WEEKNUM(Table2[[#This Row],[근무일자]]),"00")</f>
        <v>202523</v>
      </c>
      <c r="T260" s="31">
        <f>_xlfn.XLOOKUP(Table2[[#This Row],[Key]],Table1[Key],Table1[등록일],"",0)</f>
        <v>45773</v>
      </c>
      <c r="U260" s="32">
        <f t="shared" si="44"/>
        <v>0.20833333333333329</v>
      </c>
      <c r="V260" s="92">
        <f t="shared" si="45"/>
        <v>0</v>
      </c>
      <c r="W260" s="100" t="str">
        <f>_xlfn.XLOOKUP(Table2[[#This Row],[근무일자]],Table3[Date],Table3[Holiday],"",0)</f>
        <v/>
      </c>
      <c r="X260" s="93">
        <f>IF(D260&lt;&gt;"",1,0)+IF(COUNTIFS(Table2[주민등록번호],O260,Table2[월],TEXT(EOMONTH(D260,-1),"YYMM"))&gt;0,1+IF(COUNTIFS(Table2[주민등록번호],O260,Table2[월],TEXT(EOMONTH(D260,-2),"YYMM"))&gt;0,1+IF(COUNTIFS(Table2[주민등록번호],O260,Table2[월],TEXT(EOMONTH(D260,-3),"YYMM"))&gt;0,1,0),0),0)</f>
        <v>4</v>
      </c>
      <c r="Y260" s="29">
        <f>COUNTIFS(Table2[주민등록번호],O260,Table2[월],R260,Table2[근무일자],"&lt;="&amp;D260)</f>
        <v>3</v>
      </c>
      <c r="Z260" s="29">
        <f>COUNTIFS(Table2[주민등록번호],O260,Table2[주간],S260,Table2[근무일자],"&lt;="&amp;D260)</f>
        <v>3</v>
      </c>
      <c r="AA260" s="29">
        <f>SUMIFS(Table2[근로
시간],Table2[주민등록번호],O260,Table2[주간],S260,Table2[근무일자],"&lt;="&amp;D260)*24</f>
        <v>14.999999999999996</v>
      </c>
      <c r="AB260" s="29" t="str">
        <f>IF(AND(Y260&gt;=8,COUNTIFS(Table2[주민등록번호],O260,Table2[근무일자],"&gt;="&amp;EOMONTH(D260,-2)+1,Table2[근무일자],"&lt;="&amp;EOMONTH(D260,-1)+1)&gt;0),"V","")</f>
        <v/>
      </c>
      <c r="AC260" s="94" cm="1">
        <f t="array" ref="AC260">IF(AD260&lt;&gt;"",AD260,_xlfn.XLOOKUP(1,(D260&lt;=Table7[End])*(E260=Table7[근무처])*(F260=Table7[업무]),Table7[시급],0,0))</f>
        <v>10030</v>
      </c>
      <c r="AD260" s="95"/>
      <c r="AE260" s="94">
        <f t="shared" si="46"/>
        <v>50150</v>
      </c>
      <c r="AF260" s="96" cm="1">
        <f t="array" ref="AF260">IF(AND(AA260&gt;=15,(AA260-U260*24)&lt;=40),IF(Z260&gt;=_xlfn.XLOOKUP(1,(D260&lt;=Table7[End])*(E260=Table7[근무처])*(F260=Table7[업무]),Table7[주휴적용일],0,0),1,0)+_xlfn.XLOOKUP(1,(Table2[주간]=Table2[[#This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60" s="96" cm="1">
        <f t="array" ref="AG260">MAX((_xlfn.IFS(AF260=0,0,AF260=1,AA260,AF260&gt;1,U260*24)-IF(AA260&gt;40,AA260-40,0))/5,0)</f>
        <v>0</v>
      </c>
      <c r="AH260" s="94">
        <f t="shared" si="47"/>
        <v>0</v>
      </c>
      <c r="AI260" s="33" cm="1">
        <f t="array" ref="AI260">IF(W260="",0,ROUND(AC260*U260*24*_xlfn.XLOOKUP(1,(D260&lt;=Table7[End])*(E260=Table7[근무처])*(F260=Table7[업무]),Table7[휴일인센티브],0,0),0))</f>
        <v>0</v>
      </c>
      <c r="AJ260" s="94" cm="1">
        <f t="array" ref="AJ260">ROUND(AC260*IF(U260&gt;=8/24,U260-8/24,0)*24*_xlfn.XLOOKUP(1,(D260&lt;=Table7[End])*(E260=Table7[근무처])*(F260=Table7[업무]),Table7[야간인센티브],0,0),0)</f>
        <v>0</v>
      </c>
      <c r="AK260" s="94" cm="1">
        <f t="array" ref="AK260">IF(V260=0,0,ROUND(AC260*V260*24*_xlfn.XLOOKUP(1,(D260&lt;=Table7[End])*(E260=Table7[근무처])*(F260=Table7[업무]),Table7[야간인센티브],0,0),0))</f>
        <v>0</v>
      </c>
      <c r="AL260" s="95"/>
      <c r="AM260" s="94">
        <f t="shared" si="48"/>
        <v>50150</v>
      </c>
      <c r="AN260" s="94" cm="1">
        <f t="array" ref="AN260">IF(AM260&gt;=_xlfn.XLOOKUP(TRUE,D260&lt;=Table5[End],Table5[비과세소득기준],0,0),AM260-_xlfn.XLOOKUP(TRUE,D260&lt;=Table5[End],Table5[비과세소득기준],0,0),0)</f>
        <v>0</v>
      </c>
      <c r="AO260" s="94" cm="1">
        <f t="array" ref="AO260">ROUNDDOWN(_xlfn.LET(_xlpm.setvalue,_xlfn.XLOOKUP(TRUE,D260&lt;=Table5[End],Table5[[요율]:[근로소득세액공제]],0,0),_xlpm.tax,AN260*PRODUCT((_xlpm.setvalue-{0,1})*{1,-1}),_xlpm.threshold,_xlfn.XLOOKUP(TRUE,D260&lt;=Table5[End],Table5[소액부징수기준],0,0),IF(_xlpm.tax&gt;=_xlpm.threshold,_xlpm.tax,0)),-1)</f>
        <v>0</v>
      </c>
      <c r="AP260" s="94">
        <f>ROUNDDOWN(Table2[[#This Row],[소득세]]*10%,-1)</f>
        <v>0</v>
      </c>
      <c r="AQ260" s="94">
        <f>IF(AB260="v",AM260+IF(Y260=8,SUMIFS(Table2[지급총액],Table2[주민등록번호],O260,Table2[월],R260,Table2[월간
근무일],"&lt;="&amp;8)-AM260,0),0)+_xlfn.NUMBERVALUE(AR260)</f>
        <v>0</v>
      </c>
      <c r="AR260" s="95"/>
      <c r="AS260" s="94" cm="1">
        <f t="array" ref="AS260">ROUNDDOWN($AQ260*_xlfn.XLOOKUP(1,(AS$5=Table8[Type])*($D260&lt;=Table8[End]),Table8[요율],0,0),0)</f>
        <v>0</v>
      </c>
      <c r="AT260" s="94" cm="1">
        <f t="array" ref="AT260">ROUNDDOWN(AS260*_xlfn.XLOOKUP(1,(AT$5=Table8[Type])*($D260&lt;=Table8[End]),Table8[요율],0,0),-1)</f>
        <v>0</v>
      </c>
      <c r="AU260" s="94" cm="1">
        <f t="array" ref="AU260">ROUNDDOWN($AQ260*_xlfn.XLOOKUP(1,(AU$5=Table8[Type])*($D260&lt;=Table8[End]),Table8[요율],0,0),-1)</f>
        <v>0</v>
      </c>
      <c r="AV260" s="94" cm="1">
        <f t="array" ref="AV260">ROUNDDOWN(AM260*_xlfn.XLOOKUP(1,(AV$5=Table8[Type])*($D260&lt;=Table8[End]),Table8[요율],0,0),-1)</f>
        <v>0</v>
      </c>
      <c r="AW260" s="94" cm="1">
        <f t="array" ref="AW260">_xlfn.XLOOKUP(1,(O260=Table2[주민등록번호])*(D260&gt;Table2[근무일자]),Table2[청구 Claim 
이월],0,0,-1)</f>
        <v>0</v>
      </c>
      <c r="AX260" s="95"/>
      <c r="AY260" s="94" cm="1">
        <f t="array" ref="AY260">MAX(SUM(AO260:AP260,AS260:AX260)-_xlfn.XLOOKUP(1,(D260&lt;=Table7[End])*(E260=Table7[근무처])*(F260=Table7[업무]),Table7[1일 공제 상한],0,0),0)</f>
        <v>0</v>
      </c>
      <c r="AZ260" s="94">
        <f t="shared" si="49"/>
        <v>0</v>
      </c>
      <c r="BA260" s="94">
        <f t="shared" si="50"/>
        <v>50150</v>
      </c>
      <c r="BB260" s="97">
        <f t="shared" si="51"/>
        <v>0</v>
      </c>
      <c r="BC260" s="98"/>
      <c r="BD260" s="94">
        <f t="shared" si="52"/>
        <v>0</v>
      </c>
      <c r="BE260" s="94">
        <f t="shared" si="53"/>
        <v>0</v>
      </c>
      <c r="BF260" s="94">
        <f t="shared" si="54"/>
        <v>0</v>
      </c>
      <c r="BG260" s="94">
        <f t="shared" si="55"/>
        <v>0</v>
      </c>
      <c r="BH260" s="94" cm="1">
        <f t="array" ref="BH260">ROUNDDOWN(AM260*_xlfn.XLOOKUP(1,(BH$5=Table8[Type])*($D260&lt;=Table8[End]),Table8[요율],0,0),-1)</f>
        <v>400</v>
      </c>
      <c r="BI260" s="93" t="str" cm="1">
        <f t="array" ref="BI260">_xlfn.XLOOKUP(1,(D260&lt;=Table7[End])*(E260=Table7[근무처])*(F260=Table7[업무]),Table7[지급옵션],0,0)</f>
        <v>D+2</v>
      </c>
      <c r="BJ260" s="83">
        <f>IF(BK260&lt;&gt;"",BK260,IFERROR(D260+_xlfn.NUMBERVALUE(RIGHT(BI260,1)),D260-WEEKDAY(D260)+CHOOSE(MATCH(RIGHT(BI260),{"일","월","화","수","목","금","토"},0),8,9,10,11,12,13,14)))</f>
        <v>45815</v>
      </c>
      <c r="BK260" s="99"/>
    </row>
    <row r="261" spans="2:63" x14ac:dyDescent="0.35">
      <c r="B261" s="20" t="str" cm="1">
        <f t="array" ref="B261">_xlfn.IFS(BB261&lt;&gt;BC261,"Claim확인",N261&lt;&gt;"OK","확인필요",TRUE,"")</f>
        <v/>
      </c>
      <c r="C261" s="21" t="str">
        <f t="shared" si="42"/>
        <v>010-3X6X-X4X7757X02XX284249</v>
      </c>
      <c r="D261" s="26">
        <v>45814</v>
      </c>
      <c r="E261" s="91" t="s">
        <v>255</v>
      </c>
      <c r="F261" s="25" t="s">
        <v>258</v>
      </c>
      <c r="G261" s="27" t="s">
        <v>283</v>
      </c>
      <c r="H261" s="25" t="s">
        <v>295</v>
      </c>
      <c r="I261" s="25"/>
      <c r="J261" s="25" t="s">
        <v>296</v>
      </c>
      <c r="K261" s="28">
        <v>0.3125</v>
      </c>
      <c r="L261" s="28">
        <v>0.6875</v>
      </c>
      <c r="M261" s="28">
        <v>4.1666666666666664E-2</v>
      </c>
      <c r="N261" s="25" t="s">
        <v>281</v>
      </c>
      <c r="O261" s="29" t="str">
        <f>_xlfn.XLOOKUP(Table2[[#This Row],[Key]],Table1[Key],Table1[주민등록번호],"",0)</f>
        <v>940XX41XX7X32</v>
      </c>
      <c r="P261" s="29">
        <f>_xlfn.XLOOKUP(Table2[[#This Row],[Key]],Table1[Key],Table1[비자],"",0)</f>
        <v>0</v>
      </c>
      <c r="Q261" s="29">
        <f>IF(P261=0,0,_xlfn.XLOOKUP(Table2[[#This Row],[Key]],Table1[Key],Table1[고용보험 여부],0,0))</f>
        <v>0</v>
      </c>
      <c r="R261" s="29" t="str">
        <f t="shared" si="43"/>
        <v>2506</v>
      </c>
      <c r="S261" s="30" t="str">
        <f>YEAR(Table2[[#This Row],[근무일자]])&amp;TEXT(WEEKNUM(Table2[[#This Row],[근무일자]]),"00")</f>
        <v>202523</v>
      </c>
      <c r="T261" s="31">
        <f>_xlfn.XLOOKUP(Table2[[#This Row],[Key]],Table1[Key],Table1[등록일],"",0)</f>
        <v>45751</v>
      </c>
      <c r="U261" s="32">
        <f t="shared" si="44"/>
        <v>0.33333333333333331</v>
      </c>
      <c r="V261" s="92">
        <f t="shared" si="45"/>
        <v>0</v>
      </c>
      <c r="W261" s="100" t="str">
        <f>_xlfn.XLOOKUP(Table2[[#This Row],[근무일자]],Table3[Date],Table3[Holiday],"",0)</f>
        <v>현충일</v>
      </c>
      <c r="X261" s="93">
        <f>IF(D261&lt;&gt;"",1,0)+IF(COUNTIFS(Table2[주민등록번호],O261,Table2[월],TEXT(EOMONTH(D261,-1),"YYMM"))&gt;0,1+IF(COUNTIFS(Table2[주민등록번호],O261,Table2[월],TEXT(EOMONTH(D261,-2),"YYMM"))&gt;0,1+IF(COUNTIFS(Table2[주민등록번호],O261,Table2[월],TEXT(EOMONTH(D261,-3),"YYMM"))&gt;0,1,0),0),0)</f>
        <v>3</v>
      </c>
      <c r="Y261" s="29">
        <f>COUNTIFS(Table2[주민등록번호],O261,Table2[월],R261,Table2[근무일자],"&lt;="&amp;D261)</f>
        <v>6</v>
      </c>
      <c r="Z261" s="29">
        <f>COUNTIFS(Table2[주민등록번호],O261,Table2[주간],S261,Table2[근무일자],"&lt;="&amp;D261)</f>
        <v>6</v>
      </c>
      <c r="AA261" s="29">
        <f>SUMIFS(Table2[근로
시간],Table2[주민등록번호],O261,Table2[주간],S261,Table2[근무일자],"&lt;="&amp;D261)*24</f>
        <v>35.999999999999993</v>
      </c>
      <c r="AB261" s="29" t="str">
        <f>IF(AND(Y261&gt;=8,COUNTIFS(Table2[주민등록번호],O261,Table2[근무일자],"&gt;="&amp;EOMONTH(D261,-2)+1,Table2[근무일자],"&lt;="&amp;EOMONTH(D261,-1)+1)&gt;0),"V","")</f>
        <v/>
      </c>
      <c r="AC261" s="94" cm="1">
        <f t="array" ref="AC261">IF(AD261&lt;&gt;"",AD261,_xlfn.XLOOKUP(1,(D261&lt;=Table7[End])*(E261=Table7[근무처])*(F261=Table7[업무]),Table7[시급],0,0))</f>
        <v>10680</v>
      </c>
      <c r="AD261" s="95"/>
      <c r="AE261" s="94">
        <f t="shared" si="46"/>
        <v>85440</v>
      </c>
      <c r="AF261" s="96" cm="1">
        <f t="array" ref="AF261">IF(AND(AA261&gt;=15,(AA261-U261*24)&lt;=40),IF(Z261&gt;=_xlfn.XLOOKUP(1,(D261&lt;=Table7[End])*(E261=Table7[근무처])*(F261=Table7[업무]),Table7[주휴적용일],0,0),1,0)+_xlfn.XLOOKUP(1,(Table2[주간]=Table2[[#This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261" s="96" cm="1">
        <f t="array" ref="AG261">MAX((_xlfn.IFS(AF261=0,0,AF261=1,AA261,AF261&gt;1,U261*24)-IF(AA261&gt;40,AA261-40,0))/5,0)</f>
        <v>1.6</v>
      </c>
      <c r="AH261" s="94">
        <f t="shared" si="47"/>
        <v>17088</v>
      </c>
      <c r="AI261" s="33" cm="1">
        <f t="array" ref="AI261">IF(W261="",0,ROUND(AC261*U261*24*_xlfn.XLOOKUP(1,(D261&lt;=Table7[End])*(E261=Table7[근무처])*(F261=Table7[업무]),Table7[휴일인센티브],0,0),0))</f>
        <v>42720</v>
      </c>
      <c r="AJ261" s="94" cm="1">
        <f t="array" ref="AJ261">ROUND(AC261*IF(U261&gt;=8/24,U261-8/24,0)*24*_xlfn.XLOOKUP(1,(D261&lt;=Table7[End])*(E261=Table7[근무처])*(F261=Table7[업무]),Table7[야간인센티브],0,0),0)</f>
        <v>0</v>
      </c>
      <c r="AK261" s="94" cm="1">
        <f t="array" ref="AK261">IF(V261=0,0,ROUND(AC261*V261*24*_xlfn.XLOOKUP(1,(D261&lt;=Table7[End])*(E261=Table7[근무처])*(F261=Table7[업무]),Table7[야간인센티브],0,0),0))</f>
        <v>0</v>
      </c>
      <c r="AL261" s="95"/>
      <c r="AM261" s="94">
        <f t="shared" si="48"/>
        <v>145248</v>
      </c>
      <c r="AN261" s="94" cm="1">
        <f t="array" ref="AN261">IF(AM261&gt;=_xlfn.XLOOKUP(TRUE,D261&lt;=Table5[End],Table5[비과세소득기준],0,0),AM261-_xlfn.XLOOKUP(TRUE,D261&lt;=Table5[End],Table5[비과세소득기준],0,0),0)</f>
        <v>0</v>
      </c>
      <c r="AO261" s="94" cm="1">
        <f t="array" ref="AO261">ROUNDDOWN(_xlfn.LET(_xlpm.setvalue,_xlfn.XLOOKUP(TRUE,D261&lt;=Table5[End],Table5[[요율]:[근로소득세액공제]],0,0),_xlpm.tax,AN261*PRODUCT((_xlpm.setvalue-{0,1})*{1,-1}),_xlpm.threshold,_xlfn.XLOOKUP(TRUE,D261&lt;=Table5[End],Table5[소액부징수기준],0,0),IF(_xlpm.tax&gt;=_xlpm.threshold,_xlpm.tax,0)),-1)</f>
        <v>0</v>
      </c>
      <c r="AP261" s="94">
        <f>ROUNDDOWN(Table2[[#This Row],[소득세]]*10%,-1)</f>
        <v>0</v>
      </c>
      <c r="AQ261" s="94">
        <f>IF(AB261="v",AM261+IF(Y261=8,SUMIFS(Table2[지급총액],Table2[주민등록번호],O261,Table2[월],R261,Table2[월간
근무일],"&lt;="&amp;8)-AM261,0),0)+_xlfn.NUMBERVALUE(AR261)</f>
        <v>0</v>
      </c>
      <c r="AR261" s="95"/>
      <c r="AS261" s="94" cm="1">
        <f t="array" ref="AS261">ROUNDDOWN($AQ261*_xlfn.XLOOKUP(1,(AS$5=Table8[Type])*($D261&lt;=Table8[End]),Table8[요율],0,0),0)</f>
        <v>0</v>
      </c>
      <c r="AT261" s="94" cm="1">
        <f t="array" ref="AT261">ROUNDDOWN(AS261*_xlfn.XLOOKUP(1,(AT$5=Table8[Type])*($D261&lt;=Table8[End]),Table8[요율],0,0),-1)</f>
        <v>0</v>
      </c>
      <c r="AU261" s="94" cm="1">
        <f t="array" ref="AU261">ROUNDDOWN($AQ261*_xlfn.XLOOKUP(1,(AU$5=Table8[Type])*($D261&lt;=Table8[End]),Table8[요율],0,0),-1)</f>
        <v>0</v>
      </c>
      <c r="AV261" s="94" cm="1">
        <f t="array" ref="AV261">ROUNDDOWN(AM261*_xlfn.XLOOKUP(1,(AV$5=Table8[Type])*($D261&lt;=Table8[End]),Table8[요율],0,0),-1)</f>
        <v>0</v>
      </c>
      <c r="AW261" s="94" cm="1">
        <f t="array" ref="AW261">_xlfn.XLOOKUP(1,(O261=Table2[주민등록번호])*(D261&gt;Table2[근무일자]),Table2[청구 Claim 
이월],0,0,-1)</f>
        <v>0</v>
      </c>
      <c r="AX261" s="95"/>
      <c r="AY261" s="94" cm="1">
        <f t="array" ref="AY261">MAX(SUM(AO261:AP261,AS261:AX261)-_xlfn.XLOOKUP(1,(D261&lt;=Table7[End])*(E261=Table7[근무처])*(F261=Table7[업무]),Table7[1일 공제 상한],0,0),0)</f>
        <v>0</v>
      </c>
      <c r="AZ261" s="94">
        <f t="shared" si="49"/>
        <v>0</v>
      </c>
      <c r="BA261" s="94">
        <f t="shared" si="50"/>
        <v>145248</v>
      </c>
      <c r="BB261" s="97">
        <f t="shared" si="51"/>
        <v>0</v>
      </c>
      <c r="BC261" s="98"/>
      <c r="BD261" s="94">
        <f t="shared" si="52"/>
        <v>0</v>
      </c>
      <c r="BE261" s="94">
        <f t="shared" si="53"/>
        <v>0</v>
      </c>
      <c r="BF261" s="94">
        <f t="shared" si="54"/>
        <v>0</v>
      </c>
      <c r="BG261" s="94">
        <f t="shared" si="55"/>
        <v>0</v>
      </c>
      <c r="BH261" s="94" cm="1">
        <f t="array" ref="BH261">ROUNDDOWN(AM261*_xlfn.XLOOKUP(1,(BH$5=Table8[Type])*($D261&lt;=Table8[End]),Table8[요율],0,0),-1)</f>
        <v>1160</v>
      </c>
      <c r="BI261" s="93" t="str" cm="1">
        <f t="array" ref="BI261">_xlfn.XLOOKUP(1,(D261&lt;=Table7[End])*(E261=Table7[근무처])*(F261=Table7[업무]),Table7[지급옵션],0,0)</f>
        <v>차주 화</v>
      </c>
      <c r="BJ261" s="83">
        <f>IF(BK261&lt;&gt;"",BK261,IFERROR(D261+_xlfn.NUMBERVALUE(RIGHT(BI261,1)),D261-WEEKDAY(D261)+CHOOSE(MATCH(RIGHT(BI261),{"일","월","화","수","목","금","토"},0),8,9,10,11,12,13,14)))</f>
        <v>45818</v>
      </c>
      <c r="BK261" s="99"/>
    </row>
    <row r="262" spans="2:63" x14ac:dyDescent="0.35">
      <c r="B262" s="20" t="str" cm="1">
        <f t="array" ref="B262">_xlfn.IFS(BB262&lt;&gt;BC262,"Claim확인",N262&lt;&gt;"OK","확인필요",TRUE,"")</f>
        <v/>
      </c>
      <c r="C262" s="21" t="str">
        <f t="shared" ref="C262:C295" si="56">H262&amp;J262</f>
        <v>010-3X4X-X9X7219X02XX284640</v>
      </c>
      <c r="D262" s="26">
        <v>45814</v>
      </c>
      <c r="E262" s="91" t="s">
        <v>253</v>
      </c>
      <c r="F262" s="25" t="s">
        <v>257</v>
      </c>
      <c r="G262" s="27" t="s">
        <v>286</v>
      </c>
      <c r="H262" s="25" t="s">
        <v>299</v>
      </c>
      <c r="I262" s="25"/>
      <c r="J262" s="25" t="s">
        <v>300</v>
      </c>
      <c r="K262" s="28">
        <v>0.6875</v>
      </c>
      <c r="L262" s="28">
        <v>0.91666666666666663</v>
      </c>
      <c r="M262" s="28">
        <v>2.0833333333333332E-2</v>
      </c>
      <c r="N262" s="25" t="s">
        <v>281</v>
      </c>
      <c r="O262" s="29" t="str">
        <f>_xlfn.XLOOKUP(Table2[[#This Row],[Key]],Table1[Key],Table1[주민등록번호],"",0)</f>
        <v>931XX31XX3X14</v>
      </c>
      <c r="P262" s="29">
        <f>_xlfn.XLOOKUP(Table2[[#This Row],[Key]],Table1[Key],Table1[비자],"",0)</f>
        <v>0</v>
      </c>
      <c r="Q262" s="29">
        <f>IF(P262=0,0,_xlfn.XLOOKUP(Table2[[#This Row],[Key]],Table1[Key],Table1[고용보험 여부],0,0))</f>
        <v>0</v>
      </c>
      <c r="R262" s="29" t="str">
        <f t="shared" ref="R262:R295" si="57">TEXT(D262,"YYMM")</f>
        <v>2506</v>
      </c>
      <c r="S262" s="30" t="str">
        <f>YEAR(Table2[[#This Row],[근무일자]])&amp;TEXT(WEEKNUM(Table2[[#This Row],[근무일자]]),"00")</f>
        <v>202523</v>
      </c>
      <c r="T262" s="31">
        <f>_xlfn.XLOOKUP(Table2[[#This Row],[Key]],Table1[Key],Table1[등록일],"",0)</f>
        <v>45773</v>
      </c>
      <c r="U262" s="32">
        <f t="shared" ref="U262:U295" si="58">IF(AND(K262&lt;&gt;"",L262&lt;&gt;""),IF(AND(K262&lt;&gt;L262,L262&lt;=6/24),1+L262,L262)-K262-M262,0)</f>
        <v>0.20833333333333329</v>
      </c>
      <c r="V262" s="92">
        <f t="shared" ref="V262:V295" si="59">MIN(IF(U262&gt;0,_xlfn.IFS(K262&lt;6/24,6/24-K262,L262&gt;22/24,L262-22/24,AND(K262&lt;=22/24,L262&lt;=6/24),2/24+L262,TRUE,0),0),U262)</f>
        <v>0</v>
      </c>
      <c r="W262" s="100" t="str">
        <f>_xlfn.XLOOKUP(Table2[[#This Row],[근무일자]],Table3[Date],Table3[Holiday],"",0)</f>
        <v>현충일</v>
      </c>
      <c r="X262" s="93">
        <f>IF(D262&lt;&gt;"",1,0)+IF(COUNTIFS(Table2[주민등록번호],O262,Table2[월],TEXT(EOMONTH(D262,-1),"YYMM"))&gt;0,1+IF(COUNTIFS(Table2[주민등록번호],O262,Table2[월],TEXT(EOMONTH(D262,-2),"YYMM"))&gt;0,1+IF(COUNTIFS(Table2[주민등록번호],O262,Table2[월],TEXT(EOMONTH(D262,-3),"YYMM"))&gt;0,1,0),0),0)</f>
        <v>4</v>
      </c>
      <c r="Y262" s="29">
        <f>COUNTIFS(Table2[주민등록번호],O262,Table2[월],R262,Table2[근무일자],"&lt;="&amp;D262)</f>
        <v>4</v>
      </c>
      <c r="Z262" s="29">
        <f>COUNTIFS(Table2[주민등록번호],O262,Table2[주간],S262,Table2[근무일자],"&lt;="&amp;D262)</f>
        <v>4</v>
      </c>
      <c r="AA262" s="29">
        <f>SUMIFS(Table2[근로
시간],Table2[주민등록번호],O262,Table2[주간],S262,Table2[근무일자],"&lt;="&amp;D262)*24</f>
        <v>19.999999999999996</v>
      </c>
      <c r="AB262" s="29" t="str">
        <f>IF(AND(Y262&gt;=8,COUNTIFS(Table2[주민등록번호],O262,Table2[근무일자],"&gt;="&amp;EOMONTH(D262,-2)+1,Table2[근무일자],"&lt;="&amp;EOMONTH(D262,-1)+1)&gt;0),"V","")</f>
        <v/>
      </c>
      <c r="AC262" s="94" cm="1">
        <f t="array" ref="AC262">IF(AD262&lt;&gt;"",AD262,_xlfn.XLOOKUP(1,(D262&lt;=Table7[End])*(E262=Table7[근무처])*(F262=Table7[업무]),Table7[시급],0,0))</f>
        <v>10030</v>
      </c>
      <c r="AD262" s="95"/>
      <c r="AE262" s="94">
        <f t="shared" ref="AE262:AE295" si="60">ROUND(U262*24*AC262,0)</f>
        <v>50150</v>
      </c>
      <c r="AF262" s="96" cm="1">
        <f t="array" ref="AF262">IF(AND(AA262&gt;=15,(AA262-U262*24)&lt;=40),IF(Z262&gt;=_xlfn.XLOOKUP(1,(D262&lt;=Table7[End])*(E262=Table7[근무처])*(F262=Table7[업무]),Table7[주휴적용일],0,0),1,0)+_xlfn.XLOOKUP(1,(Table2[주간]=Table2[[#This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62" s="96" cm="1">
        <f t="array" ref="AG262">MAX((_xlfn.IFS(AF262=0,0,AF262=1,AA262,AF262&gt;1,U262*24)-IF(AA262&gt;40,AA262-40,0))/5,0)</f>
        <v>0</v>
      </c>
      <c r="AH262" s="94">
        <f t="shared" ref="AH262:AH295" si="61">ROUND(AG262*AC262,0)</f>
        <v>0</v>
      </c>
      <c r="AI262" s="33" cm="1">
        <f t="array" ref="AI262">IF(W262="",0,ROUND(AC262*U262*24*_xlfn.XLOOKUP(1,(D262&lt;=Table7[End])*(E262=Table7[근무처])*(F262=Table7[업무]),Table7[휴일인센티브],0,0),0))</f>
        <v>25075</v>
      </c>
      <c r="AJ262" s="94" cm="1">
        <f t="array" ref="AJ262">ROUND(AC262*IF(U262&gt;=8/24,U262-8/24,0)*24*_xlfn.XLOOKUP(1,(D262&lt;=Table7[End])*(E262=Table7[근무처])*(F262=Table7[업무]),Table7[야간인센티브],0,0),0)</f>
        <v>0</v>
      </c>
      <c r="AK262" s="94" cm="1">
        <f t="array" ref="AK262">IF(V262=0,0,ROUND(AC262*V262*24*_xlfn.XLOOKUP(1,(D262&lt;=Table7[End])*(E262=Table7[근무처])*(F262=Table7[업무]),Table7[야간인센티브],0,0),0))</f>
        <v>0</v>
      </c>
      <c r="AL262" s="95"/>
      <c r="AM262" s="94">
        <f t="shared" ref="AM262:AM295" si="62">SUM(AE262,AH262:AL262)</f>
        <v>75225</v>
      </c>
      <c r="AN262" s="94" cm="1">
        <f t="array" ref="AN262">IF(AM262&gt;=_xlfn.XLOOKUP(TRUE,D262&lt;=Table5[End],Table5[비과세소득기준],0,0),AM262-_xlfn.XLOOKUP(TRUE,D262&lt;=Table5[End],Table5[비과세소득기준],0,0),0)</f>
        <v>0</v>
      </c>
      <c r="AO262" s="94" cm="1">
        <f t="array" ref="AO262">ROUNDDOWN(_xlfn.LET(_xlpm.setvalue,_xlfn.XLOOKUP(TRUE,D262&lt;=Table5[End],Table5[[요율]:[근로소득세액공제]],0,0),_xlpm.tax,AN262*PRODUCT((_xlpm.setvalue-{0,1})*{1,-1}),_xlpm.threshold,_xlfn.XLOOKUP(TRUE,D262&lt;=Table5[End],Table5[소액부징수기준],0,0),IF(_xlpm.tax&gt;=_xlpm.threshold,_xlpm.tax,0)),-1)</f>
        <v>0</v>
      </c>
      <c r="AP262" s="94">
        <f>ROUNDDOWN(Table2[[#This Row],[소득세]]*10%,-1)</f>
        <v>0</v>
      </c>
      <c r="AQ262" s="94">
        <f>IF(AB262="v",AM262+IF(Y262=8,SUMIFS(Table2[지급총액],Table2[주민등록번호],O262,Table2[월],R262,Table2[월간
근무일],"&lt;="&amp;8)-AM262,0),0)+_xlfn.NUMBERVALUE(AR262)</f>
        <v>0</v>
      </c>
      <c r="AR262" s="95"/>
      <c r="AS262" s="94" cm="1">
        <f t="array" ref="AS262">ROUNDDOWN($AQ262*_xlfn.XLOOKUP(1,(AS$5=Table8[Type])*($D262&lt;=Table8[End]),Table8[요율],0,0),0)</f>
        <v>0</v>
      </c>
      <c r="AT262" s="94" cm="1">
        <f t="array" ref="AT262">ROUNDDOWN(AS262*_xlfn.XLOOKUP(1,(AT$5=Table8[Type])*($D262&lt;=Table8[End]),Table8[요율],0,0),-1)</f>
        <v>0</v>
      </c>
      <c r="AU262" s="94" cm="1">
        <f t="array" ref="AU262">ROUNDDOWN($AQ262*_xlfn.XLOOKUP(1,(AU$5=Table8[Type])*($D262&lt;=Table8[End]),Table8[요율],0,0),-1)</f>
        <v>0</v>
      </c>
      <c r="AV262" s="94" cm="1">
        <f t="array" ref="AV262">ROUNDDOWN(AM262*_xlfn.XLOOKUP(1,(AV$5=Table8[Type])*($D262&lt;=Table8[End]),Table8[요율],0,0),-1)</f>
        <v>0</v>
      </c>
      <c r="AW262" s="94" cm="1">
        <f t="array" ref="AW262">_xlfn.XLOOKUP(1,(O262=Table2[주민등록번호])*(D262&gt;Table2[근무일자]),Table2[청구 Claim 
이월],0,0,-1)</f>
        <v>0</v>
      </c>
      <c r="AX262" s="95"/>
      <c r="AY262" s="94" cm="1">
        <f t="array" ref="AY262">MAX(SUM(AO262:AP262,AS262:AX262)-_xlfn.XLOOKUP(1,(D262&lt;=Table7[End])*(E262=Table7[근무처])*(F262=Table7[업무]),Table7[1일 공제 상한],0,0),0)</f>
        <v>0</v>
      </c>
      <c r="AZ262" s="94">
        <f t="shared" ref="AZ262:AZ295" si="63">SUM(AO262:AP262,AS262:AX262)-AY262</f>
        <v>0</v>
      </c>
      <c r="BA262" s="94">
        <f t="shared" ref="BA262:BA295" si="64">MAX(AM262-AZ262,0)</f>
        <v>75225</v>
      </c>
      <c r="BB262" s="97">
        <f t="shared" ref="BB262:BB295" si="65">-(MIN(AM262-AZ262,0)-AY262)</f>
        <v>0</v>
      </c>
      <c r="BC262" s="98"/>
      <c r="BD262" s="94">
        <f t="shared" ref="BD262:BD295" si="66">AS262</f>
        <v>0</v>
      </c>
      <c r="BE262" s="94">
        <f t="shared" ref="BE262:BE295" si="67">AT262</f>
        <v>0</v>
      </c>
      <c r="BF262" s="94">
        <f t="shared" ref="BF262:BF295" si="68">AU262</f>
        <v>0</v>
      </c>
      <c r="BG262" s="94">
        <f t="shared" ref="BG262:BG295" si="69">AV262</f>
        <v>0</v>
      </c>
      <c r="BH262" s="94" cm="1">
        <f t="array" ref="BH262">ROUNDDOWN(AM262*_xlfn.XLOOKUP(1,(BH$5=Table8[Type])*($D262&lt;=Table8[End]),Table8[요율],0,0),-1)</f>
        <v>600</v>
      </c>
      <c r="BI262" s="93" t="str" cm="1">
        <f t="array" ref="BI262">_xlfn.XLOOKUP(1,(D262&lt;=Table7[End])*(E262=Table7[근무처])*(F262=Table7[업무]),Table7[지급옵션],0,0)</f>
        <v>D+2</v>
      </c>
      <c r="BJ262" s="83">
        <f>IF(BK262&lt;&gt;"",BK262,IFERROR(D262+_xlfn.NUMBERVALUE(RIGHT(BI262,1)),D262-WEEKDAY(D262)+CHOOSE(MATCH(RIGHT(BI262),{"일","월","화","수","목","금","토"},0),8,9,10,11,12,13,14)))</f>
        <v>45816</v>
      </c>
      <c r="BK262" s="99"/>
    </row>
    <row r="263" spans="2:63" x14ac:dyDescent="0.35">
      <c r="B263" s="20" t="str" cm="1">
        <f t="array" ref="B263">_xlfn.IFS(BB263&lt;&gt;BC263,"Claim확인",N263&lt;&gt;"OK","확인필요",TRUE,"")</f>
        <v/>
      </c>
      <c r="C263" s="21" t="str">
        <f t="shared" si="56"/>
        <v>010-3X6X-X4X7757X02XX284249</v>
      </c>
      <c r="D263" s="26">
        <v>45815</v>
      </c>
      <c r="E263" s="91" t="s">
        <v>255</v>
      </c>
      <c r="F263" s="25" t="s">
        <v>258</v>
      </c>
      <c r="G263" s="27" t="s">
        <v>283</v>
      </c>
      <c r="H263" s="25" t="s">
        <v>295</v>
      </c>
      <c r="I263" s="25"/>
      <c r="J263" s="25" t="s">
        <v>296</v>
      </c>
      <c r="K263" s="28">
        <v>0.3125</v>
      </c>
      <c r="L263" s="28">
        <v>0.54166666666666663</v>
      </c>
      <c r="M263" s="28">
        <v>2.0833333333333332E-2</v>
      </c>
      <c r="N263" s="25" t="s">
        <v>281</v>
      </c>
      <c r="O263" s="29" t="str">
        <f>_xlfn.XLOOKUP(Table2[[#This Row],[Key]],Table1[Key],Table1[주민등록번호],"",0)</f>
        <v>940XX41XX7X32</v>
      </c>
      <c r="P263" s="29">
        <f>_xlfn.XLOOKUP(Table2[[#This Row],[Key]],Table1[Key],Table1[비자],"",0)</f>
        <v>0</v>
      </c>
      <c r="Q263" s="29">
        <f>IF(P263=0,0,_xlfn.XLOOKUP(Table2[[#This Row],[Key]],Table1[Key],Table1[고용보험 여부],0,0))</f>
        <v>0</v>
      </c>
      <c r="R263" s="29" t="str">
        <f t="shared" si="57"/>
        <v>2506</v>
      </c>
      <c r="S263" s="30" t="str">
        <f>YEAR(Table2[[#This Row],[근무일자]])&amp;TEXT(WEEKNUM(Table2[[#This Row],[근무일자]]),"00")</f>
        <v>202523</v>
      </c>
      <c r="T263" s="31">
        <f>_xlfn.XLOOKUP(Table2[[#This Row],[Key]],Table1[Key],Table1[등록일],"",0)</f>
        <v>45751</v>
      </c>
      <c r="U263" s="32">
        <f t="shared" si="58"/>
        <v>0.20833333333333329</v>
      </c>
      <c r="V263" s="92">
        <f t="shared" si="59"/>
        <v>0</v>
      </c>
      <c r="W263" s="100" t="str">
        <f>_xlfn.XLOOKUP(Table2[[#This Row],[근무일자]],Table3[Date],Table3[Holiday],"",0)</f>
        <v/>
      </c>
      <c r="X263" s="93">
        <f>IF(D263&lt;&gt;"",1,0)+IF(COUNTIFS(Table2[주민등록번호],O263,Table2[월],TEXT(EOMONTH(D263,-1),"YYMM"))&gt;0,1+IF(COUNTIFS(Table2[주민등록번호],O263,Table2[월],TEXT(EOMONTH(D263,-2),"YYMM"))&gt;0,1+IF(COUNTIFS(Table2[주민등록번호],O263,Table2[월],TEXT(EOMONTH(D263,-3),"YYMM"))&gt;0,1,0),0),0)</f>
        <v>3</v>
      </c>
      <c r="Y263" s="29">
        <f>COUNTIFS(Table2[주민등록번호],O263,Table2[월],R263,Table2[근무일자],"&lt;="&amp;D263)</f>
        <v>7</v>
      </c>
      <c r="Z263" s="29">
        <f>COUNTIFS(Table2[주민등록번호],O263,Table2[주간],S263,Table2[근무일자],"&lt;="&amp;D263)</f>
        <v>7</v>
      </c>
      <c r="AA263" s="29">
        <f>SUMIFS(Table2[근로
시간],Table2[주민등록번호],O263,Table2[주간],S263,Table2[근무일자],"&lt;="&amp;D263)*24</f>
        <v>40.999999999999993</v>
      </c>
      <c r="AB263" s="29" t="str">
        <f>IF(AND(Y263&gt;=8,COUNTIFS(Table2[주민등록번호],O263,Table2[근무일자],"&gt;="&amp;EOMONTH(D263,-2)+1,Table2[근무일자],"&lt;="&amp;EOMONTH(D263,-1)+1)&gt;0),"V","")</f>
        <v/>
      </c>
      <c r="AC263" s="94" cm="1">
        <f t="array" ref="AC263">IF(AD263&lt;&gt;"",AD263,_xlfn.XLOOKUP(1,(D263&lt;=Table7[End])*(E263=Table7[근무처])*(F263=Table7[업무]),Table7[시급],0,0))</f>
        <v>10680</v>
      </c>
      <c r="AD263" s="95"/>
      <c r="AE263" s="94">
        <f t="shared" si="60"/>
        <v>53400</v>
      </c>
      <c r="AF263" s="96" cm="1">
        <f t="array" ref="AF263">IF(AND(AA263&gt;=15,(AA263-U263*24)&lt;=40),IF(Z263&gt;=_xlfn.XLOOKUP(1,(D263&lt;=Table7[End])*(E263=Table7[근무처])*(F263=Table7[업무]),Table7[주휴적용일],0,0),1,0)+_xlfn.XLOOKUP(1,(Table2[주간]=Table2[[#This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5</v>
      </c>
      <c r="AG263" s="96" cm="1">
        <f t="array" ref="AG263">MAX((_xlfn.IFS(AF263=0,0,AF263=1,AA263,AF263&gt;1,U263*24)-IF(AA263&gt;40,AA263-40,0))/5,0)</f>
        <v>0.80000000000000127</v>
      </c>
      <c r="AH263" s="94">
        <f t="shared" si="61"/>
        <v>8544</v>
      </c>
      <c r="AI263" s="33" cm="1">
        <f t="array" ref="AI263">IF(W263="",0,ROUND(AC263*U263*24*_xlfn.XLOOKUP(1,(D263&lt;=Table7[End])*(E263=Table7[근무처])*(F263=Table7[업무]),Table7[휴일인센티브],0,0),0))</f>
        <v>0</v>
      </c>
      <c r="AJ263" s="94" cm="1">
        <f t="array" ref="AJ263">ROUND(AC263*IF(U263&gt;=8/24,U263-8/24,0)*24*_xlfn.XLOOKUP(1,(D263&lt;=Table7[End])*(E263=Table7[근무처])*(F263=Table7[업무]),Table7[야간인센티브],0,0),0)</f>
        <v>0</v>
      </c>
      <c r="AK263" s="94" cm="1">
        <f t="array" ref="AK263">IF(V263=0,0,ROUND(AC263*V263*24*_xlfn.XLOOKUP(1,(D263&lt;=Table7[End])*(E263=Table7[근무처])*(F263=Table7[업무]),Table7[야간인센티브],0,0),0))</f>
        <v>0</v>
      </c>
      <c r="AL263" s="95"/>
      <c r="AM263" s="94">
        <f t="shared" si="62"/>
        <v>61944</v>
      </c>
      <c r="AN263" s="94" cm="1">
        <f t="array" ref="AN263">IF(AM263&gt;=_xlfn.XLOOKUP(TRUE,D263&lt;=Table5[End],Table5[비과세소득기준],0,0),AM263-_xlfn.XLOOKUP(TRUE,D263&lt;=Table5[End],Table5[비과세소득기준],0,0),0)</f>
        <v>0</v>
      </c>
      <c r="AO263" s="94" cm="1">
        <f t="array" ref="AO263">ROUNDDOWN(_xlfn.LET(_xlpm.setvalue,_xlfn.XLOOKUP(TRUE,D263&lt;=Table5[End],Table5[[요율]:[근로소득세액공제]],0,0),_xlpm.tax,AN263*PRODUCT((_xlpm.setvalue-{0,1})*{1,-1}),_xlpm.threshold,_xlfn.XLOOKUP(TRUE,D263&lt;=Table5[End],Table5[소액부징수기준],0,0),IF(_xlpm.tax&gt;=_xlpm.threshold,_xlpm.tax,0)),-1)</f>
        <v>0</v>
      </c>
      <c r="AP263" s="94">
        <f>ROUNDDOWN(Table2[[#This Row],[소득세]]*10%,-1)</f>
        <v>0</v>
      </c>
      <c r="AQ263" s="94">
        <f>IF(AB263="v",AM263+IF(Y263=8,SUMIFS(Table2[지급총액],Table2[주민등록번호],O263,Table2[월],R263,Table2[월간
근무일],"&lt;="&amp;8)-AM263,0),0)+_xlfn.NUMBERVALUE(AR263)</f>
        <v>0</v>
      </c>
      <c r="AR263" s="95"/>
      <c r="AS263" s="94" cm="1">
        <f t="array" ref="AS263">ROUNDDOWN($AQ263*_xlfn.XLOOKUP(1,(AS$5=Table8[Type])*($D263&lt;=Table8[End]),Table8[요율],0,0),0)</f>
        <v>0</v>
      </c>
      <c r="AT263" s="94" cm="1">
        <f t="array" ref="AT263">ROUNDDOWN(AS263*_xlfn.XLOOKUP(1,(AT$5=Table8[Type])*($D263&lt;=Table8[End]),Table8[요율],0,0),-1)</f>
        <v>0</v>
      </c>
      <c r="AU263" s="94" cm="1">
        <f t="array" ref="AU263">ROUNDDOWN($AQ263*_xlfn.XLOOKUP(1,(AU$5=Table8[Type])*($D263&lt;=Table8[End]),Table8[요율],0,0),-1)</f>
        <v>0</v>
      </c>
      <c r="AV263" s="94" cm="1">
        <f t="array" ref="AV263">ROUNDDOWN(AM263*_xlfn.XLOOKUP(1,(AV$5=Table8[Type])*($D263&lt;=Table8[End]),Table8[요율],0,0),-1)</f>
        <v>0</v>
      </c>
      <c r="AW263" s="94" cm="1">
        <f t="array" ref="AW263">_xlfn.XLOOKUP(1,(O263=Table2[주민등록번호])*(D263&gt;Table2[근무일자]),Table2[청구 Claim 
이월],0,0,-1)</f>
        <v>0</v>
      </c>
      <c r="AX263" s="95"/>
      <c r="AY263" s="94" cm="1">
        <f t="array" ref="AY263">MAX(SUM(AO263:AP263,AS263:AX263)-_xlfn.XLOOKUP(1,(D263&lt;=Table7[End])*(E263=Table7[근무처])*(F263=Table7[업무]),Table7[1일 공제 상한],0,0),0)</f>
        <v>0</v>
      </c>
      <c r="AZ263" s="94">
        <f t="shared" si="63"/>
        <v>0</v>
      </c>
      <c r="BA263" s="94">
        <f t="shared" si="64"/>
        <v>61944</v>
      </c>
      <c r="BB263" s="97">
        <f t="shared" si="65"/>
        <v>0</v>
      </c>
      <c r="BC263" s="98"/>
      <c r="BD263" s="94">
        <f t="shared" si="66"/>
        <v>0</v>
      </c>
      <c r="BE263" s="94">
        <f t="shared" si="67"/>
        <v>0</v>
      </c>
      <c r="BF263" s="94">
        <f t="shared" si="68"/>
        <v>0</v>
      </c>
      <c r="BG263" s="94">
        <f t="shared" si="69"/>
        <v>0</v>
      </c>
      <c r="BH263" s="94" cm="1">
        <f t="array" ref="BH263">ROUNDDOWN(AM263*_xlfn.XLOOKUP(1,(BH$5=Table8[Type])*($D263&lt;=Table8[End]),Table8[요율],0,0),-1)</f>
        <v>490</v>
      </c>
      <c r="BI263" s="93" t="str" cm="1">
        <f t="array" ref="BI263">_xlfn.XLOOKUP(1,(D263&lt;=Table7[End])*(E263=Table7[근무처])*(F263=Table7[업무]),Table7[지급옵션],0,0)</f>
        <v>차주 화</v>
      </c>
      <c r="BJ263" s="83">
        <f>IF(BK263&lt;&gt;"",BK263,IFERROR(D263+_xlfn.NUMBERVALUE(RIGHT(BI263,1)),D263-WEEKDAY(D263)+CHOOSE(MATCH(RIGHT(BI263),{"일","월","화","수","목","금","토"},0),8,9,10,11,12,13,14)))</f>
        <v>45818</v>
      </c>
      <c r="BK263" s="99"/>
    </row>
    <row r="264" spans="2:63" x14ac:dyDescent="0.35">
      <c r="B264" s="20" t="str" cm="1">
        <f t="array" ref="B264">_xlfn.IFS(BB264&lt;&gt;BC264,"Claim확인",N264&lt;&gt;"OK","확인필요",TRUE,"")</f>
        <v>Claim확인</v>
      </c>
      <c r="C264" s="21" t="str">
        <f t="shared" si="56"/>
        <v>010-3X6X-X4X7757X02XX284249</v>
      </c>
      <c r="D264" s="26">
        <v>45816</v>
      </c>
      <c r="E264" s="91" t="s">
        <v>255</v>
      </c>
      <c r="F264" s="25" t="s">
        <v>258</v>
      </c>
      <c r="G264" s="27" t="s">
        <v>283</v>
      </c>
      <c r="H264" s="25" t="s">
        <v>295</v>
      </c>
      <c r="I264" s="25"/>
      <c r="J264" s="25" t="s">
        <v>296</v>
      </c>
      <c r="K264" s="28">
        <v>0.3125</v>
      </c>
      <c r="L264" s="28">
        <v>0.54166666666666663</v>
      </c>
      <c r="M264" s="28">
        <v>2.0833333333333332E-2</v>
      </c>
      <c r="N264" s="25" t="s">
        <v>281</v>
      </c>
      <c r="O264" s="29" t="str">
        <f>_xlfn.XLOOKUP(Table2[[#This Row],[Key]],Table1[Key],Table1[주민등록번호],"",0)</f>
        <v>940XX41XX7X32</v>
      </c>
      <c r="P264" s="29">
        <f>_xlfn.XLOOKUP(Table2[[#This Row],[Key]],Table1[Key],Table1[비자],"",0)</f>
        <v>0</v>
      </c>
      <c r="Q264" s="29">
        <f>IF(P264=0,0,_xlfn.XLOOKUP(Table2[[#This Row],[Key]],Table1[Key],Table1[고용보험 여부],0,0))</f>
        <v>0</v>
      </c>
      <c r="R264" s="29" t="str">
        <f t="shared" si="57"/>
        <v>2506</v>
      </c>
      <c r="S264" s="30" t="str">
        <f>YEAR(Table2[[#This Row],[근무일자]])&amp;TEXT(WEEKNUM(Table2[[#This Row],[근무일자]]),"00")</f>
        <v>202524</v>
      </c>
      <c r="T264" s="31">
        <f>_xlfn.XLOOKUP(Table2[[#This Row],[Key]],Table1[Key],Table1[등록일],"",0)</f>
        <v>45751</v>
      </c>
      <c r="U264" s="32">
        <f t="shared" si="58"/>
        <v>0.20833333333333329</v>
      </c>
      <c r="V264" s="92">
        <f t="shared" si="59"/>
        <v>0</v>
      </c>
      <c r="W264" s="100" t="str">
        <f>_xlfn.XLOOKUP(Table2[[#This Row],[근무일자]],Table3[Date],Table3[Holiday],"",0)</f>
        <v/>
      </c>
      <c r="X264" s="93">
        <f>IF(D264&lt;&gt;"",1,0)+IF(COUNTIFS(Table2[주민등록번호],O264,Table2[월],TEXT(EOMONTH(D264,-1),"YYMM"))&gt;0,1+IF(COUNTIFS(Table2[주민등록번호],O264,Table2[월],TEXT(EOMONTH(D264,-2),"YYMM"))&gt;0,1+IF(COUNTIFS(Table2[주민등록번호],O264,Table2[월],TEXT(EOMONTH(D264,-3),"YYMM"))&gt;0,1,0),0),0)</f>
        <v>3</v>
      </c>
      <c r="Y264" s="29">
        <f>COUNTIFS(Table2[주민등록번호],O264,Table2[월],R264,Table2[근무일자],"&lt;="&amp;D264)</f>
        <v>8</v>
      </c>
      <c r="Z264" s="29">
        <f>COUNTIFS(Table2[주민등록번호],O264,Table2[주간],S264,Table2[근무일자],"&lt;="&amp;D264)</f>
        <v>1</v>
      </c>
      <c r="AA264" s="29">
        <f>SUMIFS(Table2[근로
시간],Table2[주민등록번호],O264,Table2[주간],S264,Table2[근무일자],"&lt;="&amp;D264)*24</f>
        <v>4.9999999999999991</v>
      </c>
      <c r="AB264" s="29" t="str">
        <f>IF(AND(Y264&gt;=8,COUNTIFS(Table2[주민등록번호],O264,Table2[근무일자],"&gt;="&amp;EOMONTH(D264,-2)+1,Table2[근무일자],"&lt;="&amp;EOMONTH(D264,-1)+1)&gt;0),"V","")</f>
        <v>V</v>
      </c>
      <c r="AC264" s="94" cm="1">
        <f t="array" ref="AC264">IF(AD264&lt;&gt;"",AD264,_xlfn.XLOOKUP(1,(D264&lt;=Table7[End])*(E264=Table7[근무처])*(F264=Table7[업무]),Table7[시급],0,0))</f>
        <v>10680</v>
      </c>
      <c r="AD264" s="95"/>
      <c r="AE264" s="94">
        <f t="shared" si="60"/>
        <v>53400</v>
      </c>
      <c r="AF264" s="96" cm="1">
        <f t="array" ref="AF264">IF(AND(AA264&gt;=15,(AA264-U264*24)&lt;=40),IF(Z264&gt;=_xlfn.XLOOKUP(1,(D264&lt;=Table7[End])*(E264=Table7[근무처])*(F264=Table7[업무]),Table7[주휴적용일],0,0),1,0)+_xlfn.XLOOKUP(1,(Table2[주간]=Table2[[#This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64" s="96" cm="1">
        <f t="array" ref="AG264">MAX((_xlfn.IFS(AF264=0,0,AF264=1,AA264,AF264&gt;1,U264*24)-IF(AA264&gt;40,AA264-40,0))/5,0)</f>
        <v>0</v>
      </c>
      <c r="AH264" s="94">
        <f t="shared" si="61"/>
        <v>0</v>
      </c>
      <c r="AI264" s="33" cm="1">
        <f t="array" ref="AI264">IF(W264="",0,ROUND(AC264*U264*24*_xlfn.XLOOKUP(1,(D264&lt;=Table7[End])*(E264=Table7[근무처])*(F264=Table7[업무]),Table7[휴일인센티브],0,0),0))</f>
        <v>0</v>
      </c>
      <c r="AJ264" s="94" cm="1">
        <f t="array" ref="AJ264">ROUND(AC264*IF(U264&gt;=8/24,U264-8/24,0)*24*_xlfn.XLOOKUP(1,(D264&lt;=Table7[End])*(E264=Table7[근무처])*(F264=Table7[업무]),Table7[야간인센티브],0,0),0)</f>
        <v>0</v>
      </c>
      <c r="AK264" s="94" cm="1">
        <f t="array" ref="AK264">IF(V264=0,0,ROUND(AC264*V264*24*_xlfn.XLOOKUP(1,(D264&lt;=Table7[End])*(E264=Table7[근무처])*(F264=Table7[업무]),Table7[야간인센티브],0,0),0))</f>
        <v>0</v>
      </c>
      <c r="AL264" s="95"/>
      <c r="AM264" s="94">
        <f t="shared" si="62"/>
        <v>53400</v>
      </c>
      <c r="AN264" s="94" cm="1">
        <f t="array" ref="AN264">IF(AM264&gt;=_xlfn.XLOOKUP(TRUE,D264&lt;=Table5[End],Table5[비과세소득기준],0,0),AM264-_xlfn.XLOOKUP(TRUE,D264&lt;=Table5[End],Table5[비과세소득기준],0,0),0)</f>
        <v>0</v>
      </c>
      <c r="AO264" s="94" cm="1">
        <f t="array" ref="AO264">ROUNDDOWN(_xlfn.LET(_xlpm.setvalue,_xlfn.XLOOKUP(TRUE,D264&lt;=Table5[End],Table5[[요율]:[근로소득세액공제]],0,0),_xlpm.tax,AN264*PRODUCT((_xlpm.setvalue-{0,1})*{1,-1}),_xlpm.threshold,_xlfn.XLOOKUP(TRUE,D264&lt;=Table5[End],Table5[소액부징수기준],0,0),IF(_xlpm.tax&gt;=_xlpm.threshold,_xlpm.tax,0)),-1)</f>
        <v>0</v>
      </c>
      <c r="AP264" s="94">
        <f>ROUNDDOWN(Table2[[#This Row],[소득세]]*10%,-1)</f>
        <v>0</v>
      </c>
      <c r="AQ264" s="94">
        <f>IF(AB264="v",AM264+IF(Y264=8,SUMIFS(Table2[지급총액],Table2[주민등록번호],O264,Table2[월],R264,Table2[월간
근무일],"&lt;="&amp;8)-AM264,0),0)+_xlfn.NUMBERVALUE(AR264)</f>
        <v>662160</v>
      </c>
      <c r="AR264" s="95"/>
      <c r="AS264" s="94" cm="1">
        <f t="array" ref="AS264">ROUNDDOWN($AQ264*_xlfn.XLOOKUP(1,(AS$5=Table8[Type])*($D264&lt;=Table8[End]),Table8[요율],0,0),0)</f>
        <v>23473</v>
      </c>
      <c r="AT264" s="94" cm="1">
        <f t="array" ref="AT264">ROUNDDOWN(AS264*_xlfn.XLOOKUP(1,(AT$5=Table8[Type])*($D264&lt;=Table8[End]),Table8[요율],0,0),-1)</f>
        <v>3040</v>
      </c>
      <c r="AU264" s="94" cm="1">
        <f t="array" ref="AU264">ROUNDDOWN($AQ264*_xlfn.XLOOKUP(1,(AU$5=Table8[Type])*($D264&lt;=Table8[End]),Table8[요율],0,0),-1)</f>
        <v>29790</v>
      </c>
      <c r="AV264" s="94" cm="1">
        <f t="array" ref="AV264">ROUNDDOWN(AM264*_xlfn.XLOOKUP(1,(AV$5=Table8[Type])*($D264&lt;=Table8[End]),Table8[요율],0,0),-1)</f>
        <v>0</v>
      </c>
      <c r="AW264" s="94" cm="1">
        <f t="array" ref="AW264">_xlfn.XLOOKUP(1,(O264=Table2[주민등록번호])*(D264&gt;Table2[근무일자]),Table2[청구 Claim 
이월],0,0,-1)</f>
        <v>0</v>
      </c>
      <c r="AX264" s="95"/>
      <c r="AY264" s="94" cm="1">
        <f t="array" ref="AY264">MAX(SUM(AO264:AP264,AS264:AX264)-_xlfn.XLOOKUP(1,(D264&lt;=Table7[End])*(E264=Table7[근무처])*(F264=Table7[업무]),Table7[1일 공제 상한],0,0),0)</f>
        <v>0</v>
      </c>
      <c r="AZ264" s="94">
        <f t="shared" si="63"/>
        <v>56303</v>
      </c>
      <c r="BA264" s="94">
        <f t="shared" si="64"/>
        <v>0</v>
      </c>
      <c r="BB264" s="97">
        <f t="shared" si="65"/>
        <v>2903</v>
      </c>
      <c r="BC264" s="98">
        <v>3570</v>
      </c>
      <c r="BD264" s="94">
        <f t="shared" si="66"/>
        <v>23473</v>
      </c>
      <c r="BE264" s="94">
        <f t="shared" si="67"/>
        <v>3040</v>
      </c>
      <c r="BF264" s="94">
        <f t="shared" si="68"/>
        <v>29790</v>
      </c>
      <c r="BG264" s="94">
        <f t="shared" si="69"/>
        <v>0</v>
      </c>
      <c r="BH264" s="94" cm="1">
        <f t="array" ref="BH264">ROUNDDOWN(AM264*_xlfn.XLOOKUP(1,(BH$5=Table8[Type])*($D264&lt;=Table8[End]),Table8[요율],0,0),-1)</f>
        <v>420</v>
      </c>
      <c r="BI264" s="93" t="str" cm="1">
        <f t="array" ref="BI264">_xlfn.XLOOKUP(1,(D264&lt;=Table7[End])*(E264=Table7[근무처])*(F264=Table7[업무]),Table7[지급옵션],0,0)</f>
        <v>차주 화</v>
      </c>
      <c r="BJ264" s="83">
        <f>IF(BK264&lt;&gt;"",BK264,IFERROR(D264+_xlfn.NUMBERVALUE(RIGHT(BI264,1)),D264-WEEKDAY(D264)+CHOOSE(MATCH(RIGHT(BI264),{"일","월","화","수","목","금","토"},0),8,9,10,11,12,13,14)))</f>
        <v>45825</v>
      </c>
      <c r="BK264" s="99"/>
    </row>
    <row r="265" spans="2:63" x14ac:dyDescent="0.35">
      <c r="B265" s="20" t="str" cm="1">
        <f t="array" ref="B265">_xlfn.IFS(BB265&lt;&gt;BC265,"Claim확인",N265&lt;&gt;"OK","확인필요",TRUE,"")</f>
        <v/>
      </c>
      <c r="C265" s="21" t="str">
        <f t="shared" si="56"/>
        <v>010-3X4X-X9X7219X02XX284640</v>
      </c>
      <c r="D265" s="26">
        <v>45816</v>
      </c>
      <c r="E265" s="91" t="s">
        <v>253</v>
      </c>
      <c r="F265" s="25" t="s">
        <v>257</v>
      </c>
      <c r="G265" s="27" t="s">
        <v>286</v>
      </c>
      <c r="H265" s="25" t="s">
        <v>299</v>
      </c>
      <c r="I265" s="25"/>
      <c r="J265" s="25" t="s">
        <v>300</v>
      </c>
      <c r="K265" s="28">
        <v>0.375</v>
      </c>
      <c r="L265" s="28">
        <v>0.60416666666666663</v>
      </c>
      <c r="M265" s="28">
        <v>2.0833333333333332E-2</v>
      </c>
      <c r="N265" s="25" t="s">
        <v>281</v>
      </c>
      <c r="O265" s="29" t="str">
        <f>_xlfn.XLOOKUP(Table2[[#This Row],[Key]],Table1[Key],Table1[주민등록번호],"",0)</f>
        <v>931XX31XX3X14</v>
      </c>
      <c r="P265" s="29">
        <f>_xlfn.XLOOKUP(Table2[[#This Row],[Key]],Table1[Key],Table1[비자],"",0)</f>
        <v>0</v>
      </c>
      <c r="Q265" s="29">
        <f>IF(P265=0,0,_xlfn.XLOOKUP(Table2[[#This Row],[Key]],Table1[Key],Table1[고용보험 여부],0,0))</f>
        <v>0</v>
      </c>
      <c r="R265" s="29" t="str">
        <f t="shared" si="57"/>
        <v>2506</v>
      </c>
      <c r="S265" s="30" t="str">
        <f>YEAR(Table2[[#This Row],[근무일자]])&amp;TEXT(WEEKNUM(Table2[[#This Row],[근무일자]]),"00")</f>
        <v>202524</v>
      </c>
      <c r="T265" s="31">
        <f>_xlfn.XLOOKUP(Table2[[#This Row],[Key]],Table1[Key],Table1[등록일],"",0)</f>
        <v>45773</v>
      </c>
      <c r="U265" s="32">
        <f t="shared" si="58"/>
        <v>0.20833333333333329</v>
      </c>
      <c r="V265" s="92">
        <f t="shared" si="59"/>
        <v>0</v>
      </c>
      <c r="W265" s="100" t="str">
        <f>_xlfn.XLOOKUP(Table2[[#This Row],[근무일자]],Table3[Date],Table3[Holiday],"",0)</f>
        <v/>
      </c>
      <c r="X265" s="93">
        <f>IF(D265&lt;&gt;"",1,0)+IF(COUNTIFS(Table2[주민등록번호],O265,Table2[월],TEXT(EOMONTH(D265,-1),"YYMM"))&gt;0,1+IF(COUNTIFS(Table2[주민등록번호],O265,Table2[월],TEXT(EOMONTH(D265,-2),"YYMM"))&gt;0,1+IF(COUNTIFS(Table2[주민등록번호],O265,Table2[월],TEXT(EOMONTH(D265,-3),"YYMM"))&gt;0,1,0),0),0)</f>
        <v>4</v>
      </c>
      <c r="Y265" s="29">
        <f>COUNTIFS(Table2[주민등록번호],O265,Table2[월],R265,Table2[근무일자],"&lt;="&amp;D265)</f>
        <v>5</v>
      </c>
      <c r="Z265" s="29">
        <f>COUNTIFS(Table2[주민등록번호],O265,Table2[주간],S265,Table2[근무일자],"&lt;="&amp;D265)</f>
        <v>1</v>
      </c>
      <c r="AA265" s="29">
        <f>SUMIFS(Table2[근로
시간],Table2[주민등록번호],O265,Table2[주간],S265,Table2[근무일자],"&lt;="&amp;D265)*24</f>
        <v>4.9999999999999991</v>
      </c>
      <c r="AB265" s="29" t="str">
        <f>IF(AND(Y265&gt;=8,COUNTIFS(Table2[주민등록번호],O265,Table2[근무일자],"&gt;="&amp;EOMONTH(D265,-2)+1,Table2[근무일자],"&lt;="&amp;EOMONTH(D265,-1)+1)&gt;0),"V","")</f>
        <v/>
      </c>
      <c r="AC265" s="94" cm="1">
        <f t="array" ref="AC265">IF(AD265&lt;&gt;"",AD265,_xlfn.XLOOKUP(1,(D265&lt;=Table7[End])*(E265=Table7[근무처])*(F265=Table7[업무]),Table7[시급],0,0))</f>
        <v>10030</v>
      </c>
      <c r="AD265" s="95"/>
      <c r="AE265" s="94">
        <f t="shared" si="60"/>
        <v>50150</v>
      </c>
      <c r="AF265" s="96" cm="1">
        <f t="array" ref="AF265">IF(AND(AA265&gt;=15,(AA265-U265*24)&lt;=40),IF(Z265&gt;=_xlfn.XLOOKUP(1,(D265&lt;=Table7[End])*(E265=Table7[근무처])*(F265=Table7[업무]),Table7[주휴적용일],0,0),1,0)+_xlfn.XLOOKUP(1,(Table2[주간]=Table2[[#This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65" s="96" cm="1">
        <f t="array" ref="AG265">MAX((_xlfn.IFS(AF265=0,0,AF265=1,AA265,AF265&gt;1,U265*24)-IF(AA265&gt;40,AA265-40,0))/5,0)</f>
        <v>0</v>
      </c>
      <c r="AH265" s="94">
        <f t="shared" si="61"/>
        <v>0</v>
      </c>
      <c r="AI265" s="33" cm="1">
        <f t="array" ref="AI265">IF(W265="",0,ROUND(AC265*U265*24*_xlfn.XLOOKUP(1,(D265&lt;=Table7[End])*(E265=Table7[근무처])*(F265=Table7[업무]),Table7[휴일인센티브],0,0),0))</f>
        <v>0</v>
      </c>
      <c r="AJ265" s="94" cm="1">
        <f t="array" ref="AJ265">ROUND(AC265*IF(U265&gt;=8/24,U265-8/24,0)*24*_xlfn.XLOOKUP(1,(D265&lt;=Table7[End])*(E265=Table7[근무처])*(F265=Table7[업무]),Table7[야간인센티브],0,0),0)</f>
        <v>0</v>
      </c>
      <c r="AK265" s="94" cm="1">
        <f t="array" ref="AK265">IF(V265=0,0,ROUND(AC265*V265*24*_xlfn.XLOOKUP(1,(D265&lt;=Table7[End])*(E265=Table7[근무처])*(F265=Table7[업무]),Table7[야간인센티브],0,0),0))</f>
        <v>0</v>
      </c>
      <c r="AL265" s="95"/>
      <c r="AM265" s="94">
        <f t="shared" si="62"/>
        <v>50150</v>
      </c>
      <c r="AN265" s="94" cm="1">
        <f t="array" ref="AN265">IF(AM265&gt;=_xlfn.XLOOKUP(TRUE,D265&lt;=Table5[End],Table5[비과세소득기준],0,0),AM265-_xlfn.XLOOKUP(TRUE,D265&lt;=Table5[End],Table5[비과세소득기준],0,0),0)</f>
        <v>0</v>
      </c>
      <c r="AO265" s="94" cm="1">
        <f t="array" ref="AO265">ROUNDDOWN(_xlfn.LET(_xlpm.setvalue,_xlfn.XLOOKUP(TRUE,D265&lt;=Table5[End],Table5[[요율]:[근로소득세액공제]],0,0),_xlpm.tax,AN265*PRODUCT((_xlpm.setvalue-{0,1})*{1,-1}),_xlpm.threshold,_xlfn.XLOOKUP(TRUE,D265&lt;=Table5[End],Table5[소액부징수기준],0,0),IF(_xlpm.tax&gt;=_xlpm.threshold,_xlpm.tax,0)),-1)</f>
        <v>0</v>
      </c>
      <c r="AP265" s="94">
        <f>ROUNDDOWN(Table2[[#This Row],[소득세]]*10%,-1)</f>
        <v>0</v>
      </c>
      <c r="AQ265" s="94">
        <f>IF(AB265="v",AM265+IF(Y265=8,SUMIFS(Table2[지급총액],Table2[주민등록번호],O265,Table2[월],R265,Table2[월간
근무일],"&lt;="&amp;8)-AM265,0),0)+_xlfn.NUMBERVALUE(AR265)</f>
        <v>0</v>
      </c>
      <c r="AR265" s="95"/>
      <c r="AS265" s="94" cm="1">
        <f t="array" ref="AS265">ROUNDDOWN($AQ265*_xlfn.XLOOKUP(1,(AS$5=Table8[Type])*($D265&lt;=Table8[End]),Table8[요율],0,0),0)</f>
        <v>0</v>
      </c>
      <c r="AT265" s="94" cm="1">
        <f t="array" ref="AT265">ROUNDDOWN(AS265*_xlfn.XLOOKUP(1,(AT$5=Table8[Type])*($D265&lt;=Table8[End]),Table8[요율],0,0),-1)</f>
        <v>0</v>
      </c>
      <c r="AU265" s="94" cm="1">
        <f t="array" ref="AU265">ROUNDDOWN($AQ265*_xlfn.XLOOKUP(1,(AU$5=Table8[Type])*($D265&lt;=Table8[End]),Table8[요율],0,0),-1)</f>
        <v>0</v>
      </c>
      <c r="AV265" s="94" cm="1">
        <f t="array" ref="AV265">ROUNDDOWN(AM265*_xlfn.XLOOKUP(1,(AV$5=Table8[Type])*($D265&lt;=Table8[End]),Table8[요율],0,0),-1)</f>
        <v>0</v>
      </c>
      <c r="AW265" s="94" cm="1">
        <f t="array" ref="AW265">_xlfn.XLOOKUP(1,(O265=Table2[주민등록번호])*(D265&gt;Table2[근무일자]),Table2[청구 Claim 
이월],0,0,-1)</f>
        <v>0</v>
      </c>
      <c r="AX265" s="95"/>
      <c r="AY265" s="94" cm="1">
        <f t="array" ref="AY265">MAX(SUM(AO265:AP265,AS265:AX265)-_xlfn.XLOOKUP(1,(D265&lt;=Table7[End])*(E265=Table7[근무처])*(F265=Table7[업무]),Table7[1일 공제 상한],0,0),0)</f>
        <v>0</v>
      </c>
      <c r="AZ265" s="94">
        <f t="shared" si="63"/>
        <v>0</v>
      </c>
      <c r="BA265" s="94">
        <f t="shared" si="64"/>
        <v>50150</v>
      </c>
      <c r="BB265" s="97">
        <f t="shared" si="65"/>
        <v>0</v>
      </c>
      <c r="BC265" s="98"/>
      <c r="BD265" s="94">
        <f t="shared" si="66"/>
        <v>0</v>
      </c>
      <c r="BE265" s="94">
        <f t="shared" si="67"/>
        <v>0</v>
      </c>
      <c r="BF265" s="94">
        <f t="shared" si="68"/>
        <v>0</v>
      </c>
      <c r="BG265" s="94">
        <f t="shared" si="69"/>
        <v>0</v>
      </c>
      <c r="BH265" s="94" cm="1">
        <f t="array" ref="BH265">ROUNDDOWN(AM265*_xlfn.XLOOKUP(1,(BH$5=Table8[Type])*($D265&lt;=Table8[End]),Table8[요율],0,0),-1)</f>
        <v>400</v>
      </c>
      <c r="BI265" s="93" t="str" cm="1">
        <f t="array" ref="BI265">_xlfn.XLOOKUP(1,(D265&lt;=Table7[End])*(E265=Table7[근무처])*(F265=Table7[업무]),Table7[지급옵션],0,0)</f>
        <v>D+2</v>
      </c>
      <c r="BJ265" s="83">
        <f>IF(BK265&lt;&gt;"",BK265,IFERROR(D265+_xlfn.NUMBERVALUE(RIGHT(BI265,1)),D265-WEEKDAY(D265)+CHOOSE(MATCH(RIGHT(BI265),{"일","월","화","수","목","금","토"},0),8,9,10,11,12,13,14)))</f>
        <v>45818</v>
      </c>
      <c r="BK265" s="99"/>
    </row>
    <row r="266" spans="2:63" x14ac:dyDescent="0.35">
      <c r="B266" s="20" t="str" cm="1">
        <f t="array" ref="B266">_xlfn.IFS(BB266&lt;&gt;BC266,"Claim확인",N266&lt;&gt;"OK","확인필요",TRUE,"")</f>
        <v/>
      </c>
      <c r="C266" s="21" t="str">
        <f t="shared" si="56"/>
        <v>010-3X6X-X4X7757X02XX284249</v>
      </c>
      <c r="D266" s="26">
        <v>45817</v>
      </c>
      <c r="E266" s="91" t="s">
        <v>255</v>
      </c>
      <c r="F266" s="25" t="s">
        <v>258</v>
      </c>
      <c r="G266" s="27" t="s">
        <v>283</v>
      </c>
      <c r="H266" s="25" t="s">
        <v>295</v>
      </c>
      <c r="I266" s="25"/>
      <c r="J266" s="25" t="s">
        <v>296</v>
      </c>
      <c r="K266" s="28">
        <v>0.3125</v>
      </c>
      <c r="L266" s="28">
        <v>0.6875</v>
      </c>
      <c r="M266" s="28">
        <v>4.1666666666666664E-2</v>
      </c>
      <c r="N266" s="25" t="s">
        <v>281</v>
      </c>
      <c r="O266" s="29" t="str">
        <f>_xlfn.XLOOKUP(Table2[[#This Row],[Key]],Table1[Key],Table1[주민등록번호],"",0)</f>
        <v>940XX41XX7X32</v>
      </c>
      <c r="P266" s="29">
        <f>_xlfn.XLOOKUP(Table2[[#This Row],[Key]],Table1[Key],Table1[비자],"",0)</f>
        <v>0</v>
      </c>
      <c r="Q266" s="29">
        <f>IF(P266=0,0,_xlfn.XLOOKUP(Table2[[#This Row],[Key]],Table1[Key],Table1[고용보험 여부],0,0))</f>
        <v>0</v>
      </c>
      <c r="R266" s="29" t="str">
        <f t="shared" si="57"/>
        <v>2506</v>
      </c>
      <c r="S266" s="30" t="str">
        <f>YEAR(Table2[[#This Row],[근무일자]])&amp;TEXT(WEEKNUM(Table2[[#This Row],[근무일자]]),"00")</f>
        <v>202524</v>
      </c>
      <c r="T266" s="31">
        <f>_xlfn.XLOOKUP(Table2[[#This Row],[Key]],Table1[Key],Table1[등록일],"",0)</f>
        <v>45751</v>
      </c>
      <c r="U266" s="32">
        <f t="shared" si="58"/>
        <v>0.33333333333333331</v>
      </c>
      <c r="V266" s="92">
        <f t="shared" si="59"/>
        <v>0</v>
      </c>
      <c r="W266" s="100" t="str">
        <f>_xlfn.XLOOKUP(Table2[[#This Row],[근무일자]],Table3[Date],Table3[Holiday],"",0)</f>
        <v/>
      </c>
      <c r="X266" s="93">
        <f>IF(D266&lt;&gt;"",1,0)+IF(COUNTIFS(Table2[주민등록번호],O266,Table2[월],TEXT(EOMONTH(D266,-1),"YYMM"))&gt;0,1+IF(COUNTIFS(Table2[주민등록번호],O266,Table2[월],TEXT(EOMONTH(D266,-2),"YYMM"))&gt;0,1+IF(COUNTIFS(Table2[주민등록번호],O266,Table2[월],TEXT(EOMONTH(D266,-3),"YYMM"))&gt;0,1,0),0),0)</f>
        <v>3</v>
      </c>
      <c r="Y266" s="29">
        <f>COUNTIFS(Table2[주민등록번호],O266,Table2[월],R266,Table2[근무일자],"&lt;="&amp;D266)</f>
        <v>9</v>
      </c>
      <c r="Z266" s="29">
        <f>COUNTIFS(Table2[주민등록번호],O266,Table2[주간],S266,Table2[근무일자],"&lt;="&amp;D266)</f>
        <v>2</v>
      </c>
      <c r="AA266" s="29">
        <f>SUMIFS(Table2[근로
시간],Table2[주민등록번호],O266,Table2[주간],S266,Table2[근무일자],"&lt;="&amp;D266)*24</f>
        <v>13</v>
      </c>
      <c r="AB266" s="29" t="str">
        <f>IF(AND(Y266&gt;=8,COUNTIFS(Table2[주민등록번호],O266,Table2[근무일자],"&gt;="&amp;EOMONTH(D266,-2)+1,Table2[근무일자],"&lt;="&amp;EOMONTH(D266,-1)+1)&gt;0),"V","")</f>
        <v>V</v>
      </c>
      <c r="AC266" s="94" cm="1">
        <f t="array" ref="AC266">IF(AD266&lt;&gt;"",AD266,_xlfn.XLOOKUP(1,(D266&lt;=Table7[End])*(E266=Table7[근무처])*(F266=Table7[업무]),Table7[시급],0,0))</f>
        <v>10680</v>
      </c>
      <c r="AD266" s="95"/>
      <c r="AE266" s="94">
        <f t="shared" si="60"/>
        <v>85440</v>
      </c>
      <c r="AF266" s="96" cm="1">
        <f t="array" ref="AF266">IF(AND(AA266&gt;=15,(AA266-U266*24)&lt;=40),IF(Z266&gt;=_xlfn.XLOOKUP(1,(D266&lt;=Table7[End])*(E266=Table7[근무처])*(F266=Table7[업무]),Table7[주휴적용일],0,0),1,0)+_xlfn.XLOOKUP(1,(Table2[주간]=Table2[[#This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66" s="96" cm="1">
        <f t="array" ref="AG266">MAX((_xlfn.IFS(AF266=0,0,AF266=1,AA266,AF266&gt;1,U266*24)-IF(AA266&gt;40,AA266-40,0))/5,0)</f>
        <v>0</v>
      </c>
      <c r="AH266" s="94">
        <f t="shared" si="61"/>
        <v>0</v>
      </c>
      <c r="AI266" s="33" cm="1">
        <f t="array" ref="AI266">IF(W266="",0,ROUND(AC266*U266*24*_xlfn.XLOOKUP(1,(D266&lt;=Table7[End])*(E266=Table7[근무처])*(F266=Table7[업무]),Table7[휴일인센티브],0,0),0))</f>
        <v>0</v>
      </c>
      <c r="AJ266" s="94" cm="1">
        <f t="array" ref="AJ266">ROUND(AC266*IF(U266&gt;=8/24,U266-8/24,0)*24*_xlfn.XLOOKUP(1,(D266&lt;=Table7[End])*(E266=Table7[근무처])*(F266=Table7[업무]),Table7[야간인센티브],0,0),0)</f>
        <v>0</v>
      </c>
      <c r="AK266" s="94" cm="1">
        <f t="array" ref="AK266">IF(V266=0,0,ROUND(AC266*V266*24*_xlfn.XLOOKUP(1,(D266&lt;=Table7[End])*(E266=Table7[근무처])*(F266=Table7[업무]),Table7[야간인센티브],0,0),0))</f>
        <v>0</v>
      </c>
      <c r="AL266" s="95"/>
      <c r="AM266" s="94">
        <f t="shared" si="62"/>
        <v>85440</v>
      </c>
      <c r="AN266" s="94" cm="1">
        <f t="array" ref="AN266">IF(AM266&gt;=_xlfn.XLOOKUP(TRUE,D266&lt;=Table5[End],Table5[비과세소득기준],0,0),AM266-_xlfn.XLOOKUP(TRUE,D266&lt;=Table5[End],Table5[비과세소득기준],0,0),0)</f>
        <v>0</v>
      </c>
      <c r="AO266" s="94" cm="1">
        <f t="array" ref="AO266">ROUNDDOWN(_xlfn.LET(_xlpm.setvalue,_xlfn.XLOOKUP(TRUE,D266&lt;=Table5[End],Table5[[요율]:[근로소득세액공제]],0,0),_xlpm.tax,AN266*PRODUCT((_xlpm.setvalue-{0,1})*{1,-1}),_xlpm.threshold,_xlfn.XLOOKUP(TRUE,D266&lt;=Table5[End],Table5[소액부징수기준],0,0),IF(_xlpm.tax&gt;=_xlpm.threshold,_xlpm.tax,0)),-1)</f>
        <v>0</v>
      </c>
      <c r="AP266" s="94">
        <f>ROUNDDOWN(Table2[[#This Row],[소득세]]*10%,-1)</f>
        <v>0</v>
      </c>
      <c r="AQ266" s="94">
        <f>IF(AB266="v",AM266+IF(Y266=8,SUMIFS(Table2[지급총액],Table2[주민등록번호],O266,Table2[월],R266,Table2[월간
근무일],"&lt;="&amp;8)-AM266,0),0)+_xlfn.NUMBERVALUE(AR266)</f>
        <v>85440</v>
      </c>
      <c r="AR266" s="95"/>
      <c r="AS266" s="94" cm="1">
        <f t="array" ref="AS266">ROUNDDOWN($AQ266*_xlfn.XLOOKUP(1,(AS$5=Table8[Type])*($D266&lt;=Table8[End]),Table8[요율],0,0),0)</f>
        <v>3028</v>
      </c>
      <c r="AT266" s="94" cm="1">
        <f t="array" ref="AT266">ROUNDDOWN(AS266*_xlfn.XLOOKUP(1,(AT$5=Table8[Type])*($D266&lt;=Table8[End]),Table8[요율],0,0),-1)</f>
        <v>390</v>
      </c>
      <c r="AU266" s="94" cm="1">
        <f t="array" ref="AU266">ROUNDDOWN($AQ266*_xlfn.XLOOKUP(1,(AU$5=Table8[Type])*($D266&lt;=Table8[End]),Table8[요율],0,0),-1)</f>
        <v>3840</v>
      </c>
      <c r="AV266" s="94" cm="1">
        <f t="array" ref="AV266">ROUNDDOWN(AM266*_xlfn.XLOOKUP(1,(AV$5=Table8[Type])*($D266&lt;=Table8[End]),Table8[요율],0,0),-1)</f>
        <v>0</v>
      </c>
      <c r="AW266" s="94" cm="1">
        <f t="array" ref="AW266">_xlfn.XLOOKUP(1,(O266=Table2[주민등록번호])*(D266&gt;Table2[근무일자]),Table2[청구 Claim 
이월],0,0,-1)</f>
        <v>3570</v>
      </c>
      <c r="AX266" s="95"/>
      <c r="AY266" s="94" cm="1">
        <f t="array" ref="AY266">MAX(SUM(AO266:AP266,AS266:AX266)-_xlfn.XLOOKUP(1,(D266&lt;=Table7[End])*(E266=Table7[근무처])*(F266=Table7[업무]),Table7[1일 공제 상한],0,0),0)</f>
        <v>0</v>
      </c>
      <c r="AZ266" s="94">
        <f t="shared" si="63"/>
        <v>10828</v>
      </c>
      <c r="BA266" s="94">
        <f t="shared" si="64"/>
        <v>74612</v>
      </c>
      <c r="BB266" s="97">
        <f t="shared" si="65"/>
        <v>0</v>
      </c>
      <c r="BC266" s="98"/>
      <c r="BD266" s="94">
        <f t="shared" si="66"/>
        <v>3028</v>
      </c>
      <c r="BE266" s="94">
        <f t="shared" si="67"/>
        <v>390</v>
      </c>
      <c r="BF266" s="94">
        <f t="shared" si="68"/>
        <v>3840</v>
      </c>
      <c r="BG266" s="94">
        <f t="shared" si="69"/>
        <v>0</v>
      </c>
      <c r="BH266" s="94" cm="1">
        <f t="array" ref="BH266">ROUNDDOWN(AM266*_xlfn.XLOOKUP(1,(BH$5=Table8[Type])*($D266&lt;=Table8[End]),Table8[요율],0,0),-1)</f>
        <v>680</v>
      </c>
      <c r="BI266" s="93" t="str" cm="1">
        <f t="array" ref="BI266">_xlfn.XLOOKUP(1,(D266&lt;=Table7[End])*(E266=Table7[근무처])*(F266=Table7[업무]),Table7[지급옵션],0,0)</f>
        <v>차주 화</v>
      </c>
      <c r="BJ266" s="83">
        <f>IF(BK266&lt;&gt;"",BK266,IFERROR(D266+_xlfn.NUMBERVALUE(RIGHT(BI266,1)),D266-WEEKDAY(D266)+CHOOSE(MATCH(RIGHT(BI266),{"일","월","화","수","목","금","토"},0),8,9,10,11,12,13,14)))</f>
        <v>45825</v>
      </c>
      <c r="BK266" s="99"/>
    </row>
    <row r="267" spans="2:63" x14ac:dyDescent="0.35">
      <c r="B267" s="20" t="str" cm="1">
        <f t="array" ref="B267">_xlfn.IFS(BB267&lt;&gt;BC267,"Claim확인",N267&lt;&gt;"OK","확인필요",TRUE,"")</f>
        <v/>
      </c>
      <c r="C267" s="21" t="str">
        <f t="shared" si="56"/>
        <v>010-3X6X-X4X7757X02XX284249</v>
      </c>
      <c r="D267" s="26">
        <v>45818</v>
      </c>
      <c r="E267" s="91" t="s">
        <v>255</v>
      </c>
      <c r="F267" s="25" t="s">
        <v>258</v>
      </c>
      <c r="G267" s="27" t="s">
        <v>283</v>
      </c>
      <c r="H267" s="25" t="s">
        <v>295</v>
      </c>
      <c r="I267" s="25"/>
      <c r="J267" s="25" t="s">
        <v>296</v>
      </c>
      <c r="K267" s="28">
        <v>0.3125</v>
      </c>
      <c r="L267" s="28">
        <v>0.6875</v>
      </c>
      <c r="M267" s="28">
        <v>4.1666666666666664E-2</v>
      </c>
      <c r="N267" s="25" t="s">
        <v>281</v>
      </c>
      <c r="O267" s="29" t="str">
        <f>_xlfn.XLOOKUP(Table2[[#This Row],[Key]],Table1[Key],Table1[주민등록번호],"",0)</f>
        <v>940XX41XX7X32</v>
      </c>
      <c r="P267" s="29">
        <f>_xlfn.XLOOKUP(Table2[[#This Row],[Key]],Table1[Key],Table1[비자],"",0)</f>
        <v>0</v>
      </c>
      <c r="Q267" s="29">
        <f>IF(P267=0,0,_xlfn.XLOOKUP(Table2[[#This Row],[Key]],Table1[Key],Table1[고용보험 여부],0,0))</f>
        <v>0</v>
      </c>
      <c r="R267" s="29" t="str">
        <f t="shared" si="57"/>
        <v>2506</v>
      </c>
      <c r="S267" s="30" t="str">
        <f>YEAR(Table2[[#This Row],[근무일자]])&amp;TEXT(WEEKNUM(Table2[[#This Row],[근무일자]]),"00")</f>
        <v>202524</v>
      </c>
      <c r="T267" s="31">
        <f>_xlfn.XLOOKUP(Table2[[#This Row],[Key]],Table1[Key],Table1[등록일],"",0)</f>
        <v>45751</v>
      </c>
      <c r="U267" s="32">
        <f t="shared" si="58"/>
        <v>0.33333333333333331</v>
      </c>
      <c r="V267" s="92">
        <f t="shared" si="59"/>
        <v>0</v>
      </c>
      <c r="W267" s="100" t="str">
        <f>_xlfn.XLOOKUP(Table2[[#This Row],[근무일자]],Table3[Date],Table3[Holiday],"",0)</f>
        <v/>
      </c>
      <c r="X267" s="93">
        <f>IF(D267&lt;&gt;"",1,0)+IF(COUNTIFS(Table2[주민등록번호],O267,Table2[월],TEXT(EOMONTH(D267,-1),"YYMM"))&gt;0,1+IF(COUNTIFS(Table2[주민등록번호],O267,Table2[월],TEXT(EOMONTH(D267,-2),"YYMM"))&gt;0,1+IF(COUNTIFS(Table2[주민등록번호],O267,Table2[월],TEXT(EOMONTH(D267,-3),"YYMM"))&gt;0,1,0),0),0)</f>
        <v>3</v>
      </c>
      <c r="Y267" s="29">
        <f>COUNTIFS(Table2[주민등록번호],O267,Table2[월],R267,Table2[근무일자],"&lt;="&amp;D267)</f>
        <v>10</v>
      </c>
      <c r="Z267" s="29">
        <f>COUNTIFS(Table2[주민등록번호],O267,Table2[주간],S267,Table2[근무일자],"&lt;="&amp;D267)</f>
        <v>3</v>
      </c>
      <c r="AA267" s="29">
        <f>SUMIFS(Table2[근로
시간],Table2[주민등록번호],O267,Table2[주간],S267,Table2[근무일자],"&lt;="&amp;D267)*24</f>
        <v>21</v>
      </c>
      <c r="AB267" s="29" t="str">
        <f>IF(AND(Y267&gt;=8,COUNTIFS(Table2[주민등록번호],O267,Table2[근무일자],"&gt;="&amp;EOMONTH(D267,-2)+1,Table2[근무일자],"&lt;="&amp;EOMONTH(D267,-1)+1)&gt;0),"V","")</f>
        <v>V</v>
      </c>
      <c r="AC267" s="94" cm="1">
        <f t="array" ref="AC267">IF(AD267&lt;&gt;"",AD267,_xlfn.XLOOKUP(1,(D267&lt;=Table7[End])*(E267=Table7[근무처])*(F267=Table7[업무]),Table7[시급],0,0))</f>
        <v>10680</v>
      </c>
      <c r="AD267" s="95"/>
      <c r="AE267" s="94">
        <f t="shared" si="60"/>
        <v>85440</v>
      </c>
      <c r="AF267" s="96" cm="1">
        <f t="array" ref="AF267">IF(AND(AA267&gt;=15,(AA267-U267*24)&lt;=40),IF(Z267&gt;=_xlfn.XLOOKUP(1,(D267&lt;=Table7[End])*(E267=Table7[근무처])*(F267=Table7[업무]),Table7[주휴적용일],0,0),1,0)+_xlfn.XLOOKUP(1,(Table2[주간]=Table2[[#This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67" s="96" cm="1">
        <f t="array" ref="AG267">MAX((_xlfn.IFS(AF267=0,0,AF267=1,AA267,AF267&gt;1,U267*24)-IF(AA267&gt;40,AA267-40,0))/5,0)</f>
        <v>4.2</v>
      </c>
      <c r="AH267" s="94">
        <f t="shared" si="61"/>
        <v>44856</v>
      </c>
      <c r="AI267" s="33" cm="1">
        <f t="array" ref="AI267">IF(W267="",0,ROUND(AC267*U267*24*_xlfn.XLOOKUP(1,(D267&lt;=Table7[End])*(E267=Table7[근무처])*(F267=Table7[업무]),Table7[휴일인센티브],0,0),0))</f>
        <v>0</v>
      </c>
      <c r="AJ267" s="94" cm="1">
        <f t="array" ref="AJ267">ROUND(AC267*IF(U267&gt;=8/24,U267-8/24,0)*24*_xlfn.XLOOKUP(1,(D267&lt;=Table7[End])*(E267=Table7[근무처])*(F267=Table7[업무]),Table7[야간인센티브],0,0),0)</f>
        <v>0</v>
      </c>
      <c r="AK267" s="94" cm="1">
        <f t="array" ref="AK267">IF(V267=0,0,ROUND(AC267*V267*24*_xlfn.XLOOKUP(1,(D267&lt;=Table7[End])*(E267=Table7[근무처])*(F267=Table7[업무]),Table7[야간인센티브],0,0),0))</f>
        <v>0</v>
      </c>
      <c r="AL267" s="95"/>
      <c r="AM267" s="94">
        <f t="shared" si="62"/>
        <v>130296</v>
      </c>
      <c r="AN267" s="94" cm="1">
        <f t="array" ref="AN267">IF(AM267&gt;=_xlfn.XLOOKUP(TRUE,D267&lt;=Table5[End],Table5[비과세소득기준],0,0),AM267-_xlfn.XLOOKUP(TRUE,D267&lt;=Table5[End],Table5[비과세소득기준],0,0),0)</f>
        <v>0</v>
      </c>
      <c r="AO267" s="94" cm="1">
        <f t="array" ref="AO267">ROUNDDOWN(_xlfn.LET(_xlpm.setvalue,_xlfn.XLOOKUP(TRUE,D267&lt;=Table5[End],Table5[[요율]:[근로소득세액공제]],0,0),_xlpm.tax,AN267*PRODUCT((_xlpm.setvalue-{0,1})*{1,-1}),_xlpm.threshold,_xlfn.XLOOKUP(TRUE,D267&lt;=Table5[End],Table5[소액부징수기준],0,0),IF(_xlpm.tax&gt;=_xlpm.threshold,_xlpm.tax,0)),-1)</f>
        <v>0</v>
      </c>
      <c r="AP267" s="94">
        <f>ROUNDDOWN(Table2[[#This Row],[소득세]]*10%,-1)</f>
        <v>0</v>
      </c>
      <c r="AQ267" s="94">
        <f>IF(AB267="v",AM267+IF(Y267=8,SUMIFS(Table2[지급총액],Table2[주민등록번호],O267,Table2[월],R267,Table2[월간
근무일],"&lt;="&amp;8)-AM267,0),0)+_xlfn.NUMBERVALUE(AR267)</f>
        <v>130296</v>
      </c>
      <c r="AR267" s="95"/>
      <c r="AS267" s="94" cm="1">
        <f t="array" ref="AS267">ROUNDDOWN($AQ267*_xlfn.XLOOKUP(1,(AS$5=Table8[Type])*($D267&lt;=Table8[End]),Table8[요율],0,0),0)</f>
        <v>4618</v>
      </c>
      <c r="AT267" s="94" cm="1">
        <f t="array" ref="AT267">ROUNDDOWN(AS267*_xlfn.XLOOKUP(1,(AT$5=Table8[Type])*($D267&lt;=Table8[End]),Table8[요율],0,0),-1)</f>
        <v>590</v>
      </c>
      <c r="AU267" s="94" cm="1">
        <f t="array" ref="AU267">ROUNDDOWN($AQ267*_xlfn.XLOOKUP(1,(AU$5=Table8[Type])*($D267&lt;=Table8[End]),Table8[요율],0,0),-1)</f>
        <v>5860</v>
      </c>
      <c r="AV267" s="94" cm="1">
        <f t="array" ref="AV267">ROUNDDOWN(AM267*_xlfn.XLOOKUP(1,(AV$5=Table8[Type])*($D267&lt;=Table8[End]),Table8[요율],0,0),-1)</f>
        <v>0</v>
      </c>
      <c r="AW267" s="94" cm="1">
        <f t="array" ref="AW267">_xlfn.XLOOKUP(1,(O267=Table2[주민등록번호])*(D267&gt;Table2[근무일자]),Table2[청구 Claim 
이월],0,0,-1)</f>
        <v>0</v>
      </c>
      <c r="AX267" s="95"/>
      <c r="AY267" s="94" cm="1">
        <f t="array" ref="AY267">MAX(SUM(AO267:AP267,AS267:AX267)-_xlfn.XLOOKUP(1,(D267&lt;=Table7[End])*(E267=Table7[근무처])*(F267=Table7[업무]),Table7[1일 공제 상한],0,0),0)</f>
        <v>0</v>
      </c>
      <c r="AZ267" s="94">
        <f t="shared" si="63"/>
        <v>11068</v>
      </c>
      <c r="BA267" s="94">
        <f t="shared" si="64"/>
        <v>119228</v>
      </c>
      <c r="BB267" s="97">
        <f t="shared" si="65"/>
        <v>0</v>
      </c>
      <c r="BC267" s="98"/>
      <c r="BD267" s="94">
        <f t="shared" si="66"/>
        <v>4618</v>
      </c>
      <c r="BE267" s="94">
        <f t="shared" si="67"/>
        <v>590</v>
      </c>
      <c r="BF267" s="94">
        <f t="shared" si="68"/>
        <v>5860</v>
      </c>
      <c r="BG267" s="94">
        <f t="shared" si="69"/>
        <v>0</v>
      </c>
      <c r="BH267" s="94" cm="1">
        <f t="array" ref="BH267">ROUNDDOWN(AM267*_xlfn.XLOOKUP(1,(BH$5=Table8[Type])*($D267&lt;=Table8[End]),Table8[요율],0,0),-1)</f>
        <v>1040</v>
      </c>
      <c r="BI267" s="93" t="str" cm="1">
        <f t="array" ref="BI267">_xlfn.XLOOKUP(1,(D267&lt;=Table7[End])*(E267=Table7[근무처])*(F267=Table7[업무]),Table7[지급옵션],0,0)</f>
        <v>차주 화</v>
      </c>
      <c r="BJ267" s="83">
        <f>IF(BK267&lt;&gt;"",BK267,IFERROR(D267+_xlfn.NUMBERVALUE(RIGHT(BI267,1)),D267-WEEKDAY(D267)+CHOOSE(MATCH(RIGHT(BI267),{"일","월","화","수","목","금","토"},0),8,9,10,11,12,13,14)))</f>
        <v>45825</v>
      </c>
      <c r="BK267" s="99"/>
    </row>
    <row r="268" spans="2:63" x14ac:dyDescent="0.35">
      <c r="B268" s="20" t="str" cm="1">
        <f t="array" ref="B268">_xlfn.IFS(BB268&lt;&gt;BC268,"Claim확인",N268&lt;&gt;"OK","확인필요",TRUE,"")</f>
        <v/>
      </c>
      <c r="C268" s="21" t="str">
        <f t="shared" si="56"/>
        <v>010-3X6X-X4X7757X02XX284249</v>
      </c>
      <c r="D268" s="26">
        <v>45820</v>
      </c>
      <c r="E268" s="91" t="s">
        <v>255</v>
      </c>
      <c r="F268" s="25" t="s">
        <v>258</v>
      </c>
      <c r="G268" s="27" t="s">
        <v>283</v>
      </c>
      <c r="H268" s="25" t="s">
        <v>295</v>
      </c>
      <c r="I268" s="25"/>
      <c r="J268" s="25" t="s">
        <v>296</v>
      </c>
      <c r="K268" s="28">
        <v>0.45833333333333331</v>
      </c>
      <c r="L268" s="28">
        <v>0.83333333333333337</v>
      </c>
      <c r="M268" s="28">
        <v>4.1666666666666664E-2</v>
      </c>
      <c r="N268" s="25" t="s">
        <v>281</v>
      </c>
      <c r="O268" s="29" t="str">
        <f>_xlfn.XLOOKUP(Table2[[#This Row],[Key]],Table1[Key],Table1[주민등록번호],"",0)</f>
        <v>940XX41XX7X32</v>
      </c>
      <c r="P268" s="29">
        <f>_xlfn.XLOOKUP(Table2[[#This Row],[Key]],Table1[Key],Table1[비자],"",0)</f>
        <v>0</v>
      </c>
      <c r="Q268" s="29">
        <f>IF(P268=0,0,_xlfn.XLOOKUP(Table2[[#This Row],[Key]],Table1[Key],Table1[고용보험 여부],0,0))</f>
        <v>0</v>
      </c>
      <c r="R268" s="29" t="str">
        <f t="shared" si="57"/>
        <v>2506</v>
      </c>
      <c r="S268" s="30" t="str">
        <f>YEAR(Table2[[#This Row],[근무일자]])&amp;TEXT(WEEKNUM(Table2[[#This Row],[근무일자]]),"00")</f>
        <v>202524</v>
      </c>
      <c r="T268" s="31">
        <f>_xlfn.XLOOKUP(Table2[[#This Row],[Key]],Table1[Key],Table1[등록일],"",0)</f>
        <v>45751</v>
      </c>
      <c r="U268" s="32">
        <f t="shared" si="58"/>
        <v>0.33333333333333337</v>
      </c>
      <c r="V268" s="92">
        <f t="shared" si="59"/>
        <v>0</v>
      </c>
      <c r="W268" s="100" t="str">
        <f>_xlfn.XLOOKUP(Table2[[#This Row],[근무일자]],Table3[Date],Table3[Holiday],"",0)</f>
        <v/>
      </c>
      <c r="X268" s="93">
        <f>IF(D268&lt;&gt;"",1,0)+IF(COUNTIFS(Table2[주민등록번호],O268,Table2[월],TEXT(EOMONTH(D268,-1),"YYMM"))&gt;0,1+IF(COUNTIFS(Table2[주민등록번호],O268,Table2[월],TEXT(EOMONTH(D268,-2),"YYMM"))&gt;0,1+IF(COUNTIFS(Table2[주민등록번호],O268,Table2[월],TEXT(EOMONTH(D268,-3),"YYMM"))&gt;0,1,0),0),0)</f>
        <v>3</v>
      </c>
      <c r="Y268" s="29">
        <f>COUNTIFS(Table2[주민등록번호],O268,Table2[월],R268,Table2[근무일자],"&lt;="&amp;D268)</f>
        <v>11</v>
      </c>
      <c r="Z268" s="29">
        <f>COUNTIFS(Table2[주민등록번호],O268,Table2[주간],S268,Table2[근무일자],"&lt;="&amp;D268)</f>
        <v>4</v>
      </c>
      <c r="AA268" s="29">
        <f>SUMIFS(Table2[근로
시간],Table2[주민등록번호],O268,Table2[주간],S268,Table2[근무일자],"&lt;="&amp;D268)*24</f>
        <v>29.000000000000004</v>
      </c>
      <c r="AB268" s="29" t="str">
        <f>IF(AND(Y268&gt;=8,COUNTIFS(Table2[주민등록번호],O268,Table2[근무일자],"&gt;="&amp;EOMONTH(D268,-2)+1,Table2[근무일자],"&lt;="&amp;EOMONTH(D268,-1)+1)&gt;0),"V","")</f>
        <v>V</v>
      </c>
      <c r="AC268" s="94" cm="1">
        <f t="array" ref="AC268">IF(AD268&lt;&gt;"",AD268,_xlfn.XLOOKUP(1,(D268&lt;=Table7[End])*(E268=Table7[근무처])*(F268=Table7[업무]),Table7[시급],0,0))</f>
        <v>10680</v>
      </c>
      <c r="AD268" s="95"/>
      <c r="AE268" s="94">
        <f t="shared" si="60"/>
        <v>85440</v>
      </c>
      <c r="AF268" s="96" cm="1">
        <f t="array" ref="AF268">IF(AND(AA268&gt;=15,(AA268-U268*24)&lt;=40),IF(Z268&gt;=_xlfn.XLOOKUP(1,(D268&lt;=Table7[End])*(E268=Table7[근무처])*(F268=Table7[업무]),Table7[주휴적용일],0,0),1,0)+_xlfn.XLOOKUP(1,(Table2[주간]=Table2[[#This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68" s="96" cm="1">
        <f t="array" ref="AG268">MAX((_xlfn.IFS(AF268=0,0,AF268=1,AA268,AF268&gt;1,U268*24)-IF(AA268&gt;40,AA268-40,0))/5,0)</f>
        <v>1.6</v>
      </c>
      <c r="AH268" s="94">
        <f t="shared" si="61"/>
        <v>17088</v>
      </c>
      <c r="AI268" s="33" cm="1">
        <f t="array" ref="AI268">IF(W268="",0,ROUND(AC268*U268*24*_xlfn.XLOOKUP(1,(D268&lt;=Table7[End])*(E268=Table7[근무처])*(F268=Table7[업무]),Table7[휴일인센티브],0,0),0))</f>
        <v>0</v>
      </c>
      <c r="AJ268" s="94" cm="1">
        <f t="array" ref="AJ268">ROUND(AC268*IF(U268&gt;=8/24,U268-8/24,0)*24*_xlfn.XLOOKUP(1,(D268&lt;=Table7[End])*(E268=Table7[근무처])*(F268=Table7[업무]),Table7[야간인센티브],0,0),0)</f>
        <v>0</v>
      </c>
      <c r="AK268" s="94" cm="1">
        <f t="array" ref="AK268">IF(V268=0,0,ROUND(AC268*V268*24*_xlfn.XLOOKUP(1,(D268&lt;=Table7[End])*(E268=Table7[근무처])*(F268=Table7[업무]),Table7[야간인센티브],0,0),0))</f>
        <v>0</v>
      </c>
      <c r="AL268" s="95"/>
      <c r="AM268" s="94">
        <f t="shared" si="62"/>
        <v>102528</v>
      </c>
      <c r="AN268" s="94" cm="1">
        <f t="array" ref="AN268">IF(AM268&gt;=_xlfn.XLOOKUP(TRUE,D268&lt;=Table5[End],Table5[비과세소득기준],0,0),AM268-_xlfn.XLOOKUP(TRUE,D268&lt;=Table5[End],Table5[비과세소득기준],0,0),0)</f>
        <v>0</v>
      </c>
      <c r="AO268" s="94" cm="1">
        <f t="array" ref="AO268">ROUNDDOWN(_xlfn.LET(_xlpm.setvalue,_xlfn.XLOOKUP(TRUE,D268&lt;=Table5[End],Table5[[요율]:[근로소득세액공제]],0,0),_xlpm.tax,AN268*PRODUCT((_xlpm.setvalue-{0,1})*{1,-1}),_xlpm.threshold,_xlfn.XLOOKUP(TRUE,D268&lt;=Table5[End],Table5[소액부징수기준],0,0),IF(_xlpm.tax&gt;=_xlpm.threshold,_xlpm.tax,0)),-1)</f>
        <v>0</v>
      </c>
      <c r="AP268" s="94">
        <f>ROUNDDOWN(Table2[[#This Row],[소득세]]*10%,-1)</f>
        <v>0</v>
      </c>
      <c r="AQ268" s="94">
        <f>IF(AB268="v",AM268+IF(Y268=8,SUMIFS(Table2[지급총액],Table2[주민등록번호],O268,Table2[월],R268,Table2[월간
근무일],"&lt;="&amp;8)-AM268,0),0)+_xlfn.NUMBERVALUE(AR268)</f>
        <v>102528</v>
      </c>
      <c r="AR268" s="95"/>
      <c r="AS268" s="94" cm="1">
        <f t="array" ref="AS268">ROUNDDOWN($AQ268*_xlfn.XLOOKUP(1,(AS$5=Table8[Type])*($D268&lt;=Table8[End]),Table8[요율],0,0),0)</f>
        <v>3634</v>
      </c>
      <c r="AT268" s="94" cm="1">
        <f t="array" ref="AT268">ROUNDDOWN(AS268*_xlfn.XLOOKUP(1,(AT$5=Table8[Type])*($D268&lt;=Table8[End]),Table8[요율],0,0),-1)</f>
        <v>470</v>
      </c>
      <c r="AU268" s="94" cm="1">
        <f t="array" ref="AU268">ROUNDDOWN($AQ268*_xlfn.XLOOKUP(1,(AU$5=Table8[Type])*($D268&lt;=Table8[End]),Table8[요율],0,0),-1)</f>
        <v>4610</v>
      </c>
      <c r="AV268" s="94" cm="1">
        <f t="array" ref="AV268">ROUNDDOWN(AM268*_xlfn.XLOOKUP(1,(AV$5=Table8[Type])*($D268&lt;=Table8[End]),Table8[요율],0,0),-1)</f>
        <v>0</v>
      </c>
      <c r="AW268" s="94" cm="1">
        <f t="array" ref="AW268">_xlfn.XLOOKUP(1,(O268=Table2[주민등록번호])*(D268&gt;Table2[근무일자]),Table2[청구 Claim 
이월],0,0,-1)</f>
        <v>0</v>
      </c>
      <c r="AX268" s="95"/>
      <c r="AY268" s="94" cm="1">
        <f t="array" ref="AY268">MAX(SUM(AO268:AP268,AS268:AX268)-_xlfn.XLOOKUP(1,(D268&lt;=Table7[End])*(E268=Table7[근무처])*(F268=Table7[업무]),Table7[1일 공제 상한],0,0),0)</f>
        <v>0</v>
      </c>
      <c r="AZ268" s="94">
        <f t="shared" si="63"/>
        <v>8714</v>
      </c>
      <c r="BA268" s="94">
        <f t="shared" si="64"/>
        <v>93814</v>
      </c>
      <c r="BB268" s="97">
        <f t="shared" si="65"/>
        <v>0</v>
      </c>
      <c r="BC268" s="98"/>
      <c r="BD268" s="94">
        <f t="shared" si="66"/>
        <v>3634</v>
      </c>
      <c r="BE268" s="94">
        <f t="shared" si="67"/>
        <v>470</v>
      </c>
      <c r="BF268" s="94">
        <f t="shared" si="68"/>
        <v>4610</v>
      </c>
      <c r="BG268" s="94">
        <f t="shared" si="69"/>
        <v>0</v>
      </c>
      <c r="BH268" s="94" cm="1">
        <f t="array" ref="BH268">ROUNDDOWN(AM268*_xlfn.XLOOKUP(1,(BH$5=Table8[Type])*($D268&lt;=Table8[End]),Table8[요율],0,0),-1)</f>
        <v>820</v>
      </c>
      <c r="BI268" s="93" t="str" cm="1">
        <f t="array" ref="BI268">_xlfn.XLOOKUP(1,(D268&lt;=Table7[End])*(E268=Table7[근무처])*(F268=Table7[업무]),Table7[지급옵션],0,0)</f>
        <v>차주 화</v>
      </c>
      <c r="BJ268" s="83">
        <f>IF(BK268&lt;&gt;"",BK268,IFERROR(D268+_xlfn.NUMBERVALUE(RIGHT(BI268,1)),D268-WEEKDAY(D268)+CHOOSE(MATCH(RIGHT(BI268),{"일","월","화","수","목","금","토"},0),8,9,10,11,12,13,14)))</f>
        <v>45825</v>
      </c>
      <c r="BK268" s="99"/>
    </row>
    <row r="269" spans="2:63" x14ac:dyDescent="0.35">
      <c r="B269" s="20" t="str" cm="1">
        <f t="array" ref="B269">_xlfn.IFS(BB269&lt;&gt;BC269,"Claim확인",N269&lt;&gt;"OK","확인필요",TRUE,"")</f>
        <v/>
      </c>
      <c r="C269" s="21" t="str">
        <f t="shared" si="56"/>
        <v>010-3X6X-X4X7757X02XX284249</v>
      </c>
      <c r="D269" s="26">
        <v>45822</v>
      </c>
      <c r="E269" s="91" t="s">
        <v>255</v>
      </c>
      <c r="F269" s="25" t="s">
        <v>258</v>
      </c>
      <c r="G269" s="27" t="s">
        <v>283</v>
      </c>
      <c r="H269" s="25" t="s">
        <v>295</v>
      </c>
      <c r="I269" s="25"/>
      <c r="J269" s="25" t="s">
        <v>296</v>
      </c>
      <c r="K269" s="28">
        <v>0.45833333333333331</v>
      </c>
      <c r="L269" s="28">
        <v>0.83333333333333337</v>
      </c>
      <c r="M269" s="28">
        <v>4.1666666666666664E-2</v>
      </c>
      <c r="N269" s="25" t="s">
        <v>281</v>
      </c>
      <c r="O269" s="29" t="str">
        <f>_xlfn.XLOOKUP(Table2[[#This Row],[Key]],Table1[Key],Table1[주민등록번호],"",0)</f>
        <v>940XX41XX7X32</v>
      </c>
      <c r="P269" s="29">
        <f>_xlfn.XLOOKUP(Table2[[#This Row],[Key]],Table1[Key],Table1[비자],"",0)</f>
        <v>0</v>
      </c>
      <c r="Q269" s="29">
        <f>IF(P269=0,0,_xlfn.XLOOKUP(Table2[[#This Row],[Key]],Table1[Key],Table1[고용보험 여부],0,0))</f>
        <v>0</v>
      </c>
      <c r="R269" s="29" t="str">
        <f t="shared" si="57"/>
        <v>2506</v>
      </c>
      <c r="S269" s="30" t="str">
        <f>YEAR(Table2[[#This Row],[근무일자]])&amp;TEXT(WEEKNUM(Table2[[#This Row],[근무일자]]),"00")</f>
        <v>202524</v>
      </c>
      <c r="T269" s="31">
        <f>_xlfn.XLOOKUP(Table2[[#This Row],[Key]],Table1[Key],Table1[등록일],"",0)</f>
        <v>45751</v>
      </c>
      <c r="U269" s="32">
        <f t="shared" si="58"/>
        <v>0.33333333333333337</v>
      </c>
      <c r="V269" s="92">
        <f t="shared" si="59"/>
        <v>0</v>
      </c>
      <c r="W269" s="100" t="str">
        <f>_xlfn.XLOOKUP(Table2[[#This Row],[근무일자]],Table3[Date],Table3[Holiday],"",0)</f>
        <v/>
      </c>
      <c r="X269" s="93">
        <f>IF(D269&lt;&gt;"",1,0)+IF(COUNTIFS(Table2[주민등록번호],O269,Table2[월],TEXT(EOMONTH(D269,-1),"YYMM"))&gt;0,1+IF(COUNTIFS(Table2[주민등록번호],O269,Table2[월],TEXT(EOMONTH(D269,-2),"YYMM"))&gt;0,1+IF(COUNTIFS(Table2[주민등록번호],O269,Table2[월],TEXT(EOMONTH(D269,-3),"YYMM"))&gt;0,1,0),0),0)</f>
        <v>3</v>
      </c>
      <c r="Y269" s="29">
        <f>COUNTIFS(Table2[주민등록번호],O269,Table2[월],R269,Table2[근무일자],"&lt;="&amp;D269)</f>
        <v>12</v>
      </c>
      <c r="Z269" s="29">
        <f>COUNTIFS(Table2[주민등록번호],O269,Table2[주간],S269,Table2[근무일자],"&lt;="&amp;D269)</f>
        <v>5</v>
      </c>
      <c r="AA269" s="29">
        <f>SUMIFS(Table2[근로
시간],Table2[주민등록번호],O269,Table2[주간],S269,Table2[근무일자],"&lt;="&amp;D269)*24</f>
        <v>37.000000000000007</v>
      </c>
      <c r="AB269" s="29" t="str">
        <f>IF(AND(Y269&gt;=8,COUNTIFS(Table2[주민등록번호],O269,Table2[근무일자],"&gt;="&amp;EOMONTH(D269,-2)+1,Table2[근무일자],"&lt;="&amp;EOMONTH(D269,-1)+1)&gt;0),"V","")</f>
        <v>V</v>
      </c>
      <c r="AC269" s="94" cm="1">
        <f t="array" ref="AC269">IF(AD269&lt;&gt;"",AD269,_xlfn.XLOOKUP(1,(D269&lt;=Table7[End])*(E269=Table7[근무처])*(F269=Table7[업무]),Table7[시급],0,0))</f>
        <v>10680</v>
      </c>
      <c r="AD269" s="95"/>
      <c r="AE269" s="94">
        <f t="shared" si="60"/>
        <v>85440</v>
      </c>
      <c r="AF269" s="96" cm="1">
        <f t="array" ref="AF269">IF(AND(AA269&gt;=15,(AA269-U269*24)&lt;=40),IF(Z269&gt;=_xlfn.XLOOKUP(1,(D269&lt;=Table7[End])*(E269=Table7[근무처])*(F269=Table7[업무]),Table7[주휴적용일],0,0),1,0)+_xlfn.XLOOKUP(1,(Table2[주간]=Table2[[#This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69" s="96" cm="1">
        <f t="array" ref="AG269">MAX((_xlfn.IFS(AF269=0,0,AF269=1,AA269,AF269&gt;1,U269*24)-IF(AA269&gt;40,AA269-40,0))/5,0)</f>
        <v>1.6</v>
      </c>
      <c r="AH269" s="94">
        <f t="shared" si="61"/>
        <v>17088</v>
      </c>
      <c r="AI269" s="33" cm="1">
        <f t="array" ref="AI269">IF(W269="",0,ROUND(AC269*U269*24*_xlfn.XLOOKUP(1,(D269&lt;=Table7[End])*(E269=Table7[근무처])*(F269=Table7[업무]),Table7[휴일인센티브],0,0),0))</f>
        <v>0</v>
      </c>
      <c r="AJ269" s="94" cm="1">
        <f t="array" ref="AJ269">ROUND(AC269*IF(U269&gt;=8/24,U269-8/24,0)*24*_xlfn.XLOOKUP(1,(D269&lt;=Table7[End])*(E269=Table7[근무처])*(F269=Table7[업무]),Table7[야간인센티브],0,0),0)</f>
        <v>0</v>
      </c>
      <c r="AK269" s="94" cm="1">
        <f t="array" ref="AK269">IF(V269=0,0,ROUND(AC269*V269*24*_xlfn.XLOOKUP(1,(D269&lt;=Table7[End])*(E269=Table7[근무처])*(F269=Table7[업무]),Table7[야간인센티브],0,0),0))</f>
        <v>0</v>
      </c>
      <c r="AL269" s="95"/>
      <c r="AM269" s="94">
        <f t="shared" si="62"/>
        <v>102528</v>
      </c>
      <c r="AN269" s="94" cm="1">
        <f t="array" ref="AN269">IF(AM269&gt;=_xlfn.XLOOKUP(TRUE,D269&lt;=Table5[End],Table5[비과세소득기준],0,0),AM269-_xlfn.XLOOKUP(TRUE,D269&lt;=Table5[End],Table5[비과세소득기준],0,0),0)</f>
        <v>0</v>
      </c>
      <c r="AO269" s="94" cm="1">
        <f t="array" ref="AO269">ROUNDDOWN(_xlfn.LET(_xlpm.setvalue,_xlfn.XLOOKUP(TRUE,D269&lt;=Table5[End],Table5[[요율]:[근로소득세액공제]],0,0),_xlpm.tax,AN269*PRODUCT((_xlpm.setvalue-{0,1})*{1,-1}),_xlpm.threshold,_xlfn.XLOOKUP(TRUE,D269&lt;=Table5[End],Table5[소액부징수기준],0,0),IF(_xlpm.tax&gt;=_xlpm.threshold,_xlpm.tax,0)),-1)</f>
        <v>0</v>
      </c>
      <c r="AP269" s="94">
        <f>ROUNDDOWN(Table2[[#This Row],[소득세]]*10%,-1)</f>
        <v>0</v>
      </c>
      <c r="AQ269" s="94">
        <f>IF(AB269="v",AM269+IF(Y269=8,SUMIFS(Table2[지급총액],Table2[주민등록번호],O269,Table2[월],R269,Table2[월간
근무일],"&lt;="&amp;8)-AM269,0),0)+_xlfn.NUMBERVALUE(AR269)</f>
        <v>102528</v>
      </c>
      <c r="AR269" s="95"/>
      <c r="AS269" s="94" cm="1">
        <f t="array" ref="AS269">ROUNDDOWN($AQ269*_xlfn.XLOOKUP(1,(AS$5=Table8[Type])*($D269&lt;=Table8[End]),Table8[요율],0,0),0)</f>
        <v>3634</v>
      </c>
      <c r="AT269" s="94" cm="1">
        <f t="array" ref="AT269">ROUNDDOWN(AS269*_xlfn.XLOOKUP(1,(AT$5=Table8[Type])*($D269&lt;=Table8[End]),Table8[요율],0,0),-1)</f>
        <v>470</v>
      </c>
      <c r="AU269" s="94" cm="1">
        <f t="array" ref="AU269">ROUNDDOWN($AQ269*_xlfn.XLOOKUP(1,(AU$5=Table8[Type])*($D269&lt;=Table8[End]),Table8[요율],0,0),-1)</f>
        <v>4610</v>
      </c>
      <c r="AV269" s="94" cm="1">
        <f t="array" ref="AV269">ROUNDDOWN(AM269*_xlfn.XLOOKUP(1,(AV$5=Table8[Type])*($D269&lt;=Table8[End]),Table8[요율],0,0),-1)</f>
        <v>0</v>
      </c>
      <c r="AW269" s="94" cm="1">
        <f t="array" ref="AW269">_xlfn.XLOOKUP(1,(O269=Table2[주민등록번호])*(D269&gt;Table2[근무일자]),Table2[청구 Claim 
이월],0,0,-1)</f>
        <v>0</v>
      </c>
      <c r="AX269" s="95"/>
      <c r="AY269" s="94" cm="1">
        <f t="array" ref="AY269">MAX(SUM(AO269:AP269,AS269:AX269)-_xlfn.XLOOKUP(1,(D269&lt;=Table7[End])*(E269=Table7[근무처])*(F269=Table7[업무]),Table7[1일 공제 상한],0,0),0)</f>
        <v>0</v>
      </c>
      <c r="AZ269" s="94">
        <f t="shared" si="63"/>
        <v>8714</v>
      </c>
      <c r="BA269" s="94">
        <f t="shared" si="64"/>
        <v>93814</v>
      </c>
      <c r="BB269" s="97">
        <f t="shared" si="65"/>
        <v>0</v>
      </c>
      <c r="BC269" s="98"/>
      <c r="BD269" s="94">
        <f t="shared" si="66"/>
        <v>3634</v>
      </c>
      <c r="BE269" s="94">
        <f t="shared" si="67"/>
        <v>470</v>
      </c>
      <c r="BF269" s="94">
        <f t="shared" si="68"/>
        <v>4610</v>
      </c>
      <c r="BG269" s="94">
        <f t="shared" si="69"/>
        <v>0</v>
      </c>
      <c r="BH269" s="94" cm="1">
        <f t="array" ref="BH269">ROUNDDOWN(AM269*_xlfn.XLOOKUP(1,(BH$5=Table8[Type])*($D269&lt;=Table8[End]),Table8[요율],0,0),-1)</f>
        <v>820</v>
      </c>
      <c r="BI269" s="93" t="str" cm="1">
        <f t="array" ref="BI269">_xlfn.XLOOKUP(1,(D269&lt;=Table7[End])*(E269=Table7[근무처])*(F269=Table7[업무]),Table7[지급옵션],0,0)</f>
        <v>차주 화</v>
      </c>
      <c r="BJ269" s="83">
        <f>IF(BK269&lt;&gt;"",BK269,IFERROR(D269+_xlfn.NUMBERVALUE(RIGHT(BI269,1)),D269-WEEKDAY(D269)+CHOOSE(MATCH(RIGHT(BI269),{"일","월","화","수","목","금","토"},0),8,9,10,11,12,13,14)))</f>
        <v>45825</v>
      </c>
      <c r="BK269" s="99"/>
    </row>
    <row r="270" spans="2:63" x14ac:dyDescent="0.35">
      <c r="B270" s="20" t="str" cm="1">
        <f t="array" ref="B270">_xlfn.IFS(BB270&lt;&gt;BC270,"Claim확인",N270&lt;&gt;"OK","확인필요",TRUE,"")</f>
        <v/>
      </c>
      <c r="C270" s="21" t="str">
        <f t="shared" si="56"/>
        <v>010-3X4X-X9X7219X02XX284640</v>
      </c>
      <c r="D270" s="26">
        <v>45824</v>
      </c>
      <c r="E270" s="91" t="s">
        <v>253</v>
      </c>
      <c r="F270" s="25" t="s">
        <v>257</v>
      </c>
      <c r="G270" s="27" t="s">
        <v>286</v>
      </c>
      <c r="H270" s="25" t="s">
        <v>299</v>
      </c>
      <c r="I270" s="25"/>
      <c r="J270" s="25" t="s">
        <v>300</v>
      </c>
      <c r="K270" s="28">
        <v>0.375</v>
      </c>
      <c r="L270" s="28">
        <v>0.75</v>
      </c>
      <c r="M270" s="28">
        <v>4.1666666666666664E-2</v>
      </c>
      <c r="N270" s="25" t="s">
        <v>281</v>
      </c>
      <c r="O270" s="29" t="str">
        <f>_xlfn.XLOOKUP(Table2[[#This Row],[Key]],Table1[Key],Table1[주민등록번호],"",0)</f>
        <v>931XX31XX3X14</v>
      </c>
      <c r="P270" s="29">
        <f>_xlfn.XLOOKUP(Table2[[#This Row],[Key]],Table1[Key],Table1[비자],"",0)</f>
        <v>0</v>
      </c>
      <c r="Q270" s="29">
        <f>IF(P270=0,0,_xlfn.XLOOKUP(Table2[[#This Row],[Key]],Table1[Key],Table1[고용보험 여부],0,0))</f>
        <v>0</v>
      </c>
      <c r="R270" s="29" t="str">
        <f t="shared" si="57"/>
        <v>2506</v>
      </c>
      <c r="S270" s="30" t="str">
        <f>YEAR(Table2[[#This Row],[근무일자]])&amp;TEXT(WEEKNUM(Table2[[#This Row],[근무일자]]),"00")</f>
        <v>202525</v>
      </c>
      <c r="T270" s="31">
        <f>_xlfn.XLOOKUP(Table2[[#This Row],[Key]],Table1[Key],Table1[등록일],"",0)</f>
        <v>45773</v>
      </c>
      <c r="U270" s="32">
        <f t="shared" si="58"/>
        <v>0.33333333333333331</v>
      </c>
      <c r="V270" s="92">
        <f t="shared" si="59"/>
        <v>0</v>
      </c>
      <c r="W270" s="100" t="str">
        <f>_xlfn.XLOOKUP(Table2[[#This Row],[근무일자]],Table3[Date],Table3[Holiday],"",0)</f>
        <v/>
      </c>
      <c r="X270" s="93">
        <f>IF(D270&lt;&gt;"",1,0)+IF(COUNTIFS(Table2[주민등록번호],O270,Table2[월],TEXT(EOMONTH(D270,-1),"YYMM"))&gt;0,1+IF(COUNTIFS(Table2[주민등록번호],O270,Table2[월],TEXT(EOMONTH(D270,-2),"YYMM"))&gt;0,1+IF(COUNTIFS(Table2[주민등록번호],O270,Table2[월],TEXT(EOMONTH(D270,-3),"YYMM"))&gt;0,1,0),0),0)</f>
        <v>4</v>
      </c>
      <c r="Y270" s="29">
        <f>COUNTIFS(Table2[주민등록번호],O270,Table2[월],R270,Table2[근무일자],"&lt;="&amp;D270)</f>
        <v>6</v>
      </c>
      <c r="Z270" s="29">
        <f>COUNTIFS(Table2[주민등록번호],O270,Table2[주간],S270,Table2[근무일자],"&lt;="&amp;D270)</f>
        <v>1</v>
      </c>
      <c r="AA270" s="29">
        <f>SUMIFS(Table2[근로
시간],Table2[주민등록번호],O270,Table2[주간],S270,Table2[근무일자],"&lt;="&amp;D270)*24</f>
        <v>8</v>
      </c>
      <c r="AB270" s="29" t="str">
        <f>IF(AND(Y270&gt;=8,COUNTIFS(Table2[주민등록번호],O270,Table2[근무일자],"&gt;="&amp;EOMONTH(D270,-2)+1,Table2[근무일자],"&lt;="&amp;EOMONTH(D270,-1)+1)&gt;0),"V","")</f>
        <v/>
      </c>
      <c r="AC270" s="94" cm="1">
        <f t="array" ref="AC270">IF(AD270&lt;&gt;"",AD270,_xlfn.XLOOKUP(1,(D270&lt;=Table7[End])*(E270=Table7[근무처])*(F270=Table7[업무]),Table7[시급],0,0))</f>
        <v>10030</v>
      </c>
      <c r="AD270" s="95"/>
      <c r="AE270" s="94">
        <f t="shared" si="60"/>
        <v>80240</v>
      </c>
      <c r="AF270" s="96" cm="1">
        <f t="array" ref="AF270">IF(AND(AA270&gt;=15,(AA270-U270*24)&lt;=40),IF(Z270&gt;=_xlfn.XLOOKUP(1,(D270&lt;=Table7[End])*(E270=Table7[근무처])*(F270=Table7[업무]),Table7[주휴적용일],0,0),1,0)+_xlfn.XLOOKUP(1,(Table2[주간]=Table2[[#This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70" s="96" cm="1">
        <f t="array" ref="AG270">MAX((_xlfn.IFS(AF270=0,0,AF270=1,AA270,AF270&gt;1,U270*24)-IF(AA270&gt;40,AA270-40,0))/5,0)</f>
        <v>0</v>
      </c>
      <c r="AH270" s="94">
        <f t="shared" si="61"/>
        <v>0</v>
      </c>
      <c r="AI270" s="33" cm="1">
        <f t="array" ref="AI270">IF(W270="",0,ROUND(AC270*U270*24*_xlfn.XLOOKUP(1,(D270&lt;=Table7[End])*(E270=Table7[근무처])*(F270=Table7[업무]),Table7[휴일인센티브],0,0),0))</f>
        <v>0</v>
      </c>
      <c r="AJ270" s="94" cm="1">
        <f t="array" ref="AJ270">ROUND(AC270*IF(U270&gt;=8/24,U270-8/24,0)*24*_xlfn.XLOOKUP(1,(D270&lt;=Table7[End])*(E270=Table7[근무처])*(F270=Table7[업무]),Table7[야간인센티브],0,0),0)</f>
        <v>0</v>
      </c>
      <c r="AK270" s="94" cm="1">
        <f t="array" ref="AK270">IF(V270=0,0,ROUND(AC270*V270*24*_xlfn.XLOOKUP(1,(D270&lt;=Table7[End])*(E270=Table7[근무처])*(F270=Table7[업무]),Table7[야간인센티브],0,0),0))</f>
        <v>0</v>
      </c>
      <c r="AL270" s="95"/>
      <c r="AM270" s="94">
        <f t="shared" si="62"/>
        <v>80240</v>
      </c>
      <c r="AN270" s="94" cm="1">
        <f t="array" ref="AN270">IF(AM270&gt;=_xlfn.XLOOKUP(TRUE,D270&lt;=Table5[End],Table5[비과세소득기준],0,0),AM270-_xlfn.XLOOKUP(TRUE,D270&lt;=Table5[End],Table5[비과세소득기준],0,0),0)</f>
        <v>0</v>
      </c>
      <c r="AO270" s="94" cm="1">
        <f t="array" ref="AO270">ROUNDDOWN(_xlfn.LET(_xlpm.setvalue,_xlfn.XLOOKUP(TRUE,D270&lt;=Table5[End],Table5[[요율]:[근로소득세액공제]],0,0),_xlpm.tax,AN270*PRODUCT((_xlpm.setvalue-{0,1})*{1,-1}),_xlpm.threshold,_xlfn.XLOOKUP(TRUE,D270&lt;=Table5[End],Table5[소액부징수기준],0,0),IF(_xlpm.tax&gt;=_xlpm.threshold,_xlpm.tax,0)),-1)</f>
        <v>0</v>
      </c>
      <c r="AP270" s="94">
        <f>ROUNDDOWN(Table2[[#This Row],[소득세]]*10%,-1)</f>
        <v>0</v>
      </c>
      <c r="AQ270" s="94">
        <f>IF(AB270="v",AM270+IF(Y270=8,SUMIFS(Table2[지급총액],Table2[주민등록번호],O270,Table2[월],R270,Table2[월간
근무일],"&lt;="&amp;8)-AM270,0),0)+_xlfn.NUMBERVALUE(AR270)</f>
        <v>0</v>
      </c>
      <c r="AR270" s="95"/>
      <c r="AS270" s="94" cm="1">
        <f t="array" ref="AS270">ROUNDDOWN($AQ270*_xlfn.XLOOKUP(1,(AS$5=Table8[Type])*($D270&lt;=Table8[End]),Table8[요율],0,0),0)</f>
        <v>0</v>
      </c>
      <c r="AT270" s="94" cm="1">
        <f t="array" ref="AT270">ROUNDDOWN(AS270*_xlfn.XLOOKUP(1,(AT$5=Table8[Type])*($D270&lt;=Table8[End]),Table8[요율],0,0),-1)</f>
        <v>0</v>
      </c>
      <c r="AU270" s="94" cm="1">
        <f t="array" ref="AU270">ROUNDDOWN($AQ270*_xlfn.XLOOKUP(1,(AU$5=Table8[Type])*($D270&lt;=Table8[End]),Table8[요율],0,0),-1)</f>
        <v>0</v>
      </c>
      <c r="AV270" s="94" cm="1">
        <f t="array" ref="AV270">ROUNDDOWN(AM270*_xlfn.XLOOKUP(1,(AV$5=Table8[Type])*($D270&lt;=Table8[End]),Table8[요율],0,0),-1)</f>
        <v>0</v>
      </c>
      <c r="AW270" s="94" cm="1">
        <f t="array" ref="AW270">_xlfn.XLOOKUP(1,(O270=Table2[주민등록번호])*(D270&gt;Table2[근무일자]),Table2[청구 Claim 
이월],0,0,-1)</f>
        <v>0</v>
      </c>
      <c r="AX270" s="95"/>
      <c r="AY270" s="94" cm="1">
        <f t="array" ref="AY270">MAX(SUM(AO270:AP270,AS270:AX270)-_xlfn.XLOOKUP(1,(D270&lt;=Table7[End])*(E270=Table7[근무처])*(F270=Table7[업무]),Table7[1일 공제 상한],0,0),0)</f>
        <v>0</v>
      </c>
      <c r="AZ270" s="94">
        <f t="shared" si="63"/>
        <v>0</v>
      </c>
      <c r="BA270" s="94">
        <f t="shared" si="64"/>
        <v>80240</v>
      </c>
      <c r="BB270" s="97">
        <f t="shared" si="65"/>
        <v>0</v>
      </c>
      <c r="BC270" s="98"/>
      <c r="BD270" s="94">
        <f t="shared" si="66"/>
        <v>0</v>
      </c>
      <c r="BE270" s="94">
        <f t="shared" si="67"/>
        <v>0</v>
      </c>
      <c r="BF270" s="94">
        <f t="shared" si="68"/>
        <v>0</v>
      </c>
      <c r="BG270" s="94">
        <f t="shared" si="69"/>
        <v>0</v>
      </c>
      <c r="BH270" s="94" cm="1">
        <f t="array" ref="BH270">ROUNDDOWN(AM270*_xlfn.XLOOKUP(1,(BH$5=Table8[Type])*($D270&lt;=Table8[End]),Table8[요율],0,0),-1)</f>
        <v>640</v>
      </c>
      <c r="BI270" s="93" t="str" cm="1">
        <f t="array" ref="BI270">_xlfn.XLOOKUP(1,(D270&lt;=Table7[End])*(E270=Table7[근무처])*(F270=Table7[업무]),Table7[지급옵션],0,0)</f>
        <v>D+2</v>
      </c>
      <c r="BJ270" s="83">
        <f>IF(BK270&lt;&gt;"",BK270,IFERROR(D270+_xlfn.NUMBERVALUE(RIGHT(BI270,1)),D270-WEEKDAY(D270)+CHOOSE(MATCH(RIGHT(BI270),{"일","월","화","수","목","금","토"},0),8,9,10,11,12,13,14)))</f>
        <v>45826</v>
      </c>
      <c r="BK270" s="99"/>
    </row>
    <row r="271" spans="2:63" x14ac:dyDescent="0.35">
      <c r="B271" s="20" t="str" cm="1">
        <f t="array" ref="B271">_xlfn.IFS(BB271&lt;&gt;BC271,"Claim확인",N271&lt;&gt;"OK","확인필요",TRUE,"")</f>
        <v/>
      </c>
      <c r="C271" s="21" t="str">
        <f t="shared" si="56"/>
        <v>010-3X6X-X4X7757X02XX284249</v>
      </c>
      <c r="D271" s="26">
        <v>45825</v>
      </c>
      <c r="E271" s="91" t="s">
        <v>255</v>
      </c>
      <c r="F271" s="25" t="s">
        <v>258</v>
      </c>
      <c r="G271" s="27" t="s">
        <v>283</v>
      </c>
      <c r="H271" s="25" t="s">
        <v>295</v>
      </c>
      <c r="I271" s="25"/>
      <c r="J271" s="25" t="s">
        <v>296</v>
      </c>
      <c r="K271" s="28">
        <v>0.29166666666666669</v>
      </c>
      <c r="L271" s="28">
        <v>0.45833333333333331</v>
      </c>
      <c r="M271" s="28">
        <v>0</v>
      </c>
      <c r="N271" s="25" t="s">
        <v>281</v>
      </c>
      <c r="O271" s="29" t="str">
        <f>_xlfn.XLOOKUP(Table2[[#This Row],[Key]],Table1[Key],Table1[주민등록번호],"",0)</f>
        <v>940XX41XX7X32</v>
      </c>
      <c r="P271" s="29">
        <f>_xlfn.XLOOKUP(Table2[[#This Row],[Key]],Table1[Key],Table1[비자],"",0)</f>
        <v>0</v>
      </c>
      <c r="Q271" s="29">
        <f>IF(P271=0,0,_xlfn.XLOOKUP(Table2[[#This Row],[Key]],Table1[Key],Table1[고용보험 여부],0,0))</f>
        <v>0</v>
      </c>
      <c r="R271" s="29" t="str">
        <f t="shared" si="57"/>
        <v>2506</v>
      </c>
      <c r="S271" s="30" t="str">
        <f>YEAR(Table2[[#This Row],[근무일자]])&amp;TEXT(WEEKNUM(Table2[[#This Row],[근무일자]]),"00")</f>
        <v>202525</v>
      </c>
      <c r="T271" s="31">
        <f>_xlfn.XLOOKUP(Table2[[#This Row],[Key]],Table1[Key],Table1[등록일],"",0)</f>
        <v>45751</v>
      </c>
      <c r="U271" s="32">
        <f t="shared" si="58"/>
        <v>0.16666666666666663</v>
      </c>
      <c r="V271" s="92">
        <f t="shared" si="59"/>
        <v>0</v>
      </c>
      <c r="W271" s="100" t="str">
        <f>_xlfn.XLOOKUP(Table2[[#This Row],[근무일자]],Table3[Date],Table3[Holiday],"",0)</f>
        <v/>
      </c>
      <c r="X271" s="93">
        <f>IF(D271&lt;&gt;"",1,0)+IF(COUNTIFS(Table2[주민등록번호],O271,Table2[월],TEXT(EOMONTH(D271,-1),"YYMM"))&gt;0,1+IF(COUNTIFS(Table2[주민등록번호],O271,Table2[월],TEXT(EOMONTH(D271,-2),"YYMM"))&gt;0,1+IF(COUNTIFS(Table2[주민등록번호],O271,Table2[월],TEXT(EOMONTH(D271,-3),"YYMM"))&gt;0,1,0),0),0)</f>
        <v>3</v>
      </c>
      <c r="Y271" s="29">
        <f>COUNTIFS(Table2[주민등록번호],O271,Table2[월],R271,Table2[근무일자],"&lt;="&amp;D271)</f>
        <v>13</v>
      </c>
      <c r="Z271" s="29">
        <f>COUNTIFS(Table2[주민등록번호],O271,Table2[주간],S271,Table2[근무일자],"&lt;="&amp;D271)</f>
        <v>1</v>
      </c>
      <c r="AA271" s="29">
        <f>SUMIFS(Table2[근로
시간],Table2[주민등록번호],O271,Table2[주간],S271,Table2[근무일자],"&lt;="&amp;D271)*24</f>
        <v>3.9999999999999991</v>
      </c>
      <c r="AB271" s="29" t="str">
        <f>IF(AND(Y271&gt;=8,COUNTIFS(Table2[주민등록번호],O271,Table2[근무일자],"&gt;="&amp;EOMONTH(D271,-2)+1,Table2[근무일자],"&lt;="&amp;EOMONTH(D271,-1)+1)&gt;0),"V","")</f>
        <v>V</v>
      </c>
      <c r="AC271" s="94" cm="1">
        <f t="array" ref="AC271">IF(AD271&lt;&gt;"",AD271,_xlfn.XLOOKUP(1,(D271&lt;=Table7[End])*(E271=Table7[근무처])*(F271=Table7[업무]),Table7[시급],0,0))</f>
        <v>10680</v>
      </c>
      <c r="AD271" s="95"/>
      <c r="AE271" s="94">
        <f t="shared" si="60"/>
        <v>42720</v>
      </c>
      <c r="AF271" s="96" cm="1">
        <f t="array" ref="AF271">IF(AND(AA271&gt;=15,(AA271-U271*24)&lt;=40),IF(Z271&gt;=_xlfn.XLOOKUP(1,(D271&lt;=Table7[End])*(E271=Table7[근무처])*(F271=Table7[업무]),Table7[주휴적용일],0,0),1,0)+_xlfn.XLOOKUP(1,(Table2[주간]=Table2[[#This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71" s="96" cm="1">
        <f t="array" ref="AG271">MAX((_xlfn.IFS(AF271=0,0,AF271=1,AA271,AF271&gt;1,U271*24)-IF(AA271&gt;40,AA271-40,0))/5,0)</f>
        <v>0</v>
      </c>
      <c r="AH271" s="94">
        <f t="shared" si="61"/>
        <v>0</v>
      </c>
      <c r="AI271" s="33" cm="1">
        <f t="array" ref="AI271">IF(W271="",0,ROUND(AC271*U271*24*_xlfn.XLOOKUP(1,(D271&lt;=Table7[End])*(E271=Table7[근무처])*(F271=Table7[업무]),Table7[휴일인센티브],0,0),0))</f>
        <v>0</v>
      </c>
      <c r="AJ271" s="94" cm="1">
        <f t="array" ref="AJ271">ROUND(AC271*IF(U271&gt;=8/24,U271-8/24,0)*24*_xlfn.XLOOKUP(1,(D271&lt;=Table7[End])*(E271=Table7[근무처])*(F271=Table7[업무]),Table7[야간인센티브],0,0),0)</f>
        <v>0</v>
      </c>
      <c r="AK271" s="94" cm="1">
        <f t="array" ref="AK271">IF(V271=0,0,ROUND(AC271*V271*24*_xlfn.XLOOKUP(1,(D271&lt;=Table7[End])*(E271=Table7[근무처])*(F271=Table7[업무]),Table7[야간인센티브],0,0),0))</f>
        <v>0</v>
      </c>
      <c r="AL271" s="95"/>
      <c r="AM271" s="94">
        <f t="shared" si="62"/>
        <v>42720</v>
      </c>
      <c r="AN271" s="94" cm="1">
        <f t="array" ref="AN271">IF(AM271&gt;=_xlfn.XLOOKUP(TRUE,D271&lt;=Table5[End],Table5[비과세소득기준],0,0),AM271-_xlfn.XLOOKUP(TRUE,D271&lt;=Table5[End],Table5[비과세소득기준],0,0),0)</f>
        <v>0</v>
      </c>
      <c r="AO271" s="94" cm="1">
        <f t="array" ref="AO271">ROUNDDOWN(_xlfn.LET(_xlpm.setvalue,_xlfn.XLOOKUP(TRUE,D271&lt;=Table5[End],Table5[[요율]:[근로소득세액공제]],0,0),_xlpm.tax,AN271*PRODUCT((_xlpm.setvalue-{0,1})*{1,-1}),_xlpm.threshold,_xlfn.XLOOKUP(TRUE,D271&lt;=Table5[End],Table5[소액부징수기준],0,0),IF(_xlpm.tax&gt;=_xlpm.threshold,_xlpm.tax,0)),-1)</f>
        <v>0</v>
      </c>
      <c r="AP271" s="94">
        <f>ROUNDDOWN(Table2[[#This Row],[소득세]]*10%,-1)</f>
        <v>0</v>
      </c>
      <c r="AQ271" s="94">
        <f>IF(AB271="v",AM271+IF(Y271=8,SUMIFS(Table2[지급총액],Table2[주민등록번호],O271,Table2[월],R271,Table2[월간
근무일],"&lt;="&amp;8)-AM271,0),0)+_xlfn.NUMBERVALUE(AR271)</f>
        <v>42720</v>
      </c>
      <c r="AR271" s="95"/>
      <c r="AS271" s="94" cm="1">
        <f t="array" ref="AS271">ROUNDDOWN($AQ271*_xlfn.XLOOKUP(1,(AS$5=Table8[Type])*($D271&lt;=Table8[End]),Table8[요율],0,0),0)</f>
        <v>1514</v>
      </c>
      <c r="AT271" s="94" cm="1">
        <f t="array" ref="AT271">ROUNDDOWN(AS271*_xlfn.XLOOKUP(1,(AT$5=Table8[Type])*($D271&lt;=Table8[End]),Table8[요율],0,0),-1)</f>
        <v>190</v>
      </c>
      <c r="AU271" s="94" cm="1">
        <f t="array" ref="AU271">ROUNDDOWN($AQ271*_xlfn.XLOOKUP(1,(AU$5=Table8[Type])*($D271&lt;=Table8[End]),Table8[요율],0,0),-1)</f>
        <v>1920</v>
      </c>
      <c r="AV271" s="94" cm="1">
        <f t="array" ref="AV271">ROUNDDOWN(AM271*_xlfn.XLOOKUP(1,(AV$5=Table8[Type])*($D271&lt;=Table8[End]),Table8[요율],0,0),-1)</f>
        <v>0</v>
      </c>
      <c r="AW271" s="94" cm="1">
        <f t="array" ref="AW271">_xlfn.XLOOKUP(1,(O271=Table2[주민등록번호])*(D271&gt;Table2[근무일자]),Table2[청구 Claim 
이월],0,0,-1)</f>
        <v>0</v>
      </c>
      <c r="AX271" s="95"/>
      <c r="AY271" s="94" cm="1">
        <f t="array" ref="AY271">MAX(SUM(AO271:AP271,AS271:AX271)-_xlfn.XLOOKUP(1,(D271&lt;=Table7[End])*(E271=Table7[근무처])*(F271=Table7[업무]),Table7[1일 공제 상한],0,0),0)</f>
        <v>0</v>
      </c>
      <c r="AZ271" s="94">
        <f t="shared" si="63"/>
        <v>3624</v>
      </c>
      <c r="BA271" s="94">
        <f t="shared" si="64"/>
        <v>39096</v>
      </c>
      <c r="BB271" s="97">
        <f t="shared" si="65"/>
        <v>0</v>
      </c>
      <c r="BC271" s="98"/>
      <c r="BD271" s="94">
        <f t="shared" si="66"/>
        <v>1514</v>
      </c>
      <c r="BE271" s="94">
        <f t="shared" si="67"/>
        <v>190</v>
      </c>
      <c r="BF271" s="94">
        <f t="shared" si="68"/>
        <v>1920</v>
      </c>
      <c r="BG271" s="94">
        <f t="shared" si="69"/>
        <v>0</v>
      </c>
      <c r="BH271" s="94" cm="1">
        <f t="array" ref="BH271">ROUNDDOWN(AM271*_xlfn.XLOOKUP(1,(BH$5=Table8[Type])*($D271&lt;=Table8[End]),Table8[요율],0,0),-1)</f>
        <v>340</v>
      </c>
      <c r="BI271" s="93" t="str" cm="1">
        <f t="array" ref="BI271">_xlfn.XLOOKUP(1,(D271&lt;=Table7[End])*(E271=Table7[근무처])*(F271=Table7[업무]),Table7[지급옵션],0,0)</f>
        <v>차주 화</v>
      </c>
      <c r="BJ271" s="83">
        <f>IF(BK271&lt;&gt;"",BK271,IFERROR(D271+_xlfn.NUMBERVALUE(RIGHT(BI271,1)),D271-WEEKDAY(D271)+CHOOSE(MATCH(RIGHT(BI271),{"일","월","화","수","목","금","토"},0),8,9,10,11,12,13,14)))</f>
        <v>45832</v>
      </c>
      <c r="BK271" s="99"/>
    </row>
    <row r="272" spans="2:63" x14ac:dyDescent="0.35">
      <c r="B272" s="20" t="str" cm="1">
        <f t="array" ref="B272">_xlfn.IFS(BB272&lt;&gt;BC272,"Claim확인",N272&lt;&gt;"OK","확인필요",TRUE,"")</f>
        <v/>
      </c>
      <c r="C272" s="21" t="str">
        <f t="shared" si="56"/>
        <v>010-3X4X-X9X7219X02XX284640</v>
      </c>
      <c r="D272" s="26">
        <v>45826</v>
      </c>
      <c r="E272" s="91" t="s">
        <v>253</v>
      </c>
      <c r="F272" s="25" t="s">
        <v>257</v>
      </c>
      <c r="G272" s="27" t="s">
        <v>286</v>
      </c>
      <c r="H272" s="25" t="s">
        <v>299</v>
      </c>
      <c r="I272" s="25"/>
      <c r="J272" s="25" t="s">
        <v>300</v>
      </c>
      <c r="K272" s="28">
        <v>0.375</v>
      </c>
      <c r="L272" s="28">
        <v>0.75</v>
      </c>
      <c r="M272" s="28">
        <v>4.1666666666666664E-2</v>
      </c>
      <c r="N272" s="25" t="s">
        <v>281</v>
      </c>
      <c r="O272" s="29" t="str">
        <f>_xlfn.XLOOKUP(Table2[[#This Row],[Key]],Table1[Key],Table1[주민등록번호],"",0)</f>
        <v>931XX31XX3X14</v>
      </c>
      <c r="P272" s="29">
        <f>_xlfn.XLOOKUP(Table2[[#This Row],[Key]],Table1[Key],Table1[비자],"",0)</f>
        <v>0</v>
      </c>
      <c r="Q272" s="29">
        <f>IF(P272=0,0,_xlfn.XLOOKUP(Table2[[#This Row],[Key]],Table1[Key],Table1[고용보험 여부],0,0))</f>
        <v>0</v>
      </c>
      <c r="R272" s="29" t="str">
        <f t="shared" si="57"/>
        <v>2506</v>
      </c>
      <c r="S272" s="30" t="str">
        <f>YEAR(Table2[[#This Row],[근무일자]])&amp;TEXT(WEEKNUM(Table2[[#This Row],[근무일자]]),"00")</f>
        <v>202525</v>
      </c>
      <c r="T272" s="31">
        <f>_xlfn.XLOOKUP(Table2[[#This Row],[Key]],Table1[Key],Table1[등록일],"",0)</f>
        <v>45773</v>
      </c>
      <c r="U272" s="32">
        <f t="shared" si="58"/>
        <v>0.33333333333333331</v>
      </c>
      <c r="V272" s="92">
        <f t="shared" si="59"/>
        <v>0</v>
      </c>
      <c r="W272" s="100" t="str">
        <f>_xlfn.XLOOKUP(Table2[[#This Row],[근무일자]],Table3[Date],Table3[Holiday],"",0)</f>
        <v/>
      </c>
      <c r="X272" s="93">
        <f>IF(D272&lt;&gt;"",1,0)+IF(COUNTIFS(Table2[주민등록번호],O272,Table2[월],TEXT(EOMONTH(D272,-1),"YYMM"))&gt;0,1+IF(COUNTIFS(Table2[주민등록번호],O272,Table2[월],TEXT(EOMONTH(D272,-2),"YYMM"))&gt;0,1+IF(COUNTIFS(Table2[주민등록번호],O272,Table2[월],TEXT(EOMONTH(D272,-3),"YYMM"))&gt;0,1,0),0),0)</f>
        <v>4</v>
      </c>
      <c r="Y272" s="29">
        <f>COUNTIFS(Table2[주민등록번호],O272,Table2[월],R272,Table2[근무일자],"&lt;="&amp;D272)</f>
        <v>7</v>
      </c>
      <c r="Z272" s="29">
        <f>COUNTIFS(Table2[주민등록번호],O272,Table2[주간],S272,Table2[근무일자],"&lt;="&amp;D272)</f>
        <v>2</v>
      </c>
      <c r="AA272" s="29">
        <f>SUMIFS(Table2[근로
시간],Table2[주민등록번호],O272,Table2[주간],S272,Table2[근무일자],"&lt;="&amp;D272)*24</f>
        <v>16</v>
      </c>
      <c r="AB272" s="29" t="str">
        <f>IF(AND(Y272&gt;=8,COUNTIFS(Table2[주민등록번호],O272,Table2[근무일자],"&gt;="&amp;EOMONTH(D272,-2)+1,Table2[근무일자],"&lt;="&amp;EOMONTH(D272,-1)+1)&gt;0),"V","")</f>
        <v/>
      </c>
      <c r="AC272" s="94" cm="1">
        <f t="array" ref="AC272">IF(AD272&lt;&gt;"",AD272,_xlfn.XLOOKUP(1,(D272&lt;=Table7[End])*(E272=Table7[근무처])*(F272=Table7[업무]),Table7[시급],0,0))</f>
        <v>10030</v>
      </c>
      <c r="AD272" s="95"/>
      <c r="AE272" s="94">
        <f t="shared" si="60"/>
        <v>80240</v>
      </c>
      <c r="AF272" s="96" cm="1">
        <f t="array" ref="AF272">IF(AND(AA272&gt;=15,(AA272-U272*24)&lt;=40),IF(Z272&gt;=_xlfn.XLOOKUP(1,(D272&lt;=Table7[End])*(E272=Table7[근무처])*(F272=Table7[업무]),Table7[주휴적용일],0,0),1,0)+_xlfn.XLOOKUP(1,(Table2[주간]=Table2[[#This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72" s="96" cm="1">
        <f t="array" ref="AG272">MAX((_xlfn.IFS(AF272=0,0,AF272=1,AA272,AF272&gt;1,U272*24)-IF(AA272&gt;40,AA272-40,0))/5,0)</f>
        <v>0</v>
      </c>
      <c r="AH272" s="94">
        <f t="shared" si="61"/>
        <v>0</v>
      </c>
      <c r="AI272" s="33" cm="1">
        <f t="array" ref="AI272">IF(W272="",0,ROUND(AC272*U272*24*_xlfn.XLOOKUP(1,(D272&lt;=Table7[End])*(E272=Table7[근무처])*(F272=Table7[업무]),Table7[휴일인센티브],0,0),0))</f>
        <v>0</v>
      </c>
      <c r="AJ272" s="94" cm="1">
        <f t="array" ref="AJ272">ROUND(AC272*IF(U272&gt;=8/24,U272-8/24,0)*24*_xlfn.XLOOKUP(1,(D272&lt;=Table7[End])*(E272=Table7[근무처])*(F272=Table7[업무]),Table7[야간인센티브],0,0),0)</f>
        <v>0</v>
      </c>
      <c r="AK272" s="94" cm="1">
        <f t="array" ref="AK272">IF(V272=0,0,ROUND(AC272*V272*24*_xlfn.XLOOKUP(1,(D272&lt;=Table7[End])*(E272=Table7[근무처])*(F272=Table7[업무]),Table7[야간인센티브],0,0),0))</f>
        <v>0</v>
      </c>
      <c r="AL272" s="95"/>
      <c r="AM272" s="94">
        <f t="shared" si="62"/>
        <v>80240</v>
      </c>
      <c r="AN272" s="94" cm="1">
        <f t="array" ref="AN272">IF(AM272&gt;=_xlfn.XLOOKUP(TRUE,D272&lt;=Table5[End],Table5[비과세소득기준],0,0),AM272-_xlfn.XLOOKUP(TRUE,D272&lt;=Table5[End],Table5[비과세소득기준],0,0),0)</f>
        <v>0</v>
      </c>
      <c r="AO272" s="94" cm="1">
        <f t="array" ref="AO272">ROUNDDOWN(_xlfn.LET(_xlpm.setvalue,_xlfn.XLOOKUP(TRUE,D272&lt;=Table5[End],Table5[[요율]:[근로소득세액공제]],0,0),_xlpm.tax,AN272*PRODUCT((_xlpm.setvalue-{0,1})*{1,-1}),_xlpm.threshold,_xlfn.XLOOKUP(TRUE,D272&lt;=Table5[End],Table5[소액부징수기준],0,0),IF(_xlpm.tax&gt;=_xlpm.threshold,_xlpm.tax,0)),-1)</f>
        <v>0</v>
      </c>
      <c r="AP272" s="94">
        <f>ROUNDDOWN(Table2[[#This Row],[소득세]]*10%,-1)</f>
        <v>0</v>
      </c>
      <c r="AQ272" s="94">
        <f>IF(AB272="v",AM272+IF(Y272=8,SUMIFS(Table2[지급총액],Table2[주민등록번호],O272,Table2[월],R272,Table2[월간
근무일],"&lt;="&amp;8)-AM272,0),0)+_xlfn.NUMBERVALUE(AR272)</f>
        <v>0</v>
      </c>
      <c r="AR272" s="95"/>
      <c r="AS272" s="94" cm="1">
        <f t="array" ref="AS272">ROUNDDOWN($AQ272*_xlfn.XLOOKUP(1,(AS$5=Table8[Type])*($D272&lt;=Table8[End]),Table8[요율],0,0),0)</f>
        <v>0</v>
      </c>
      <c r="AT272" s="94" cm="1">
        <f t="array" ref="AT272">ROUNDDOWN(AS272*_xlfn.XLOOKUP(1,(AT$5=Table8[Type])*($D272&lt;=Table8[End]),Table8[요율],0,0),-1)</f>
        <v>0</v>
      </c>
      <c r="AU272" s="94" cm="1">
        <f t="array" ref="AU272">ROUNDDOWN($AQ272*_xlfn.XLOOKUP(1,(AU$5=Table8[Type])*($D272&lt;=Table8[End]),Table8[요율],0,0),-1)</f>
        <v>0</v>
      </c>
      <c r="AV272" s="94" cm="1">
        <f t="array" ref="AV272">ROUNDDOWN(AM272*_xlfn.XLOOKUP(1,(AV$5=Table8[Type])*($D272&lt;=Table8[End]),Table8[요율],0,0),-1)</f>
        <v>0</v>
      </c>
      <c r="AW272" s="94" cm="1">
        <f t="array" ref="AW272">_xlfn.XLOOKUP(1,(O272=Table2[주민등록번호])*(D272&gt;Table2[근무일자]),Table2[청구 Claim 
이월],0,0,-1)</f>
        <v>0</v>
      </c>
      <c r="AX272" s="95"/>
      <c r="AY272" s="94" cm="1">
        <f t="array" ref="AY272">MAX(SUM(AO272:AP272,AS272:AX272)-_xlfn.XLOOKUP(1,(D272&lt;=Table7[End])*(E272=Table7[근무처])*(F272=Table7[업무]),Table7[1일 공제 상한],0,0),0)</f>
        <v>0</v>
      </c>
      <c r="AZ272" s="94">
        <f t="shared" si="63"/>
        <v>0</v>
      </c>
      <c r="BA272" s="94">
        <f t="shared" si="64"/>
        <v>80240</v>
      </c>
      <c r="BB272" s="97">
        <f t="shared" si="65"/>
        <v>0</v>
      </c>
      <c r="BC272" s="98"/>
      <c r="BD272" s="94">
        <f t="shared" si="66"/>
        <v>0</v>
      </c>
      <c r="BE272" s="94">
        <f t="shared" si="67"/>
        <v>0</v>
      </c>
      <c r="BF272" s="94">
        <f t="shared" si="68"/>
        <v>0</v>
      </c>
      <c r="BG272" s="94">
        <f t="shared" si="69"/>
        <v>0</v>
      </c>
      <c r="BH272" s="94" cm="1">
        <f t="array" ref="BH272">ROUNDDOWN(AM272*_xlfn.XLOOKUP(1,(BH$5=Table8[Type])*($D272&lt;=Table8[End]),Table8[요율],0,0),-1)</f>
        <v>640</v>
      </c>
      <c r="BI272" s="93" t="str" cm="1">
        <f t="array" ref="BI272">_xlfn.XLOOKUP(1,(D272&lt;=Table7[End])*(E272=Table7[근무처])*(F272=Table7[업무]),Table7[지급옵션],0,0)</f>
        <v>D+2</v>
      </c>
      <c r="BJ272" s="83">
        <f>IF(BK272&lt;&gt;"",BK272,IFERROR(D272+_xlfn.NUMBERVALUE(RIGHT(BI272,1)),D272-WEEKDAY(D272)+CHOOSE(MATCH(RIGHT(BI272),{"일","월","화","수","목","금","토"},0),8,9,10,11,12,13,14)))</f>
        <v>45828</v>
      </c>
      <c r="BK272" s="99"/>
    </row>
    <row r="273" spans="2:63" x14ac:dyDescent="0.35">
      <c r="B273" s="20" t="str" cm="1">
        <f t="array" ref="B273">_xlfn.IFS(BB273&lt;&gt;BC273,"Claim확인",N273&lt;&gt;"OK","확인필요",TRUE,"")</f>
        <v/>
      </c>
      <c r="C273" s="21" t="str">
        <f t="shared" si="56"/>
        <v>010-3X6X-X4X7757X02XX284249</v>
      </c>
      <c r="D273" s="26">
        <v>45827</v>
      </c>
      <c r="E273" s="91" t="s">
        <v>255</v>
      </c>
      <c r="F273" s="25" t="s">
        <v>258</v>
      </c>
      <c r="G273" s="27" t="s">
        <v>283</v>
      </c>
      <c r="H273" s="25" t="s">
        <v>295</v>
      </c>
      <c r="I273" s="25"/>
      <c r="J273" s="25" t="s">
        <v>296</v>
      </c>
      <c r="K273" s="28">
        <v>0.52083333333333337</v>
      </c>
      <c r="L273" s="28">
        <v>0.75</v>
      </c>
      <c r="M273" s="28">
        <v>2.0833333333333332E-2</v>
      </c>
      <c r="N273" s="25" t="s">
        <v>281</v>
      </c>
      <c r="O273" s="29" t="str">
        <f>_xlfn.XLOOKUP(Table2[[#This Row],[Key]],Table1[Key],Table1[주민등록번호],"",0)</f>
        <v>940XX41XX7X32</v>
      </c>
      <c r="P273" s="29">
        <f>_xlfn.XLOOKUP(Table2[[#This Row],[Key]],Table1[Key],Table1[비자],"",0)</f>
        <v>0</v>
      </c>
      <c r="Q273" s="29">
        <f>IF(P273=0,0,_xlfn.XLOOKUP(Table2[[#This Row],[Key]],Table1[Key],Table1[고용보험 여부],0,0))</f>
        <v>0</v>
      </c>
      <c r="R273" s="29" t="str">
        <f t="shared" si="57"/>
        <v>2506</v>
      </c>
      <c r="S273" s="30" t="str">
        <f>YEAR(Table2[[#This Row],[근무일자]])&amp;TEXT(WEEKNUM(Table2[[#This Row],[근무일자]]),"00")</f>
        <v>202525</v>
      </c>
      <c r="T273" s="31">
        <f>_xlfn.XLOOKUP(Table2[[#This Row],[Key]],Table1[Key],Table1[등록일],"",0)</f>
        <v>45751</v>
      </c>
      <c r="U273" s="32">
        <f t="shared" si="58"/>
        <v>0.20833333333333329</v>
      </c>
      <c r="V273" s="92">
        <f t="shared" si="59"/>
        <v>0</v>
      </c>
      <c r="W273" s="100" t="str">
        <f>_xlfn.XLOOKUP(Table2[[#This Row],[근무일자]],Table3[Date],Table3[Holiday],"",0)</f>
        <v/>
      </c>
      <c r="X273" s="93">
        <f>IF(D273&lt;&gt;"",1,0)+IF(COUNTIFS(Table2[주민등록번호],O273,Table2[월],TEXT(EOMONTH(D273,-1),"YYMM"))&gt;0,1+IF(COUNTIFS(Table2[주민등록번호],O273,Table2[월],TEXT(EOMONTH(D273,-2),"YYMM"))&gt;0,1+IF(COUNTIFS(Table2[주민등록번호],O273,Table2[월],TEXT(EOMONTH(D273,-3),"YYMM"))&gt;0,1,0),0),0)</f>
        <v>3</v>
      </c>
      <c r="Y273" s="29">
        <f>COUNTIFS(Table2[주민등록번호],O273,Table2[월],R273,Table2[근무일자],"&lt;="&amp;D273)</f>
        <v>14</v>
      </c>
      <c r="Z273" s="29">
        <f>COUNTIFS(Table2[주민등록번호],O273,Table2[주간],S273,Table2[근무일자],"&lt;="&amp;D273)</f>
        <v>2</v>
      </c>
      <c r="AA273" s="29">
        <f>SUMIFS(Table2[근로
시간],Table2[주민등록번호],O273,Table2[주간],S273,Table2[근무일자],"&lt;="&amp;D273)*24</f>
        <v>8.9999999999999964</v>
      </c>
      <c r="AB273" s="29" t="str">
        <f>IF(AND(Y273&gt;=8,COUNTIFS(Table2[주민등록번호],O273,Table2[근무일자],"&gt;="&amp;EOMONTH(D273,-2)+1,Table2[근무일자],"&lt;="&amp;EOMONTH(D273,-1)+1)&gt;0),"V","")</f>
        <v>V</v>
      </c>
      <c r="AC273" s="94" cm="1">
        <f t="array" ref="AC273">IF(AD273&lt;&gt;"",AD273,_xlfn.XLOOKUP(1,(D273&lt;=Table7[End])*(E273=Table7[근무처])*(F273=Table7[업무]),Table7[시급],0,0))</f>
        <v>10680</v>
      </c>
      <c r="AD273" s="95"/>
      <c r="AE273" s="94">
        <f t="shared" si="60"/>
        <v>53400</v>
      </c>
      <c r="AF273" s="96" cm="1">
        <f t="array" ref="AF273">IF(AND(AA273&gt;=15,(AA273-U273*24)&lt;=40),IF(Z273&gt;=_xlfn.XLOOKUP(1,(D273&lt;=Table7[End])*(E273=Table7[근무처])*(F273=Table7[업무]),Table7[주휴적용일],0,0),1,0)+_xlfn.XLOOKUP(1,(Table2[주간]=Table2[[#This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73" s="96" cm="1">
        <f t="array" ref="AG273">MAX((_xlfn.IFS(AF273=0,0,AF273=1,AA273,AF273&gt;1,U273*24)-IF(AA273&gt;40,AA273-40,0))/5,0)</f>
        <v>0</v>
      </c>
      <c r="AH273" s="94">
        <f t="shared" si="61"/>
        <v>0</v>
      </c>
      <c r="AI273" s="33" cm="1">
        <f t="array" ref="AI273">IF(W273="",0,ROUND(AC273*U273*24*_xlfn.XLOOKUP(1,(D273&lt;=Table7[End])*(E273=Table7[근무처])*(F273=Table7[업무]),Table7[휴일인센티브],0,0),0))</f>
        <v>0</v>
      </c>
      <c r="AJ273" s="94" cm="1">
        <f t="array" ref="AJ273">ROUND(AC273*IF(U273&gt;=8/24,U273-8/24,0)*24*_xlfn.XLOOKUP(1,(D273&lt;=Table7[End])*(E273=Table7[근무처])*(F273=Table7[업무]),Table7[야간인센티브],0,0),0)</f>
        <v>0</v>
      </c>
      <c r="AK273" s="94" cm="1">
        <f t="array" ref="AK273">IF(V273=0,0,ROUND(AC273*V273*24*_xlfn.XLOOKUP(1,(D273&lt;=Table7[End])*(E273=Table7[근무처])*(F273=Table7[업무]),Table7[야간인센티브],0,0),0))</f>
        <v>0</v>
      </c>
      <c r="AL273" s="95"/>
      <c r="AM273" s="94">
        <f t="shared" si="62"/>
        <v>53400</v>
      </c>
      <c r="AN273" s="94" cm="1">
        <f t="array" ref="AN273">IF(AM273&gt;=_xlfn.XLOOKUP(TRUE,D273&lt;=Table5[End],Table5[비과세소득기준],0,0),AM273-_xlfn.XLOOKUP(TRUE,D273&lt;=Table5[End],Table5[비과세소득기준],0,0),0)</f>
        <v>0</v>
      </c>
      <c r="AO273" s="94" cm="1">
        <f t="array" ref="AO273">ROUNDDOWN(_xlfn.LET(_xlpm.setvalue,_xlfn.XLOOKUP(TRUE,D273&lt;=Table5[End],Table5[[요율]:[근로소득세액공제]],0,0),_xlpm.tax,AN273*PRODUCT((_xlpm.setvalue-{0,1})*{1,-1}),_xlpm.threshold,_xlfn.XLOOKUP(TRUE,D273&lt;=Table5[End],Table5[소액부징수기준],0,0),IF(_xlpm.tax&gt;=_xlpm.threshold,_xlpm.tax,0)),-1)</f>
        <v>0</v>
      </c>
      <c r="AP273" s="94">
        <f>ROUNDDOWN(Table2[[#This Row],[소득세]]*10%,-1)</f>
        <v>0</v>
      </c>
      <c r="AQ273" s="94">
        <f>IF(AB273="v",AM273+IF(Y273=8,SUMIFS(Table2[지급총액],Table2[주민등록번호],O273,Table2[월],R273,Table2[월간
근무일],"&lt;="&amp;8)-AM273,0),0)+_xlfn.NUMBERVALUE(AR273)</f>
        <v>53400</v>
      </c>
      <c r="AR273" s="95"/>
      <c r="AS273" s="94" cm="1">
        <f t="array" ref="AS273">ROUNDDOWN($AQ273*_xlfn.XLOOKUP(1,(AS$5=Table8[Type])*($D273&lt;=Table8[End]),Table8[요율],0,0),0)</f>
        <v>1893</v>
      </c>
      <c r="AT273" s="94" cm="1">
        <f t="array" ref="AT273">ROUNDDOWN(AS273*_xlfn.XLOOKUP(1,(AT$5=Table8[Type])*($D273&lt;=Table8[End]),Table8[요율],0,0),-1)</f>
        <v>240</v>
      </c>
      <c r="AU273" s="94" cm="1">
        <f t="array" ref="AU273">ROUNDDOWN($AQ273*_xlfn.XLOOKUP(1,(AU$5=Table8[Type])*($D273&lt;=Table8[End]),Table8[요율],0,0),-1)</f>
        <v>2400</v>
      </c>
      <c r="AV273" s="94" cm="1">
        <f t="array" ref="AV273">ROUNDDOWN(AM273*_xlfn.XLOOKUP(1,(AV$5=Table8[Type])*($D273&lt;=Table8[End]),Table8[요율],0,0),-1)</f>
        <v>0</v>
      </c>
      <c r="AW273" s="94" cm="1">
        <f t="array" ref="AW273">_xlfn.XLOOKUP(1,(O273=Table2[주민등록번호])*(D273&gt;Table2[근무일자]),Table2[청구 Claim 
이월],0,0,-1)</f>
        <v>0</v>
      </c>
      <c r="AX273" s="95"/>
      <c r="AY273" s="94" cm="1">
        <f t="array" ref="AY273">MAX(SUM(AO273:AP273,AS273:AX273)-_xlfn.XLOOKUP(1,(D273&lt;=Table7[End])*(E273=Table7[근무처])*(F273=Table7[업무]),Table7[1일 공제 상한],0,0),0)</f>
        <v>0</v>
      </c>
      <c r="AZ273" s="94">
        <f t="shared" si="63"/>
        <v>4533</v>
      </c>
      <c r="BA273" s="94">
        <f t="shared" si="64"/>
        <v>48867</v>
      </c>
      <c r="BB273" s="97">
        <f t="shared" si="65"/>
        <v>0</v>
      </c>
      <c r="BC273" s="98"/>
      <c r="BD273" s="94">
        <f t="shared" si="66"/>
        <v>1893</v>
      </c>
      <c r="BE273" s="94">
        <f t="shared" si="67"/>
        <v>240</v>
      </c>
      <c r="BF273" s="94">
        <f t="shared" si="68"/>
        <v>2400</v>
      </c>
      <c r="BG273" s="94">
        <f t="shared" si="69"/>
        <v>0</v>
      </c>
      <c r="BH273" s="94" cm="1">
        <f t="array" ref="BH273">ROUNDDOWN(AM273*_xlfn.XLOOKUP(1,(BH$5=Table8[Type])*($D273&lt;=Table8[End]),Table8[요율],0,0),-1)</f>
        <v>420</v>
      </c>
      <c r="BI273" s="93" t="str" cm="1">
        <f t="array" ref="BI273">_xlfn.XLOOKUP(1,(D273&lt;=Table7[End])*(E273=Table7[근무처])*(F273=Table7[업무]),Table7[지급옵션],0,0)</f>
        <v>차주 화</v>
      </c>
      <c r="BJ273" s="83">
        <f>IF(BK273&lt;&gt;"",BK273,IFERROR(D273+_xlfn.NUMBERVALUE(RIGHT(BI273,1)),D273-WEEKDAY(D273)+CHOOSE(MATCH(RIGHT(BI273),{"일","월","화","수","목","금","토"},0),8,9,10,11,12,13,14)))</f>
        <v>45832</v>
      </c>
      <c r="BK273" s="99"/>
    </row>
    <row r="274" spans="2:63" x14ac:dyDescent="0.35">
      <c r="B274" s="20" t="str" cm="1">
        <f t="array" ref="B274">_xlfn.IFS(BB274&lt;&gt;BC274,"Claim확인",N274&lt;&gt;"OK","확인필요",TRUE,"")</f>
        <v/>
      </c>
      <c r="C274" s="21" t="str">
        <f t="shared" si="56"/>
        <v>010-3X6X-X4X7757X02XX284249</v>
      </c>
      <c r="D274" s="26">
        <v>45828</v>
      </c>
      <c r="E274" s="91" t="s">
        <v>255</v>
      </c>
      <c r="F274" s="25" t="s">
        <v>258</v>
      </c>
      <c r="G274" s="27" t="s">
        <v>283</v>
      </c>
      <c r="H274" s="25" t="s">
        <v>295</v>
      </c>
      <c r="I274" s="25"/>
      <c r="J274" s="25" t="s">
        <v>296</v>
      </c>
      <c r="K274" s="28">
        <v>0.29166666666666669</v>
      </c>
      <c r="L274" s="28">
        <v>0.47916666666666669</v>
      </c>
      <c r="M274" s="28">
        <v>2.0833333333333332E-2</v>
      </c>
      <c r="N274" s="25" t="s">
        <v>281</v>
      </c>
      <c r="O274" s="29" t="str">
        <f>_xlfn.XLOOKUP(Table2[[#This Row],[Key]],Table1[Key],Table1[주민등록번호],"",0)</f>
        <v>940XX41XX7X32</v>
      </c>
      <c r="P274" s="29">
        <f>_xlfn.XLOOKUP(Table2[[#This Row],[Key]],Table1[Key],Table1[비자],"",0)</f>
        <v>0</v>
      </c>
      <c r="Q274" s="29">
        <f>IF(P274=0,0,_xlfn.XLOOKUP(Table2[[#This Row],[Key]],Table1[Key],Table1[고용보험 여부],0,0))</f>
        <v>0</v>
      </c>
      <c r="R274" s="29" t="str">
        <f t="shared" si="57"/>
        <v>2506</v>
      </c>
      <c r="S274" s="30" t="str">
        <f>YEAR(Table2[[#This Row],[근무일자]])&amp;TEXT(WEEKNUM(Table2[[#This Row],[근무일자]]),"00")</f>
        <v>202525</v>
      </c>
      <c r="T274" s="31">
        <f>_xlfn.XLOOKUP(Table2[[#This Row],[Key]],Table1[Key],Table1[등록일],"",0)</f>
        <v>45751</v>
      </c>
      <c r="U274" s="32">
        <f t="shared" si="58"/>
        <v>0.16666666666666666</v>
      </c>
      <c r="V274" s="92">
        <f t="shared" si="59"/>
        <v>0</v>
      </c>
      <c r="W274" s="100" t="str">
        <f>_xlfn.XLOOKUP(Table2[[#This Row],[근무일자]],Table3[Date],Table3[Holiday],"",0)</f>
        <v/>
      </c>
      <c r="X274" s="93">
        <f>IF(D274&lt;&gt;"",1,0)+IF(COUNTIFS(Table2[주민등록번호],O274,Table2[월],TEXT(EOMONTH(D274,-1),"YYMM"))&gt;0,1+IF(COUNTIFS(Table2[주민등록번호],O274,Table2[월],TEXT(EOMONTH(D274,-2),"YYMM"))&gt;0,1+IF(COUNTIFS(Table2[주민등록번호],O274,Table2[월],TEXT(EOMONTH(D274,-3),"YYMM"))&gt;0,1,0),0),0)</f>
        <v>3</v>
      </c>
      <c r="Y274" s="29">
        <f>COUNTIFS(Table2[주민등록번호],O274,Table2[월],R274,Table2[근무일자],"&lt;="&amp;D274)</f>
        <v>15</v>
      </c>
      <c r="Z274" s="29">
        <f>COUNTIFS(Table2[주민등록번호],O274,Table2[주간],S274,Table2[근무일자],"&lt;="&amp;D274)</f>
        <v>3</v>
      </c>
      <c r="AA274" s="29">
        <f>SUMIFS(Table2[근로
시간],Table2[주민등록번호],O274,Table2[주간],S274,Table2[근무일자],"&lt;="&amp;D274)*24</f>
        <v>12.999999999999996</v>
      </c>
      <c r="AB274" s="29" t="str">
        <f>IF(AND(Y274&gt;=8,COUNTIFS(Table2[주민등록번호],O274,Table2[근무일자],"&gt;="&amp;EOMONTH(D274,-2)+1,Table2[근무일자],"&lt;="&amp;EOMONTH(D274,-1)+1)&gt;0),"V","")</f>
        <v>V</v>
      </c>
      <c r="AC274" s="94" cm="1">
        <f t="array" ref="AC274">IF(AD274&lt;&gt;"",AD274,_xlfn.XLOOKUP(1,(D274&lt;=Table7[End])*(E274=Table7[근무처])*(F274=Table7[업무]),Table7[시급],0,0))</f>
        <v>10680</v>
      </c>
      <c r="AD274" s="95"/>
      <c r="AE274" s="94">
        <f t="shared" si="60"/>
        <v>42720</v>
      </c>
      <c r="AF274" s="96" cm="1">
        <f t="array" ref="AF274">IF(AND(AA274&gt;=15,(AA274-U274*24)&lt;=40),IF(Z274&gt;=_xlfn.XLOOKUP(1,(D274&lt;=Table7[End])*(E274=Table7[근무처])*(F274=Table7[업무]),Table7[주휴적용일],0,0),1,0)+_xlfn.XLOOKUP(1,(Table2[주간]=Table2[[#This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74" s="96" cm="1">
        <f t="array" ref="AG274">MAX((_xlfn.IFS(AF274=0,0,AF274=1,AA274,AF274&gt;1,U274*24)-IF(AA274&gt;40,AA274-40,0))/5,0)</f>
        <v>0</v>
      </c>
      <c r="AH274" s="94">
        <f t="shared" si="61"/>
        <v>0</v>
      </c>
      <c r="AI274" s="33" cm="1">
        <f t="array" ref="AI274">IF(W274="",0,ROUND(AC274*U274*24*_xlfn.XLOOKUP(1,(D274&lt;=Table7[End])*(E274=Table7[근무처])*(F274=Table7[업무]),Table7[휴일인센티브],0,0),0))</f>
        <v>0</v>
      </c>
      <c r="AJ274" s="94" cm="1">
        <f t="array" ref="AJ274">ROUND(AC274*IF(U274&gt;=8/24,U274-8/24,0)*24*_xlfn.XLOOKUP(1,(D274&lt;=Table7[End])*(E274=Table7[근무처])*(F274=Table7[업무]),Table7[야간인센티브],0,0),0)</f>
        <v>0</v>
      </c>
      <c r="AK274" s="94" cm="1">
        <f t="array" ref="AK274">IF(V274=0,0,ROUND(AC274*V274*24*_xlfn.XLOOKUP(1,(D274&lt;=Table7[End])*(E274=Table7[근무처])*(F274=Table7[업무]),Table7[야간인센티브],0,0),0))</f>
        <v>0</v>
      </c>
      <c r="AL274" s="95"/>
      <c r="AM274" s="94">
        <f t="shared" si="62"/>
        <v>42720</v>
      </c>
      <c r="AN274" s="94" cm="1">
        <f t="array" ref="AN274">IF(AM274&gt;=_xlfn.XLOOKUP(TRUE,D274&lt;=Table5[End],Table5[비과세소득기준],0,0),AM274-_xlfn.XLOOKUP(TRUE,D274&lt;=Table5[End],Table5[비과세소득기준],0,0),0)</f>
        <v>0</v>
      </c>
      <c r="AO274" s="94" cm="1">
        <f t="array" ref="AO274">ROUNDDOWN(_xlfn.LET(_xlpm.setvalue,_xlfn.XLOOKUP(TRUE,D274&lt;=Table5[End],Table5[[요율]:[근로소득세액공제]],0,0),_xlpm.tax,AN274*PRODUCT((_xlpm.setvalue-{0,1})*{1,-1}),_xlpm.threshold,_xlfn.XLOOKUP(TRUE,D274&lt;=Table5[End],Table5[소액부징수기준],0,0),IF(_xlpm.tax&gt;=_xlpm.threshold,_xlpm.tax,0)),-1)</f>
        <v>0</v>
      </c>
      <c r="AP274" s="94">
        <f>ROUNDDOWN(Table2[[#This Row],[소득세]]*10%,-1)</f>
        <v>0</v>
      </c>
      <c r="AQ274" s="94">
        <f>IF(AB274="v",AM274+IF(Y274=8,SUMIFS(Table2[지급총액],Table2[주민등록번호],O274,Table2[월],R274,Table2[월간
근무일],"&lt;="&amp;8)-AM274,0),0)+_xlfn.NUMBERVALUE(AR274)</f>
        <v>42720</v>
      </c>
      <c r="AR274" s="95"/>
      <c r="AS274" s="94" cm="1">
        <f t="array" ref="AS274">ROUNDDOWN($AQ274*_xlfn.XLOOKUP(1,(AS$5=Table8[Type])*($D274&lt;=Table8[End]),Table8[요율],0,0),0)</f>
        <v>1514</v>
      </c>
      <c r="AT274" s="94" cm="1">
        <f t="array" ref="AT274">ROUNDDOWN(AS274*_xlfn.XLOOKUP(1,(AT$5=Table8[Type])*($D274&lt;=Table8[End]),Table8[요율],0,0),-1)</f>
        <v>190</v>
      </c>
      <c r="AU274" s="94" cm="1">
        <f t="array" ref="AU274">ROUNDDOWN($AQ274*_xlfn.XLOOKUP(1,(AU$5=Table8[Type])*($D274&lt;=Table8[End]),Table8[요율],0,0),-1)</f>
        <v>1920</v>
      </c>
      <c r="AV274" s="94" cm="1">
        <f t="array" ref="AV274">ROUNDDOWN(AM274*_xlfn.XLOOKUP(1,(AV$5=Table8[Type])*($D274&lt;=Table8[End]),Table8[요율],0,0),-1)</f>
        <v>0</v>
      </c>
      <c r="AW274" s="94" cm="1">
        <f t="array" ref="AW274">_xlfn.XLOOKUP(1,(O274=Table2[주민등록번호])*(D274&gt;Table2[근무일자]),Table2[청구 Claim 
이월],0,0,-1)</f>
        <v>0</v>
      </c>
      <c r="AX274" s="95"/>
      <c r="AY274" s="94" cm="1">
        <f t="array" ref="AY274">MAX(SUM(AO274:AP274,AS274:AX274)-_xlfn.XLOOKUP(1,(D274&lt;=Table7[End])*(E274=Table7[근무처])*(F274=Table7[업무]),Table7[1일 공제 상한],0,0),0)</f>
        <v>0</v>
      </c>
      <c r="AZ274" s="94">
        <f t="shared" si="63"/>
        <v>3624</v>
      </c>
      <c r="BA274" s="94">
        <f t="shared" si="64"/>
        <v>39096</v>
      </c>
      <c r="BB274" s="97">
        <f t="shared" si="65"/>
        <v>0</v>
      </c>
      <c r="BC274" s="98"/>
      <c r="BD274" s="94">
        <f t="shared" si="66"/>
        <v>1514</v>
      </c>
      <c r="BE274" s="94">
        <f t="shared" si="67"/>
        <v>190</v>
      </c>
      <c r="BF274" s="94">
        <f t="shared" si="68"/>
        <v>1920</v>
      </c>
      <c r="BG274" s="94">
        <f t="shared" si="69"/>
        <v>0</v>
      </c>
      <c r="BH274" s="94" cm="1">
        <f t="array" ref="BH274">ROUNDDOWN(AM274*_xlfn.XLOOKUP(1,(BH$5=Table8[Type])*($D274&lt;=Table8[End]),Table8[요율],0,0),-1)</f>
        <v>340</v>
      </c>
      <c r="BI274" s="93" t="str" cm="1">
        <f t="array" ref="BI274">_xlfn.XLOOKUP(1,(D274&lt;=Table7[End])*(E274=Table7[근무처])*(F274=Table7[업무]),Table7[지급옵션],0,0)</f>
        <v>차주 화</v>
      </c>
      <c r="BJ274" s="83">
        <f>IF(BK274&lt;&gt;"",BK274,IFERROR(D274+_xlfn.NUMBERVALUE(RIGHT(BI274,1)),D274-WEEKDAY(D274)+CHOOSE(MATCH(RIGHT(BI274),{"일","월","화","수","목","금","토"},0),8,9,10,11,12,13,14)))</f>
        <v>45832</v>
      </c>
      <c r="BK274" s="99"/>
    </row>
    <row r="275" spans="2:63" x14ac:dyDescent="0.35">
      <c r="B275" s="20" t="str" cm="1">
        <f t="array" ref="B275">_xlfn.IFS(BB275&lt;&gt;BC275,"Claim확인",N275&lt;&gt;"OK","확인필요",TRUE,"")</f>
        <v/>
      </c>
      <c r="C275" s="21" t="str">
        <f t="shared" si="56"/>
        <v>010-3X6X-X4X7757X02XX284249</v>
      </c>
      <c r="D275" s="26">
        <v>45829</v>
      </c>
      <c r="E275" s="91" t="s">
        <v>255</v>
      </c>
      <c r="F275" s="25" t="s">
        <v>258</v>
      </c>
      <c r="G275" s="27" t="s">
        <v>283</v>
      </c>
      <c r="H275" s="25" t="s">
        <v>295</v>
      </c>
      <c r="I275" s="25"/>
      <c r="J275" s="25" t="s">
        <v>296</v>
      </c>
      <c r="K275" s="28">
        <v>0.45833333333333331</v>
      </c>
      <c r="L275" s="28">
        <v>0.83333333333333337</v>
      </c>
      <c r="M275" s="28">
        <v>4.1666666666666664E-2</v>
      </c>
      <c r="N275" s="25" t="s">
        <v>281</v>
      </c>
      <c r="O275" s="29" t="str">
        <f>_xlfn.XLOOKUP(Table2[[#This Row],[Key]],Table1[Key],Table1[주민등록번호],"",0)</f>
        <v>940XX41XX7X32</v>
      </c>
      <c r="P275" s="29">
        <f>_xlfn.XLOOKUP(Table2[[#This Row],[Key]],Table1[Key],Table1[비자],"",0)</f>
        <v>0</v>
      </c>
      <c r="Q275" s="29">
        <f>IF(P275=0,0,_xlfn.XLOOKUP(Table2[[#This Row],[Key]],Table1[Key],Table1[고용보험 여부],0,0))</f>
        <v>0</v>
      </c>
      <c r="R275" s="29" t="str">
        <f t="shared" si="57"/>
        <v>2506</v>
      </c>
      <c r="S275" s="30" t="str">
        <f>YEAR(Table2[[#This Row],[근무일자]])&amp;TEXT(WEEKNUM(Table2[[#This Row],[근무일자]]),"00")</f>
        <v>202525</v>
      </c>
      <c r="T275" s="31">
        <f>_xlfn.XLOOKUP(Table2[[#This Row],[Key]],Table1[Key],Table1[등록일],"",0)</f>
        <v>45751</v>
      </c>
      <c r="U275" s="32">
        <f t="shared" si="58"/>
        <v>0.33333333333333337</v>
      </c>
      <c r="V275" s="92">
        <f t="shared" si="59"/>
        <v>0</v>
      </c>
      <c r="W275" s="100" t="str">
        <f>_xlfn.XLOOKUP(Table2[[#This Row],[근무일자]],Table3[Date],Table3[Holiday],"",0)</f>
        <v/>
      </c>
      <c r="X275" s="93">
        <f>IF(D275&lt;&gt;"",1,0)+IF(COUNTIFS(Table2[주민등록번호],O275,Table2[월],TEXT(EOMONTH(D275,-1),"YYMM"))&gt;0,1+IF(COUNTIFS(Table2[주민등록번호],O275,Table2[월],TEXT(EOMONTH(D275,-2),"YYMM"))&gt;0,1+IF(COUNTIFS(Table2[주민등록번호],O275,Table2[월],TEXT(EOMONTH(D275,-3),"YYMM"))&gt;0,1,0),0),0)</f>
        <v>3</v>
      </c>
      <c r="Y275" s="29">
        <f>COUNTIFS(Table2[주민등록번호],O275,Table2[월],R275,Table2[근무일자],"&lt;="&amp;D275)</f>
        <v>16</v>
      </c>
      <c r="Z275" s="29">
        <f>COUNTIFS(Table2[주민등록번호],O275,Table2[주간],S275,Table2[근무일자],"&lt;="&amp;D275)</f>
        <v>4</v>
      </c>
      <c r="AA275" s="29">
        <f>SUMIFS(Table2[근로
시간],Table2[주민등록번호],O275,Table2[주간],S275,Table2[근무일자],"&lt;="&amp;D275)*24</f>
        <v>20.999999999999996</v>
      </c>
      <c r="AB275" s="29" t="str">
        <f>IF(AND(Y275&gt;=8,COUNTIFS(Table2[주민등록번호],O275,Table2[근무일자],"&gt;="&amp;EOMONTH(D275,-2)+1,Table2[근무일자],"&lt;="&amp;EOMONTH(D275,-1)+1)&gt;0),"V","")</f>
        <v>V</v>
      </c>
      <c r="AC275" s="94" cm="1">
        <f t="array" ref="AC275">IF(AD275&lt;&gt;"",AD275,_xlfn.XLOOKUP(1,(D275&lt;=Table7[End])*(E275=Table7[근무처])*(F275=Table7[업무]),Table7[시급],0,0))</f>
        <v>10680</v>
      </c>
      <c r="AD275" s="95"/>
      <c r="AE275" s="94">
        <f t="shared" si="60"/>
        <v>85440</v>
      </c>
      <c r="AF275" s="96" cm="1">
        <f t="array" ref="AF275">IF(AND(AA275&gt;=15,(AA275-U275*24)&lt;=40),IF(Z275&gt;=_xlfn.XLOOKUP(1,(D275&lt;=Table7[End])*(E275=Table7[근무처])*(F275=Table7[업무]),Table7[주휴적용일],0,0),1,0)+_xlfn.XLOOKUP(1,(Table2[주간]=Table2[[#This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75" s="96" cm="1">
        <f t="array" ref="AG275">MAX((_xlfn.IFS(AF275=0,0,AF275=1,AA275,AF275&gt;1,U275*24)-IF(AA275&gt;40,AA275-40,0))/5,0)</f>
        <v>4.1999999999999993</v>
      </c>
      <c r="AH275" s="94">
        <f t="shared" si="61"/>
        <v>44856</v>
      </c>
      <c r="AI275" s="33" cm="1">
        <f t="array" ref="AI275">IF(W275="",0,ROUND(AC275*U275*24*_xlfn.XLOOKUP(1,(D275&lt;=Table7[End])*(E275=Table7[근무처])*(F275=Table7[업무]),Table7[휴일인센티브],0,0),0))</f>
        <v>0</v>
      </c>
      <c r="AJ275" s="94" cm="1">
        <f t="array" ref="AJ275">ROUND(AC275*IF(U275&gt;=8/24,U275-8/24,0)*24*_xlfn.XLOOKUP(1,(D275&lt;=Table7[End])*(E275=Table7[근무처])*(F275=Table7[업무]),Table7[야간인센티브],0,0),0)</f>
        <v>0</v>
      </c>
      <c r="AK275" s="94" cm="1">
        <f t="array" ref="AK275">IF(V275=0,0,ROUND(AC275*V275*24*_xlfn.XLOOKUP(1,(D275&lt;=Table7[End])*(E275=Table7[근무처])*(F275=Table7[업무]),Table7[야간인센티브],0,0),0))</f>
        <v>0</v>
      </c>
      <c r="AL275" s="95"/>
      <c r="AM275" s="94">
        <f t="shared" si="62"/>
        <v>130296</v>
      </c>
      <c r="AN275" s="94" cm="1">
        <f t="array" ref="AN275">IF(AM275&gt;=_xlfn.XLOOKUP(TRUE,D275&lt;=Table5[End],Table5[비과세소득기준],0,0),AM275-_xlfn.XLOOKUP(TRUE,D275&lt;=Table5[End],Table5[비과세소득기준],0,0),0)</f>
        <v>0</v>
      </c>
      <c r="AO275" s="94" cm="1">
        <f t="array" ref="AO275">ROUNDDOWN(_xlfn.LET(_xlpm.setvalue,_xlfn.XLOOKUP(TRUE,D275&lt;=Table5[End],Table5[[요율]:[근로소득세액공제]],0,0),_xlpm.tax,AN275*PRODUCT((_xlpm.setvalue-{0,1})*{1,-1}),_xlpm.threshold,_xlfn.XLOOKUP(TRUE,D275&lt;=Table5[End],Table5[소액부징수기준],0,0),IF(_xlpm.tax&gt;=_xlpm.threshold,_xlpm.tax,0)),-1)</f>
        <v>0</v>
      </c>
      <c r="AP275" s="94">
        <f>ROUNDDOWN(Table2[[#This Row],[소득세]]*10%,-1)</f>
        <v>0</v>
      </c>
      <c r="AQ275" s="94">
        <f>IF(AB275="v",AM275+IF(Y275=8,SUMIFS(Table2[지급총액],Table2[주민등록번호],O275,Table2[월],R275,Table2[월간
근무일],"&lt;="&amp;8)-AM275,0),0)+_xlfn.NUMBERVALUE(AR275)</f>
        <v>130296</v>
      </c>
      <c r="AR275" s="95"/>
      <c r="AS275" s="94" cm="1">
        <f t="array" ref="AS275">ROUNDDOWN($AQ275*_xlfn.XLOOKUP(1,(AS$5=Table8[Type])*($D275&lt;=Table8[End]),Table8[요율],0,0),0)</f>
        <v>4618</v>
      </c>
      <c r="AT275" s="94" cm="1">
        <f t="array" ref="AT275">ROUNDDOWN(AS275*_xlfn.XLOOKUP(1,(AT$5=Table8[Type])*($D275&lt;=Table8[End]),Table8[요율],0,0),-1)</f>
        <v>590</v>
      </c>
      <c r="AU275" s="94" cm="1">
        <f t="array" ref="AU275">ROUNDDOWN($AQ275*_xlfn.XLOOKUP(1,(AU$5=Table8[Type])*($D275&lt;=Table8[End]),Table8[요율],0,0),-1)</f>
        <v>5860</v>
      </c>
      <c r="AV275" s="94" cm="1">
        <f t="array" ref="AV275">ROUNDDOWN(AM275*_xlfn.XLOOKUP(1,(AV$5=Table8[Type])*($D275&lt;=Table8[End]),Table8[요율],0,0),-1)</f>
        <v>0</v>
      </c>
      <c r="AW275" s="94" cm="1">
        <f t="array" ref="AW275">_xlfn.XLOOKUP(1,(O275=Table2[주민등록번호])*(D275&gt;Table2[근무일자]),Table2[청구 Claim 
이월],0,0,-1)</f>
        <v>0</v>
      </c>
      <c r="AX275" s="95"/>
      <c r="AY275" s="94" cm="1">
        <f t="array" ref="AY275">MAX(SUM(AO275:AP275,AS275:AX275)-_xlfn.XLOOKUP(1,(D275&lt;=Table7[End])*(E275=Table7[근무처])*(F275=Table7[업무]),Table7[1일 공제 상한],0,0),0)</f>
        <v>0</v>
      </c>
      <c r="AZ275" s="94">
        <f t="shared" si="63"/>
        <v>11068</v>
      </c>
      <c r="BA275" s="94">
        <f t="shared" si="64"/>
        <v>119228</v>
      </c>
      <c r="BB275" s="97">
        <f t="shared" si="65"/>
        <v>0</v>
      </c>
      <c r="BC275" s="98"/>
      <c r="BD275" s="94">
        <f t="shared" si="66"/>
        <v>4618</v>
      </c>
      <c r="BE275" s="94">
        <f t="shared" si="67"/>
        <v>590</v>
      </c>
      <c r="BF275" s="94">
        <f t="shared" si="68"/>
        <v>5860</v>
      </c>
      <c r="BG275" s="94">
        <f t="shared" si="69"/>
        <v>0</v>
      </c>
      <c r="BH275" s="94" cm="1">
        <f t="array" ref="BH275">ROUNDDOWN(AM275*_xlfn.XLOOKUP(1,(BH$5=Table8[Type])*($D275&lt;=Table8[End]),Table8[요율],0,0),-1)</f>
        <v>1040</v>
      </c>
      <c r="BI275" s="93" t="str" cm="1">
        <f t="array" ref="BI275">_xlfn.XLOOKUP(1,(D275&lt;=Table7[End])*(E275=Table7[근무처])*(F275=Table7[업무]),Table7[지급옵션],0,0)</f>
        <v>차주 화</v>
      </c>
      <c r="BJ275" s="83">
        <f>IF(BK275&lt;&gt;"",BK275,IFERROR(D275+_xlfn.NUMBERVALUE(RIGHT(BI275,1)),D275-WEEKDAY(D275)+CHOOSE(MATCH(RIGHT(BI275),{"일","월","화","수","목","금","토"},0),8,9,10,11,12,13,14)))</f>
        <v>45832</v>
      </c>
      <c r="BK275" s="99"/>
    </row>
    <row r="276" spans="2:63" x14ac:dyDescent="0.35">
      <c r="B276" s="20" t="str" cm="1">
        <f t="array" ref="B276">_xlfn.IFS(BB276&lt;&gt;BC276,"Claim확인",N276&lt;&gt;"OK","확인필요",TRUE,"")</f>
        <v/>
      </c>
      <c r="C276" s="21" t="str">
        <f t="shared" si="56"/>
        <v>010-3X4X-X9X7219X02XX284640</v>
      </c>
      <c r="D276" s="26">
        <v>45830</v>
      </c>
      <c r="E276" s="91" t="s">
        <v>253</v>
      </c>
      <c r="F276" s="25" t="s">
        <v>257</v>
      </c>
      <c r="G276" s="27" t="s">
        <v>286</v>
      </c>
      <c r="H276" s="25" t="s">
        <v>299</v>
      </c>
      <c r="I276" s="25"/>
      <c r="J276" s="25" t="s">
        <v>300</v>
      </c>
      <c r="K276" s="28">
        <v>0.375</v>
      </c>
      <c r="L276" s="28">
        <v>0.75</v>
      </c>
      <c r="M276" s="28">
        <v>4.1666666666666664E-2</v>
      </c>
      <c r="N276" s="25" t="s">
        <v>281</v>
      </c>
      <c r="O276" s="29" t="str">
        <f>_xlfn.XLOOKUP(Table2[[#This Row],[Key]],Table1[Key],Table1[주민등록번호],"",0)</f>
        <v>931XX31XX3X14</v>
      </c>
      <c r="P276" s="29">
        <f>_xlfn.XLOOKUP(Table2[[#This Row],[Key]],Table1[Key],Table1[비자],"",0)</f>
        <v>0</v>
      </c>
      <c r="Q276" s="29">
        <f>IF(P276=0,0,_xlfn.XLOOKUP(Table2[[#This Row],[Key]],Table1[Key],Table1[고용보험 여부],0,0))</f>
        <v>0</v>
      </c>
      <c r="R276" s="29" t="str">
        <f t="shared" si="57"/>
        <v>2506</v>
      </c>
      <c r="S276" s="30" t="str">
        <f>YEAR(Table2[[#This Row],[근무일자]])&amp;TEXT(WEEKNUM(Table2[[#This Row],[근무일자]]),"00")</f>
        <v>202526</v>
      </c>
      <c r="T276" s="31">
        <f>_xlfn.XLOOKUP(Table2[[#This Row],[Key]],Table1[Key],Table1[등록일],"",0)</f>
        <v>45773</v>
      </c>
      <c r="U276" s="32">
        <f t="shared" si="58"/>
        <v>0.33333333333333331</v>
      </c>
      <c r="V276" s="92">
        <f t="shared" si="59"/>
        <v>0</v>
      </c>
      <c r="W276" s="100" t="str">
        <f>_xlfn.XLOOKUP(Table2[[#This Row],[근무일자]],Table3[Date],Table3[Holiday],"",0)</f>
        <v/>
      </c>
      <c r="X276" s="93">
        <f>IF(D276&lt;&gt;"",1,0)+IF(COUNTIFS(Table2[주민등록번호],O276,Table2[월],TEXT(EOMONTH(D276,-1),"YYMM"))&gt;0,1+IF(COUNTIFS(Table2[주민등록번호],O276,Table2[월],TEXT(EOMONTH(D276,-2),"YYMM"))&gt;0,1+IF(COUNTIFS(Table2[주민등록번호],O276,Table2[월],TEXT(EOMONTH(D276,-3),"YYMM"))&gt;0,1,0),0),0)</f>
        <v>4</v>
      </c>
      <c r="Y276" s="29">
        <f>COUNTIFS(Table2[주민등록번호],O276,Table2[월],R276,Table2[근무일자],"&lt;="&amp;D276)</f>
        <v>8</v>
      </c>
      <c r="Z276" s="29">
        <f>COUNTIFS(Table2[주민등록번호],O276,Table2[주간],S276,Table2[근무일자],"&lt;="&amp;D276)</f>
        <v>1</v>
      </c>
      <c r="AA276" s="29">
        <f>SUMIFS(Table2[근로
시간],Table2[주민등록번호],O276,Table2[주간],S276,Table2[근무일자],"&lt;="&amp;D276)*24</f>
        <v>8</v>
      </c>
      <c r="AB276" s="29" t="str">
        <f>IF(AND(Y276&gt;=8,COUNTIFS(Table2[주민등록번호],O276,Table2[근무일자],"&gt;="&amp;EOMONTH(D276,-2)+1,Table2[근무일자],"&lt;="&amp;EOMONTH(D276,-1)+1)&gt;0),"V","")</f>
        <v>V</v>
      </c>
      <c r="AC276" s="94" cm="1">
        <f t="array" ref="AC276">IF(AD276&lt;&gt;"",AD276,_xlfn.XLOOKUP(1,(D276&lt;=Table7[End])*(E276=Table7[근무처])*(F276=Table7[업무]),Table7[시급],0,0))</f>
        <v>10030</v>
      </c>
      <c r="AD276" s="95"/>
      <c r="AE276" s="94">
        <f t="shared" si="60"/>
        <v>80240</v>
      </c>
      <c r="AF276" s="96" cm="1">
        <f t="array" ref="AF276">IF(AND(AA276&gt;=15,(AA276-U276*24)&lt;=40),IF(Z276&gt;=_xlfn.XLOOKUP(1,(D276&lt;=Table7[End])*(E276=Table7[근무처])*(F276=Table7[업무]),Table7[주휴적용일],0,0),1,0)+_xlfn.XLOOKUP(1,(Table2[주간]=Table2[[#This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76" s="96" cm="1">
        <f t="array" ref="AG276">MAX((_xlfn.IFS(AF276=0,0,AF276=1,AA276,AF276&gt;1,U276*24)-IF(AA276&gt;40,AA276-40,0))/5,0)</f>
        <v>0</v>
      </c>
      <c r="AH276" s="94">
        <f t="shared" si="61"/>
        <v>0</v>
      </c>
      <c r="AI276" s="33" cm="1">
        <f t="array" ref="AI276">IF(W276="",0,ROUND(AC276*U276*24*_xlfn.XLOOKUP(1,(D276&lt;=Table7[End])*(E276=Table7[근무처])*(F276=Table7[업무]),Table7[휴일인센티브],0,0),0))</f>
        <v>0</v>
      </c>
      <c r="AJ276" s="94" cm="1">
        <f t="array" ref="AJ276">ROUND(AC276*IF(U276&gt;=8/24,U276-8/24,0)*24*_xlfn.XLOOKUP(1,(D276&lt;=Table7[End])*(E276=Table7[근무처])*(F276=Table7[업무]),Table7[야간인센티브],0,0),0)</f>
        <v>0</v>
      </c>
      <c r="AK276" s="94" cm="1">
        <f t="array" ref="AK276">IF(V276=0,0,ROUND(AC276*V276*24*_xlfn.XLOOKUP(1,(D276&lt;=Table7[End])*(E276=Table7[근무처])*(F276=Table7[업무]),Table7[야간인센티브],0,0),0))</f>
        <v>0</v>
      </c>
      <c r="AL276" s="95"/>
      <c r="AM276" s="94">
        <f t="shared" si="62"/>
        <v>80240</v>
      </c>
      <c r="AN276" s="94" cm="1">
        <f t="array" ref="AN276">IF(AM276&gt;=_xlfn.XLOOKUP(TRUE,D276&lt;=Table5[End],Table5[비과세소득기준],0,0),AM276-_xlfn.XLOOKUP(TRUE,D276&lt;=Table5[End],Table5[비과세소득기준],0,0),0)</f>
        <v>0</v>
      </c>
      <c r="AO276" s="94" cm="1">
        <f t="array" ref="AO276">ROUNDDOWN(_xlfn.LET(_xlpm.setvalue,_xlfn.XLOOKUP(TRUE,D276&lt;=Table5[End],Table5[[요율]:[근로소득세액공제]],0,0),_xlpm.tax,AN276*PRODUCT((_xlpm.setvalue-{0,1})*{1,-1}),_xlpm.threshold,_xlfn.XLOOKUP(TRUE,D276&lt;=Table5[End],Table5[소액부징수기준],0,0),IF(_xlpm.tax&gt;=_xlpm.threshold,_xlpm.tax,0)),-1)</f>
        <v>0</v>
      </c>
      <c r="AP276" s="94">
        <f>ROUNDDOWN(Table2[[#This Row],[소득세]]*10%,-1)</f>
        <v>0</v>
      </c>
      <c r="AQ276" s="94">
        <f>IF(AB276="v",AM276+IF(Y276=8,SUMIFS(Table2[지급총액],Table2[주민등록번호],O276,Table2[월],R276,Table2[월간
근무일],"&lt;="&amp;8)-AM276,0),0)+_xlfn.NUMBERVALUE(AR276)</f>
        <v>541620</v>
      </c>
      <c r="AR276" s="95"/>
      <c r="AS276" s="94" cm="1">
        <f t="array" ref="AS276">ROUNDDOWN($AQ276*_xlfn.XLOOKUP(1,(AS$5=Table8[Type])*($D276&lt;=Table8[End]),Table8[요율],0,0),0)</f>
        <v>19200</v>
      </c>
      <c r="AT276" s="94" cm="1">
        <f t="array" ref="AT276">ROUNDDOWN(AS276*_xlfn.XLOOKUP(1,(AT$5=Table8[Type])*($D276&lt;=Table8[End]),Table8[요율],0,0),-1)</f>
        <v>2480</v>
      </c>
      <c r="AU276" s="94" cm="1">
        <f t="array" ref="AU276">ROUNDDOWN($AQ276*_xlfn.XLOOKUP(1,(AU$5=Table8[Type])*($D276&lt;=Table8[End]),Table8[요율],0,0),-1)</f>
        <v>24370</v>
      </c>
      <c r="AV276" s="94" cm="1">
        <f t="array" ref="AV276">ROUNDDOWN(AM276*_xlfn.XLOOKUP(1,(AV$5=Table8[Type])*($D276&lt;=Table8[End]),Table8[요율],0,0),-1)</f>
        <v>0</v>
      </c>
      <c r="AW276" s="94" cm="1">
        <f t="array" ref="AW276">_xlfn.XLOOKUP(1,(O276=Table2[주민등록번호])*(D276&gt;Table2[근무일자]),Table2[청구 Claim 
이월],0,0,-1)</f>
        <v>0</v>
      </c>
      <c r="AX276" s="95"/>
      <c r="AY276" s="94" cm="1">
        <f t="array" ref="AY276">MAX(SUM(AO276:AP276,AS276:AX276)-_xlfn.XLOOKUP(1,(D276&lt;=Table7[End])*(E276=Table7[근무처])*(F276=Table7[업무]),Table7[1일 공제 상한],0,0),0)</f>
        <v>0</v>
      </c>
      <c r="AZ276" s="94">
        <f t="shared" si="63"/>
        <v>46050</v>
      </c>
      <c r="BA276" s="94">
        <f t="shared" si="64"/>
        <v>34190</v>
      </c>
      <c r="BB276" s="97">
        <f t="shared" si="65"/>
        <v>0</v>
      </c>
      <c r="BC276" s="98"/>
      <c r="BD276" s="94">
        <f t="shared" si="66"/>
        <v>19200</v>
      </c>
      <c r="BE276" s="94">
        <f t="shared" si="67"/>
        <v>2480</v>
      </c>
      <c r="BF276" s="94">
        <f t="shared" si="68"/>
        <v>24370</v>
      </c>
      <c r="BG276" s="94">
        <f t="shared" si="69"/>
        <v>0</v>
      </c>
      <c r="BH276" s="94" cm="1">
        <f t="array" ref="BH276">ROUNDDOWN(AM276*_xlfn.XLOOKUP(1,(BH$5=Table8[Type])*($D276&lt;=Table8[End]),Table8[요율],0,0),-1)</f>
        <v>640</v>
      </c>
      <c r="BI276" s="93" t="str" cm="1">
        <f t="array" ref="BI276">_xlfn.XLOOKUP(1,(D276&lt;=Table7[End])*(E276=Table7[근무처])*(F276=Table7[업무]),Table7[지급옵션],0,0)</f>
        <v>D+2</v>
      </c>
      <c r="BJ276" s="83">
        <f>IF(BK276&lt;&gt;"",BK276,IFERROR(D276+_xlfn.NUMBERVALUE(RIGHT(BI276,1)),D276-WEEKDAY(D276)+CHOOSE(MATCH(RIGHT(BI276),{"일","월","화","수","목","금","토"},0),8,9,10,11,12,13,14)))</f>
        <v>45832</v>
      </c>
      <c r="BK276" s="99"/>
    </row>
    <row r="277" spans="2:63" x14ac:dyDescent="0.35">
      <c r="B277" s="20" t="str" cm="1">
        <f t="array" ref="B277">_xlfn.IFS(BB277&lt;&gt;BC277,"Claim확인",N277&lt;&gt;"OK","확인필요",TRUE,"")</f>
        <v/>
      </c>
      <c r="C277" s="21" t="str">
        <f t="shared" si="56"/>
        <v>010-3X6X-X4X7757X02XX284249</v>
      </c>
      <c r="D277" s="26">
        <v>45831</v>
      </c>
      <c r="E277" s="91" t="s">
        <v>255</v>
      </c>
      <c r="F277" s="25" t="s">
        <v>258</v>
      </c>
      <c r="G277" s="27" t="s">
        <v>283</v>
      </c>
      <c r="H277" s="25" t="s">
        <v>295</v>
      </c>
      <c r="I277" s="25"/>
      <c r="J277" s="25" t="s">
        <v>296</v>
      </c>
      <c r="K277" s="28">
        <v>0.52083333333333337</v>
      </c>
      <c r="L277" s="28">
        <v>0.75</v>
      </c>
      <c r="M277" s="28">
        <v>2.0833333333333332E-2</v>
      </c>
      <c r="N277" s="25" t="s">
        <v>281</v>
      </c>
      <c r="O277" s="29" t="str">
        <f>_xlfn.XLOOKUP(Table2[[#This Row],[Key]],Table1[Key],Table1[주민등록번호],"",0)</f>
        <v>940XX41XX7X32</v>
      </c>
      <c r="P277" s="29">
        <f>_xlfn.XLOOKUP(Table2[[#This Row],[Key]],Table1[Key],Table1[비자],"",0)</f>
        <v>0</v>
      </c>
      <c r="Q277" s="29">
        <f>IF(P277=0,0,_xlfn.XLOOKUP(Table2[[#This Row],[Key]],Table1[Key],Table1[고용보험 여부],0,0))</f>
        <v>0</v>
      </c>
      <c r="R277" s="29" t="str">
        <f t="shared" si="57"/>
        <v>2506</v>
      </c>
      <c r="S277" s="30" t="str">
        <f>YEAR(Table2[[#This Row],[근무일자]])&amp;TEXT(WEEKNUM(Table2[[#This Row],[근무일자]]),"00")</f>
        <v>202526</v>
      </c>
      <c r="T277" s="31">
        <f>_xlfn.XLOOKUP(Table2[[#This Row],[Key]],Table1[Key],Table1[등록일],"",0)</f>
        <v>45751</v>
      </c>
      <c r="U277" s="32">
        <f t="shared" si="58"/>
        <v>0.20833333333333329</v>
      </c>
      <c r="V277" s="92">
        <f t="shared" si="59"/>
        <v>0</v>
      </c>
      <c r="W277" s="100" t="str">
        <f>_xlfn.XLOOKUP(Table2[[#This Row],[근무일자]],Table3[Date],Table3[Holiday],"",0)</f>
        <v/>
      </c>
      <c r="X277" s="93">
        <f>IF(D277&lt;&gt;"",1,0)+IF(COUNTIFS(Table2[주민등록번호],O277,Table2[월],TEXT(EOMONTH(D277,-1),"YYMM"))&gt;0,1+IF(COUNTIFS(Table2[주민등록번호],O277,Table2[월],TEXT(EOMONTH(D277,-2),"YYMM"))&gt;0,1+IF(COUNTIFS(Table2[주민등록번호],O277,Table2[월],TEXT(EOMONTH(D277,-3),"YYMM"))&gt;0,1,0),0),0)</f>
        <v>3</v>
      </c>
      <c r="Y277" s="29">
        <f>COUNTIFS(Table2[주민등록번호],O277,Table2[월],R277,Table2[근무일자],"&lt;="&amp;D277)</f>
        <v>17</v>
      </c>
      <c r="Z277" s="29">
        <f>COUNTIFS(Table2[주민등록번호],O277,Table2[주간],S277,Table2[근무일자],"&lt;="&amp;D277)</f>
        <v>1</v>
      </c>
      <c r="AA277" s="29">
        <f>SUMIFS(Table2[근로
시간],Table2[주민등록번호],O277,Table2[주간],S277,Table2[근무일자],"&lt;="&amp;D277)*24</f>
        <v>4.9999999999999991</v>
      </c>
      <c r="AB277" s="29" t="str">
        <f>IF(AND(Y277&gt;=8,COUNTIFS(Table2[주민등록번호],O277,Table2[근무일자],"&gt;="&amp;EOMONTH(D277,-2)+1,Table2[근무일자],"&lt;="&amp;EOMONTH(D277,-1)+1)&gt;0),"V","")</f>
        <v>V</v>
      </c>
      <c r="AC277" s="94" cm="1">
        <f t="array" ref="AC277">IF(AD277&lt;&gt;"",AD277,_xlfn.XLOOKUP(1,(D277&lt;=Table7[End])*(E277=Table7[근무처])*(F277=Table7[업무]),Table7[시급],0,0))</f>
        <v>10680</v>
      </c>
      <c r="AD277" s="95"/>
      <c r="AE277" s="94">
        <f t="shared" si="60"/>
        <v>53400</v>
      </c>
      <c r="AF277" s="96" cm="1">
        <f t="array" ref="AF277">IF(AND(AA277&gt;=15,(AA277-U277*24)&lt;=40),IF(Z277&gt;=_xlfn.XLOOKUP(1,(D277&lt;=Table7[End])*(E277=Table7[근무처])*(F277=Table7[업무]),Table7[주휴적용일],0,0),1,0)+_xlfn.XLOOKUP(1,(Table2[주간]=Table2[[#This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77" s="96" cm="1">
        <f t="array" ref="AG277">MAX((_xlfn.IFS(AF277=0,0,AF277=1,AA277,AF277&gt;1,U277*24)-IF(AA277&gt;40,AA277-40,0))/5,0)</f>
        <v>0</v>
      </c>
      <c r="AH277" s="94">
        <f t="shared" si="61"/>
        <v>0</v>
      </c>
      <c r="AI277" s="33" cm="1">
        <f t="array" ref="AI277">IF(W277="",0,ROUND(AC277*U277*24*_xlfn.XLOOKUP(1,(D277&lt;=Table7[End])*(E277=Table7[근무처])*(F277=Table7[업무]),Table7[휴일인센티브],0,0),0))</f>
        <v>0</v>
      </c>
      <c r="AJ277" s="94" cm="1">
        <f t="array" ref="AJ277">ROUND(AC277*IF(U277&gt;=8/24,U277-8/24,0)*24*_xlfn.XLOOKUP(1,(D277&lt;=Table7[End])*(E277=Table7[근무처])*(F277=Table7[업무]),Table7[야간인센티브],0,0),0)</f>
        <v>0</v>
      </c>
      <c r="AK277" s="94" cm="1">
        <f t="array" ref="AK277">IF(V277=0,0,ROUND(AC277*V277*24*_xlfn.XLOOKUP(1,(D277&lt;=Table7[End])*(E277=Table7[근무처])*(F277=Table7[업무]),Table7[야간인센티브],0,0),0))</f>
        <v>0</v>
      </c>
      <c r="AL277" s="95"/>
      <c r="AM277" s="94">
        <f t="shared" si="62"/>
        <v>53400</v>
      </c>
      <c r="AN277" s="94" cm="1">
        <f t="array" ref="AN277">IF(AM277&gt;=_xlfn.XLOOKUP(TRUE,D277&lt;=Table5[End],Table5[비과세소득기준],0,0),AM277-_xlfn.XLOOKUP(TRUE,D277&lt;=Table5[End],Table5[비과세소득기준],0,0),0)</f>
        <v>0</v>
      </c>
      <c r="AO277" s="94" cm="1">
        <f t="array" ref="AO277">ROUNDDOWN(_xlfn.LET(_xlpm.setvalue,_xlfn.XLOOKUP(TRUE,D277&lt;=Table5[End],Table5[[요율]:[근로소득세액공제]],0,0),_xlpm.tax,AN277*PRODUCT((_xlpm.setvalue-{0,1})*{1,-1}),_xlpm.threshold,_xlfn.XLOOKUP(TRUE,D277&lt;=Table5[End],Table5[소액부징수기준],0,0),IF(_xlpm.tax&gt;=_xlpm.threshold,_xlpm.tax,0)),-1)</f>
        <v>0</v>
      </c>
      <c r="AP277" s="94">
        <f>ROUNDDOWN(Table2[[#This Row],[소득세]]*10%,-1)</f>
        <v>0</v>
      </c>
      <c r="AQ277" s="94">
        <f>IF(AB277="v",AM277+IF(Y277=8,SUMIFS(Table2[지급총액],Table2[주민등록번호],O277,Table2[월],R277,Table2[월간
근무일],"&lt;="&amp;8)-AM277,0),0)+_xlfn.NUMBERVALUE(AR277)</f>
        <v>53400</v>
      </c>
      <c r="AR277" s="95"/>
      <c r="AS277" s="94" cm="1">
        <f t="array" ref="AS277">ROUNDDOWN($AQ277*_xlfn.XLOOKUP(1,(AS$5=Table8[Type])*($D277&lt;=Table8[End]),Table8[요율],0,0),0)</f>
        <v>1893</v>
      </c>
      <c r="AT277" s="94" cm="1">
        <f t="array" ref="AT277">ROUNDDOWN(AS277*_xlfn.XLOOKUP(1,(AT$5=Table8[Type])*($D277&lt;=Table8[End]),Table8[요율],0,0),-1)</f>
        <v>240</v>
      </c>
      <c r="AU277" s="94" cm="1">
        <f t="array" ref="AU277">ROUNDDOWN($AQ277*_xlfn.XLOOKUP(1,(AU$5=Table8[Type])*($D277&lt;=Table8[End]),Table8[요율],0,0),-1)</f>
        <v>2400</v>
      </c>
      <c r="AV277" s="94" cm="1">
        <f t="array" ref="AV277">ROUNDDOWN(AM277*_xlfn.XLOOKUP(1,(AV$5=Table8[Type])*($D277&lt;=Table8[End]),Table8[요율],0,0),-1)</f>
        <v>0</v>
      </c>
      <c r="AW277" s="94" cm="1">
        <f t="array" ref="AW277">_xlfn.XLOOKUP(1,(O277=Table2[주민등록번호])*(D277&gt;Table2[근무일자]),Table2[청구 Claim 
이월],0,0,-1)</f>
        <v>0</v>
      </c>
      <c r="AX277" s="95"/>
      <c r="AY277" s="94" cm="1">
        <f t="array" ref="AY277">MAX(SUM(AO277:AP277,AS277:AX277)-_xlfn.XLOOKUP(1,(D277&lt;=Table7[End])*(E277=Table7[근무처])*(F277=Table7[업무]),Table7[1일 공제 상한],0,0),0)</f>
        <v>0</v>
      </c>
      <c r="AZ277" s="94">
        <f t="shared" si="63"/>
        <v>4533</v>
      </c>
      <c r="BA277" s="94">
        <f t="shared" si="64"/>
        <v>48867</v>
      </c>
      <c r="BB277" s="97">
        <f t="shared" si="65"/>
        <v>0</v>
      </c>
      <c r="BC277" s="98"/>
      <c r="BD277" s="94">
        <f t="shared" si="66"/>
        <v>1893</v>
      </c>
      <c r="BE277" s="94">
        <f t="shared" si="67"/>
        <v>240</v>
      </c>
      <c r="BF277" s="94">
        <f t="shared" si="68"/>
        <v>2400</v>
      </c>
      <c r="BG277" s="94">
        <f t="shared" si="69"/>
        <v>0</v>
      </c>
      <c r="BH277" s="94" cm="1">
        <f t="array" ref="BH277">ROUNDDOWN(AM277*_xlfn.XLOOKUP(1,(BH$5=Table8[Type])*($D277&lt;=Table8[End]),Table8[요율],0,0),-1)</f>
        <v>420</v>
      </c>
      <c r="BI277" s="93" t="str" cm="1">
        <f t="array" ref="BI277">_xlfn.XLOOKUP(1,(D277&lt;=Table7[End])*(E277=Table7[근무처])*(F277=Table7[업무]),Table7[지급옵션],0,0)</f>
        <v>차주 화</v>
      </c>
      <c r="BJ277" s="83">
        <f>IF(BK277&lt;&gt;"",BK277,IFERROR(D277+_xlfn.NUMBERVALUE(RIGHT(BI277,1)),D277-WEEKDAY(D277)+CHOOSE(MATCH(RIGHT(BI277),{"일","월","화","수","목","금","토"},0),8,9,10,11,12,13,14)))</f>
        <v>45839</v>
      </c>
      <c r="BK277" s="99"/>
    </row>
    <row r="278" spans="2:63" x14ac:dyDescent="0.35">
      <c r="B278" s="20" t="str" cm="1">
        <f t="array" ref="B278">_xlfn.IFS(BB278&lt;&gt;BC278,"Claim확인",N278&lt;&gt;"OK","확인필요",TRUE,"")</f>
        <v/>
      </c>
      <c r="C278" s="21" t="str">
        <f t="shared" si="56"/>
        <v>010-3X6X-X4X7757X02XX284249</v>
      </c>
      <c r="D278" s="26">
        <v>45832</v>
      </c>
      <c r="E278" s="91" t="s">
        <v>255</v>
      </c>
      <c r="F278" s="25" t="s">
        <v>258</v>
      </c>
      <c r="G278" s="27" t="s">
        <v>283</v>
      </c>
      <c r="H278" s="25" t="s">
        <v>295</v>
      </c>
      <c r="I278" s="25"/>
      <c r="J278" s="25" t="s">
        <v>296</v>
      </c>
      <c r="K278" s="28">
        <v>0.52083333333333337</v>
      </c>
      <c r="L278" s="28">
        <v>0.75</v>
      </c>
      <c r="M278" s="28">
        <v>2.0833333333333332E-2</v>
      </c>
      <c r="N278" s="25" t="s">
        <v>281</v>
      </c>
      <c r="O278" s="29" t="str">
        <f>_xlfn.XLOOKUP(Table2[[#This Row],[Key]],Table1[Key],Table1[주민등록번호],"",0)</f>
        <v>940XX41XX7X32</v>
      </c>
      <c r="P278" s="29">
        <f>_xlfn.XLOOKUP(Table2[[#This Row],[Key]],Table1[Key],Table1[비자],"",0)</f>
        <v>0</v>
      </c>
      <c r="Q278" s="29">
        <f>IF(P278=0,0,_xlfn.XLOOKUP(Table2[[#This Row],[Key]],Table1[Key],Table1[고용보험 여부],0,0))</f>
        <v>0</v>
      </c>
      <c r="R278" s="29" t="str">
        <f t="shared" si="57"/>
        <v>2506</v>
      </c>
      <c r="S278" s="30" t="str">
        <f>YEAR(Table2[[#This Row],[근무일자]])&amp;TEXT(WEEKNUM(Table2[[#This Row],[근무일자]]),"00")</f>
        <v>202526</v>
      </c>
      <c r="T278" s="31">
        <f>_xlfn.XLOOKUP(Table2[[#This Row],[Key]],Table1[Key],Table1[등록일],"",0)</f>
        <v>45751</v>
      </c>
      <c r="U278" s="32">
        <f t="shared" si="58"/>
        <v>0.20833333333333329</v>
      </c>
      <c r="V278" s="92">
        <f t="shared" si="59"/>
        <v>0</v>
      </c>
      <c r="W278" s="100" t="str">
        <f>_xlfn.XLOOKUP(Table2[[#This Row],[근무일자]],Table3[Date],Table3[Holiday],"",0)</f>
        <v/>
      </c>
      <c r="X278" s="93">
        <f>IF(D278&lt;&gt;"",1,0)+IF(COUNTIFS(Table2[주민등록번호],O278,Table2[월],TEXT(EOMONTH(D278,-1),"YYMM"))&gt;0,1+IF(COUNTIFS(Table2[주민등록번호],O278,Table2[월],TEXT(EOMONTH(D278,-2),"YYMM"))&gt;0,1+IF(COUNTIFS(Table2[주민등록번호],O278,Table2[월],TEXT(EOMONTH(D278,-3),"YYMM"))&gt;0,1,0),0),0)</f>
        <v>3</v>
      </c>
      <c r="Y278" s="29">
        <f>COUNTIFS(Table2[주민등록번호],O278,Table2[월],R278,Table2[근무일자],"&lt;="&amp;D278)</f>
        <v>18</v>
      </c>
      <c r="Z278" s="29">
        <f>COUNTIFS(Table2[주민등록번호],O278,Table2[주간],S278,Table2[근무일자],"&lt;="&amp;D278)</f>
        <v>2</v>
      </c>
      <c r="AA278" s="29">
        <f>SUMIFS(Table2[근로
시간],Table2[주민등록번호],O278,Table2[주간],S278,Table2[근무일자],"&lt;="&amp;D278)*24</f>
        <v>9.9999999999999982</v>
      </c>
      <c r="AB278" s="29" t="str">
        <f>IF(AND(Y278&gt;=8,COUNTIFS(Table2[주민등록번호],O278,Table2[근무일자],"&gt;="&amp;EOMONTH(D278,-2)+1,Table2[근무일자],"&lt;="&amp;EOMONTH(D278,-1)+1)&gt;0),"V","")</f>
        <v>V</v>
      </c>
      <c r="AC278" s="94" cm="1">
        <f t="array" ref="AC278">IF(AD278&lt;&gt;"",AD278,_xlfn.XLOOKUP(1,(D278&lt;=Table7[End])*(E278=Table7[근무처])*(F278=Table7[업무]),Table7[시급],0,0))</f>
        <v>10680</v>
      </c>
      <c r="AD278" s="95"/>
      <c r="AE278" s="94">
        <f t="shared" si="60"/>
        <v>53400</v>
      </c>
      <c r="AF278" s="96" cm="1">
        <f t="array" ref="AF278">IF(AND(AA278&gt;=15,(AA278-U278*24)&lt;=40),IF(Z278&gt;=_xlfn.XLOOKUP(1,(D278&lt;=Table7[End])*(E278=Table7[근무처])*(F278=Table7[업무]),Table7[주휴적용일],0,0),1,0)+_xlfn.XLOOKUP(1,(Table2[주간]=Table2[[#This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78" s="96" cm="1">
        <f t="array" ref="AG278">MAX((_xlfn.IFS(AF278=0,0,AF278=1,AA278,AF278&gt;1,U278*24)-IF(AA278&gt;40,AA278-40,0))/5,0)</f>
        <v>0</v>
      </c>
      <c r="AH278" s="94">
        <f t="shared" si="61"/>
        <v>0</v>
      </c>
      <c r="AI278" s="33" cm="1">
        <f t="array" ref="AI278">IF(W278="",0,ROUND(AC278*U278*24*_xlfn.XLOOKUP(1,(D278&lt;=Table7[End])*(E278=Table7[근무처])*(F278=Table7[업무]),Table7[휴일인센티브],0,0),0))</f>
        <v>0</v>
      </c>
      <c r="AJ278" s="94" cm="1">
        <f t="array" ref="AJ278">ROUND(AC278*IF(U278&gt;=8/24,U278-8/24,0)*24*_xlfn.XLOOKUP(1,(D278&lt;=Table7[End])*(E278=Table7[근무처])*(F278=Table7[업무]),Table7[야간인센티브],0,0),0)</f>
        <v>0</v>
      </c>
      <c r="AK278" s="94" cm="1">
        <f t="array" ref="AK278">IF(V278=0,0,ROUND(AC278*V278*24*_xlfn.XLOOKUP(1,(D278&lt;=Table7[End])*(E278=Table7[근무처])*(F278=Table7[업무]),Table7[야간인센티브],0,0),0))</f>
        <v>0</v>
      </c>
      <c r="AL278" s="95"/>
      <c r="AM278" s="94">
        <f t="shared" si="62"/>
        <v>53400</v>
      </c>
      <c r="AN278" s="94" cm="1">
        <f t="array" ref="AN278">IF(AM278&gt;=_xlfn.XLOOKUP(TRUE,D278&lt;=Table5[End],Table5[비과세소득기준],0,0),AM278-_xlfn.XLOOKUP(TRUE,D278&lt;=Table5[End],Table5[비과세소득기준],0,0),0)</f>
        <v>0</v>
      </c>
      <c r="AO278" s="94" cm="1">
        <f t="array" ref="AO278">ROUNDDOWN(_xlfn.LET(_xlpm.setvalue,_xlfn.XLOOKUP(TRUE,D278&lt;=Table5[End],Table5[[요율]:[근로소득세액공제]],0,0),_xlpm.tax,AN278*PRODUCT((_xlpm.setvalue-{0,1})*{1,-1}),_xlpm.threshold,_xlfn.XLOOKUP(TRUE,D278&lt;=Table5[End],Table5[소액부징수기준],0,0),IF(_xlpm.tax&gt;=_xlpm.threshold,_xlpm.tax,0)),-1)</f>
        <v>0</v>
      </c>
      <c r="AP278" s="94">
        <f>ROUNDDOWN(Table2[[#This Row],[소득세]]*10%,-1)</f>
        <v>0</v>
      </c>
      <c r="AQ278" s="94">
        <f>IF(AB278="v",AM278+IF(Y278=8,SUMIFS(Table2[지급총액],Table2[주민등록번호],O278,Table2[월],R278,Table2[월간
근무일],"&lt;="&amp;8)-AM278,0),0)+_xlfn.NUMBERVALUE(AR278)</f>
        <v>53400</v>
      </c>
      <c r="AR278" s="95"/>
      <c r="AS278" s="94" cm="1">
        <f t="array" ref="AS278">ROUNDDOWN($AQ278*_xlfn.XLOOKUP(1,(AS$5=Table8[Type])*($D278&lt;=Table8[End]),Table8[요율],0,0),0)</f>
        <v>1893</v>
      </c>
      <c r="AT278" s="94" cm="1">
        <f t="array" ref="AT278">ROUNDDOWN(AS278*_xlfn.XLOOKUP(1,(AT$5=Table8[Type])*($D278&lt;=Table8[End]),Table8[요율],0,0),-1)</f>
        <v>240</v>
      </c>
      <c r="AU278" s="94" cm="1">
        <f t="array" ref="AU278">ROUNDDOWN($AQ278*_xlfn.XLOOKUP(1,(AU$5=Table8[Type])*($D278&lt;=Table8[End]),Table8[요율],0,0),-1)</f>
        <v>2400</v>
      </c>
      <c r="AV278" s="94" cm="1">
        <f t="array" ref="AV278">ROUNDDOWN(AM278*_xlfn.XLOOKUP(1,(AV$5=Table8[Type])*($D278&lt;=Table8[End]),Table8[요율],0,0),-1)</f>
        <v>0</v>
      </c>
      <c r="AW278" s="94" cm="1">
        <f t="array" ref="AW278">_xlfn.XLOOKUP(1,(O278=Table2[주민등록번호])*(D278&gt;Table2[근무일자]),Table2[청구 Claim 
이월],0,0,-1)</f>
        <v>0</v>
      </c>
      <c r="AX278" s="95"/>
      <c r="AY278" s="94" cm="1">
        <f t="array" ref="AY278">MAX(SUM(AO278:AP278,AS278:AX278)-_xlfn.XLOOKUP(1,(D278&lt;=Table7[End])*(E278=Table7[근무처])*(F278=Table7[업무]),Table7[1일 공제 상한],0,0),0)</f>
        <v>0</v>
      </c>
      <c r="AZ278" s="94">
        <f t="shared" si="63"/>
        <v>4533</v>
      </c>
      <c r="BA278" s="94">
        <f t="shared" si="64"/>
        <v>48867</v>
      </c>
      <c r="BB278" s="97">
        <f t="shared" si="65"/>
        <v>0</v>
      </c>
      <c r="BC278" s="98"/>
      <c r="BD278" s="94">
        <f t="shared" si="66"/>
        <v>1893</v>
      </c>
      <c r="BE278" s="94">
        <f t="shared" si="67"/>
        <v>240</v>
      </c>
      <c r="BF278" s="94">
        <f t="shared" si="68"/>
        <v>2400</v>
      </c>
      <c r="BG278" s="94">
        <f t="shared" si="69"/>
        <v>0</v>
      </c>
      <c r="BH278" s="94" cm="1">
        <f t="array" ref="BH278">ROUNDDOWN(AM278*_xlfn.XLOOKUP(1,(BH$5=Table8[Type])*($D278&lt;=Table8[End]),Table8[요율],0,0),-1)</f>
        <v>420</v>
      </c>
      <c r="BI278" s="93" t="str" cm="1">
        <f t="array" ref="BI278">_xlfn.XLOOKUP(1,(D278&lt;=Table7[End])*(E278=Table7[근무처])*(F278=Table7[업무]),Table7[지급옵션],0,0)</f>
        <v>차주 화</v>
      </c>
      <c r="BJ278" s="83">
        <f>IF(BK278&lt;&gt;"",BK278,IFERROR(D278+_xlfn.NUMBERVALUE(RIGHT(BI278,1)),D278-WEEKDAY(D278)+CHOOSE(MATCH(RIGHT(BI278),{"일","월","화","수","목","금","토"},0),8,9,10,11,12,13,14)))</f>
        <v>45839</v>
      </c>
      <c r="BK278" s="99"/>
    </row>
    <row r="279" spans="2:63" x14ac:dyDescent="0.35">
      <c r="B279" s="20" t="str" cm="1">
        <f t="array" ref="B279">_xlfn.IFS(BB279&lt;&gt;BC279,"Claim확인",N279&lt;&gt;"OK","확인필요",TRUE,"")</f>
        <v/>
      </c>
      <c r="C279" s="21" t="str">
        <f t="shared" si="56"/>
        <v>010-3X6X-X4X7757X02XX284249</v>
      </c>
      <c r="D279" s="26">
        <v>45833</v>
      </c>
      <c r="E279" s="91" t="s">
        <v>255</v>
      </c>
      <c r="F279" s="25" t="s">
        <v>258</v>
      </c>
      <c r="G279" s="27" t="s">
        <v>283</v>
      </c>
      <c r="H279" s="25" t="s">
        <v>295</v>
      </c>
      <c r="I279" s="25"/>
      <c r="J279" s="25" t="s">
        <v>296</v>
      </c>
      <c r="K279" s="28">
        <v>0.52083333333333337</v>
      </c>
      <c r="L279" s="28">
        <v>0.75</v>
      </c>
      <c r="M279" s="28">
        <v>2.0833333333333332E-2</v>
      </c>
      <c r="N279" s="25" t="s">
        <v>281</v>
      </c>
      <c r="O279" s="29" t="str">
        <f>_xlfn.XLOOKUP(Table2[[#This Row],[Key]],Table1[Key],Table1[주민등록번호],"",0)</f>
        <v>940XX41XX7X32</v>
      </c>
      <c r="P279" s="29">
        <f>_xlfn.XLOOKUP(Table2[[#This Row],[Key]],Table1[Key],Table1[비자],"",0)</f>
        <v>0</v>
      </c>
      <c r="Q279" s="29">
        <f>IF(P279=0,0,_xlfn.XLOOKUP(Table2[[#This Row],[Key]],Table1[Key],Table1[고용보험 여부],0,0))</f>
        <v>0</v>
      </c>
      <c r="R279" s="29" t="str">
        <f t="shared" si="57"/>
        <v>2506</v>
      </c>
      <c r="S279" s="30" t="str">
        <f>YEAR(Table2[[#This Row],[근무일자]])&amp;TEXT(WEEKNUM(Table2[[#This Row],[근무일자]]),"00")</f>
        <v>202526</v>
      </c>
      <c r="T279" s="31">
        <f>_xlfn.XLOOKUP(Table2[[#This Row],[Key]],Table1[Key],Table1[등록일],"",0)</f>
        <v>45751</v>
      </c>
      <c r="U279" s="32">
        <f t="shared" si="58"/>
        <v>0.20833333333333329</v>
      </c>
      <c r="V279" s="92">
        <f t="shared" si="59"/>
        <v>0</v>
      </c>
      <c r="W279" s="100" t="str">
        <f>_xlfn.XLOOKUP(Table2[[#This Row],[근무일자]],Table3[Date],Table3[Holiday],"",0)</f>
        <v/>
      </c>
      <c r="X279" s="93">
        <f>IF(D279&lt;&gt;"",1,0)+IF(COUNTIFS(Table2[주민등록번호],O279,Table2[월],TEXT(EOMONTH(D279,-1),"YYMM"))&gt;0,1+IF(COUNTIFS(Table2[주민등록번호],O279,Table2[월],TEXT(EOMONTH(D279,-2),"YYMM"))&gt;0,1+IF(COUNTIFS(Table2[주민등록번호],O279,Table2[월],TEXT(EOMONTH(D279,-3),"YYMM"))&gt;0,1,0),0),0)</f>
        <v>3</v>
      </c>
      <c r="Y279" s="29">
        <f>COUNTIFS(Table2[주민등록번호],O279,Table2[월],R279,Table2[근무일자],"&lt;="&amp;D279)</f>
        <v>19</v>
      </c>
      <c r="Z279" s="29">
        <f>COUNTIFS(Table2[주민등록번호],O279,Table2[주간],S279,Table2[근무일자],"&lt;="&amp;D279)</f>
        <v>3</v>
      </c>
      <c r="AA279" s="29">
        <f>SUMIFS(Table2[근로
시간],Table2[주민등록번호],O279,Table2[주간],S279,Table2[근무일자],"&lt;="&amp;D279)*24</f>
        <v>14.999999999999996</v>
      </c>
      <c r="AB279" s="29" t="str">
        <f>IF(AND(Y279&gt;=8,COUNTIFS(Table2[주민등록번호],O279,Table2[근무일자],"&gt;="&amp;EOMONTH(D279,-2)+1,Table2[근무일자],"&lt;="&amp;EOMONTH(D279,-1)+1)&gt;0),"V","")</f>
        <v>V</v>
      </c>
      <c r="AC279" s="94" cm="1">
        <f t="array" ref="AC279">IF(AD279&lt;&gt;"",AD279,_xlfn.XLOOKUP(1,(D279&lt;=Table7[End])*(E279=Table7[근무처])*(F279=Table7[업무]),Table7[시급],0,0))</f>
        <v>10680</v>
      </c>
      <c r="AD279" s="95"/>
      <c r="AE279" s="94">
        <f t="shared" si="60"/>
        <v>53400</v>
      </c>
      <c r="AF279" s="96" cm="1">
        <f t="array" ref="AF279">IF(AND(AA279&gt;=15,(AA279-U279*24)&lt;=40),IF(Z279&gt;=_xlfn.XLOOKUP(1,(D279&lt;=Table7[End])*(E279=Table7[근무처])*(F279=Table7[업무]),Table7[주휴적용일],0,0),1,0)+_xlfn.XLOOKUP(1,(Table2[주간]=Table2[[#This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79" s="96" cm="1">
        <f t="array" ref="AG279">MAX((_xlfn.IFS(AF279=0,0,AF279=1,AA279,AF279&gt;1,U279*24)-IF(AA279&gt;40,AA279-40,0))/5,0)</f>
        <v>2.9999999999999991</v>
      </c>
      <c r="AH279" s="94">
        <f t="shared" si="61"/>
        <v>32040</v>
      </c>
      <c r="AI279" s="33" cm="1">
        <f t="array" ref="AI279">IF(W279="",0,ROUND(AC279*U279*24*_xlfn.XLOOKUP(1,(D279&lt;=Table7[End])*(E279=Table7[근무처])*(F279=Table7[업무]),Table7[휴일인센티브],0,0),0))</f>
        <v>0</v>
      </c>
      <c r="AJ279" s="94" cm="1">
        <f t="array" ref="AJ279">ROUND(AC279*IF(U279&gt;=8/24,U279-8/24,0)*24*_xlfn.XLOOKUP(1,(D279&lt;=Table7[End])*(E279=Table7[근무처])*(F279=Table7[업무]),Table7[야간인센티브],0,0),0)</f>
        <v>0</v>
      </c>
      <c r="AK279" s="94" cm="1">
        <f t="array" ref="AK279">IF(V279=0,0,ROUND(AC279*V279*24*_xlfn.XLOOKUP(1,(D279&lt;=Table7[End])*(E279=Table7[근무처])*(F279=Table7[업무]),Table7[야간인센티브],0,0),0))</f>
        <v>0</v>
      </c>
      <c r="AL279" s="95"/>
      <c r="AM279" s="94">
        <f t="shared" si="62"/>
        <v>85440</v>
      </c>
      <c r="AN279" s="94" cm="1">
        <f t="array" ref="AN279">IF(AM279&gt;=_xlfn.XLOOKUP(TRUE,D279&lt;=Table5[End],Table5[비과세소득기준],0,0),AM279-_xlfn.XLOOKUP(TRUE,D279&lt;=Table5[End],Table5[비과세소득기준],0,0),0)</f>
        <v>0</v>
      </c>
      <c r="AO279" s="94" cm="1">
        <f t="array" ref="AO279">ROUNDDOWN(_xlfn.LET(_xlpm.setvalue,_xlfn.XLOOKUP(TRUE,D279&lt;=Table5[End],Table5[[요율]:[근로소득세액공제]],0,0),_xlpm.tax,AN279*PRODUCT((_xlpm.setvalue-{0,1})*{1,-1}),_xlpm.threshold,_xlfn.XLOOKUP(TRUE,D279&lt;=Table5[End],Table5[소액부징수기준],0,0),IF(_xlpm.tax&gt;=_xlpm.threshold,_xlpm.tax,0)),-1)</f>
        <v>0</v>
      </c>
      <c r="AP279" s="94">
        <f>ROUNDDOWN(Table2[[#This Row],[소득세]]*10%,-1)</f>
        <v>0</v>
      </c>
      <c r="AQ279" s="94">
        <f>IF(AB279="v",AM279+IF(Y279=8,SUMIFS(Table2[지급총액],Table2[주민등록번호],O279,Table2[월],R279,Table2[월간
근무일],"&lt;="&amp;8)-AM279,0),0)+_xlfn.NUMBERVALUE(AR279)</f>
        <v>85440</v>
      </c>
      <c r="AR279" s="95"/>
      <c r="AS279" s="94" cm="1">
        <f t="array" ref="AS279">ROUNDDOWN($AQ279*_xlfn.XLOOKUP(1,(AS$5=Table8[Type])*($D279&lt;=Table8[End]),Table8[요율],0,0),0)</f>
        <v>3028</v>
      </c>
      <c r="AT279" s="94" cm="1">
        <f t="array" ref="AT279">ROUNDDOWN(AS279*_xlfn.XLOOKUP(1,(AT$5=Table8[Type])*($D279&lt;=Table8[End]),Table8[요율],0,0),-1)</f>
        <v>390</v>
      </c>
      <c r="AU279" s="94" cm="1">
        <f t="array" ref="AU279">ROUNDDOWN($AQ279*_xlfn.XLOOKUP(1,(AU$5=Table8[Type])*($D279&lt;=Table8[End]),Table8[요율],0,0),-1)</f>
        <v>3840</v>
      </c>
      <c r="AV279" s="94" cm="1">
        <f t="array" ref="AV279">ROUNDDOWN(AM279*_xlfn.XLOOKUP(1,(AV$5=Table8[Type])*($D279&lt;=Table8[End]),Table8[요율],0,0),-1)</f>
        <v>0</v>
      </c>
      <c r="AW279" s="94" cm="1">
        <f t="array" ref="AW279">_xlfn.XLOOKUP(1,(O279=Table2[주민등록번호])*(D279&gt;Table2[근무일자]),Table2[청구 Claim 
이월],0,0,-1)</f>
        <v>0</v>
      </c>
      <c r="AX279" s="95"/>
      <c r="AY279" s="94" cm="1">
        <f t="array" ref="AY279">MAX(SUM(AO279:AP279,AS279:AX279)-_xlfn.XLOOKUP(1,(D279&lt;=Table7[End])*(E279=Table7[근무처])*(F279=Table7[업무]),Table7[1일 공제 상한],0,0),0)</f>
        <v>0</v>
      </c>
      <c r="AZ279" s="94">
        <f t="shared" si="63"/>
        <v>7258</v>
      </c>
      <c r="BA279" s="94">
        <f t="shared" si="64"/>
        <v>78182</v>
      </c>
      <c r="BB279" s="97">
        <f t="shared" si="65"/>
        <v>0</v>
      </c>
      <c r="BC279" s="98"/>
      <c r="BD279" s="94">
        <f t="shared" si="66"/>
        <v>3028</v>
      </c>
      <c r="BE279" s="94">
        <f t="shared" si="67"/>
        <v>390</v>
      </c>
      <c r="BF279" s="94">
        <f t="shared" si="68"/>
        <v>3840</v>
      </c>
      <c r="BG279" s="94">
        <f t="shared" si="69"/>
        <v>0</v>
      </c>
      <c r="BH279" s="94" cm="1">
        <f t="array" ref="BH279">ROUNDDOWN(AM279*_xlfn.XLOOKUP(1,(BH$5=Table8[Type])*($D279&lt;=Table8[End]),Table8[요율],0,0),-1)</f>
        <v>680</v>
      </c>
      <c r="BI279" s="93" t="str" cm="1">
        <f t="array" ref="BI279">_xlfn.XLOOKUP(1,(D279&lt;=Table7[End])*(E279=Table7[근무처])*(F279=Table7[업무]),Table7[지급옵션],0,0)</f>
        <v>차주 화</v>
      </c>
      <c r="BJ279" s="83">
        <f>IF(BK279&lt;&gt;"",BK279,IFERROR(D279+_xlfn.NUMBERVALUE(RIGHT(BI279,1)),D279-WEEKDAY(D279)+CHOOSE(MATCH(RIGHT(BI279),{"일","월","화","수","목","금","토"},0),8,9,10,11,12,13,14)))</f>
        <v>45839</v>
      </c>
      <c r="BK279" s="99"/>
    </row>
    <row r="280" spans="2:63" x14ac:dyDescent="0.35">
      <c r="B280" s="20" t="str" cm="1">
        <f t="array" ref="B280">_xlfn.IFS(BB280&lt;&gt;BC280,"Claim확인",N280&lt;&gt;"OK","확인필요",TRUE,"")</f>
        <v/>
      </c>
      <c r="C280" s="21" t="str">
        <f t="shared" si="56"/>
        <v>010-3X4X-X9X7219X02XX284640</v>
      </c>
      <c r="D280" s="26">
        <v>45833</v>
      </c>
      <c r="E280" s="91" t="s">
        <v>253</v>
      </c>
      <c r="F280" s="25" t="s">
        <v>257</v>
      </c>
      <c r="G280" s="27" t="s">
        <v>286</v>
      </c>
      <c r="H280" s="25" t="s">
        <v>299</v>
      </c>
      <c r="I280" s="25"/>
      <c r="J280" s="25" t="s">
        <v>300</v>
      </c>
      <c r="K280" s="28">
        <v>0.45833333333333331</v>
      </c>
      <c r="L280" s="28">
        <v>0.83333333333333337</v>
      </c>
      <c r="M280" s="28">
        <v>4.1666666666666664E-2</v>
      </c>
      <c r="N280" s="25" t="s">
        <v>281</v>
      </c>
      <c r="O280" s="29" t="str">
        <f>_xlfn.XLOOKUP(Table2[[#This Row],[Key]],Table1[Key],Table1[주민등록번호],"",0)</f>
        <v>931XX31XX3X14</v>
      </c>
      <c r="P280" s="29">
        <f>_xlfn.XLOOKUP(Table2[[#This Row],[Key]],Table1[Key],Table1[비자],"",0)</f>
        <v>0</v>
      </c>
      <c r="Q280" s="29">
        <f>IF(P280=0,0,_xlfn.XLOOKUP(Table2[[#This Row],[Key]],Table1[Key],Table1[고용보험 여부],0,0))</f>
        <v>0</v>
      </c>
      <c r="R280" s="29" t="str">
        <f t="shared" si="57"/>
        <v>2506</v>
      </c>
      <c r="S280" s="30" t="str">
        <f>YEAR(Table2[[#This Row],[근무일자]])&amp;TEXT(WEEKNUM(Table2[[#This Row],[근무일자]]),"00")</f>
        <v>202526</v>
      </c>
      <c r="T280" s="31">
        <f>_xlfn.XLOOKUP(Table2[[#This Row],[Key]],Table1[Key],Table1[등록일],"",0)</f>
        <v>45773</v>
      </c>
      <c r="U280" s="32">
        <f t="shared" si="58"/>
        <v>0.33333333333333337</v>
      </c>
      <c r="V280" s="92">
        <f t="shared" si="59"/>
        <v>0</v>
      </c>
      <c r="W280" s="100" t="str">
        <f>_xlfn.XLOOKUP(Table2[[#This Row],[근무일자]],Table3[Date],Table3[Holiday],"",0)</f>
        <v/>
      </c>
      <c r="X280" s="93">
        <f>IF(D280&lt;&gt;"",1,0)+IF(COUNTIFS(Table2[주민등록번호],O280,Table2[월],TEXT(EOMONTH(D280,-1),"YYMM"))&gt;0,1+IF(COUNTIFS(Table2[주민등록번호],O280,Table2[월],TEXT(EOMONTH(D280,-2),"YYMM"))&gt;0,1+IF(COUNTIFS(Table2[주민등록번호],O280,Table2[월],TEXT(EOMONTH(D280,-3),"YYMM"))&gt;0,1,0),0),0)</f>
        <v>4</v>
      </c>
      <c r="Y280" s="29">
        <f>COUNTIFS(Table2[주민등록번호],O280,Table2[월],R280,Table2[근무일자],"&lt;="&amp;D280)</f>
        <v>9</v>
      </c>
      <c r="Z280" s="29">
        <f>COUNTIFS(Table2[주민등록번호],O280,Table2[주간],S280,Table2[근무일자],"&lt;="&amp;D280)</f>
        <v>2</v>
      </c>
      <c r="AA280" s="29">
        <f>SUMIFS(Table2[근로
시간],Table2[주민등록번호],O280,Table2[주간],S280,Table2[근무일자],"&lt;="&amp;D280)*24</f>
        <v>16</v>
      </c>
      <c r="AB280" s="29" t="str">
        <f>IF(AND(Y280&gt;=8,COUNTIFS(Table2[주민등록번호],O280,Table2[근무일자],"&gt;="&amp;EOMONTH(D280,-2)+1,Table2[근무일자],"&lt;="&amp;EOMONTH(D280,-1)+1)&gt;0),"V","")</f>
        <v>V</v>
      </c>
      <c r="AC280" s="94" cm="1">
        <f t="array" ref="AC280">IF(AD280&lt;&gt;"",AD280,_xlfn.XLOOKUP(1,(D280&lt;=Table7[End])*(E280=Table7[근무처])*(F280=Table7[업무]),Table7[시급],0,0))</f>
        <v>10030</v>
      </c>
      <c r="AD280" s="95"/>
      <c r="AE280" s="94">
        <f t="shared" si="60"/>
        <v>80240</v>
      </c>
      <c r="AF280" s="96" cm="1">
        <f t="array" ref="AF280">IF(AND(AA280&gt;=15,(AA280-U280*24)&lt;=40),IF(Z280&gt;=_xlfn.XLOOKUP(1,(D280&lt;=Table7[End])*(E280=Table7[근무처])*(F280=Table7[업무]),Table7[주휴적용일],0,0),1,0)+_xlfn.XLOOKUP(1,(Table2[주간]=Table2[[#This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80" s="96" cm="1">
        <f t="array" ref="AG280">MAX((_xlfn.IFS(AF280=0,0,AF280=1,AA280,AF280&gt;1,U280*24)-IF(AA280&gt;40,AA280-40,0))/5,0)</f>
        <v>0</v>
      </c>
      <c r="AH280" s="94">
        <f t="shared" si="61"/>
        <v>0</v>
      </c>
      <c r="AI280" s="33" cm="1">
        <f t="array" ref="AI280">IF(W280="",0,ROUND(AC280*U280*24*_xlfn.XLOOKUP(1,(D280&lt;=Table7[End])*(E280=Table7[근무처])*(F280=Table7[업무]),Table7[휴일인센티브],0,0),0))</f>
        <v>0</v>
      </c>
      <c r="AJ280" s="94" cm="1">
        <f t="array" ref="AJ280">ROUND(AC280*IF(U280&gt;=8/24,U280-8/24,0)*24*_xlfn.XLOOKUP(1,(D280&lt;=Table7[End])*(E280=Table7[근무처])*(F280=Table7[업무]),Table7[야간인센티브],0,0),0)</f>
        <v>0</v>
      </c>
      <c r="AK280" s="94" cm="1">
        <f t="array" ref="AK280">IF(V280=0,0,ROUND(AC280*V280*24*_xlfn.XLOOKUP(1,(D280&lt;=Table7[End])*(E280=Table7[근무처])*(F280=Table7[업무]),Table7[야간인센티브],0,0),0))</f>
        <v>0</v>
      </c>
      <c r="AL280" s="95"/>
      <c r="AM280" s="94">
        <f t="shared" si="62"/>
        <v>80240</v>
      </c>
      <c r="AN280" s="94" cm="1">
        <f t="array" ref="AN280">IF(AM280&gt;=_xlfn.XLOOKUP(TRUE,D280&lt;=Table5[End],Table5[비과세소득기준],0,0),AM280-_xlfn.XLOOKUP(TRUE,D280&lt;=Table5[End],Table5[비과세소득기준],0,0),0)</f>
        <v>0</v>
      </c>
      <c r="AO280" s="94" cm="1">
        <f t="array" ref="AO280">ROUNDDOWN(_xlfn.LET(_xlpm.setvalue,_xlfn.XLOOKUP(TRUE,D280&lt;=Table5[End],Table5[[요율]:[근로소득세액공제]],0,0),_xlpm.tax,AN280*PRODUCT((_xlpm.setvalue-{0,1})*{1,-1}),_xlpm.threshold,_xlfn.XLOOKUP(TRUE,D280&lt;=Table5[End],Table5[소액부징수기준],0,0),IF(_xlpm.tax&gt;=_xlpm.threshold,_xlpm.tax,0)),-1)</f>
        <v>0</v>
      </c>
      <c r="AP280" s="94">
        <f>ROUNDDOWN(Table2[[#This Row],[소득세]]*10%,-1)</f>
        <v>0</v>
      </c>
      <c r="AQ280" s="94">
        <f>IF(AB280="v",AM280+IF(Y280=8,SUMIFS(Table2[지급총액],Table2[주민등록번호],O280,Table2[월],R280,Table2[월간
근무일],"&lt;="&amp;8)-AM280,0),0)+_xlfn.NUMBERVALUE(AR280)</f>
        <v>80240</v>
      </c>
      <c r="AR280" s="95"/>
      <c r="AS280" s="94" cm="1">
        <f t="array" ref="AS280">ROUNDDOWN($AQ280*_xlfn.XLOOKUP(1,(AS$5=Table8[Type])*($D280&lt;=Table8[End]),Table8[요율],0,0),0)</f>
        <v>2844</v>
      </c>
      <c r="AT280" s="94" cm="1">
        <f t="array" ref="AT280">ROUNDDOWN(AS280*_xlfn.XLOOKUP(1,(AT$5=Table8[Type])*($D280&lt;=Table8[End]),Table8[요율],0,0),-1)</f>
        <v>360</v>
      </c>
      <c r="AU280" s="94" cm="1">
        <f t="array" ref="AU280">ROUNDDOWN($AQ280*_xlfn.XLOOKUP(1,(AU$5=Table8[Type])*($D280&lt;=Table8[End]),Table8[요율],0,0),-1)</f>
        <v>3610</v>
      </c>
      <c r="AV280" s="94" cm="1">
        <f t="array" ref="AV280">ROUNDDOWN(AM280*_xlfn.XLOOKUP(1,(AV$5=Table8[Type])*($D280&lt;=Table8[End]),Table8[요율],0,0),-1)</f>
        <v>0</v>
      </c>
      <c r="AW280" s="94" cm="1">
        <f t="array" ref="AW280">_xlfn.XLOOKUP(1,(O280=Table2[주민등록번호])*(D280&gt;Table2[근무일자]),Table2[청구 Claim 
이월],0,0,-1)</f>
        <v>0</v>
      </c>
      <c r="AX280" s="95"/>
      <c r="AY280" s="94" cm="1">
        <f t="array" ref="AY280">MAX(SUM(AO280:AP280,AS280:AX280)-_xlfn.XLOOKUP(1,(D280&lt;=Table7[End])*(E280=Table7[근무처])*(F280=Table7[업무]),Table7[1일 공제 상한],0,0),0)</f>
        <v>0</v>
      </c>
      <c r="AZ280" s="94">
        <f t="shared" si="63"/>
        <v>6814</v>
      </c>
      <c r="BA280" s="94">
        <f t="shared" si="64"/>
        <v>73426</v>
      </c>
      <c r="BB280" s="97">
        <f t="shared" si="65"/>
        <v>0</v>
      </c>
      <c r="BC280" s="98"/>
      <c r="BD280" s="94">
        <f t="shared" si="66"/>
        <v>2844</v>
      </c>
      <c r="BE280" s="94">
        <f t="shared" si="67"/>
        <v>360</v>
      </c>
      <c r="BF280" s="94">
        <f t="shared" si="68"/>
        <v>3610</v>
      </c>
      <c r="BG280" s="94">
        <f t="shared" si="69"/>
        <v>0</v>
      </c>
      <c r="BH280" s="94" cm="1">
        <f t="array" ref="BH280">ROUNDDOWN(AM280*_xlfn.XLOOKUP(1,(BH$5=Table8[Type])*($D280&lt;=Table8[End]),Table8[요율],0,0),-1)</f>
        <v>640</v>
      </c>
      <c r="BI280" s="93" t="str" cm="1">
        <f t="array" ref="BI280">_xlfn.XLOOKUP(1,(D280&lt;=Table7[End])*(E280=Table7[근무처])*(F280=Table7[업무]),Table7[지급옵션],0,0)</f>
        <v>D+2</v>
      </c>
      <c r="BJ280" s="83">
        <f>IF(BK280&lt;&gt;"",BK280,IFERROR(D280+_xlfn.NUMBERVALUE(RIGHT(BI280,1)),D280-WEEKDAY(D280)+CHOOSE(MATCH(RIGHT(BI280),{"일","월","화","수","목","금","토"},0),8,9,10,11,12,13,14)))</f>
        <v>45835</v>
      </c>
      <c r="BK280" s="99"/>
    </row>
    <row r="281" spans="2:63" x14ac:dyDescent="0.35">
      <c r="B281" s="20" t="str" cm="1">
        <f t="array" ref="B281">_xlfn.IFS(BB281&lt;&gt;BC281,"Claim확인",N281&lt;&gt;"OK","확인필요",TRUE,"")</f>
        <v/>
      </c>
      <c r="C281" s="21" t="str">
        <f t="shared" si="56"/>
        <v>010-3X6X-X4X7757X02XX284249</v>
      </c>
      <c r="D281" s="26">
        <v>45834</v>
      </c>
      <c r="E281" s="91" t="s">
        <v>255</v>
      </c>
      <c r="F281" s="25" t="s">
        <v>258</v>
      </c>
      <c r="G281" s="27" t="s">
        <v>283</v>
      </c>
      <c r="H281" s="25" t="s">
        <v>295</v>
      </c>
      <c r="I281" s="25"/>
      <c r="J281" s="25" t="s">
        <v>296</v>
      </c>
      <c r="K281" s="28">
        <v>0.52083333333333337</v>
      </c>
      <c r="L281" s="28">
        <v>0.75</v>
      </c>
      <c r="M281" s="28">
        <v>2.0833333333333332E-2</v>
      </c>
      <c r="N281" s="25" t="s">
        <v>281</v>
      </c>
      <c r="O281" s="29" t="str">
        <f>_xlfn.XLOOKUP(Table2[[#This Row],[Key]],Table1[Key],Table1[주민등록번호],"",0)</f>
        <v>940XX41XX7X32</v>
      </c>
      <c r="P281" s="29">
        <f>_xlfn.XLOOKUP(Table2[[#This Row],[Key]],Table1[Key],Table1[비자],"",0)</f>
        <v>0</v>
      </c>
      <c r="Q281" s="29">
        <f>IF(P281=0,0,_xlfn.XLOOKUP(Table2[[#This Row],[Key]],Table1[Key],Table1[고용보험 여부],0,0))</f>
        <v>0</v>
      </c>
      <c r="R281" s="29" t="str">
        <f t="shared" si="57"/>
        <v>2506</v>
      </c>
      <c r="S281" s="30" t="str">
        <f>YEAR(Table2[[#This Row],[근무일자]])&amp;TEXT(WEEKNUM(Table2[[#This Row],[근무일자]]),"00")</f>
        <v>202526</v>
      </c>
      <c r="T281" s="31">
        <f>_xlfn.XLOOKUP(Table2[[#This Row],[Key]],Table1[Key],Table1[등록일],"",0)</f>
        <v>45751</v>
      </c>
      <c r="U281" s="32">
        <f t="shared" si="58"/>
        <v>0.20833333333333329</v>
      </c>
      <c r="V281" s="92">
        <f t="shared" si="59"/>
        <v>0</v>
      </c>
      <c r="W281" s="100" t="str">
        <f>_xlfn.XLOOKUP(Table2[[#This Row],[근무일자]],Table3[Date],Table3[Holiday],"",0)</f>
        <v/>
      </c>
      <c r="X281" s="93">
        <f>IF(D281&lt;&gt;"",1,0)+IF(COUNTIFS(Table2[주민등록번호],O281,Table2[월],TEXT(EOMONTH(D281,-1),"YYMM"))&gt;0,1+IF(COUNTIFS(Table2[주민등록번호],O281,Table2[월],TEXT(EOMONTH(D281,-2),"YYMM"))&gt;0,1+IF(COUNTIFS(Table2[주민등록번호],O281,Table2[월],TEXT(EOMONTH(D281,-3),"YYMM"))&gt;0,1,0),0),0)</f>
        <v>3</v>
      </c>
      <c r="Y281" s="29">
        <f>COUNTIFS(Table2[주민등록번호],O281,Table2[월],R281,Table2[근무일자],"&lt;="&amp;D281)</f>
        <v>20</v>
      </c>
      <c r="Z281" s="29">
        <f>COUNTIFS(Table2[주민등록번호],O281,Table2[주간],S281,Table2[근무일자],"&lt;="&amp;D281)</f>
        <v>4</v>
      </c>
      <c r="AA281" s="29">
        <f>SUMIFS(Table2[근로
시간],Table2[주민등록번호],O281,Table2[주간],S281,Table2[근무일자],"&lt;="&amp;D281)*24</f>
        <v>19.999999999999996</v>
      </c>
      <c r="AB281" s="29" t="str">
        <f>IF(AND(Y281&gt;=8,COUNTIFS(Table2[주민등록번호],O281,Table2[근무일자],"&gt;="&amp;EOMONTH(D281,-2)+1,Table2[근무일자],"&lt;="&amp;EOMONTH(D281,-1)+1)&gt;0),"V","")</f>
        <v>V</v>
      </c>
      <c r="AC281" s="94" cm="1">
        <f t="array" ref="AC281">IF(AD281&lt;&gt;"",AD281,_xlfn.XLOOKUP(1,(D281&lt;=Table7[End])*(E281=Table7[근무처])*(F281=Table7[업무]),Table7[시급],0,0))</f>
        <v>10680</v>
      </c>
      <c r="AD281" s="95"/>
      <c r="AE281" s="94">
        <f t="shared" si="60"/>
        <v>53400</v>
      </c>
      <c r="AF281" s="96" cm="1">
        <f t="array" ref="AF281">IF(AND(AA281&gt;=15,(AA281-U281*24)&lt;=40),IF(Z281&gt;=_xlfn.XLOOKUP(1,(D281&lt;=Table7[End])*(E281=Table7[근무처])*(F281=Table7[업무]),Table7[주휴적용일],0,0),1,0)+_xlfn.XLOOKUP(1,(Table2[주간]=Table2[[#This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81" s="96" cm="1">
        <f t="array" ref="AG281">MAX((_xlfn.IFS(AF281=0,0,AF281=1,AA281,AF281&gt;1,U281*24)-IF(AA281&gt;40,AA281-40,0))/5,0)</f>
        <v>0.99999999999999978</v>
      </c>
      <c r="AH281" s="94">
        <f t="shared" si="61"/>
        <v>10680</v>
      </c>
      <c r="AI281" s="33" cm="1">
        <f t="array" ref="AI281">IF(W281="",0,ROUND(AC281*U281*24*_xlfn.XLOOKUP(1,(D281&lt;=Table7[End])*(E281=Table7[근무처])*(F281=Table7[업무]),Table7[휴일인센티브],0,0),0))</f>
        <v>0</v>
      </c>
      <c r="AJ281" s="94" cm="1">
        <f t="array" ref="AJ281">ROUND(AC281*IF(U281&gt;=8/24,U281-8/24,0)*24*_xlfn.XLOOKUP(1,(D281&lt;=Table7[End])*(E281=Table7[근무처])*(F281=Table7[업무]),Table7[야간인센티브],0,0),0)</f>
        <v>0</v>
      </c>
      <c r="AK281" s="94" cm="1">
        <f t="array" ref="AK281">IF(V281=0,0,ROUND(AC281*V281*24*_xlfn.XLOOKUP(1,(D281&lt;=Table7[End])*(E281=Table7[근무처])*(F281=Table7[업무]),Table7[야간인센티브],0,0),0))</f>
        <v>0</v>
      </c>
      <c r="AL281" s="95"/>
      <c r="AM281" s="94">
        <f t="shared" si="62"/>
        <v>64080</v>
      </c>
      <c r="AN281" s="94" cm="1">
        <f t="array" ref="AN281">IF(AM281&gt;=_xlfn.XLOOKUP(TRUE,D281&lt;=Table5[End],Table5[비과세소득기준],0,0),AM281-_xlfn.XLOOKUP(TRUE,D281&lt;=Table5[End],Table5[비과세소득기준],0,0),0)</f>
        <v>0</v>
      </c>
      <c r="AO281" s="94" cm="1">
        <f t="array" ref="AO281">ROUNDDOWN(_xlfn.LET(_xlpm.setvalue,_xlfn.XLOOKUP(TRUE,D281&lt;=Table5[End],Table5[[요율]:[근로소득세액공제]],0,0),_xlpm.tax,AN281*PRODUCT((_xlpm.setvalue-{0,1})*{1,-1}),_xlpm.threshold,_xlfn.XLOOKUP(TRUE,D281&lt;=Table5[End],Table5[소액부징수기준],0,0),IF(_xlpm.tax&gt;=_xlpm.threshold,_xlpm.tax,0)),-1)</f>
        <v>0</v>
      </c>
      <c r="AP281" s="94">
        <f>ROUNDDOWN(Table2[[#This Row],[소득세]]*10%,-1)</f>
        <v>0</v>
      </c>
      <c r="AQ281" s="94">
        <f>IF(AB281="v",AM281+IF(Y281=8,SUMIFS(Table2[지급총액],Table2[주민등록번호],O281,Table2[월],R281,Table2[월간
근무일],"&lt;="&amp;8)-AM281,0),0)+_xlfn.NUMBERVALUE(AR281)</f>
        <v>64080</v>
      </c>
      <c r="AR281" s="95"/>
      <c r="AS281" s="94" cm="1">
        <f t="array" ref="AS281">ROUNDDOWN($AQ281*_xlfn.XLOOKUP(1,(AS$5=Table8[Type])*($D281&lt;=Table8[End]),Table8[요율],0,0),0)</f>
        <v>2271</v>
      </c>
      <c r="AT281" s="94" cm="1">
        <f t="array" ref="AT281">ROUNDDOWN(AS281*_xlfn.XLOOKUP(1,(AT$5=Table8[Type])*($D281&lt;=Table8[End]),Table8[요율],0,0),-1)</f>
        <v>290</v>
      </c>
      <c r="AU281" s="94" cm="1">
        <f t="array" ref="AU281">ROUNDDOWN($AQ281*_xlfn.XLOOKUP(1,(AU$5=Table8[Type])*($D281&lt;=Table8[End]),Table8[요율],0,0),-1)</f>
        <v>2880</v>
      </c>
      <c r="AV281" s="94" cm="1">
        <f t="array" ref="AV281">ROUNDDOWN(AM281*_xlfn.XLOOKUP(1,(AV$5=Table8[Type])*($D281&lt;=Table8[End]),Table8[요율],0,0),-1)</f>
        <v>0</v>
      </c>
      <c r="AW281" s="94" cm="1">
        <f t="array" ref="AW281">_xlfn.XLOOKUP(1,(O281=Table2[주민등록번호])*(D281&gt;Table2[근무일자]),Table2[청구 Claim 
이월],0,0,-1)</f>
        <v>0</v>
      </c>
      <c r="AX281" s="95"/>
      <c r="AY281" s="94" cm="1">
        <f t="array" ref="AY281">MAX(SUM(AO281:AP281,AS281:AX281)-_xlfn.XLOOKUP(1,(D281&lt;=Table7[End])*(E281=Table7[근무처])*(F281=Table7[업무]),Table7[1일 공제 상한],0,0),0)</f>
        <v>0</v>
      </c>
      <c r="AZ281" s="94">
        <f t="shared" si="63"/>
        <v>5441</v>
      </c>
      <c r="BA281" s="94">
        <f t="shared" si="64"/>
        <v>58639</v>
      </c>
      <c r="BB281" s="97">
        <f t="shared" si="65"/>
        <v>0</v>
      </c>
      <c r="BC281" s="98"/>
      <c r="BD281" s="94">
        <f t="shared" si="66"/>
        <v>2271</v>
      </c>
      <c r="BE281" s="94">
        <f t="shared" si="67"/>
        <v>290</v>
      </c>
      <c r="BF281" s="94">
        <f t="shared" si="68"/>
        <v>2880</v>
      </c>
      <c r="BG281" s="94">
        <f t="shared" si="69"/>
        <v>0</v>
      </c>
      <c r="BH281" s="94" cm="1">
        <f t="array" ref="BH281">ROUNDDOWN(AM281*_xlfn.XLOOKUP(1,(BH$5=Table8[Type])*($D281&lt;=Table8[End]),Table8[요율],0,0),-1)</f>
        <v>510</v>
      </c>
      <c r="BI281" s="93" t="str" cm="1">
        <f t="array" ref="BI281">_xlfn.XLOOKUP(1,(D281&lt;=Table7[End])*(E281=Table7[근무처])*(F281=Table7[업무]),Table7[지급옵션],0,0)</f>
        <v>차주 화</v>
      </c>
      <c r="BJ281" s="83">
        <f>IF(BK281&lt;&gt;"",BK281,IFERROR(D281+_xlfn.NUMBERVALUE(RIGHT(BI281,1)),D281-WEEKDAY(D281)+CHOOSE(MATCH(RIGHT(BI281),{"일","월","화","수","목","금","토"},0),8,9,10,11,12,13,14)))</f>
        <v>45839</v>
      </c>
      <c r="BK281" s="99"/>
    </row>
    <row r="282" spans="2:63" x14ac:dyDescent="0.35">
      <c r="B282" s="20" t="str" cm="1">
        <f t="array" ref="B282">_xlfn.IFS(BB282&lt;&gt;BC282,"Claim확인",N282&lt;&gt;"OK","확인필요",TRUE,"")</f>
        <v/>
      </c>
      <c r="C282" s="21" t="str">
        <f t="shared" si="56"/>
        <v>010-3X6X-X4X7757X02XX284249</v>
      </c>
      <c r="D282" s="26">
        <v>45835</v>
      </c>
      <c r="E282" s="91" t="s">
        <v>255</v>
      </c>
      <c r="F282" s="25" t="s">
        <v>258</v>
      </c>
      <c r="G282" s="27" t="s">
        <v>283</v>
      </c>
      <c r="H282" s="25" t="s">
        <v>295</v>
      </c>
      <c r="I282" s="25"/>
      <c r="J282" s="25" t="s">
        <v>296</v>
      </c>
      <c r="K282" s="28">
        <v>0.52083333333333337</v>
      </c>
      <c r="L282" s="28">
        <v>0.75</v>
      </c>
      <c r="M282" s="28">
        <v>2.0833333333333332E-2</v>
      </c>
      <c r="N282" s="25" t="s">
        <v>281</v>
      </c>
      <c r="O282" s="29" t="str">
        <f>_xlfn.XLOOKUP(Table2[[#This Row],[Key]],Table1[Key],Table1[주민등록번호],"",0)</f>
        <v>940XX41XX7X32</v>
      </c>
      <c r="P282" s="29">
        <f>_xlfn.XLOOKUP(Table2[[#This Row],[Key]],Table1[Key],Table1[비자],"",0)</f>
        <v>0</v>
      </c>
      <c r="Q282" s="29">
        <f>IF(P282=0,0,_xlfn.XLOOKUP(Table2[[#This Row],[Key]],Table1[Key],Table1[고용보험 여부],0,0))</f>
        <v>0</v>
      </c>
      <c r="R282" s="29" t="str">
        <f t="shared" si="57"/>
        <v>2506</v>
      </c>
      <c r="S282" s="30" t="str">
        <f>YEAR(Table2[[#This Row],[근무일자]])&amp;TEXT(WEEKNUM(Table2[[#This Row],[근무일자]]),"00")</f>
        <v>202526</v>
      </c>
      <c r="T282" s="31">
        <f>_xlfn.XLOOKUP(Table2[[#This Row],[Key]],Table1[Key],Table1[등록일],"",0)</f>
        <v>45751</v>
      </c>
      <c r="U282" s="32">
        <f t="shared" si="58"/>
        <v>0.20833333333333329</v>
      </c>
      <c r="V282" s="92">
        <f t="shared" si="59"/>
        <v>0</v>
      </c>
      <c r="W282" s="100" t="str">
        <f>_xlfn.XLOOKUP(Table2[[#This Row],[근무일자]],Table3[Date],Table3[Holiday],"",0)</f>
        <v/>
      </c>
      <c r="X282" s="93">
        <f>IF(D282&lt;&gt;"",1,0)+IF(COUNTIFS(Table2[주민등록번호],O282,Table2[월],TEXT(EOMONTH(D282,-1),"YYMM"))&gt;0,1+IF(COUNTIFS(Table2[주민등록번호],O282,Table2[월],TEXT(EOMONTH(D282,-2),"YYMM"))&gt;0,1+IF(COUNTIFS(Table2[주민등록번호],O282,Table2[월],TEXT(EOMONTH(D282,-3),"YYMM"))&gt;0,1,0),0),0)</f>
        <v>3</v>
      </c>
      <c r="Y282" s="29">
        <f>COUNTIFS(Table2[주민등록번호],O282,Table2[월],R282,Table2[근무일자],"&lt;="&amp;D282)</f>
        <v>21</v>
      </c>
      <c r="Z282" s="29">
        <f>COUNTIFS(Table2[주민등록번호],O282,Table2[주간],S282,Table2[근무일자],"&lt;="&amp;D282)</f>
        <v>5</v>
      </c>
      <c r="AA282" s="29">
        <f>SUMIFS(Table2[근로
시간],Table2[주민등록번호],O282,Table2[주간],S282,Table2[근무일자],"&lt;="&amp;D282)*24</f>
        <v>24.999999999999996</v>
      </c>
      <c r="AB282" s="29" t="str">
        <f>IF(AND(Y282&gt;=8,COUNTIFS(Table2[주민등록번호],O282,Table2[근무일자],"&gt;="&amp;EOMONTH(D282,-2)+1,Table2[근무일자],"&lt;="&amp;EOMONTH(D282,-1)+1)&gt;0),"V","")</f>
        <v>V</v>
      </c>
      <c r="AC282" s="94" cm="1">
        <f t="array" ref="AC282">IF(AD282&lt;&gt;"",AD282,_xlfn.XLOOKUP(1,(D282&lt;=Table7[End])*(E282=Table7[근무처])*(F282=Table7[업무]),Table7[시급],0,0))</f>
        <v>10680</v>
      </c>
      <c r="AD282" s="95"/>
      <c r="AE282" s="94">
        <f t="shared" si="60"/>
        <v>53400</v>
      </c>
      <c r="AF282" s="96" cm="1">
        <f t="array" ref="AF282">IF(AND(AA282&gt;=15,(AA282-U282*24)&lt;=40),IF(Z282&gt;=_xlfn.XLOOKUP(1,(D282&lt;=Table7[End])*(E282=Table7[근무처])*(F282=Table7[업무]),Table7[주휴적용일],0,0),1,0)+_xlfn.XLOOKUP(1,(Table2[주간]=Table2[[#This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82" s="96" cm="1">
        <f t="array" ref="AG282">MAX((_xlfn.IFS(AF282=0,0,AF282=1,AA282,AF282&gt;1,U282*24)-IF(AA282&gt;40,AA282-40,0))/5,0)</f>
        <v>0.99999999999999978</v>
      </c>
      <c r="AH282" s="94">
        <f t="shared" si="61"/>
        <v>10680</v>
      </c>
      <c r="AI282" s="33" cm="1">
        <f t="array" ref="AI282">IF(W282="",0,ROUND(AC282*U282*24*_xlfn.XLOOKUP(1,(D282&lt;=Table7[End])*(E282=Table7[근무처])*(F282=Table7[업무]),Table7[휴일인센티브],0,0),0))</f>
        <v>0</v>
      </c>
      <c r="AJ282" s="94" cm="1">
        <f t="array" ref="AJ282">ROUND(AC282*IF(U282&gt;=8/24,U282-8/24,0)*24*_xlfn.XLOOKUP(1,(D282&lt;=Table7[End])*(E282=Table7[근무처])*(F282=Table7[업무]),Table7[야간인센티브],0,0),0)</f>
        <v>0</v>
      </c>
      <c r="AK282" s="94" cm="1">
        <f t="array" ref="AK282">IF(V282=0,0,ROUND(AC282*V282*24*_xlfn.XLOOKUP(1,(D282&lt;=Table7[End])*(E282=Table7[근무처])*(F282=Table7[업무]),Table7[야간인센티브],0,0),0))</f>
        <v>0</v>
      </c>
      <c r="AL282" s="95"/>
      <c r="AM282" s="94">
        <f t="shared" si="62"/>
        <v>64080</v>
      </c>
      <c r="AN282" s="94" cm="1">
        <f t="array" ref="AN282">IF(AM282&gt;=_xlfn.XLOOKUP(TRUE,D282&lt;=Table5[End],Table5[비과세소득기준],0,0),AM282-_xlfn.XLOOKUP(TRUE,D282&lt;=Table5[End],Table5[비과세소득기준],0,0),0)</f>
        <v>0</v>
      </c>
      <c r="AO282" s="94" cm="1">
        <f t="array" ref="AO282">ROUNDDOWN(_xlfn.LET(_xlpm.setvalue,_xlfn.XLOOKUP(TRUE,D282&lt;=Table5[End],Table5[[요율]:[근로소득세액공제]],0,0),_xlpm.tax,AN282*PRODUCT((_xlpm.setvalue-{0,1})*{1,-1}),_xlpm.threshold,_xlfn.XLOOKUP(TRUE,D282&lt;=Table5[End],Table5[소액부징수기준],0,0),IF(_xlpm.tax&gt;=_xlpm.threshold,_xlpm.tax,0)),-1)</f>
        <v>0</v>
      </c>
      <c r="AP282" s="94">
        <f>ROUNDDOWN(Table2[[#This Row],[소득세]]*10%,-1)</f>
        <v>0</v>
      </c>
      <c r="AQ282" s="94">
        <f>IF(AB282="v",AM282+IF(Y282=8,SUMIFS(Table2[지급총액],Table2[주민등록번호],O282,Table2[월],R282,Table2[월간
근무일],"&lt;="&amp;8)-AM282,0),0)+_xlfn.NUMBERVALUE(AR282)</f>
        <v>64080</v>
      </c>
      <c r="AR282" s="95"/>
      <c r="AS282" s="94" cm="1">
        <f t="array" ref="AS282">ROUNDDOWN($AQ282*_xlfn.XLOOKUP(1,(AS$5=Table8[Type])*($D282&lt;=Table8[End]),Table8[요율],0,0),0)</f>
        <v>2271</v>
      </c>
      <c r="AT282" s="94" cm="1">
        <f t="array" ref="AT282">ROUNDDOWN(AS282*_xlfn.XLOOKUP(1,(AT$5=Table8[Type])*($D282&lt;=Table8[End]),Table8[요율],0,0),-1)</f>
        <v>290</v>
      </c>
      <c r="AU282" s="94" cm="1">
        <f t="array" ref="AU282">ROUNDDOWN($AQ282*_xlfn.XLOOKUP(1,(AU$5=Table8[Type])*($D282&lt;=Table8[End]),Table8[요율],0,0),-1)</f>
        <v>2880</v>
      </c>
      <c r="AV282" s="94" cm="1">
        <f t="array" ref="AV282">ROUNDDOWN(AM282*_xlfn.XLOOKUP(1,(AV$5=Table8[Type])*($D282&lt;=Table8[End]),Table8[요율],0,0),-1)</f>
        <v>0</v>
      </c>
      <c r="AW282" s="94" cm="1">
        <f t="array" ref="AW282">_xlfn.XLOOKUP(1,(O282=Table2[주민등록번호])*(D282&gt;Table2[근무일자]),Table2[청구 Claim 
이월],0,0,-1)</f>
        <v>0</v>
      </c>
      <c r="AX282" s="95"/>
      <c r="AY282" s="94" cm="1">
        <f t="array" ref="AY282">MAX(SUM(AO282:AP282,AS282:AX282)-_xlfn.XLOOKUP(1,(D282&lt;=Table7[End])*(E282=Table7[근무처])*(F282=Table7[업무]),Table7[1일 공제 상한],0,0),0)</f>
        <v>0</v>
      </c>
      <c r="AZ282" s="94">
        <f t="shared" si="63"/>
        <v>5441</v>
      </c>
      <c r="BA282" s="94">
        <f t="shared" si="64"/>
        <v>58639</v>
      </c>
      <c r="BB282" s="97">
        <f t="shared" si="65"/>
        <v>0</v>
      </c>
      <c r="BC282" s="98"/>
      <c r="BD282" s="94">
        <f t="shared" si="66"/>
        <v>2271</v>
      </c>
      <c r="BE282" s="94">
        <f t="shared" si="67"/>
        <v>290</v>
      </c>
      <c r="BF282" s="94">
        <f t="shared" si="68"/>
        <v>2880</v>
      </c>
      <c r="BG282" s="94">
        <f t="shared" si="69"/>
        <v>0</v>
      </c>
      <c r="BH282" s="94" cm="1">
        <f t="array" ref="BH282">ROUNDDOWN(AM282*_xlfn.XLOOKUP(1,(BH$5=Table8[Type])*($D282&lt;=Table8[End]),Table8[요율],0,0),-1)</f>
        <v>510</v>
      </c>
      <c r="BI282" s="93" t="str" cm="1">
        <f t="array" ref="BI282">_xlfn.XLOOKUP(1,(D282&lt;=Table7[End])*(E282=Table7[근무처])*(F282=Table7[업무]),Table7[지급옵션],0,0)</f>
        <v>차주 화</v>
      </c>
      <c r="BJ282" s="83">
        <f>IF(BK282&lt;&gt;"",BK282,IFERROR(D282+_xlfn.NUMBERVALUE(RIGHT(BI282,1)),D282-WEEKDAY(D282)+CHOOSE(MATCH(RIGHT(BI282),{"일","월","화","수","목","금","토"},0),8,9,10,11,12,13,14)))</f>
        <v>45839</v>
      </c>
      <c r="BK282" s="99"/>
    </row>
    <row r="283" spans="2:63" x14ac:dyDescent="0.35">
      <c r="B283" s="20" t="str" cm="1">
        <f t="array" ref="B283">_xlfn.IFS(BB283&lt;&gt;BC283,"Claim확인",N283&lt;&gt;"OK","확인필요",TRUE,"")</f>
        <v/>
      </c>
      <c r="C283" s="21" t="str">
        <f t="shared" si="56"/>
        <v>010-3X4X-X9X7219X02XX284640</v>
      </c>
      <c r="D283" s="26">
        <v>45837</v>
      </c>
      <c r="E283" s="91" t="s">
        <v>253</v>
      </c>
      <c r="F283" s="25" t="s">
        <v>257</v>
      </c>
      <c r="G283" s="27" t="s">
        <v>286</v>
      </c>
      <c r="H283" s="25" t="s">
        <v>299</v>
      </c>
      <c r="I283" s="25"/>
      <c r="J283" s="25" t="s">
        <v>300</v>
      </c>
      <c r="K283" s="28">
        <v>0.375</v>
      </c>
      <c r="L283" s="28">
        <v>0.75</v>
      </c>
      <c r="M283" s="28">
        <v>4.1666666666666664E-2</v>
      </c>
      <c r="N283" s="25" t="s">
        <v>281</v>
      </c>
      <c r="O283" s="29" t="str">
        <f>_xlfn.XLOOKUP(Table2[[#This Row],[Key]],Table1[Key],Table1[주민등록번호],"",0)</f>
        <v>931XX31XX3X14</v>
      </c>
      <c r="P283" s="29">
        <f>_xlfn.XLOOKUP(Table2[[#This Row],[Key]],Table1[Key],Table1[비자],"",0)</f>
        <v>0</v>
      </c>
      <c r="Q283" s="29">
        <f>IF(P283=0,0,_xlfn.XLOOKUP(Table2[[#This Row],[Key]],Table1[Key],Table1[고용보험 여부],0,0))</f>
        <v>0</v>
      </c>
      <c r="R283" s="29" t="str">
        <f t="shared" si="57"/>
        <v>2506</v>
      </c>
      <c r="S283" s="30" t="str">
        <f>YEAR(Table2[[#This Row],[근무일자]])&amp;TEXT(WEEKNUM(Table2[[#This Row],[근무일자]]),"00")</f>
        <v>202527</v>
      </c>
      <c r="T283" s="31">
        <f>_xlfn.XLOOKUP(Table2[[#This Row],[Key]],Table1[Key],Table1[등록일],"",0)</f>
        <v>45773</v>
      </c>
      <c r="U283" s="32">
        <f t="shared" si="58"/>
        <v>0.33333333333333331</v>
      </c>
      <c r="V283" s="92">
        <f t="shared" si="59"/>
        <v>0</v>
      </c>
      <c r="W283" s="100" t="str">
        <f>_xlfn.XLOOKUP(Table2[[#This Row],[근무일자]],Table3[Date],Table3[Holiday],"",0)</f>
        <v/>
      </c>
      <c r="X283" s="93">
        <f>IF(D283&lt;&gt;"",1,0)+IF(COUNTIFS(Table2[주민등록번호],O283,Table2[월],TEXT(EOMONTH(D283,-1),"YYMM"))&gt;0,1+IF(COUNTIFS(Table2[주민등록번호],O283,Table2[월],TEXT(EOMONTH(D283,-2),"YYMM"))&gt;0,1+IF(COUNTIFS(Table2[주민등록번호],O283,Table2[월],TEXT(EOMONTH(D283,-3),"YYMM"))&gt;0,1,0),0),0)</f>
        <v>4</v>
      </c>
      <c r="Y283" s="29">
        <f>COUNTIFS(Table2[주민등록번호],O283,Table2[월],R283,Table2[근무일자],"&lt;="&amp;D283)</f>
        <v>10</v>
      </c>
      <c r="Z283" s="29">
        <f>COUNTIFS(Table2[주민등록번호],O283,Table2[주간],S283,Table2[근무일자],"&lt;="&amp;D283)</f>
        <v>1</v>
      </c>
      <c r="AA283" s="29">
        <f>SUMIFS(Table2[근로
시간],Table2[주민등록번호],O283,Table2[주간],S283,Table2[근무일자],"&lt;="&amp;D283)*24</f>
        <v>8</v>
      </c>
      <c r="AB283" s="29" t="str">
        <f>IF(AND(Y283&gt;=8,COUNTIFS(Table2[주민등록번호],O283,Table2[근무일자],"&gt;="&amp;EOMONTH(D283,-2)+1,Table2[근무일자],"&lt;="&amp;EOMONTH(D283,-1)+1)&gt;0),"V","")</f>
        <v>V</v>
      </c>
      <c r="AC283" s="94" cm="1">
        <f t="array" ref="AC283">IF(AD283&lt;&gt;"",AD283,_xlfn.XLOOKUP(1,(D283&lt;=Table7[End])*(E283=Table7[근무처])*(F283=Table7[업무]),Table7[시급],0,0))</f>
        <v>10030</v>
      </c>
      <c r="AD283" s="95"/>
      <c r="AE283" s="94">
        <f t="shared" si="60"/>
        <v>80240</v>
      </c>
      <c r="AF283" s="96" cm="1">
        <f t="array" ref="AF283">IF(AND(AA283&gt;=15,(AA283-U283*24)&lt;=40),IF(Z283&gt;=_xlfn.XLOOKUP(1,(D283&lt;=Table7[End])*(E283=Table7[근무처])*(F283=Table7[업무]),Table7[주휴적용일],0,0),1,0)+_xlfn.XLOOKUP(1,(Table2[주간]=Table2[[#This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83" s="96" cm="1">
        <f t="array" ref="AG283">MAX((_xlfn.IFS(AF283=0,0,AF283=1,AA283,AF283&gt;1,U283*24)-IF(AA283&gt;40,AA283-40,0))/5,0)</f>
        <v>0</v>
      </c>
      <c r="AH283" s="94">
        <f t="shared" si="61"/>
        <v>0</v>
      </c>
      <c r="AI283" s="33" cm="1">
        <f t="array" ref="AI283">IF(W283="",0,ROUND(AC283*U283*24*_xlfn.XLOOKUP(1,(D283&lt;=Table7[End])*(E283=Table7[근무처])*(F283=Table7[업무]),Table7[휴일인센티브],0,0),0))</f>
        <v>0</v>
      </c>
      <c r="AJ283" s="94" cm="1">
        <f t="array" ref="AJ283">ROUND(AC283*IF(U283&gt;=8/24,U283-8/24,0)*24*_xlfn.XLOOKUP(1,(D283&lt;=Table7[End])*(E283=Table7[근무처])*(F283=Table7[업무]),Table7[야간인센티브],0,0),0)</f>
        <v>0</v>
      </c>
      <c r="AK283" s="94" cm="1">
        <f t="array" ref="AK283">IF(V283=0,0,ROUND(AC283*V283*24*_xlfn.XLOOKUP(1,(D283&lt;=Table7[End])*(E283=Table7[근무처])*(F283=Table7[업무]),Table7[야간인센티브],0,0),0))</f>
        <v>0</v>
      </c>
      <c r="AL283" s="95"/>
      <c r="AM283" s="94">
        <f t="shared" si="62"/>
        <v>80240</v>
      </c>
      <c r="AN283" s="94" cm="1">
        <f t="array" ref="AN283">IF(AM283&gt;=_xlfn.XLOOKUP(TRUE,D283&lt;=Table5[End],Table5[비과세소득기준],0,0),AM283-_xlfn.XLOOKUP(TRUE,D283&lt;=Table5[End],Table5[비과세소득기준],0,0),0)</f>
        <v>0</v>
      </c>
      <c r="AO283" s="94" cm="1">
        <f t="array" ref="AO283">ROUNDDOWN(_xlfn.LET(_xlpm.setvalue,_xlfn.XLOOKUP(TRUE,D283&lt;=Table5[End],Table5[[요율]:[근로소득세액공제]],0,0),_xlpm.tax,AN283*PRODUCT((_xlpm.setvalue-{0,1})*{1,-1}),_xlpm.threshold,_xlfn.XLOOKUP(TRUE,D283&lt;=Table5[End],Table5[소액부징수기준],0,0),IF(_xlpm.tax&gt;=_xlpm.threshold,_xlpm.tax,0)),-1)</f>
        <v>0</v>
      </c>
      <c r="AP283" s="94">
        <f>ROUNDDOWN(Table2[[#This Row],[소득세]]*10%,-1)</f>
        <v>0</v>
      </c>
      <c r="AQ283" s="94">
        <f>IF(AB283="v",AM283+IF(Y283=8,SUMIFS(Table2[지급총액],Table2[주민등록번호],O283,Table2[월],R283,Table2[월간
근무일],"&lt;="&amp;8)-AM283,0),0)+_xlfn.NUMBERVALUE(AR283)</f>
        <v>80240</v>
      </c>
      <c r="AR283" s="95"/>
      <c r="AS283" s="94" cm="1">
        <f t="array" ref="AS283">ROUNDDOWN($AQ283*_xlfn.XLOOKUP(1,(AS$5=Table8[Type])*($D283&lt;=Table8[End]),Table8[요율],0,0),0)</f>
        <v>2844</v>
      </c>
      <c r="AT283" s="94" cm="1">
        <f t="array" ref="AT283">ROUNDDOWN(AS283*_xlfn.XLOOKUP(1,(AT$5=Table8[Type])*($D283&lt;=Table8[End]),Table8[요율],0,0),-1)</f>
        <v>360</v>
      </c>
      <c r="AU283" s="94" cm="1">
        <f t="array" ref="AU283">ROUNDDOWN($AQ283*_xlfn.XLOOKUP(1,(AU$5=Table8[Type])*($D283&lt;=Table8[End]),Table8[요율],0,0),-1)</f>
        <v>3610</v>
      </c>
      <c r="AV283" s="94" cm="1">
        <f t="array" ref="AV283">ROUNDDOWN(AM283*_xlfn.XLOOKUP(1,(AV$5=Table8[Type])*($D283&lt;=Table8[End]),Table8[요율],0,0),-1)</f>
        <v>0</v>
      </c>
      <c r="AW283" s="94" cm="1">
        <f t="array" ref="AW283">_xlfn.XLOOKUP(1,(O283=Table2[주민등록번호])*(D283&gt;Table2[근무일자]),Table2[청구 Claim 
이월],0,0,-1)</f>
        <v>0</v>
      </c>
      <c r="AX283" s="95"/>
      <c r="AY283" s="94" cm="1">
        <f t="array" ref="AY283">MAX(SUM(AO283:AP283,AS283:AX283)-_xlfn.XLOOKUP(1,(D283&lt;=Table7[End])*(E283=Table7[근무처])*(F283=Table7[업무]),Table7[1일 공제 상한],0,0),0)</f>
        <v>0</v>
      </c>
      <c r="AZ283" s="94">
        <f t="shared" si="63"/>
        <v>6814</v>
      </c>
      <c r="BA283" s="94">
        <f t="shared" si="64"/>
        <v>73426</v>
      </c>
      <c r="BB283" s="97">
        <f t="shared" si="65"/>
        <v>0</v>
      </c>
      <c r="BC283" s="98"/>
      <c r="BD283" s="94">
        <f t="shared" si="66"/>
        <v>2844</v>
      </c>
      <c r="BE283" s="94">
        <f t="shared" si="67"/>
        <v>360</v>
      </c>
      <c r="BF283" s="94">
        <f t="shared" si="68"/>
        <v>3610</v>
      </c>
      <c r="BG283" s="94">
        <f t="shared" si="69"/>
        <v>0</v>
      </c>
      <c r="BH283" s="94" cm="1">
        <f t="array" ref="BH283">ROUNDDOWN(AM283*_xlfn.XLOOKUP(1,(BH$5=Table8[Type])*($D283&lt;=Table8[End]),Table8[요율],0,0),-1)</f>
        <v>640</v>
      </c>
      <c r="BI283" s="93" t="str" cm="1">
        <f t="array" ref="BI283">_xlfn.XLOOKUP(1,(D283&lt;=Table7[End])*(E283=Table7[근무처])*(F283=Table7[업무]),Table7[지급옵션],0,0)</f>
        <v>D+2</v>
      </c>
      <c r="BJ283" s="83">
        <f>IF(BK283&lt;&gt;"",BK283,IFERROR(D283+_xlfn.NUMBERVALUE(RIGHT(BI283,1)),D283-WEEKDAY(D283)+CHOOSE(MATCH(RIGHT(BI283),{"일","월","화","수","목","금","토"},0),8,9,10,11,12,13,14)))</f>
        <v>45839</v>
      </c>
      <c r="BK283" s="99"/>
    </row>
    <row r="284" spans="2:63" x14ac:dyDescent="0.35">
      <c r="B284" s="20" t="str" cm="1">
        <f t="array" ref="B284">_xlfn.IFS(BB284&lt;&gt;BC284,"Claim확인",N284&lt;&gt;"OK","확인필요",TRUE,"")</f>
        <v/>
      </c>
      <c r="C284" s="21" t="str">
        <f t="shared" si="56"/>
        <v>010-3X6X-X4X7757X02XX284249</v>
      </c>
      <c r="D284" s="26">
        <v>45837</v>
      </c>
      <c r="E284" s="91" t="s">
        <v>255</v>
      </c>
      <c r="F284" s="25" t="s">
        <v>258</v>
      </c>
      <c r="G284" s="27" t="s">
        <v>283</v>
      </c>
      <c r="H284" s="25" t="s">
        <v>295</v>
      </c>
      <c r="I284" s="25"/>
      <c r="J284" s="25" t="s">
        <v>296</v>
      </c>
      <c r="K284" s="28">
        <v>0.45833333333333331</v>
      </c>
      <c r="L284" s="28">
        <v>0.83333333333333337</v>
      </c>
      <c r="M284" s="28">
        <v>4.1666666666666664E-2</v>
      </c>
      <c r="N284" s="25" t="s">
        <v>281</v>
      </c>
      <c r="O284" s="29" t="str">
        <f>_xlfn.XLOOKUP(Table2[[#This Row],[Key]],Table1[Key],Table1[주민등록번호],"",0)</f>
        <v>940XX41XX7X32</v>
      </c>
      <c r="P284" s="29">
        <f>_xlfn.XLOOKUP(Table2[[#This Row],[Key]],Table1[Key],Table1[비자],"",0)</f>
        <v>0</v>
      </c>
      <c r="Q284" s="29">
        <f>IF(P284=0,0,_xlfn.XLOOKUP(Table2[[#This Row],[Key]],Table1[Key],Table1[고용보험 여부],0,0))</f>
        <v>0</v>
      </c>
      <c r="R284" s="29" t="str">
        <f t="shared" si="57"/>
        <v>2506</v>
      </c>
      <c r="S284" s="30" t="str">
        <f>YEAR(Table2[[#This Row],[근무일자]])&amp;TEXT(WEEKNUM(Table2[[#This Row],[근무일자]]),"00")</f>
        <v>202527</v>
      </c>
      <c r="T284" s="31">
        <f>_xlfn.XLOOKUP(Table2[[#This Row],[Key]],Table1[Key],Table1[등록일],"",0)</f>
        <v>45751</v>
      </c>
      <c r="U284" s="32">
        <f t="shared" si="58"/>
        <v>0.33333333333333337</v>
      </c>
      <c r="V284" s="92">
        <f t="shared" si="59"/>
        <v>0</v>
      </c>
      <c r="W284" s="100" t="str">
        <f>_xlfn.XLOOKUP(Table2[[#This Row],[근무일자]],Table3[Date],Table3[Holiday],"",0)</f>
        <v/>
      </c>
      <c r="X284" s="93">
        <f>IF(D284&lt;&gt;"",1,0)+IF(COUNTIFS(Table2[주민등록번호],O284,Table2[월],TEXT(EOMONTH(D284,-1),"YYMM"))&gt;0,1+IF(COUNTIFS(Table2[주민등록번호],O284,Table2[월],TEXT(EOMONTH(D284,-2),"YYMM"))&gt;0,1+IF(COUNTIFS(Table2[주민등록번호],O284,Table2[월],TEXT(EOMONTH(D284,-3),"YYMM"))&gt;0,1,0),0),0)</f>
        <v>3</v>
      </c>
      <c r="Y284" s="29">
        <f>COUNTIFS(Table2[주민등록번호],O284,Table2[월],R284,Table2[근무일자],"&lt;="&amp;D284)</f>
        <v>22</v>
      </c>
      <c r="Z284" s="29">
        <f>COUNTIFS(Table2[주민등록번호],O284,Table2[주간],S284,Table2[근무일자],"&lt;="&amp;D284)</f>
        <v>1</v>
      </c>
      <c r="AA284" s="29">
        <f>SUMIFS(Table2[근로
시간],Table2[주민등록번호],O284,Table2[주간],S284,Table2[근무일자],"&lt;="&amp;D284)*24</f>
        <v>8</v>
      </c>
      <c r="AB284" s="29" t="str">
        <f>IF(AND(Y284&gt;=8,COUNTIFS(Table2[주민등록번호],O284,Table2[근무일자],"&gt;="&amp;EOMONTH(D284,-2)+1,Table2[근무일자],"&lt;="&amp;EOMONTH(D284,-1)+1)&gt;0),"V","")</f>
        <v>V</v>
      </c>
      <c r="AC284" s="94" cm="1">
        <f t="array" ref="AC284">IF(AD284&lt;&gt;"",AD284,_xlfn.XLOOKUP(1,(D284&lt;=Table7[End])*(E284=Table7[근무처])*(F284=Table7[업무]),Table7[시급],0,0))</f>
        <v>10680</v>
      </c>
      <c r="AD284" s="95"/>
      <c r="AE284" s="94">
        <f t="shared" si="60"/>
        <v>85440</v>
      </c>
      <c r="AF284" s="96" cm="1">
        <f t="array" ref="AF284">IF(AND(AA284&gt;=15,(AA284-U284*24)&lt;=40),IF(Z284&gt;=_xlfn.XLOOKUP(1,(D284&lt;=Table7[End])*(E284=Table7[근무처])*(F284=Table7[업무]),Table7[주휴적용일],0,0),1,0)+_xlfn.XLOOKUP(1,(Table2[주간]=Table2[[#This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84" s="96" cm="1">
        <f t="array" ref="AG284">MAX((_xlfn.IFS(AF284=0,0,AF284=1,AA284,AF284&gt;1,U284*24)-IF(AA284&gt;40,AA284-40,0))/5,0)</f>
        <v>0</v>
      </c>
      <c r="AH284" s="94">
        <f t="shared" si="61"/>
        <v>0</v>
      </c>
      <c r="AI284" s="33" cm="1">
        <f t="array" ref="AI284">IF(W284="",0,ROUND(AC284*U284*24*_xlfn.XLOOKUP(1,(D284&lt;=Table7[End])*(E284=Table7[근무처])*(F284=Table7[업무]),Table7[휴일인센티브],0,0),0))</f>
        <v>0</v>
      </c>
      <c r="AJ284" s="94" cm="1">
        <f t="array" ref="AJ284">ROUND(AC284*IF(U284&gt;=8/24,U284-8/24,0)*24*_xlfn.XLOOKUP(1,(D284&lt;=Table7[End])*(E284=Table7[근무처])*(F284=Table7[업무]),Table7[야간인센티브],0,0),0)</f>
        <v>0</v>
      </c>
      <c r="AK284" s="94" cm="1">
        <f t="array" ref="AK284">IF(V284=0,0,ROUND(AC284*V284*24*_xlfn.XLOOKUP(1,(D284&lt;=Table7[End])*(E284=Table7[근무처])*(F284=Table7[업무]),Table7[야간인센티브],0,0),0))</f>
        <v>0</v>
      </c>
      <c r="AL284" s="95"/>
      <c r="AM284" s="94">
        <f t="shared" si="62"/>
        <v>85440</v>
      </c>
      <c r="AN284" s="94" cm="1">
        <f t="array" ref="AN284">IF(AM284&gt;=_xlfn.XLOOKUP(TRUE,D284&lt;=Table5[End],Table5[비과세소득기준],0,0),AM284-_xlfn.XLOOKUP(TRUE,D284&lt;=Table5[End],Table5[비과세소득기준],0,0),0)</f>
        <v>0</v>
      </c>
      <c r="AO284" s="94" cm="1">
        <f t="array" ref="AO284">ROUNDDOWN(_xlfn.LET(_xlpm.setvalue,_xlfn.XLOOKUP(TRUE,D284&lt;=Table5[End],Table5[[요율]:[근로소득세액공제]],0,0),_xlpm.tax,AN284*PRODUCT((_xlpm.setvalue-{0,1})*{1,-1}),_xlpm.threshold,_xlfn.XLOOKUP(TRUE,D284&lt;=Table5[End],Table5[소액부징수기준],0,0),IF(_xlpm.tax&gt;=_xlpm.threshold,_xlpm.tax,0)),-1)</f>
        <v>0</v>
      </c>
      <c r="AP284" s="94">
        <f>ROUNDDOWN(Table2[[#This Row],[소득세]]*10%,-1)</f>
        <v>0</v>
      </c>
      <c r="AQ284" s="94">
        <f>IF(AB284="v",AM284+IF(Y284=8,SUMIFS(Table2[지급총액],Table2[주민등록번호],O284,Table2[월],R284,Table2[월간
근무일],"&lt;="&amp;8)-AM284,0),0)+_xlfn.NUMBERVALUE(AR284)</f>
        <v>85440</v>
      </c>
      <c r="AR284" s="95"/>
      <c r="AS284" s="94" cm="1">
        <f t="array" ref="AS284">ROUNDDOWN($AQ284*_xlfn.XLOOKUP(1,(AS$5=Table8[Type])*($D284&lt;=Table8[End]),Table8[요율],0,0),0)</f>
        <v>3028</v>
      </c>
      <c r="AT284" s="94" cm="1">
        <f t="array" ref="AT284">ROUNDDOWN(AS284*_xlfn.XLOOKUP(1,(AT$5=Table8[Type])*($D284&lt;=Table8[End]),Table8[요율],0,0),-1)</f>
        <v>390</v>
      </c>
      <c r="AU284" s="94" cm="1">
        <f t="array" ref="AU284">ROUNDDOWN($AQ284*_xlfn.XLOOKUP(1,(AU$5=Table8[Type])*($D284&lt;=Table8[End]),Table8[요율],0,0),-1)</f>
        <v>3840</v>
      </c>
      <c r="AV284" s="94" cm="1">
        <f t="array" ref="AV284">ROUNDDOWN(AM284*_xlfn.XLOOKUP(1,(AV$5=Table8[Type])*($D284&lt;=Table8[End]),Table8[요율],0,0),-1)</f>
        <v>0</v>
      </c>
      <c r="AW284" s="94" cm="1">
        <f t="array" ref="AW284">_xlfn.XLOOKUP(1,(O284=Table2[주민등록번호])*(D284&gt;Table2[근무일자]),Table2[청구 Claim 
이월],0,0,-1)</f>
        <v>0</v>
      </c>
      <c r="AX284" s="95"/>
      <c r="AY284" s="94" cm="1">
        <f t="array" ref="AY284">MAX(SUM(AO284:AP284,AS284:AX284)-_xlfn.XLOOKUP(1,(D284&lt;=Table7[End])*(E284=Table7[근무처])*(F284=Table7[업무]),Table7[1일 공제 상한],0,0),0)</f>
        <v>0</v>
      </c>
      <c r="AZ284" s="94">
        <f t="shared" si="63"/>
        <v>7258</v>
      </c>
      <c r="BA284" s="94">
        <f t="shared" si="64"/>
        <v>78182</v>
      </c>
      <c r="BB284" s="97">
        <f t="shared" si="65"/>
        <v>0</v>
      </c>
      <c r="BC284" s="98"/>
      <c r="BD284" s="94">
        <f t="shared" si="66"/>
        <v>3028</v>
      </c>
      <c r="BE284" s="94">
        <f t="shared" si="67"/>
        <v>390</v>
      </c>
      <c r="BF284" s="94">
        <f t="shared" si="68"/>
        <v>3840</v>
      </c>
      <c r="BG284" s="94">
        <f t="shared" si="69"/>
        <v>0</v>
      </c>
      <c r="BH284" s="94" cm="1">
        <f t="array" ref="BH284">ROUNDDOWN(AM284*_xlfn.XLOOKUP(1,(BH$5=Table8[Type])*($D284&lt;=Table8[End]),Table8[요율],0,0),-1)</f>
        <v>680</v>
      </c>
      <c r="BI284" s="93" t="str" cm="1">
        <f t="array" ref="BI284">_xlfn.XLOOKUP(1,(D284&lt;=Table7[End])*(E284=Table7[근무처])*(F284=Table7[업무]),Table7[지급옵션],0,0)</f>
        <v>차주 화</v>
      </c>
      <c r="BJ284" s="83">
        <f>IF(BK284&lt;&gt;"",BK284,IFERROR(D284+_xlfn.NUMBERVALUE(RIGHT(BI284,1)),D284-WEEKDAY(D284)+CHOOSE(MATCH(RIGHT(BI284),{"일","월","화","수","목","금","토"},0),8,9,10,11,12,13,14)))</f>
        <v>45846</v>
      </c>
      <c r="BK284" s="99"/>
    </row>
    <row r="285" spans="2:63" x14ac:dyDescent="0.35">
      <c r="B285" s="20" t="str" cm="1">
        <f t="array" ref="B285">_xlfn.IFS(BB285&lt;&gt;BC285,"Claim확인",N285&lt;&gt;"OK","확인필요",TRUE,"")</f>
        <v/>
      </c>
      <c r="C285" s="21" t="str">
        <f t="shared" si="56"/>
        <v>010-3X6X-X4X7757X02XX284249</v>
      </c>
      <c r="D285" s="26">
        <v>45838</v>
      </c>
      <c r="E285" s="91" t="s">
        <v>255</v>
      </c>
      <c r="F285" s="25" t="s">
        <v>258</v>
      </c>
      <c r="G285" s="27" t="s">
        <v>283</v>
      </c>
      <c r="H285" s="25" t="s">
        <v>295</v>
      </c>
      <c r="I285" s="25"/>
      <c r="J285" s="25" t="s">
        <v>296</v>
      </c>
      <c r="K285" s="28">
        <v>0.52083333333333337</v>
      </c>
      <c r="L285" s="28">
        <v>0.75</v>
      </c>
      <c r="M285" s="28">
        <v>2.0833333333333332E-2</v>
      </c>
      <c r="N285" s="25" t="s">
        <v>281</v>
      </c>
      <c r="O285" s="29" t="str">
        <f>_xlfn.XLOOKUP(Table2[[#This Row],[Key]],Table1[Key],Table1[주민등록번호],"",0)</f>
        <v>940XX41XX7X32</v>
      </c>
      <c r="P285" s="29">
        <f>_xlfn.XLOOKUP(Table2[[#This Row],[Key]],Table1[Key],Table1[비자],"",0)</f>
        <v>0</v>
      </c>
      <c r="Q285" s="29">
        <f>IF(P285=0,0,_xlfn.XLOOKUP(Table2[[#This Row],[Key]],Table1[Key],Table1[고용보험 여부],0,0))</f>
        <v>0</v>
      </c>
      <c r="R285" s="29" t="str">
        <f t="shared" si="57"/>
        <v>2506</v>
      </c>
      <c r="S285" s="30" t="str">
        <f>YEAR(Table2[[#This Row],[근무일자]])&amp;TEXT(WEEKNUM(Table2[[#This Row],[근무일자]]),"00")</f>
        <v>202527</v>
      </c>
      <c r="T285" s="31">
        <f>_xlfn.XLOOKUP(Table2[[#This Row],[Key]],Table1[Key],Table1[등록일],"",0)</f>
        <v>45751</v>
      </c>
      <c r="U285" s="32">
        <f t="shared" si="58"/>
        <v>0.20833333333333329</v>
      </c>
      <c r="V285" s="92">
        <f t="shared" si="59"/>
        <v>0</v>
      </c>
      <c r="W285" s="100" t="str">
        <f>_xlfn.XLOOKUP(Table2[[#This Row],[근무일자]],Table3[Date],Table3[Holiday],"",0)</f>
        <v/>
      </c>
      <c r="X285" s="93">
        <f>IF(D285&lt;&gt;"",1,0)+IF(COUNTIFS(Table2[주민등록번호],O285,Table2[월],TEXT(EOMONTH(D285,-1),"YYMM"))&gt;0,1+IF(COUNTIFS(Table2[주민등록번호],O285,Table2[월],TEXT(EOMONTH(D285,-2),"YYMM"))&gt;0,1+IF(COUNTIFS(Table2[주민등록번호],O285,Table2[월],TEXT(EOMONTH(D285,-3),"YYMM"))&gt;0,1,0),0),0)</f>
        <v>3</v>
      </c>
      <c r="Y285" s="29">
        <f>COUNTIFS(Table2[주민등록번호],O285,Table2[월],R285,Table2[근무일자],"&lt;="&amp;D285)</f>
        <v>23</v>
      </c>
      <c r="Z285" s="29">
        <f>COUNTIFS(Table2[주민등록번호],O285,Table2[주간],S285,Table2[근무일자],"&lt;="&amp;D285)</f>
        <v>2</v>
      </c>
      <c r="AA285" s="29">
        <f>SUMIFS(Table2[근로
시간],Table2[주민등록번호],O285,Table2[주간],S285,Table2[근무일자],"&lt;="&amp;D285)*24</f>
        <v>13</v>
      </c>
      <c r="AB285" s="29" t="str">
        <f>IF(AND(Y285&gt;=8,COUNTIFS(Table2[주민등록번호],O285,Table2[근무일자],"&gt;="&amp;EOMONTH(D285,-2)+1,Table2[근무일자],"&lt;="&amp;EOMONTH(D285,-1)+1)&gt;0),"V","")</f>
        <v>V</v>
      </c>
      <c r="AC285" s="94" cm="1">
        <f t="array" ref="AC285">IF(AD285&lt;&gt;"",AD285,_xlfn.XLOOKUP(1,(D285&lt;=Table7[End])*(E285=Table7[근무처])*(F285=Table7[업무]),Table7[시급],0,0))</f>
        <v>10680</v>
      </c>
      <c r="AD285" s="95"/>
      <c r="AE285" s="94">
        <f t="shared" si="60"/>
        <v>53400</v>
      </c>
      <c r="AF285" s="96" cm="1">
        <f t="array" ref="AF285">IF(AND(AA285&gt;=15,(AA285-U285*24)&lt;=40),IF(Z285&gt;=_xlfn.XLOOKUP(1,(D285&lt;=Table7[End])*(E285=Table7[근무처])*(F285=Table7[업무]),Table7[주휴적용일],0,0),1,0)+_xlfn.XLOOKUP(1,(Table2[주간]=Table2[[#This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85" s="96" cm="1">
        <f t="array" ref="AG285">MAX((_xlfn.IFS(AF285=0,0,AF285=1,AA285,AF285&gt;1,U285*24)-IF(AA285&gt;40,AA285-40,0))/5,0)</f>
        <v>0</v>
      </c>
      <c r="AH285" s="94">
        <f t="shared" si="61"/>
        <v>0</v>
      </c>
      <c r="AI285" s="33" cm="1">
        <f t="array" ref="AI285">IF(W285="",0,ROUND(AC285*U285*24*_xlfn.XLOOKUP(1,(D285&lt;=Table7[End])*(E285=Table7[근무처])*(F285=Table7[업무]),Table7[휴일인센티브],0,0),0))</f>
        <v>0</v>
      </c>
      <c r="AJ285" s="94" cm="1">
        <f t="array" ref="AJ285">ROUND(AC285*IF(U285&gt;=8/24,U285-8/24,0)*24*_xlfn.XLOOKUP(1,(D285&lt;=Table7[End])*(E285=Table7[근무처])*(F285=Table7[업무]),Table7[야간인센티브],0,0),0)</f>
        <v>0</v>
      </c>
      <c r="AK285" s="94" cm="1">
        <f t="array" ref="AK285">IF(V285=0,0,ROUND(AC285*V285*24*_xlfn.XLOOKUP(1,(D285&lt;=Table7[End])*(E285=Table7[근무처])*(F285=Table7[업무]),Table7[야간인센티브],0,0),0))</f>
        <v>0</v>
      </c>
      <c r="AL285" s="95"/>
      <c r="AM285" s="94">
        <f t="shared" si="62"/>
        <v>53400</v>
      </c>
      <c r="AN285" s="94" cm="1">
        <f t="array" ref="AN285">IF(AM285&gt;=_xlfn.XLOOKUP(TRUE,D285&lt;=Table5[End],Table5[비과세소득기준],0,0),AM285-_xlfn.XLOOKUP(TRUE,D285&lt;=Table5[End],Table5[비과세소득기준],0,0),0)</f>
        <v>0</v>
      </c>
      <c r="AO285" s="94" cm="1">
        <f t="array" ref="AO285">ROUNDDOWN(_xlfn.LET(_xlpm.setvalue,_xlfn.XLOOKUP(TRUE,D285&lt;=Table5[End],Table5[[요율]:[근로소득세액공제]],0,0),_xlpm.tax,AN285*PRODUCT((_xlpm.setvalue-{0,1})*{1,-1}),_xlpm.threshold,_xlfn.XLOOKUP(TRUE,D285&lt;=Table5[End],Table5[소액부징수기준],0,0),IF(_xlpm.tax&gt;=_xlpm.threshold,_xlpm.tax,0)),-1)</f>
        <v>0</v>
      </c>
      <c r="AP285" s="94">
        <f>ROUNDDOWN(Table2[[#This Row],[소득세]]*10%,-1)</f>
        <v>0</v>
      </c>
      <c r="AQ285" s="94">
        <f>IF(AB285="v",AM285+IF(Y285=8,SUMIFS(Table2[지급총액],Table2[주민등록번호],O285,Table2[월],R285,Table2[월간
근무일],"&lt;="&amp;8)-AM285,0),0)+_xlfn.NUMBERVALUE(AR285)</f>
        <v>53400</v>
      </c>
      <c r="AR285" s="95"/>
      <c r="AS285" s="94" cm="1">
        <f t="array" ref="AS285">ROUNDDOWN($AQ285*_xlfn.XLOOKUP(1,(AS$5=Table8[Type])*($D285&lt;=Table8[End]),Table8[요율],0,0),0)</f>
        <v>1893</v>
      </c>
      <c r="AT285" s="94" cm="1">
        <f t="array" ref="AT285">ROUNDDOWN(AS285*_xlfn.XLOOKUP(1,(AT$5=Table8[Type])*($D285&lt;=Table8[End]),Table8[요율],0,0),-1)</f>
        <v>240</v>
      </c>
      <c r="AU285" s="94" cm="1">
        <f t="array" ref="AU285">ROUNDDOWN($AQ285*_xlfn.XLOOKUP(1,(AU$5=Table8[Type])*($D285&lt;=Table8[End]),Table8[요율],0,0),-1)</f>
        <v>2400</v>
      </c>
      <c r="AV285" s="94" cm="1">
        <f t="array" ref="AV285">ROUNDDOWN(AM285*_xlfn.XLOOKUP(1,(AV$5=Table8[Type])*($D285&lt;=Table8[End]),Table8[요율],0,0),-1)</f>
        <v>0</v>
      </c>
      <c r="AW285" s="94" cm="1">
        <f t="array" ref="AW285">_xlfn.XLOOKUP(1,(O285=Table2[주민등록번호])*(D285&gt;Table2[근무일자]),Table2[청구 Claim 
이월],0,0,-1)</f>
        <v>0</v>
      </c>
      <c r="AX285" s="95"/>
      <c r="AY285" s="94" cm="1">
        <f t="array" ref="AY285">MAX(SUM(AO285:AP285,AS285:AX285)-_xlfn.XLOOKUP(1,(D285&lt;=Table7[End])*(E285=Table7[근무처])*(F285=Table7[업무]),Table7[1일 공제 상한],0,0),0)</f>
        <v>0</v>
      </c>
      <c r="AZ285" s="94">
        <f t="shared" si="63"/>
        <v>4533</v>
      </c>
      <c r="BA285" s="94">
        <f t="shared" si="64"/>
        <v>48867</v>
      </c>
      <c r="BB285" s="97">
        <f t="shared" si="65"/>
        <v>0</v>
      </c>
      <c r="BC285" s="98"/>
      <c r="BD285" s="94">
        <f t="shared" si="66"/>
        <v>1893</v>
      </c>
      <c r="BE285" s="94">
        <f t="shared" si="67"/>
        <v>240</v>
      </c>
      <c r="BF285" s="94">
        <f t="shared" si="68"/>
        <v>2400</v>
      </c>
      <c r="BG285" s="94">
        <f t="shared" si="69"/>
        <v>0</v>
      </c>
      <c r="BH285" s="94" cm="1">
        <f t="array" ref="BH285">ROUNDDOWN(AM285*_xlfn.XLOOKUP(1,(BH$5=Table8[Type])*($D285&lt;=Table8[End]),Table8[요율],0,0),-1)</f>
        <v>420</v>
      </c>
      <c r="BI285" s="93" t="str" cm="1">
        <f t="array" ref="BI285">_xlfn.XLOOKUP(1,(D285&lt;=Table7[End])*(E285=Table7[근무처])*(F285=Table7[업무]),Table7[지급옵션],0,0)</f>
        <v>차주 화</v>
      </c>
      <c r="BJ285" s="83">
        <f>IF(BK285&lt;&gt;"",BK285,IFERROR(D285+_xlfn.NUMBERVALUE(RIGHT(BI285,1)),D285-WEEKDAY(D285)+CHOOSE(MATCH(RIGHT(BI285),{"일","월","화","수","목","금","토"},0),8,9,10,11,12,13,14)))</f>
        <v>45846</v>
      </c>
      <c r="BK285" s="99"/>
    </row>
    <row r="286" spans="2:63" x14ac:dyDescent="0.35">
      <c r="B286" s="20" t="str" cm="1">
        <f t="array" ref="B286">_xlfn.IFS(BB286&lt;&gt;BC286,"Claim확인",N286&lt;&gt;"OK","확인필요",TRUE,"")</f>
        <v/>
      </c>
      <c r="C286" s="21" t="str">
        <f t="shared" si="56"/>
        <v>010-3X6X-X4X7757X02XX284249</v>
      </c>
      <c r="D286" s="26">
        <v>45839</v>
      </c>
      <c r="E286" s="91" t="s">
        <v>255</v>
      </c>
      <c r="F286" s="25" t="s">
        <v>258</v>
      </c>
      <c r="G286" s="27" t="s">
        <v>283</v>
      </c>
      <c r="H286" s="25" t="s">
        <v>295</v>
      </c>
      <c r="I286" s="25"/>
      <c r="J286" s="25" t="s">
        <v>296</v>
      </c>
      <c r="K286" s="28">
        <v>0.45833333333333331</v>
      </c>
      <c r="L286" s="28">
        <v>0.83333333333333337</v>
      </c>
      <c r="M286" s="28">
        <v>4.1666666666666664E-2</v>
      </c>
      <c r="N286" s="25" t="s">
        <v>281</v>
      </c>
      <c r="O286" s="29" t="str">
        <f>_xlfn.XLOOKUP(Table2[[#This Row],[Key]],Table1[Key],Table1[주민등록번호],"",0)</f>
        <v>940XX41XX7X32</v>
      </c>
      <c r="P286" s="29">
        <f>_xlfn.XLOOKUP(Table2[[#This Row],[Key]],Table1[Key],Table1[비자],"",0)</f>
        <v>0</v>
      </c>
      <c r="Q286" s="29">
        <f>IF(P286=0,0,_xlfn.XLOOKUP(Table2[[#This Row],[Key]],Table1[Key],Table1[고용보험 여부],0,0))</f>
        <v>0</v>
      </c>
      <c r="R286" s="29" t="str">
        <f t="shared" si="57"/>
        <v>2507</v>
      </c>
      <c r="S286" s="30" t="str">
        <f>YEAR(Table2[[#This Row],[근무일자]])&amp;TEXT(WEEKNUM(Table2[[#This Row],[근무일자]]),"00")</f>
        <v>202527</v>
      </c>
      <c r="T286" s="31">
        <f>_xlfn.XLOOKUP(Table2[[#This Row],[Key]],Table1[Key],Table1[등록일],"",0)</f>
        <v>45751</v>
      </c>
      <c r="U286" s="32">
        <f t="shared" si="58"/>
        <v>0.33333333333333337</v>
      </c>
      <c r="V286" s="92">
        <f t="shared" si="59"/>
        <v>0</v>
      </c>
      <c r="W286" s="100" t="str">
        <f>_xlfn.XLOOKUP(Table2[[#This Row],[근무일자]],Table3[Date],Table3[Holiday],"",0)</f>
        <v/>
      </c>
      <c r="X286" s="93">
        <f>IF(D286&lt;&gt;"",1,0)+IF(COUNTIFS(Table2[주민등록번호],O286,Table2[월],TEXT(EOMONTH(D286,-1),"YYMM"))&gt;0,1+IF(COUNTIFS(Table2[주민등록번호],O286,Table2[월],TEXT(EOMONTH(D286,-2),"YYMM"))&gt;0,1+IF(COUNTIFS(Table2[주민등록번호],O286,Table2[월],TEXT(EOMONTH(D286,-3),"YYMM"))&gt;0,1,0),0),0)</f>
        <v>4</v>
      </c>
      <c r="Y286" s="29">
        <f>COUNTIFS(Table2[주민등록번호],O286,Table2[월],R286,Table2[근무일자],"&lt;="&amp;D286)</f>
        <v>1</v>
      </c>
      <c r="Z286" s="29">
        <f>COUNTIFS(Table2[주민등록번호],O286,Table2[주간],S286,Table2[근무일자],"&lt;="&amp;D286)</f>
        <v>3</v>
      </c>
      <c r="AA286" s="29">
        <f>SUMIFS(Table2[근로
시간],Table2[주민등록번호],O286,Table2[주간],S286,Table2[근무일자],"&lt;="&amp;D286)*24</f>
        <v>21</v>
      </c>
      <c r="AB286" s="29" t="str">
        <f>IF(AND(Y286&gt;=8,COUNTIFS(Table2[주민등록번호],O286,Table2[근무일자],"&gt;="&amp;EOMONTH(D286,-2)+1,Table2[근무일자],"&lt;="&amp;EOMONTH(D286,-1)+1)&gt;0),"V","")</f>
        <v/>
      </c>
      <c r="AC286" s="94" cm="1">
        <f t="array" ref="AC286">IF(AD286&lt;&gt;"",AD286,_xlfn.XLOOKUP(1,(D286&lt;=Table7[End])*(E286=Table7[근무처])*(F286=Table7[업무]),Table7[시급],0,0))</f>
        <v>10680</v>
      </c>
      <c r="AD286" s="95"/>
      <c r="AE286" s="94">
        <f t="shared" si="60"/>
        <v>85440</v>
      </c>
      <c r="AF286" s="96" cm="1">
        <f t="array" ref="AF286">IF(AND(AA286&gt;=15,(AA286-U286*24)&lt;=40),IF(Z286&gt;=_xlfn.XLOOKUP(1,(D286&lt;=Table7[End])*(E286=Table7[근무처])*(F286=Table7[업무]),Table7[주휴적용일],0,0),1,0)+_xlfn.XLOOKUP(1,(Table2[주간]=Table2[[#This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86" s="96" cm="1">
        <f t="array" ref="AG286">MAX((_xlfn.IFS(AF286=0,0,AF286=1,AA286,AF286&gt;1,U286*24)-IF(AA286&gt;40,AA286-40,0))/5,0)</f>
        <v>4.2</v>
      </c>
      <c r="AH286" s="94">
        <f t="shared" si="61"/>
        <v>44856</v>
      </c>
      <c r="AI286" s="33" cm="1">
        <f t="array" ref="AI286">IF(W286="",0,ROUND(AC286*U286*24*_xlfn.XLOOKUP(1,(D286&lt;=Table7[End])*(E286=Table7[근무처])*(F286=Table7[업무]),Table7[휴일인센티브],0,0),0))</f>
        <v>0</v>
      </c>
      <c r="AJ286" s="94" cm="1">
        <f t="array" ref="AJ286">ROUND(AC286*IF(U286&gt;=8/24,U286-8/24,0)*24*_xlfn.XLOOKUP(1,(D286&lt;=Table7[End])*(E286=Table7[근무처])*(F286=Table7[업무]),Table7[야간인센티브],0,0),0)</f>
        <v>0</v>
      </c>
      <c r="AK286" s="94" cm="1">
        <f t="array" ref="AK286">IF(V286=0,0,ROUND(AC286*V286*24*_xlfn.XLOOKUP(1,(D286&lt;=Table7[End])*(E286=Table7[근무처])*(F286=Table7[업무]),Table7[야간인센티브],0,0),0))</f>
        <v>0</v>
      </c>
      <c r="AL286" s="95"/>
      <c r="AM286" s="94">
        <f t="shared" si="62"/>
        <v>130296</v>
      </c>
      <c r="AN286" s="94" cm="1">
        <f t="array" ref="AN286">IF(AM286&gt;=_xlfn.XLOOKUP(TRUE,D286&lt;=Table5[End],Table5[비과세소득기준],0,0),AM286-_xlfn.XLOOKUP(TRUE,D286&lt;=Table5[End],Table5[비과세소득기준],0,0),0)</f>
        <v>0</v>
      </c>
      <c r="AO286" s="94" cm="1">
        <f t="array" ref="AO286">ROUNDDOWN(_xlfn.LET(_xlpm.setvalue,_xlfn.XLOOKUP(TRUE,D286&lt;=Table5[End],Table5[[요율]:[근로소득세액공제]],0,0),_xlpm.tax,AN286*PRODUCT((_xlpm.setvalue-{0,1})*{1,-1}),_xlpm.threshold,_xlfn.XLOOKUP(TRUE,D286&lt;=Table5[End],Table5[소액부징수기준],0,0),IF(_xlpm.tax&gt;=_xlpm.threshold,_xlpm.tax,0)),-1)</f>
        <v>0</v>
      </c>
      <c r="AP286" s="94">
        <f>ROUNDDOWN(Table2[[#This Row],[소득세]]*10%,-1)</f>
        <v>0</v>
      </c>
      <c r="AQ286" s="94">
        <f>IF(AB286="v",AM286+IF(Y286=8,SUMIFS(Table2[지급총액],Table2[주민등록번호],O286,Table2[월],R286,Table2[월간
근무일],"&lt;="&amp;8)-AM286,0),0)+_xlfn.NUMBERVALUE(AR286)</f>
        <v>0</v>
      </c>
      <c r="AR286" s="95"/>
      <c r="AS286" s="94" cm="1">
        <f t="array" ref="AS286">ROUNDDOWN($AQ286*_xlfn.XLOOKUP(1,(AS$5=Table8[Type])*($D286&lt;=Table8[End]),Table8[요율],0,0),0)</f>
        <v>0</v>
      </c>
      <c r="AT286" s="94" cm="1">
        <f t="array" ref="AT286">ROUNDDOWN(AS286*_xlfn.XLOOKUP(1,(AT$5=Table8[Type])*($D286&lt;=Table8[End]),Table8[요율],0,0),-1)</f>
        <v>0</v>
      </c>
      <c r="AU286" s="94" cm="1">
        <f t="array" ref="AU286">ROUNDDOWN($AQ286*_xlfn.XLOOKUP(1,(AU$5=Table8[Type])*($D286&lt;=Table8[End]),Table8[요율],0,0),-1)</f>
        <v>0</v>
      </c>
      <c r="AV286" s="94" cm="1">
        <f t="array" ref="AV286">ROUNDDOWN(AM286*_xlfn.XLOOKUP(1,(AV$5=Table8[Type])*($D286&lt;=Table8[End]),Table8[요율],0,0),-1)</f>
        <v>0</v>
      </c>
      <c r="AW286" s="94" cm="1">
        <f t="array" ref="AW286">_xlfn.XLOOKUP(1,(O286=Table2[주민등록번호])*(D286&gt;Table2[근무일자]),Table2[청구 Claim 
이월],0,0,-1)</f>
        <v>0</v>
      </c>
      <c r="AX286" s="95"/>
      <c r="AY286" s="94" cm="1">
        <f t="array" ref="AY286">MAX(SUM(AO286:AP286,AS286:AX286)-_xlfn.XLOOKUP(1,(D286&lt;=Table7[End])*(E286=Table7[근무처])*(F286=Table7[업무]),Table7[1일 공제 상한],0,0),0)</f>
        <v>0</v>
      </c>
      <c r="AZ286" s="94">
        <f t="shared" si="63"/>
        <v>0</v>
      </c>
      <c r="BA286" s="94">
        <f t="shared" si="64"/>
        <v>130296</v>
      </c>
      <c r="BB286" s="97">
        <f t="shared" si="65"/>
        <v>0</v>
      </c>
      <c r="BC286" s="98"/>
      <c r="BD286" s="94">
        <f t="shared" si="66"/>
        <v>0</v>
      </c>
      <c r="BE286" s="94">
        <f t="shared" si="67"/>
        <v>0</v>
      </c>
      <c r="BF286" s="94">
        <f t="shared" si="68"/>
        <v>0</v>
      </c>
      <c r="BG286" s="94">
        <f t="shared" si="69"/>
        <v>0</v>
      </c>
      <c r="BH286" s="94" cm="1">
        <f t="array" ref="BH286">ROUNDDOWN(AM286*_xlfn.XLOOKUP(1,(BH$5=Table8[Type])*($D286&lt;=Table8[End]),Table8[요율],0,0),-1)</f>
        <v>1040</v>
      </c>
      <c r="BI286" s="93" t="str" cm="1">
        <f t="array" ref="BI286">_xlfn.XLOOKUP(1,(D286&lt;=Table7[End])*(E286=Table7[근무처])*(F286=Table7[업무]),Table7[지급옵션],0,0)</f>
        <v>차주 화</v>
      </c>
      <c r="BJ286" s="83">
        <f>IF(BK286&lt;&gt;"",BK286,IFERROR(D286+_xlfn.NUMBERVALUE(RIGHT(BI286,1)),D286-WEEKDAY(D286)+CHOOSE(MATCH(RIGHT(BI286),{"일","월","화","수","목","금","토"},0),8,9,10,11,12,13,14)))</f>
        <v>45846</v>
      </c>
      <c r="BK286" s="99"/>
    </row>
    <row r="287" spans="2:63" x14ac:dyDescent="0.35">
      <c r="B287" s="20" t="str" cm="1">
        <f t="array" ref="B287">_xlfn.IFS(BB287&lt;&gt;BC287,"Claim확인",N287&lt;&gt;"OK","확인필요",TRUE,"")</f>
        <v/>
      </c>
      <c r="C287" s="21" t="str">
        <f t="shared" si="56"/>
        <v>010-3X6X-X4X7757X02XX284249</v>
      </c>
      <c r="D287" s="26">
        <v>45840</v>
      </c>
      <c r="E287" s="91" t="s">
        <v>255</v>
      </c>
      <c r="F287" s="25" t="s">
        <v>258</v>
      </c>
      <c r="G287" s="27" t="s">
        <v>283</v>
      </c>
      <c r="H287" s="25" t="s">
        <v>295</v>
      </c>
      <c r="I287" s="25"/>
      <c r="J287" s="25" t="s">
        <v>296</v>
      </c>
      <c r="K287" s="28">
        <v>0.45833333333333331</v>
      </c>
      <c r="L287" s="28">
        <v>0.83333333333333337</v>
      </c>
      <c r="M287" s="28">
        <v>4.1666666666666664E-2</v>
      </c>
      <c r="N287" s="25" t="s">
        <v>281</v>
      </c>
      <c r="O287" s="29" t="str">
        <f>_xlfn.XLOOKUP(Table2[[#This Row],[Key]],Table1[Key],Table1[주민등록번호],"",0)</f>
        <v>940XX41XX7X32</v>
      </c>
      <c r="P287" s="29">
        <f>_xlfn.XLOOKUP(Table2[[#This Row],[Key]],Table1[Key],Table1[비자],"",0)</f>
        <v>0</v>
      </c>
      <c r="Q287" s="29">
        <f>IF(P287=0,0,_xlfn.XLOOKUP(Table2[[#This Row],[Key]],Table1[Key],Table1[고용보험 여부],0,0))</f>
        <v>0</v>
      </c>
      <c r="R287" s="29" t="str">
        <f t="shared" si="57"/>
        <v>2507</v>
      </c>
      <c r="S287" s="30" t="str">
        <f>YEAR(Table2[[#This Row],[근무일자]])&amp;TEXT(WEEKNUM(Table2[[#This Row],[근무일자]]),"00")</f>
        <v>202527</v>
      </c>
      <c r="T287" s="31">
        <f>_xlfn.XLOOKUP(Table2[[#This Row],[Key]],Table1[Key],Table1[등록일],"",0)</f>
        <v>45751</v>
      </c>
      <c r="U287" s="32">
        <f t="shared" si="58"/>
        <v>0.33333333333333337</v>
      </c>
      <c r="V287" s="92">
        <f t="shared" si="59"/>
        <v>0</v>
      </c>
      <c r="W287" s="100" t="str">
        <f>_xlfn.XLOOKUP(Table2[[#This Row],[근무일자]],Table3[Date],Table3[Holiday],"",0)</f>
        <v/>
      </c>
      <c r="X287" s="93">
        <f>IF(D287&lt;&gt;"",1,0)+IF(COUNTIFS(Table2[주민등록번호],O287,Table2[월],TEXT(EOMONTH(D287,-1),"YYMM"))&gt;0,1+IF(COUNTIFS(Table2[주민등록번호],O287,Table2[월],TEXT(EOMONTH(D287,-2),"YYMM"))&gt;0,1+IF(COUNTIFS(Table2[주민등록번호],O287,Table2[월],TEXT(EOMONTH(D287,-3),"YYMM"))&gt;0,1,0),0),0)</f>
        <v>4</v>
      </c>
      <c r="Y287" s="29">
        <f>COUNTIFS(Table2[주민등록번호],O287,Table2[월],R287,Table2[근무일자],"&lt;="&amp;D287)</f>
        <v>2</v>
      </c>
      <c r="Z287" s="29">
        <f>COUNTIFS(Table2[주민등록번호],O287,Table2[주간],S287,Table2[근무일자],"&lt;="&amp;D287)</f>
        <v>4</v>
      </c>
      <c r="AA287" s="29">
        <f>SUMIFS(Table2[근로
시간],Table2[주민등록번호],O287,Table2[주간],S287,Table2[근무일자],"&lt;="&amp;D287)*24</f>
        <v>29.000000000000004</v>
      </c>
      <c r="AB287" s="29" t="str">
        <f>IF(AND(Y287&gt;=8,COUNTIFS(Table2[주민등록번호],O287,Table2[근무일자],"&gt;="&amp;EOMONTH(D287,-2)+1,Table2[근무일자],"&lt;="&amp;EOMONTH(D287,-1)+1)&gt;0),"V","")</f>
        <v/>
      </c>
      <c r="AC287" s="94" cm="1">
        <f t="array" ref="AC287">IF(AD287&lt;&gt;"",AD287,_xlfn.XLOOKUP(1,(D287&lt;=Table7[End])*(E287=Table7[근무처])*(F287=Table7[업무]),Table7[시급],0,0))</f>
        <v>10680</v>
      </c>
      <c r="AD287" s="95"/>
      <c r="AE287" s="94">
        <f t="shared" si="60"/>
        <v>85440</v>
      </c>
      <c r="AF287" s="96" cm="1">
        <f t="array" ref="AF287">IF(AND(AA287&gt;=15,(AA287-U287*24)&lt;=40),IF(Z287&gt;=_xlfn.XLOOKUP(1,(D287&lt;=Table7[End])*(E287=Table7[근무처])*(F287=Table7[업무]),Table7[주휴적용일],0,0),1,0)+_xlfn.XLOOKUP(1,(Table2[주간]=Table2[[#This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87" s="96" cm="1">
        <f t="array" ref="AG287">MAX((_xlfn.IFS(AF287=0,0,AF287=1,AA287,AF287&gt;1,U287*24)-IF(AA287&gt;40,AA287-40,0))/5,0)</f>
        <v>1.6</v>
      </c>
      <c r="AH287" s="94">
        <f t="shared" si="61"/>
        <v>17088</v>
      </c>
      <c r="AI287" s="33" cm="1">
        <f t="array" ref="AI287">IF(W287="",0,ROUND(AC287*U287*24*_xlfn.XLOOKUP(1,(D287&lt;=Table7[End])*(E287=Table7[근무처])*(F287=Table7[업무]),Table7[휴일인센티브],0,0),0))</f>
        <v>0</v>
      </c>
      <c r="AJ287" s="94" cm="1">
        <f t="array" ref="AJ287">ROUND(AC287*IF(U287&gt;=8/24,U287-8/24,0)*24*_xlfn.XLOOKUP(1,(D287&lt;=Table7[End])*(E287=Table7[근무처])*(F287=Table7[업무]),Table7[야간인센티브],0,0),0)</f>
        <v>0</v>
      </c>
      <c r="AK287" s="94" cm="1">
        <f t="array" ref="AK287">IF(V287=0,0,ROUND(AC287*V287*24*_xlfn.XLOOKUP(1,(D287&lt;=Table7[End])*(E287=Table7[근무처])*(F287=Table7[업무]),Table7[야간인센티브],0,0),0))</f>
        <v>0</v>
      </c>
      <c r="AL287" s="95"/>
      <c r="AM287" s="94">
        <f t="shared" si="62"/>
        <v>102528</v>
      </c>
      <c r="AN287" s="94" cm="1">
        <f t="array" ref="AN287">IF(AM287&gt;=_xlfn.XLOOKUP(TRUE,D287&lt;=Table5[End],Table5[비과세소득기준],0,0),AM287-_xlfn.XLOOKUP(TRUE,D287&lt;=Table5[End],Table5[비과세소득기준],0,0),0)</f>
        <v>0</v>
      </c>
      <c r="AO287" s="94" cm="1">
        <f t="array" ref="AO287">ROUNDDOWN(_xlfn.LET(_xlpm.setvalue,_xlfn.XLOOKUP(TRUE,D287&lt;=Table5[End],Table5[[요율]:[근로소득세액공제]],0,0),_xlpm.tax,AN287*PRODUCT((_xlpm.setvalue-{0,1})*{1,-1}),_xlpm.threshold,_xlfn.XLOOKUP(TRUE,D287&lt;=Table5[End],Table5[소액부징수기준],0,0),IF(_xlpm.tax&gt;=_xlpm.threshold,_xlpm.tax,0)),-1)</f>
        <v>0</v>
      </c>
      <c r="AP287" s="94">
        <f>ROUNDDOWN(Table2[[#This Row],[소득세]]*10%,-1)</f>
        <v>0</v>
      </c>
      <c r="AQ287" s="94">
        <f>IF(AB287="v",AM287+IF(Y287=8,SUMIFS(Table2[지급총액],Table2[주민등록번호],O287,Table2[월],R287,Table2[월간
근무일],"&lt;="&amp;8)-AM287,0),0)+_xlfn.NUMBERVALUE(AR287)</f>
        <v>0</v>
      </c>
      <c r="AR287" s="95"/>
      <c r="AS287" s="94" cm="1">
        <f t="array" ref="AS287">ROUNDDOWN($AQ287*_xlfn.XLOOKUP(1,(AS$5=Table8[Type])*($D287&lt;=Table8[End]),Table8[요율],0,0),0)</f>
        <v>0</v>
      </c>
      <c r="AT287" s="94" cm="1">
        <f t="array" ref="AT287">ROUNDDOWN(AS287*_xlfn.XLOOKUP(1,(AT$5=Table8[Type])*($D287&lt;=Table8[End]),Table8[요율],0,0),-1)</f>
        <v>0</v>
      </c>
      <c r="AU287" s="94" cm="1">
        <f t="array" ref="AU287">ROUNDDOWN($AQ287*_xlfn.XLOOKUP(1,(AU$5=Table8[Type])*($D287&lt;=Table8[End]),Table8[요율],0,0),-1)</f>
        <v>0</v>
      </c>
      <c r="AV287" s="94" cm="1">
        <f t="array" ref="AV287">ROUNDDOWN(AM287*_xlfn.XLOOKUP(1,(AV$5=Table8[Type])*($D287&lt;=Table8[End]),Table8[요율],0,0),-1)</f>
        <v>0</v>
      </c>
      <c r="AW287" s="94" cm="1">
        <f t="array" ref="AW287">_xlfn.XLOOKUP(1,(O287=Table2[주민등록번호])*(D287&gt;Table2[근무일자]),Table2[청구 Claim 
이월],0,0,-1)</f>
        <v>0</v>
      </c>
      <c r="AX287" s="95"/>
      <c r="AY287" s="94" cm="1">
        <f t="array" ref="AY287">MAX(SUM(AO287:AP287,AS287:AX287)-_xlfn.XLOOKUP(1,(D287&lt;=Table7[End])*(E287=Table7[근무처])*(F287=Table7[업무]),Table7[1일 공제 상한],0,0),0)</f>
        <v>0</v>
      </c>
      <c r="AZ287" s="94">
        <f t="shared" si="63"/>
        <v>0</v>
      </c>
      <c r="BA287" s="94">
        <f t="shared" si="64"/>
        <v>102528</v>
      </c>
      <c r="BB287" s="97">
        <f t="shared" si="65"/>
        <v>0</v>
      </c>
      <c r="BC287" s="98"/>
      <c r="BD287" s="94">
        <f t="shared" si="66"/>
        <v>0</v>
      </c>
      <c r="BE287" s="94">
        <f t="shared" si="67"/>
        <v>0</v>
      </c>
      <c r="BF287" s="94">
        <f t="shared" si="68"/>
        <v>0</v>
      </c>
      <c r="BG287" s="94">
        <f t="shared" si="69"/>
        <v>0</v>
      </c>
      <c r="BH287" s="94" cm="1">
        <f t="array" ref="BH287">ROUNDDOWN(AM287*_xlfn.XLOOKUP(1,(BH$5=Table8[Type])*($D287&lt;=Table8[End]),Table8[요율],0,0),-1)</f>
        <v>820</v>
      </c>
      <c r="BI287" s="93" t="str" cm="1">
        <f t="array" ref="BI287">_xlfn.XLOOKUP(1,(D287&lt;=Table7[End])*(E287=Table7[근무처])*(F287=Table7[업무]),Table7[지급옵션],0,0)</f>
        <v>차주 화</v>
      </c>
      <c r="BJ287" s="83">
        <f>IF(BK287&lt;&gt;"",BK287,IFERROR(D287+_xlfn.NUMBERVALUE(RIGHT(BI287,1)),D287-WEEKDAY(D287)+CHOOSE(MATCH(RIGHT(BI287),{"일","월","화","수","목","금","토"},0),8,9,10,11,12,13,14)))</f>
        <v>45846</v>
      </c>
      <c r="BK287" s="99"/>
    </row>
    <row r="288" spans="2:63" x14ac:dyDescent="0.35">
      <c r="B288" s="20" t="str" cm="1">
        <f t="array" ref="B288">_xlfn.IFS(BB288&lt;&gt;BC288,"Claim확인",N288&lt;&gt;"OK","확인필요",TRUE,"")</f>
        <v/>
      </c>
      <c r="C288" s="21" t="str">
        <f t="shared" si="56"/>
        <v>010-3X6X-X4X7757X02XX284249</v>
      </c>
      <c r="D288" s="26">
        <v>45841</v>
      </c>
      <c r="E288" s="91" t="s">
        <v>255</v>
      </c>
      <c r="F288" s="25" t="s">
        <v>258</v>
      </c>
      <c r="G288" s="27" t="s">
        <v>283</v>
      </c>
      <c r="H288" s="25" t="s">
        <v>295</v>
      </c>
      <c r="I288" s="25"/>
      <c r="J288" s="25" t="s">
        <v>296</v>
      </c>
      <c r="K288" s="28">
        <v>0.45833333333333331</v>
      </c>
      <c r="L288" s="28">
        <v>0.83333333333333337</v>
      </c>
      <c r="M288" s="28">
        <v>4.1666666666666664E-2</v>
      </c>
      <c r="N288" s="25" t="s">
        <v>281</v>
      </c>
      <c r="O288" s="29" t="str">
        <f>_xlfn.XLOOKUP(Table2[[#This Row],[Key]],Table1[Key],Table1[주민등록번호],"",0)</f>
        <v>940XX41XX7X32</v>
      </c>
      <c r="P288" s="29">
        <f>_xlfn.XLOOKUP(Table2[[#This Row],[Key]],Table1[Key],Table1[비자],"",0)</f>
        <v>0</v>
      </c>
      <c r="Q288" s="29">
        <f>IF(P288=0,0,_xlfn.XLOOKUP(Table2[[#This Row],[Key]],Table1[Key],Table1[고용보험 여부],0,0))</f>
        <v>0</v>
      </c>
      <c r="R288" s="29" t="str">
        <f t="shared" si="57"/>
        <v>2507</v>
      </c>
      <c r="S288" s="30" t="str">
        <f>YEAR(Table2[[#This Row],[근무일자]])&amp;TEXT(WEEKNUM(Table2[[#This Row],[근무일자]]),"00")</f>
        <v>202527</v>
      </c>
      <c r="T288" s="31">
        <f>_xlfn.XLOOKUP(Table2[[#This Row],[Key]],Table1[Key],Table1[등록일],"",0)</f>
        <v>45751</v>
      </c>
      <c r="U288" s="32">
        <f t="shared" si="58"/>
        <v>0.33333333333333337</v>
      </c>
      <c r="V288" s="92">
        <f t="shared" si="59"/>
        <v>0</v>
      </c>
      <c r="W288" s="100" t="str">
        <f>_xlfn.XLOOKUP(Table2[[#This Row],[근무일자]],Table3[Date],Table3[Holiday],"",0)</f>
        <v/>
      </c>
      <c r="X288" s="93">
        <f>IF(D288&lt;&gt;"",1,0)+IF(COUNTIFS(Table2[주민등록번호],O288,Table2[월],TEXT(EOMONTH(D288,-1),"YYMM"))&gt;0,1+IF(COUNTIFS(Table2[주민등록번호],O288,Table2[월],TEXT(EOMONTH(D288,-2),"YYMM"))&gt;0,1+IF(COUNTIFS(Table2[주민등록번호],O288,Table2[월],TEXT(EOMONTH(D288,-3),"YYMM"))&gt;0,1,0),0),0)</f>
        <v>4</v>
      </c>
      <c r="Y288" s="29">
        <f>COUNTIFS(Table2[주민등록번호],O288,Table2[월],R288,Table2[근무일자],"&lt;="&amp;D288)</f>
        <v>3</v>
      </c>
      <c r="Z288" s="29">
        <f>COUNTIFS(Table2[주민등록번호],O288,Table2[주간],S288,Table2[근무일자],"&lt;="&amp;D288)</f>
        <v>5</v>
      </c>
      <c r="AA288" s="29">
        <f>SUMIFS(Table2[근로
시간],Table2[주민등록번호],O288,Table2[주간],S288,Table2[근무일자],"&lt;="&amp;D288)*24</f>
        <v>37.000000000000007</v>
      </c>
      <c r="AB288" s="29" t="str">
        <f>IF(AND(Y288&gt;=8,COUNTIFS(Table2[주민등록번호],O288,Table2[근무일자],"&gt;="&amp;EOMONTH(D288,-2)+1,Table2[근무일자],"&lt;="&amp;EOMONTH(D288,-1)+1)&gt;0),"V","")</f>
        <v/>
      </c>
      <c r="AC288" s="94" cm="1">
        <f t="array" ref="AC288">IF(AD288&lt;&gt;"",AD288,_xlfn.XLOOKUP(1,(D288&lt;=Table7[End])*(E288=Table7[근무처])*(F288=Table7[업무]),Table7[시급],0,0))</f>
        <v>10680</v>
      </c>
      <c r="AD288" s="95"/>
      <c r="AE288" s="94">
        <f t="shared" si="60"/>
        <v>85440</v>
      </c>
      <c r="AF288" s="96" cm="1">
        <f t="array" ref="AF288">IF(AND(AA288&gt;=15,(AA288-U288*24)&lt;=40),IF(Z288&gt;=_xlfn.XLOOKUP(1,(D288&lt;=Table7[End])*(E288=Table7[근무처])*(F288=Table7[업무]),Table7[주휴적용일],0,0),1,0)+_xlfn.XLOOKUP(1,(Table2[주간]=Table2[[#This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88" s="96" cm="1">
        <f t="array" ref="AG288">MAX((_xlfn.IFS(AF288=0,0,AF288=1,AA288,AF288&gt;1,U288*24)-IF(AA288&gt;40,AA288-40,0))/5,0)</f>
        <v>1.6</v>
      </c>
      <c r="AH288" s="94">
        <f t="shared" si="61"/>
        <v>17088</v>
      </c>
      <c r="AI288" s="33" cm="1">
        <f t="array" ref="AI288">IF(W288="",0,ROUND(AC288*U288*24*_xlfn.XLOOKUP(1,(D288&lt;=Table7[End])*(E288=Table7[근무처])*(F288=Table7[업무]),Table7[휴일인센티브],0,0),0))</f>
        <v>0</v>
      </c>
      <c r="AJ288" s="94" cm="1">
        <f t="array" ref="AJ288">ROUND(AC288*IF(U288&gt;=8/24,U288-8/24,0)*24*_xlfn.XLOOKUP(1,(D288&lt;=Table7[End])*(E288=Table7[근무처])*(F288=Table7[업무]),Table7[야간인센티브],0,0),0)</f>
        <v>0</v>
      </c>
      <c r="AK288" s="94" cm="1">
        <f t="array" ref="AK288">IF(V288=0,0,ROUND(AC288*V288*24*_xlfn.XLOOKUP(1,(D288&lt;=Table7[End])*(E288=Table7[근무처])*(F288=Table7[업무]),Table7[야간인센티브],0,0),0))</f>
        <v>0</v>
      </c>
      <c r="AL288" s="95"/>
      <c r="AM288" s="94">
        <f t="shared" si="62"/>
        <v>102528</v>
      </c>
      <c r="AN288" s="94" cm="1">
        <f t="array" ref="AN288">IF(AM288&gt;=_xlfn.XLOOKUP(TRUE,D288&lt;=Table5[End],Table5[비과세소득기준],0,0),AM288-_xlfn.XLOOKUP(TRUE,D288&lt;=Table5[End],Table5[비과세소득기준],0,0),0)</f>
        <v>0</v>
      </c>
      <c r="AO288" s="94" cm="1">
        <f t="array" ref="AO288">ROUNDDOWN(_xlfn.LET(_xlpm.setvalue,_xlfn.XLOOKUP(TRUE,D288&lt;=Table5[End],Table5[[요율]:[근로소득세액공제]],0,0),_xlpm.tax,AN288*PRODUCT((_xlpm.setvalue-{0,1})*{1,-1}),_xlpm.threshold,_xlfn.XLOOKUP(TRUE,D288&lt;=Table5[End],Table5[소액부징수기준],0,0),IF(_xlpm.tax&gt;=_xlpm.threshold,_xlpm.tax,0)),-1)</f>
        <v>0</v>
      </c>
      <c r="AP288" s="94">
        <f>ROUNDDOWN(Table2[[#This Row],[소득세]]*10%,-1)</f>
        <v>0</v>
      </c>
      <c r="AQ288" s="94">
        <f>IF(AB288="v",AM288+IF(Y288=8,SUMIFS(Table2[지급총액],Table2[주민등록번호],O288,Table2[월],R288,Table2[월간
근무일],"&lt;="&amp;8)-AM288,0),0)+_xlfn.NUMBERVALUE(AR288)</f>
        <v>0</v>
      </c>
      <c r="AR288" s="95"/>
      <c r="AS288" s="94" cm="1">
        <f t="array" ref="AS288">ROUNDDOWN($AQ288*_xlfn.XLOOKUP(1,(AS$5=Table8[Type])*($D288&lt;=Table8[End]),Table8[요율],0,0),0)</f>
        <v>0</v>
      </c>
      <c r="AT288" s="94" cm="1">
        <f t="array" ref="AT288">ROUNDDOWN(AS288*_xlfn.XLOOKUP(1,(AT$5=Table8[Type])*($D288&lt;=Table8[End]),Table8[요율],0,0),-1)</f>
        <v>0</v>
      </c>
      <c r="AU288" s="94" cm="1">
        <f t="array" ref="AU288">ROUNDDOWN($AQ288*_xlfn.XLOOKUP(1,(AU$5=Table8[Type])*($D288&lt;=Table8[End]),Table8[요율],0,0),-1)</f>
        <v>0</v>
      </c>
      <c r="AV288" s="94" cm="1">
        <f t="array" ref="AV288">ROUNDDOWN(AM288*_xlfn.XLOOKUP(1,(AV$5=Table8[Type])*($D288&lt;=Table8[End]),Table8[요율],0,0),-1)</f>
        <v>0</v>
      </c>
      <c r="AW288" s="94" cm="1">
        <f t="array" ref="AW288">_xlfn.XLOOKUP(1,(O288=Table2[주민등록번호])*(D288&gt;Table2[근무일자]),Table2[청구 Claim 
이월],0,0,-1)</f>
        <v>0</v>
      </c>
      <c r="AX288" s="95"/>
      <c r="AY288" s="94" cm="1">
        <f t="array" ref="AY288">MAX(SUM(AO288:AP288,AS288:AX288)-_xlfn.XLOOKUP(1,(D288&lt;=Table7[End])*(E288=Table7[근무처])*(F288=Table7[업무]),Table7[1일 공제 상한],0,0),0)</f>
        <v>0</v>
      </c>
      <c r="AZ288" s="94">
        <f t="shared" si="63"/>
        <v>0</v>
      </c>
      <c r="BA288" s="94">
        <f t="shared" si="64"/>
        <v>102528</v>
      </c>
      <c r="BB288" s="97">
        <f t="shared" si="65"/>
        <v>0</v>
      </c>
      <c r="BC288" s="98"/>
      <c r="BD288" s="94">
        <f t="shared" si="66"/>
        <v>0</v>
      </c>
      <c r="BE288" s="94">
        <f t="shared" si="67"/>
        <v>0</v>
      </c>
      <c r="BF288" s="94">
        <f t="shared" si="68"/>
        <v>0</v>
      </c>
      <c r="BG288" s="94">
        <f t="shared" si="69"/>
        <v>0</v>
      </c>
      <c r="BH288" s="94" cm="1">
        <f t="array" ref="BH288">ROUNDDOWN(AM288*_xlfn.XLOOKUP(1,(BH$5=Table8[Type])*($D288&lt;=Table8[End]),Table8[요율],0,0),-1)</f>
        <v>820</v>
      </c>
      <c r="BI288" s="93" t="str" cm="1">
        <f t="array" ref="BI288">_xlfn.XLOOKUP(1,(D288&lt;=Table7[End])*(E288=Table7[근무처])*(F288=Table7[업무]),Table7[지급옵션],0,0)</f>
        <v>차주 화</v>
      </c>
      <c r="BJ288" s="83">
        <f>IF(BK288&lt;&gt;"",BK288,IFERROR(D288+_xlfn.NUMBERVALUE(RIGHT(BI288,1)),D288-WEEKDAY(D288)+CHOOSE(MATCH(RIGHT(BI288),{"일","월","화","수","목","금","토"},0),8,9,10,11,12,13,14)))</f>
        <v>45846</v>
      </c>
      <c r="BK288" s="99"/>
    </row>
    <row r="289" spans="2:63" x14ac:dyDescent="0.35">
      <c r="B289" s="20" t="str" cm="1">
        <f t="array" ref="B289">_xlfn.IFS(BB289&lt;&gt;BC289,"Claim확인",N289&lt;&gt;"OK","확인필요",TRUE,"")</f>
        <v/>
      </c>
      <c r="C289" s="21" t="str">
        <f t="shared" si="56"/>
        <v>010-3X6X-X4X7757X02XX284249</v>
      </c>
      <c r="D289" s="26">
        <v>45842</v>
      </c>
      <c r="E289" s="91" t="s">
        <v>255</v>
      </c>
      <c r="F289" s="25" t="s">
        <v>258</v>
      </c>
      <c r="G289" s="27" t="s">
        <v>283</v>
      </c>
      <c r="H289" s="25" t="s">
        <v>295</v>
      </c>
      <c r="I289" s="25"/>
      <c r="J289" s="25" t="s">
        <v>296</v>
      </c>
      <c r="K289" s="28">
        <v>0.45833333333333331</v>
      </c>
      <c r="L289" s="28">
        <v>0.83333333333333337</v>
      </c>
      <c r="M289" s="28">
        <v>4.1666666666666664E-2</v>
      </c>
      <c r="N289" s="25" t="s">
        <v>281</v>
      </c>
      <c r="O289" s="29" t="str">
        <f>_xlfn.XLOOKUP(Table2[[#This Row],[Key]],Table1[Key],Table1[주민등록번호],"",0)</f>
        <v>940XX41XX7X32</v>
      </c>
      <c r="P289" s="29">
        <f>_xlfn.XLOOKUP(Table2[[#This Row],[Key]],Table1[Key],Table1[비자],"",0)</f>
        <v>0</v>
      </c>
      <c r="Q289" s="29">
        <f>IF(P289=0,0,_xlfn.XLOOKUP(Table2[[#This Row],[Key]],Table1[Key],Table1[고용보험 여부],0,0))</f>
        <v>0</v>
      </c>
      <c r="R289" s="29" t="str">
        <f t="shared" si="57"/>
        <v>2507</v>
      </c>
      <c r="S289" s="30" t="str">
        <f>YEAR(Table2[[#This Row],[근무일자]])&amp;TEXT(WEEKNUM(Table2[[#This Row],[근무일자]]),"00")</f>
        <v>202527</v>
      </c>
      <c r="T289" s="31">
        <f>_xlfn.XLOOKUP(Table2[[#This Row],[Key]],Table1[Key],Table1[등록일],"",0)</f>
        <v>45751</v>
      </c>
      <c r="U289" s="32">
        <f t="shared" si="58"/>
        <v>0.33333333333333337</v>
      </c>
      <c r="V289" s="92">
        <f t="shared" si="59"/>
        <v>0</v>
      </c>
      <c r="W289" s="100" t="str">
        <f>_xlfn.XLOOKUP(Table2[[#This Row],[근무일자]],Table3[Date],Table3[Holiday],"",0)</f>
        <v/>
      </c>
      <c r="X289" s="93">
        <f>IF(D289&lt;&gt;"",1,0)+IF(COUNTIFS(Table2[주민등록번호],O289,Table2[월],TEXT(EOMONTH(D289,-1),"YYMM"))&gt;0,1+IF(COUNTIFS(Table2[주민등록번호],O289,Table2[월],TEXT(EOMONTH(D289,-2),"YYMM"))&gt;0,1+IF(COUNTIFS(Table2[주민등록번호],O289,Table2[월],TEXT(EOMONTH(D289,-3),"YYMM"))&gt;0,1,0),0),0)</f>
        <v>4</v>
      </c>
      <c r="Y289" s="29">
        <f>COUNTIFS(Table2[주민등록번호],O289,Table2[월],R289,Table2[근무일자],"&lt;="&amp;D289)</f>
        <v>4</v>
      </c>
      <c r="Z289" s="29">
        <f>COUNTIFS(Table2[주민등록번호],O289,Table2[주간],S289,Table2[근무일자],"&lt;="&amp;D289)</f>
        <v>6</v>
      </c>
      <c r="AA289" s="29">
        <f>SUMIFS(Table2[근로
시간],Table2[주민등록번호],O289,Table2[주간],S289,Table2[근무일자],"&lt;="&amp;D289)*24</f>
        <v>45.000000000000014</v>
      </c>
      <c r="AB289" s="29" t="str">
        <f>IF(AND(Y289&gt;=8,COUNTIFS(Table2[주민등록번호],O289,Table2[근무일자],"&gt;="&amp;EOMONTH(D289,-2)+1,Table2[근무일자],"&lt;="&amp;EOMONTH(D289,-1)+1)&gt;0),"V","")</f>
        <v/>
      </c>
      <c r="AC289" s="94" cm="1">
        <f t="array" ref="AC289">IF(AD289&lt;&gt;"",AD289,_xlfn.XLOOKUP(1,(D289&lt;=Table7[End])*(E289=Table7[근무처])*(F289=Table7[업무]),Table7[시급],0,0))</f>
        <v>10680</v>
      </c>
      <c r="AD289" s="95"/>
      <c r="AE289" s="94">
        <f t="shared" si="60"/>
        <v>85440</v>
      </c>
      <c r="AF289" s="96" cm="1">
        <f t="array" ref="AF289">IF(AND(AA289&gt;=15,(AA289-U289*24)&lt;=40),IF(Z289&gt;=_xlfn.XLOOKUP(1,(D289&lt;=Table7[End])*(E289=Table7[근무처])*(F289=Table7[업무]),Table7[주휴적용일],0,0),1,0)+_xlfn.XLOOKUP(1,(Table2[주간]=Table2[[#This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289" s="96" cm="1">
        <f t="array" ref="AG289">MAX((_xlfn.IFS(AF289=0,0,AF289=1,AA289,AF289&gt;1,U289*24)-IF(AA289&gt;40,AA289-40,0))/5,0)</f>
        <v>0.5999999999999972</v>
      </c>
      <c r="AH289" s="94">
        <f t="shared" si="61"/>
        <v>6408</v>
      </c>
      <c r="AI289" s="33" cm="1">
        <f t="array" ref="AI289">IF(W289="",0,ROUND(AC289*U289*24*_xlfn.XLOOKUP(1,(D289&lt;=Table7[End])*(E289=Table7[근무처])*(F289=Table7[업무]),Table7[휴일인센티브],0,0),0))</f>
        <v>0</v>
      </c>
      <c r="AJ289" s="94" cm="1">
        <f t="array" ref="AJ289">ROUND(AC289*IF(U289&gt;=8/24,U289-8/24,0)*24*_xlfn.XLOOKUP(1,(D289&lt;=Table7[End])*(E289=Table7[근무처])*(F289=Table7[업무]),Table7[야간인센티브],0,0),0)</f>
        <v>0</v>
      </c>
      <c r="AK289" s="94" cm="1">
        <f t="array" ref="AK289">IF(V289=0,0,ROUND(AC289*V289*24*_xlfn.XLOOKUP(1,(D289&lt;=Table7[End])*(E289=Table7[근무처])*(F289=Table7[업무]),Table7[야간인센티브],0,0),0))</f>
        <v>0</v>
      </c>
      <c r="AL289" s="95"/>
      <c r="AM289" s="94">
        <f t="shared" si="62"/>
        <v>91848</v>
      </c>
      <c r="AN289" s="94" cm="1">
        <f t="array" ref="AN289">IF(AM289&gt;=_xlfn.XLOOKUP(TRUE,D289&lt;=Table5[End],Table5[비과세소득기준],0,0),AM289-_xlfn.XLOOKUP(TRUE,D289&lt;=Table5[End],Table5[비과세소득기준],0,0),0)</f>
        <v>0</v>
      </c>
      <c r="AO289" s="94" cm="1">
        <f t="array" ref="AO289">ROUNDDOWN(_xlfn.LET(_xlpm.setvalue,_xlfn.XLOOKUP(TRUE,D289&lt;=Table5[End],Table5[[요율]:[근로소득세액공제]],0,0),_xlpm.tax,AN289*PRODUCT((_xlpm.setvalue-{0,1})*{1,-1}),_xlpm.threshold,_xlfn.XLOOKUP(TRUE,D289&lt;=Table5[End],Table5[소액부징수기준],0,0),IF(_xlpm.tax&gt;=_xlpm.threshold,_xlpm.tax,0)),-1)</f>
        <v>0</v>
      </c>
      <c r="AP289" s="94">
        <f>ROUNDDOWN(Table2[[#This Row],[소득세]]*10%,-1)</f>
        <v>0</v>
      </c>
      <c r="AQ289" s="94">
        <f>IF(AB289="v",AM289+IF(Y289=8,SUMIFS(Table2[지급총액],Table2[주민등록번호],O289,Table2[월],R289,Table2[월간
근무일],"&lt;="&amp;8)-AM289,0),0)+_xlfn.NUMBERVALUE(AR289)</f>
        <v>0</v>
      </c>
      <c r="AR289" s="95"/>
      <c r="AS289" s="94" cm="1">
        <f t="array" ref="AS289">ROUNDDOWN($AQ289*_xlfn.XLOOKUP(1,(AS$5=Table8[Type])*($D289&lt;=Table8[End]),Table8[요율],0,0),0)</f>
        <v>0</v>
      </c>
      <c r="AT289" s="94" cm="1">
        <f t="array" ref="AT289">ROUNDDOWN(AS289*_xlfn.XLOOKUP(1,(AT$5=Table8[Type])*($D289&lt;=Table8[End]),Table8[요율],0,0),-1)</f>
        <v>0</v>
      </c>
      <c r="AU289" s="94" cm="1">
        <f t="array" ref="AU289">ROUNDDOWN($AQ289*_xlfn.XLOOKUP(1,(AU$5=Table8[Type])*($D289&lt;=Table8[End]),Table8[요율],0,0),-1)</f>
        <v>0</v>
      </c>
      <c r="AV289" s="94" cm="1">
        <f t="array" ref="AV289">ROUNDDOWN(AM289*_xlfn.XLOOKUP(1,(AV$5=Table8[Type])*($D289&lt;=Table8[End]),Table8[요율],0,0),-1)</f>
        <v>0</v>
      </c>
      <c r="AW289" s="94" cm="1">
        <f t="array" ref="AW289">_xlfn.XLOOKUP(1,(O289=Table2[주민등록번호])*(D289&gt;Table2[근무일자]),Table2[청구 Claim 
이월],0,0,-1)</f>
        <v>0</v>
      </c>
      <c r="AX289" s="95"/>
      <c r="AY289" s="94" cm="1">
        <f t="array" ref="AY289">MAX(SUM(AO289:AP289,AS289:AX289)-_xlfn.XLOOKUP(1,(D289&lt;=Table7[End])*(E289=Table7[근무처])*(F289=Table7[업무]),Table7[1일 공제 상한],0,0),0)</f>
        <v>0</v>
      </c>
      <c r="AZ289" s="94">
        <f t="shared" si="63"/>
        <v>0</v>
      </c>
      <c r="BA289" s="94">
        <f t="shared" si="64"/>
        <v>91848</v>
      </c>
      <c r="BB289" s="97">
        <f t="shared" si="65"/>
        <v>0</v>
      </c>
      <c r="BC289" s="98"/>
      <c r="BD289" s="94">
        <f t="shared" si="66"/>
        <v>0</v>
      </c>
      <c r="BE289" s="94">
        <f t="shared" si="67"/>
        <v>0</v>
      </c>
      <c r="BF289" s="94">
        <f t="shared" si="68"/>
        <v>0</v>
      </c>
      <c r="BG289" s="94">
        <f t="shared" si="69"/>
        <v>0</v>
      </c>
      <c r="BH289" s="94" cm="1">
        <f t="array" ref="BH289">ROUNDDOWN(AM289*_xlfn.XLOOKUP(1,(BH$5=Table8[Type])*($D289&lt;=Table8[End]),Table8[요율],0,0),-1)</f>
        <v>730</v>
      </c>
      <c r="BI289" s="93" t="str" cm="1">
        <f t="array" ref="BI289">_xlfn.XLOOKUP(1,(D289&lt;=Table7[End])*(E289=Table7[근무처])*(F289=Table7[업무]),Table7[지급옵션],0,0)</f>
        <v>차주 화</v>
      </c>
      <c r="BJ289" s="83">
        <f>IF(BK289&lt;&gt;"",BK289,IFERROR(D289+_xlfn.NUMBERVALUE(RIGHT(BI289,1)),D289-WEEKDAY(D289)+CHOOSE(MATCH(RIGHT(BI289),{"일","월","화","수","목","금","토"},0),8,9,10,11,12,13,14)))</f>
        <v>45846</v>
      </c>
      <c r="BK289" s="99"/>
    </row>
    <row r="290" spans="2:63" x14ac:dyDescent="0.35">
      <c r="B290" s="20" t="str" cm="1">
        <f t="array" ref="B290">_xlfn.IFS(BB290&lt;&gt;BC290,"Claim확인",N290&lt;&gt;"OK","확인필요",TRUE,"")</f>
        <v/>
      </c>
      <c r="C290" s="21" t="str">
        <f t="shared" si="56"/>
        <v>010-3X6X-X4X7757X02XX284249</v>
      </c>
      <c r="D290" s="26">
        <v>45843</v>
      </c>
      <c r="E290" s="91" t="s">
        <v>255</v>
      </c>
      <c r="F290" s="25" t="s">
        <v>258</v>
      </c>
      <c r="G290" s="27" t="s">
        <v>283</v>
      </c>
      <c r="H290" s="25" t="s">
        <v>295</v>
      </c>
      <c r="I290" s="25"/>
      <c r="J290" s="25" t="s">
        <v>296</v>
      </c>
      <c r="K290" s="28">
        <v>0.45833333333333331</v>
      </c>
      <c r="L290" s="28">
        <v>0.83333333333333337</v>
      </c>
      <c r="M290" s="28">
        <v>4.1666666666666664E-2</v>
      </c>
      <c r="N290" s="25" t="s">
        <v>281</v>
      </c>
      <c r="O290" s="29" t="str">
        <f>_xlfn.XLOOKUP(Table2[[#This Row],[Key]],Table1[Key],Table1[주민등록번호],"",0)</f>
        <v>940XX41XX7X32</v>
      </c>
      <c r="P290" s="29">
        <f>_xlfn.XLOOKUP(Table2[[#This Row],[Key]],Table1[Key],Table1[비자],"",0)</f>
        <v>0</v>
      </c>
      <c r="Q290" s="29">
        <f>IF(P290=0,0,_xlfn.XLOOKUP(Table2[[#This Row],[Key]],Table1[Key],Table1[고용보험 여부],0,0))</f>
        <v>0</v>
      </c>
      <c r="R290" s="29" t="str">
        <f t="shared" si="57"/>
        <v>2507</v>
      </c>
      <c r="S290" s="30" t="str">
        <f>YEAR(Table2[[#This Row],[근무일자]])&amp;TEXT(WEEKNUM(Table2[[#This Row],[근무일자]]),"00")</f>
        <v>202527</v>
      </c>
      <c r="T290" s="31">
        <f>_xlfn.XLOOKUP(Table2[[#This Row],[Key]],Table1[Key],Table1[등록일],"",0)</f>
        <v>45751</v>
      </c>
      <c r="U290" s="32">
        <f t="shared" si="58"/>
        <v>0.33333333333333337</v>
      </c>
      <c r="V290" s="92">
        <f t="shared" si="59"/>
        <v>0</v>
      </c>
      <c r="W290" s="100" t="str">
        <f>_xlfn.XLOOKUP(Table2[[#This Row],[근무일자]],Table3[Date],Table3[Holiday],"",0)</f>
        <v/>
      </c>
      <c r="X290" s="93">
        <f>IF(D290&lt;&gt;"",1,0)+IF(COUNTIFS(Table2[주민등록번호],O290,Table2[월],TEXT(EOMONTH(D290,-1),"YYMM"))&gt;0,1+IF(COUNTIFS(Table2[주민등록번호],O290,Table2[월],TEXT(EOMONTH(D290,-2),"YYMM"))&gt;0,1+IF(COUNTIFS(Table2[주민등록번호],O290,Table2[월],TEXT(EOMONTH(D290,-3),"YYMM"))&gt;0,1,0),0),0)</f>
        <v>4</v>
      </c>
      <c r="Y290" s="29">
        <f>COUNTIFS(Table2[주민등록번호],O290,Table2[월],R290,Table2[근무일자],"&lt;="&amp;D290)</f>
        <v>5</v>
      </c>
      <c r="Z290" s="29">
        <f>COUNTIFS(Table2[주민등록번호],O290,Table2[주간],S290,Table2[근무일자],"&lt;="&amp;D290)</f>
        <v>7</v>
      </c>
      <c r="AA290" s="29">
        <f>SUMIFS(Table2[근로
시간],Table2[주민등록번호],O290,Table2[주간],S290,Table2[근무일자],"&lt;="&amp;D290)*24</f>
        <v>53.000000000000014</v>
      </c>
      <c r="AB290" s="29" t="str">
        <f>IF(AND(Y290&gt;=8,COUNTIFS(Table2[주민등록번호],O290,Table2[근무일자],"&gt;="&amp;EOMONTH(D290,-2)+1,Table2[근무일자],"&lt;="&amp;EOMONTH(D290,-1)+1)&gt;0),"V","")</f>
        <v/>
      </c>
      <c r="AC290" s="94" cm="1">
        <f t="array" ref="AC290">IF(AD290&lt;&gt;"",AD290,_xlfn.XLOOKUP(1,(D290&lt;=Table7[End])*(E290=Table7[근무처])*(F290=Table7[업무]),Table7[시급],0,0))</f>
        <v>10680</v>
      </c>
      <c r="AD290" s="95"/>
      <c r="AE290" s="94">
        <f t="shared" si="60"/>
        <v>85440</v>
      </c>
      <c r="AF290" s="96" cm="1">
        <f t="array" ref="AF290">IF(AND(AA290&gt;=15,(AA290-U290*24)&lt;=40),IF(Z290&gt;=_xlfn.XLOOKUP(1,(D290&lt;=Table7[End])*(E290=Table7[근무처])*(F290=Table7[업무]),Table7[주휴적용일],0,0),1,0)+_xlfn.XLOOKUP(1,(Table2[주간]=Table2[[#This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90" s="96" cm="1">
        <f t="array" ref="AG290">MAX((_xlfn.IFS(AF290=0,0,AF290=1,AA290,AF290&gt;1,U290*24)-IF(AA290&gt;40,AA290-40,0))/5,0)</f>
        <v>0</v>
      </c>
      <c r="AH290" s="94">
        <f t="shared" si="61"/>
        <v>0</v>
      </c>
      <c r="AI290" s="33" cm="1">
        <f t="array" ref="AI290">IF(W290="",0,ROUND(AC290*U290*24*_xlfn.XLOOKUP(1,(D290&lt;=Table7[End])*(E290=Table7[근무처])*(F290=Table7[업무]),Table7[휴일인센티브],0,0),0))</f>
        <v>0</v>
      </c>
      <c r="AJ290" s="94" cm="1">
        <f t="array" ref="AJ290">ROUND(AC290*IF(U290&gt;=8/24,U290-8/24,0)*24*_xlfn.XLOOKUP(1,(D290&lt;=Table7[End])*(E290=Table7[근무처])*(F290=Table7[업무]),Table7[야간인센티브],0,0),0)</f>
        <v>0</v>
      </c>
      <c r="AK290" s="94" cm="1">
        <f t="array" ref="AK290">IF(V290=0,0,ROUND(AC290*V290*24*_xlfn.XLOOKUP(1,(D290&lt;=Table7[End])*(E290=Table7[근무처])*(F290=Table7[업무]),Table7[야간인센티브],0,0),0))</f>
        <v>0</v>
      </c>
      <c r="AL290" s="95"/>
      <c r="AM290" s="94">
        <f t="shared" si="62"/>
        <v>85440</v>
      </c>
      <c r="AN290" s="94" cm="1">
        <f t="array" ref="AN290">IF(AM290&gt;=_xlfn.XLOOKUP(TRUE,D290&lt;=Table5[End],Table5[비과세소득기준],0,0),AM290-_xlfn.XLOOKUP(TRUE,D290&lt;=Table5[End],Table5[비과세소득기준],0,0),0)</f>
        <v>0</v>
      </c>
      <c r="AO290" s="94" cm="1">
        <f t="array" ref="AO290">ROUNDDOWN(_xlfn.LET(_xlpm.setvalue,_xlfn.XLOOKUP(TRUE,D290&lt;=Table5[End],Table5[[요율]:[근로소득세액공제]],0,0),_xlpm.tax,AN290*PRODUCT((_xlpm.setvalue-{0,1})*{1,-1}),_xlpm.threshold,_xlfn.XLOOKUP(TRUE,D290&lt;=Table5[End],Table5[소액부징수기준],0,0),IF(_xlpm.tax&gt;=_xlpm.threshold,_xlpm.tax,0)),-1)</f>
        <v>0</v>
      </c>
      <c r="AP290" s="94">
        <f>ROUNDDOWN(Table2[[#This Row],[소득세]]*10%,-1)</f>
        <v>0</v>
      </c>
      <c r="AQ290" s="94">
        <f>IF(AB290="v",AM290+IF(Y290=8,SUMIFS(Table2[지급총액],Table2[주민등록번호],O290,Table2[월],R290,Table2[월간
근무일],"&lt;="&amp;8)-AM290,0),0)+_xlfn.NUMBERVALUE(AR290)</f>
        <v>0</v>
      </c>
      <c r="AR290" s="95"/>
      <c r="AS290" s="94" cm="1">
        <f t="array" ref="AS290">ROUNDDOWN($AQ290*_xlfn.XLOOKUP(1,(AS$5=Table8[Type])*($D290&lt;=Table8[End]),Table8[요율],0,0),0)</f>
        <v>0</v>
      </c>
      <c r="AT290" s="94" cm="1">
        <f t="array" ref="AT290">ROUNDDOWN(AS290*_xlfn.XLOOKUP(1,(AT$5=Table8[Type])*($D290&lt;=Table8[End]),Table8[요율],0,0),-1)</f>
        <v>0</v>
      </c>
      <c r="AU290" s="94" cm="1">
        <f t="array" ref="AU290">ROUNDDOWN($AQ290*_xlfn.XLOOKUP(1,(AU$5=Table8[Type])*($D290&lt;=Table8[End]),Table8[요율],0,0),-1)</f>
        <v>0</v>
      </c>
      <c r="AV290" s="94" cm="1">
        <f t="array" ref="AV290">ROUNDDOWN(AM290*_xlfn.XLOOKUP(1,(AV$5=Table8[Type])*($D290&lt;=Table8[End]),Table8[요율],0,0),-1)</f>
        <v>0</v>
      </c>
      <c r="AW290" s="94" cm="1">
        <f t="array" ref="AW290">_xlfn.XLOOKUP(1,(O290=Table2[주민등록번호])*(D290&gt;Table2[근무일자]),Table2[청구 Claim 
이월],0,0,-1)</f>
        <v>0</v>
      </c>
      <c r="AX290" s="95"/>
      <c r="AY290" s="94" cm="1">
        <f t="array" ref="AY290">MAX(SUM(AO290:AP290,AS290:AX290)-_xlfn.XLOOKUP(1,(D290&lt;=Table7[End])*(E290=Table7[근무처])*(F290=Table7[업무]),Table7[1일 공제 상한],0,0),0)</f>
        <v>0</v>
      </c>
      <c r="AZ290" s="94">
        <f t="shared" si="63"/>
        <v>0</v>
      </c>
      <c r="BA290" s="94">
        <f t="shared" si="64"/>
        <v>85440</v>
      </c>
      <c r="BB290" s="97">
        <f t="shared" si="65"/>
        <v>0</v>
      </c>
      <c r="BC290" s="98"/>
      <c r="BD290" s="94">
        <f t="shared" si="66"/>
        <v>0</v>
      </c>
      <c r="BE290" s="94">
        <f t="shared" si="67"/>
        <v>0</v>
      </c>
      <c r="BF290" s="94">
        <f t="shared" si="68"/>
        <v>0</v>
      </c>
      <c r="BG290" s="94">
        <f t="shared" si="69"/>
        <v>0</v>
      </c>
      <c r="BH290" s="94" cm="1">
        <f t="array" ref="BH290">ROUNDDOWN(AM290*_xlfn.XLOOKUP(1,(BH$5=Table8[Type])*($D290&lt;=Table8[End]),Table8[요율],0,0),-1)</f>
        <v>680</v>
      </c>
      <c r="BI290" s="93" t="str" cm="1">
        <f t="array" ref="BI290">_xlfn.XLOOKUP(1,(D290&lt;=Table7[End])*(E290=Table7[근무처])*(F290=Table7[업무]),Table7[지급옵션],0,0)</f>
        <v>차주 화</v>
      </c>
      <c r="BJ290" s="83">
        <f>IF(BK290&lt;&gt;"",BK290,IFERROR(D290+_xlfn.NUMBERVALUE(RIGHT(BI290,1)),D290-WEEKDAY(D290)+CHOOSE(MATCH(RIGHT(BI290),{"일","월","화","수","목","금","토"},0),8,9,10,11,12,13,14)))</f>
        <v>45846</v>
      </c>
      <c r="BK290" s="99"/>
    </row>
    <row r="291" spans="2:63" x14ac:dyDescent="0.35">
      <c r="B291" s="20" t="str" cm="1">
        <f t="array" ref="B291">_xlfn.IFS(BB291&lt;&gt;BC291,"Claim확인",N291&lt;&gt;"OK","확인필요",TRUE,"")</f>
        <v/>
      </c>
      <c r="C291" s="21" t="str">
        <f t="shared" si="56"/>
        <v>010-3X6X-X4X7757X02XX284249</v>
      </c>
      <c r="D291" s="26">
        <v>45844</v>
      </c>
      <c r="E291" s="91" t="s">
        <v>255</v>
      </c>
      <c r="F291" s="25" t="s">
        <v>258</v>
      </c>
      <c r="G291" s="27" t="s">
        <v>283</v>
      </c>
      <c r="H291" s="25" t="s">
        <v>295</v>
      </c>
      <c r="I291" s="25"/>
      <c r="J291" s="25" t="s">
        <v>296</v>
      </c>
      <c r="K291" s="28">
        <v>0.45833333333333331</v>
      </c>
      <c r="L291" s="28">
        <v>0.83333333333333337</v>
      </c>
      <c r="M291" s="28">
        <v>4.1666666666666664E-2</v>
      </c>
      <c r="N291" s="25" t="s">
        <v>281</v>
      </c>
      <c r="O291" s="29" t="str">
        <f>_xlfn.XLOOKUP(Table2[[#This Row],[Key]],Table1[Key],Table1[주민등록번호],"",0)</f>
        <v>940XX41XX7X32</v>
      </c>
      <c r="P291" s="29">
        <f>_xlfn.XLOOKUP(Table2[[#This Row],[Key]],Table1[Key],Table1[비자],"",0)</f>
        <v>0</v>
      </c>
      <c r="Q291" s="29">
        <f>IF(P291=0,0,_xlfn.XLOOKUP(Table2[[#This Row],[Key]],Table1[Key],Table1[고용보험 여부],0,0))</f>
        <v>0</v>
      </c>
      <c r="R291" s="29" t="str">
        <f t="shared" si="57"/>
        <v>2507</v>
      </c>
      <c r="S291" s="30" t="str">
        <f>YEAR(Table2[[#This Row],[근무일자]])&amp;TEXT(WEEKNUM(Table2[[#This Row],[근무일자]]),"00")</f>
        <v>202528</v>
      </c>
      <c r="T291" s="31">
        <f>_xlfn.XLOOKUP(Table2[[#This Row],[Key]],Table1[Key],Table1[등록일],"",0)</f>
        <v>45751</v>
      </c>
      <c r="U291" s="32">
        <f t="shared" si="58"/>
        <v>0.33333333333333337</v>
      </c>
      <c r="V291" s="92">
        <f t="shared" si="59"/>
        <v>0</v>
      </c>
      <c r="W291" s="100" t="str">
        <f>_xlfn.XLOOKUP(Table2[[#This Row],[근무일자]],Table3[Date],Table3[Holiday],"",0)</f>
        <v/>
      </c>
      <c r="X291" s="93">
        <f>IF(D291&lt;&gt;"",1,0)+IF(COUNTIFS(Table2[주민등록번호],O291,Table2[월],TEXT(EOMONTH(D291,-1),"YYMM"))&gt;0,1+IF(COUNTIFS(Table2[주민등록번호],O291,Table2[월],TEXT(EOMONTH(D291,-2),"YYMM"))&gt;0,1+IF(COUNTIFS(Table2[주민등록번호],O291,Table2[월],TEXT(EOMONTH(D291,-3),"YYMM"))&gt;0,1,0),0),0)</f>
        <v>4</v>
      </c>
      <c r="Y291" s="29">
        <f>COUNTIFS(Table2[주민등록번호],O291,Table2[월],R291,Table2[근무일자],"&lt;="&amp;D291)</f>
        <v>6</v>
      </c>
      <c r="Z291" s="29">
        <f>COUNTIFS(Table2[주민등록번호],O291,Table2[주간],S291,Table2[근무일자],"&lt;="&amp;D291)</f>
        <v>1</v>
      </c>
      <c r="AA291" s="29">
        <f>SUMIFS(Table2[근로
시간],Table2[주민등록번호],O291,Table2[주간],S291,Table2[근무일자],"&lt;="&amp;D291)*24</f>
        <v>8</v>
      </c>
      <c r="AB291" s="29" t="str">
        <f>IF(AND(Y291&gt;=8,COUNTIFS(Table2[주민등록번호],O291,Table2[근무일자],"&gt;="&amp;EOMONTH(D291,-2)+1,Table2[근무일자],"&lt;="&amp;EOMONTH(D291,-1)+1)&gt;0),"V","")</f>
        <v/>
      </c>
      <c r="AC291" s="94" cm="1">
        <f t="array" ref="AC291">IF(AD291&lt;&gt;"",AD291,_xlfn.XLOOKUP(1,(D291&lt;=Table7[End])*(E291=Table7[근무처])*(F291=Table7[업무]),Table7[시급],0,0))</f>
        <v>10680</v>
      </c>
      <c r="AD291" s="95"/>
      <c r="AE291" s="94">
        <f t="shared" si="60"/>
        <v>85440</v>
      </c>
      <c r="AF291" s="96" cm="1">
        <f t="array" ref="AF291">IF(AND(AA291&gt;=15,(AA291-U291*24)&lt;=40),IF(Z291&gt;=_xlfn.XLOOKUP(1,(D291&lt;=Table7[End])*(E291=Table7[근무처])*(F291=Table7[업무]),Table7[주휴적용일],0,0),1,0)+_xlfn.XLOOKUP(1,(Table2[주간]=Table2[[#This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0</v>
      </c>
      <c r="AG291" s="96" cm="1">
        <f t="array" ref="AG291">MAX((_xlfn.IFS(AF291=0,0,AF291=1,AA291,AF291&gt;1,U291*24)-IF(AA291&gt;40,AA291-40,0))/5,0)</f>
        <v>0</v>
      </c>
      <c r="AH291" s="94">
        <f t="shared" si="61"/>
        <v>0</v>
      </c>
      <c r="AI291" s="33" cm="1">
        <f t="array" ref="AI291">IF(W291="",0,ROUND(AC291*U291*24*_xlfn.XLOOKUP(1,(D291&lt;=Table7[End])*(E291=Table7[근무처])*(F291=Table7[업무]),Table7[휴일인센티브],0,0),0))</f>
        <v>0</v>
      </c>
      <c r="AJ291" s="94" cm="1">
        <f t="array" ref="AJ291">ROUND(AC291*IF(U291&gt;=8/24,U291-8/24,0)*24*_xlfn.XLOOKUP(1,(D291&lt;=Table7[End])*(E291=Table7[근무처])*(F291=Table7[업무]),Table7[야간인센티브],0,0),0)</f>
        <v>0</v>
      </c>
      <c r="AK291" s="94" cm="1">
        <f t="array" ref="AK291">IF(V291=0,0,ROUND(AC291*V291*24*_xlfn.XLOOKUP(1,(D291&lt;=Table7[End])*(E291=Table7[근무처])*(F291=Table7[업무]),Table7[야간인센티브],0,0),0))</f>
        <v>0</v>
      </c>
      <c r="AL291" s="95"/>
      <c r="AM291" s="94">
        <f t="shared" si="62"/>
        <v>85440</v>
      </c>
      <c r="AN291" s="94" cm="1">
        <f t="array" ref="AN291">IF(AM291&gt;=_xlfn.XLOOKUP(TRUE,D291&lt;=Table5[End],Table5[비과세소득기준],0,0),AM291-_xlfn.XLOOKUP(TRUE,D291&lt;=Table5[End],Table5[비과세소득기준],0,0),0)</f>
        <v>0</v>
      </c>
      <c r="AO291" s="94" cm="1">
        <f t="array" ref="AO291">ROUNDDOWN(_xlfn.LET(_xlpm.setvalue,_xlfn.XLOOKUP(TRUE,D291&lt;=Table5[End],Table5[[요율]:[근로소득세액공제]],0,0),_xlpm.tax,AN291*PRODUCT((_xlpm.setvalue-{0,1})*{1,-1}),_xlpm.threshold,_xlfn.XLOOKUP(TRUE,D291&lt;=Table5[End],Table5[소액부징수기준],0,0),IF(_xlpm.tax&gt;=_xlpm.threshold,_xlpm.tax,0)),-1)</f>
        <v>0</v>
      </c>
      <c r="AP291" s="94">
        <f>ROUNDDOWN(Table2[[#This Row],[소득세]]*10%,-1)</f>
        <v>0</v>
      </c>
      <c r="AQ291" s="94">
        <f>IF(AB291="v",AM291+IF(Y291=8,SUMIFS(Table2[지급총액],Table2[주민등록번호],O291,Table2[월],R291,Table2[월간
근무일],"&lt;="&amp;8)-AM291,0),0)+_xlfn.NUMBERVALUE(AR291)</f>
        <v>0</v>
      </c>
      <c r="AR291" s="95"/>
      <c r="AS291" s="94" cm="1">
        <f t="array" ref="AS291">ROUNDDOWN($AQ291*_xlfn.XLOOKUP(1,(AS$5=Table8[Type])*($D291&lt;=Table8[End]),Table8[요율],0,0),0)</f>
        <v>0</v>
      </c>
      <c r="AT291" s="94" cm="1">
        <f t="array" ref="AT291">ROUNDDOWN(AS291*_xlfn.XLOOKUP(1,(AT$5=Table8[Type])*($D291&lt;=Table8[End]),Table8[요율],0,0),-1)</f>
        <v>0</v>
      </c>
      <c r="AU291" s="94" cm="1">
        <f t="array" ref="AU291">ROUNDDOWN($AQ291*_xlfn.XLOOKUP(1,(AU$5=Table8[Type])*($D291&lt;=Table8[End]),Table8[요율],0,0),-1)</f>
        <v>0</v>
      </c>
      <c r="AV291" s="94" cm="1">
        <f t="array" ref="AV291">ROUNDDOWN(AM291*_xlfn.XLOOKUP(1,(AV$5=Table8[Type])*($D291&lt;=Table8[End]),Table8[요율],0,0),-1)</f>
        <v>0</v>
      </c>
      <c r="AW291" s="94" cm="1">
        <f t="array" ref="AW291">_xlfn.XLOOKUP(1,(O291=Table2[주민등록번호])*(D291&gt;Table2[근무일자]),Table2[청구 Claim 
이월],0,0,-1)</f>
        <v>0</v>
      </c>
      <c r="AX291" s="95"/>
      <c r="AY291" s="94" cm="1">
        <f t="array" ref="AY291">MAX(SUM(AO291:AP291,AS291:AX291)-_xlfn.XLOOKUP(1,(D291&lt;=Table7[End])*(E291=Table7[근무처])*(F291=Table7[업무]),Table7[1일 공제 상한],0,0),0)</f>
        <v>0</v>
      </c>
      <c r="AZ291" s="94">
        <f t="shared" si="63"/>
        <v>0</v>
      </c>
      <c r="BA291" s="94">
        <f t="shared" si="64"/>
        <v>85440</v>
      </c>
      <c r="BB291" s="97">
        <f t="shared" si="65"/>
        <v>0</v>
      </c>
      <c r="BC291" s="98"/>
      <c r="BD291" s="94">
        <f t="shared" si="66"/>
        <v>0</v>
      </c>
      <c r="BE291" s="94">
        <f t="shared" si="67"/>
        <v>0</v>
      </c>
      <c r="BF291" s="94">
        <f t="shared" si="68"/>
        <v>0</v>
      </c>
      <c r="BG291" s="94">
        <f t="shared" si="69"/>
        <v>0</v>
      </c>
      <c r="BH291" s="94" cm="1">
        <f t="array" ref="BH291">ROUNDDOWN(AM291*_xlfn.XLOOKUP(1,(BH$5=Table8[Type])*($D291&lt;=Table8[End]),Table8[요율],0,0),-1)</f>
        <v>680</v>
      </c>
      <c r="BI291" s="93" t="str" cm="1">
        <f t="array" ref="BI291">_xlfn.XLOOKUP(1,(D291&lt;=Table7[End])*(E291=Table7[근무처])*(F291=Table7[업무]),Table7[지급옵션],0,0)</f>
        <v>차주 화</v>
      </c>
      <c r="BJ291" s="83">
        <f>IF(BK291&lt;&gt;"",BK291,IFERROR(D291+_xlfn.NUMBERVALUE(RIGHT(BI291,1)),D291-WEEKDAY(D291)+CHOOSE(MATCH(RIGHT(BI291),{"일","월","화","수","목","금","토"},0),8,9,10,11,12,13,14)))</f>
        <v>45853</v>
      </c>
      <c r="BK291" s="99"/>
    </row>
    <row r="292" spans="2:63" x14ac:dyDescent="0.35">
      <c r="B292" s="20" t="str" cm="1">
        <f t="array" ref="B292">_xlfn.IFS(BB292&lt;&gt;BC292,"Claim확인",N292&lt;&gt;"OK","확인필요",TRUE,"")</f>
        <v/>
      </c>
      <c r="C292" s="21" t="str">
        <f t="shared" si="56"/>
        <v>010-3X6X-X4X7757X02XX284249</v>
      </c>
      <c r="D292" s="26">
        <v>45845</v>
      </c>
      <c r="E292" s="91" t="s">
        <v>255</v>
      </c>
      <c r="F292" s="25" t="s">
        <v>258</v>
      </c>
      <c r="G292" s="27" t="s">
        <v>283</v>
      </c>
      <c r="H292" s="25" t="s">
        <v>295</v>
      </c>
      <c r="I292" s="25"/>
      <c r="J292" s="25" t="s">
        <v>296</v>
      </c>
      <c r="K292" s="28">
        <v>0.45833333333333331</v>
      </c>
      <c r="L292" s="28">
        <v>0.83333333333333337</v>
      </c>
      <c r="M292" s="28">
        <v>4.1666666666666664E-2</v>
      </c>
      <c r="N292" s="25" t="s">
        <v>281</v>
      </c>
      <c r="O292" s="29" t="str">
        <f>_xlfn.XLOOKUP(Table2[[#This Row],[Key]],Table1[Key],Table1[주민등록번호],"",0)</f>
        <v>940XX41XX7X32</v>
      </c>
      <c r="P292" s="29">
        <f>_xlfn.XLOOKUP(Table2[[#This Row],[Key]],Table1[Key],Table1[비자],"",0)</f>
        <v>0</v>
      </c>
      <c r="Q292" s="29">
        <f>IF(P292=0,0,_xlfn.XLOOKUP(Table2[[#This Row],[Key]],Table1[Key],Table1[고용보험 여부],0,0))</f>
        <v>0</v>
      </c>
      <c r="R292" s="29" t="str">
        <f t="shared" si="57"/>
        <v>2507</v>
      </c>
      <c r="S292" s="30" t="str">
        <f>YEAR(Table2[[#This Row],[근무일자]])&amp;TEXT(WEEKNUM(Table2[[#This Row],[근무일자]]),"00")</f>
        <v>202528</v>
      </c>
      <c r="T292" s="31">
        <f>_xlfn.XLOOKUP(Table2[[#This Row],[Key]],Table1[Key],Table1[등록일],"",0)</f>
        <v>45751</v>
      </c>
      <c r="U292" s="32">
        <f t="shared" si="58"/>
        <v>0.33333333333333337</v>
      </c>
      <c r="V292" s="92">
        <f t="shared" si="59"/>
        <v>0</v>
      </c>
      <c r="W292" s="100" t="str">
        <f>_xlfn.XLOOKUP(Table2[[#This Row],[근무일자]],Table3[Date],Table3[Holiday],"",0)</f>
        <v/>
      </c>
      <c r="X292" s="93">
        <f>IF(D292&lt;&gt;"",1,0)+IF(COUNTIFS(Table2[주민등록번호],O292,Table2[월],TEXT(EOMONTH(D292,-1),"YYMM"))&gt;0,1+IF(COUNTIFS(Table2[주민등록번호],O292,Table2[월],TEXT(EOMONTH(D292,-2),"YYMM"))&gt;0,1+IF(COUNTIFS(Table2[주민등록번호],O292,Table2[월],TEXT(EOMONTH(D292,-3),"YYMM"))&gt;0,1,0),0),0)</f>
        <v>4</v>
      </c>
      <c r="Y292" s="29">
        <f>COUNTIFS(Table2[주민등록번호],O292,Table2[월],R292,Table2[근무일자],"&lt;="&amp;D292)</f>
        <v>7</v>
      </c>
      <c r="Z292" s="29">
        <f>COUNTIFS(Table2[주민등록번호],O292,Table2[주간],S292,Table2[근무일자],"&lt;="&amp;D292)</f>
        <v>2</v>
      </c>
      <c r="AA292" s="29">
        <f>SUMIFS(Table2[근로
시간],Table2[주민등록번호],O292,Table2[주간],S292,Table2[근무일자],"&lt;="&amp;D292)*24</f>
        <v>16</v>
      </c>
      <c r="AB292" s="29" t="str">
        <f>IF(AND(Y292&gt;=8,COUNTIFS(Table2[주민등록번호],O292,Table2[근무일자],"&gt;="&amp;EOMONTH(D292,-2)+1,Table2[근무일자],"&lt;="&amp;EOMONTH(D292,-1)+1)&gt;0),"V","")</f>
        <v/>
      </c>
      <c r="AC292" s="94" cm="1">
        <f t="array" ref="AC292">IF(AD292&lt;&gt;"",AD292,_xlfn.XLOOKUP(1,(D292&lt;=Table7[End])*(E292=Table7[근무처])*(F292=Table7[업무]),Table7[시급],0,0))</f>
        <v>10680</v>
      </c>
      <c r="AD292" s="95"/>
      <c r="AE292" s="94">
        <f t="shared" si="60"/>
        <v>85440</v>
      </c>
      <c r="AF292" s="96" cm="1">
        <f t="array" ref="AF292">IF(AND(AA292&gt;=15,(AA292-U292*24)&lt;=40),IF(Z292&gt;=_xlfn.XLOOKUP(1,(D292&lt;=Table7[End])*(E292=Table7[근무처])*(F292=Table7[업무]),Table7[주휴적용일],0,0),1,0)+_xlfn.XLOOKUP(1,(Table2[주간]=Table2[[#This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1</v>
      </c>
      <c r="AG292" s="96" cm="1">
        <f t="array" ref="AG292">MAX((_xlfn.IFS(AF292=0,0,AF292=1,AA292,AF292&gt;1,U292*24)-IF(AA292&gt;40,AA292-40,0))/5,0)</f>
        <v>3.2</v>
      </c>
      <c r="AH292" s="94">
        <f t="shared" si="61"/>
        <v>34176</v>
      </c>
      <c r="AI292" s="33" cm="1">
        <f t="array" ref="AI292">IF(W292="",0,ROUND(AC292*U292*24*_xlfn.XLOOKUP(1,(D292&lt;=Table7[End])*(E292=Table7[근무처])*(F292=Table7[업무]),Table7[휴일인센티브],0,0),0))</f>
        <v>0</v>
      </c>
      <c r="AJ292" s="94" cm="1">
        <f t="array" ref="AJ292">ROUND(AC292*IF(U292&gt;=8/24,U292-8/24,0)*24*_xlfn.XLOOKUP(1,(D292&lt;=Table7[End])*(E292=Table7[근무처])*(F292=Table7[업무]),Table7[야간인센티브],0,0),0)</f>
        <v>0</v>
      </c>
      <c r="AK292" s="94" cm="1">
        <f t="array" ref="AK292">IF(V292=0,0,ROUND(AC292*V292*24*_xlfn.XLOOKUP(1,(D292&lt;=Table7[End])*(E292=Table7[근무처])*(F292=Table7[업무]),Table7[야간인센티브],0,0),0))</f>
        <v>0</v>
      </c>
      <c r="AL292" s="95"/>
      <c r="AM292" s="94">
        <f t="shared" si="62"/>
        <v>119616</v>
      </c>
      <c r="AN292" s="94" cm="1">
        <f t="array" ref="AN292">IF(AM292&gt;=_xlfn.XLOOKUP(TRUE,D292&lt;=Table5[End],Table5[비과세소득기준],0,0),AM292-_xlfn.XLOOKUP(TRUE,D292&lt;=Table5[End],Table5[비과세소득기준],0,0),0)</f>
        <v>0</v>
      </c>
      <c r="AO292" s="94" cm="1">
        <f t="array" ref="AO292">ROUNDDOWN(_xlfn.LET(_xlpm.setvalue,_xlfn.XLOOKUP(TRUE,D292&lt;=Table5[End],Table5[[요율]:[근로소득세액공제]],0,0),_xlpm.tax,AN292*PRODUCT((_xlpm.setvalue-{0,1})*{1,-1}),_xlpm.threshold,_xlfn.XLOOKUP(TRUE,D292&lt;=Table5[End],Table5[소액부징수기준],0,0),IF(_xlpm.tax&gt;=_xlpm.threshold,_xlpm.tax,0)),-1)</f>
        <v>0</v>
      </c>
      <c r="AP292" s="94">
        <f>ROUNDDOWN(Table2[[#This Row],[소득세]]*10%,-1)</f>
        <v>0</v>
      </c>
      <c r="AQ292" s="94">
        <f>IF(AB292="v",AM292+IF(Y292=8,SUMIFS(Table2[지급총액],Table2[주민등록번호],O292,Table2[월],R292,Table2[월간
근무일],"&lt;="&amp;8)-AM292,0),0)+_xlfn.NUMBERVALUE(AR292)</f>
        <v>0</v>
      </c>
      <c r="AR292" s="95"/>
      <c r="AS292" s="94" cm="1">
        <f t="array" ref="AS292">ROUNDDOWN($AQ292*_xlfn.XLOOKUP(1,(AS$5=Table8[Type])*($D292&lt;=Table8[End]),Table8[요율],0,0),0)</f>
        <v>0</v>
      </c>
      <c r="AT292" s="94" cm="1">
        <f t="array" ref="AT292">ROUNDDOWN(AS292*_xlfn.XLOOKUP(1,(AT$5=Table8[Type])*($D292&lt;=Table8[End]),Table8[요율],0,0),-1)</f>
        <v>0</v>
      </c>
      <c r="AU292" s="94" cm="1">
        <f t="array" ref="AU292">ROUNDDOWN($AQ292*_xlfn.XLOOKUP(1,(AU$5=Table8[Type])*($D292&lt;=Table8[End]),Table8[요율],0,0),-1)</f>
        <v>0</v>
      </c>
      <c r="AV292" s="94" cm="1">
        <f t="array" ref="AV292">ROUNDDOWN(AM292*_xlfn.XLOOKUP(1,(AV$5=Table8[Type])*($D292&lt;=Table8[End]),Table8[요율],0,0),-1)</f>
        <v>0</v>
      </c>
      <c r="AW292" s="94" cm="1">
        <f t="array" ref="AW292">_xlfn.XLOOKUP(1,(O292=Table2[주민등록번호])*(D292&gt;Table2[근무일자]),Table2[청구 Claim 
이월],0,0,-1)</f>
        <v>0</v>
      </c>
      <c r="AX292" s="95"/>
      <c r="AY292" s="94" cm="1">
        <f t="array" ref="AY292">MAX(SUM(AO292:AP292,AS292:AX292)-_xlfn.XLOOKUP(1,(D292&lt;=Table7[End])*(E292=Table7[근무처])*(F292=Table7[업무]),Table7[1일 공제 상한],0,0),0)</f>
        <v>0</v>
      </c>
      <c r="AZ292" s="94">
        <f t="shared" si="63"/>
        <v>0</v>
      </c>
      <c r="BA292" s="94">
        <f t="shared" si="64"/>
        <v>119616</v>
      </c>
      <c r="BB292" s="97">
        <f t="shared" si="65"/>
        <v>0</v>
      </c>
      <c r="BC292" s="98"/>
      <c r="BD292" s="94">
        <f t="shared" si="66"/>
        <v>0</v>
      </c>
      <c r="BE292" s="94">
        <f t="shared" si="67"/>
        <v>0</v>
      </c>
      <c r="BF292" s="94">
        <f t="shared" si="68"/>
        <v>0</v>
      </c>
      <c r="BG292" s="94">
        <f t="shared" si="69"/>
        <v>0</v>
      </c>
      <c r="BH292" s="94" cm="1">
        <f t="array" ref="BH292">ROUNDDOWN(AM292*_xlfn.XLOOKUP(1,(BH$5=Table8[Type])*($D292&lt;=Table8[End]),Table8[요율],0,0),-1)</f>
        <v>950</v>
      </c>
      <c r="BI292" s="93" t="str" cm="1">
        <f t="array" ref="BI292">_xlfn.XLOOKUP(1,(D292&lt;=Table7[End])*(E292=Table7[근무처])*(F292=Table7[업무]),Table7[지급옵션],0,0)</f>
        <v>차주 화</v>
      </c>
      <c r="BJ292" s="83">
        <f>IF(BK292&lt;&gt;"",BK292,IFERROR(D292+_xlfn.NUMBERVALUE(RIGHT(BI292,1)),D292-WEEKDAY(D292)+CHOOSE(MATCH(RIGHT(BI292),{"일","월","화","수","목","금","토"},0),8,9,10,11,12,13,14)))</f>
        <v>45853</v>
      </c>
      <c r="BK292" s="99"/>
    </row>
    <row r="293" spans="2:63" x14ac:dyDescent="0.35">
      <c r="B293" s="20" t="str" cm="1">
        <f t="array" ref="B293">_xlfn.IFS(BB293&lt;&gt;BC293,"Claim확인",N293&lt;&gt;"OK","확인필요",TRUE,"")</f>
        <v/>
      </c>
      <c r="C293" s="21" t="str">
        <f t="shared" si="56"/>
        <v>010-3X6X-X4X7757X02XX284249</v>
      </c>
      <c r="D293" s="26">
        <v>45846</v>
      </c>
      <c r="E293" s="91" t="s">
        <v>255</v>
      </c>
      <c r="F293" s="25" t="s">
        <v>258</v>
      </c>
      <c r="G293" s="27" t="s">
        <v>283</v>
      </c>
      <c r="H293" s="25" t="s">
        <v>295</v>
      </c>
      <c r="I293" s="25"/>
      <c r="J293" s="25" t="s">
        <v>296</v>
      </c>
      <c r="K293" s="28">
        <v>0.45833333333333331</v>
      </c>
      <c r="L293" s="28">
        <v>0.83333333333333337</v>
      </c>
      <c r="M293" s="28">
        <v>4.1666666666666664E-2</v>
      </c>
      <c r="N293" s="25" t="s">
        <v>281</v>
      </c>
      <c r="O293" s="29" t="str">
        <f>_xlfn.XLOOKUP(Table2[[#This Row],[Key]],Table1[Key],Table1[주민등록번호],"",0)</f>
        <v>940XX41XX7X32</v>
      </c>
      <c r="P293" s="29">
        <f>_xlfn.XLOOKUP(Table2[[#This Row],[Key]],Table1[Key],Table1[비자],"",0)</f>
        <v>0</v>
      </c>
      <c r="Q293" s="29">
        <f>IF(P293=0,0,_xlfn.XLOOKUP(Table2[[#This Row],[Key]],Table1[Key],Table1[고용보험 여부],0,0))</f>
        <v>0</v>
      </c>
      <c r="R293" s="29" t="str">
        <f t="shared" si="57"/>
        <v>2507</v>
      </c>
      <c r="S293" s="30" t="str">
        <f>YEAR(Table2[[#This Row],[근무일자]])&amp;TEXT(WEEKNUM(Table2[[#This Row],[근무일자]]),"00")</f>
        <v>202528</v>
      </c>
      <c r="T293" s="31">
        <f>_xlfn.XLOOKUP(Table2[[#This Row],[Key]],Table1[Key],Table1[등록일],"",0)</f>
        <v>45751</v>
      </c>
      <c r="U293" s="32">
        <f t="shared" si="58"/>
        <v>0.33333333333333337</v>
      </c>
      <c r="V293" s="92">
        <f t="shared" si="59"/>
        <v>0</v>
      </c>
      <c r="W293" s="100" t="str">
        <f>_xlfn.XLOOKUP(Table2[[#This Row],[근무일자]],Table3[Date],Table3[Holiday],"",0)</f>
        <v/>
      </c>
      <c r="X293" s="93">
        <f>IF(D293&lt;&gt;"",1,0)+IF(COUNTIFS(Table2[주민등록번호],O293,Table2[월],TEXT(EOMONTH(D293,-1),"YYMM"))&gt;0,1+IF(COUNTIFS(Table2[주민등록번호],O293,Table2[월],TEXT(EOMONTH(D293,-2),"YYMM"))&gt;0,1+IF(COUNTIFS(Table2[주민등록번호],O293,Table2[월],TEXT(EOMONTH(D293,-3),"YYMM"))&gt;0,1,0),0),0)</f>
        <v>4</v>
      </c>
      <c r="Y293" s="29">
        <f>COUNTIFS(Table2[주민등록번호],O293,Table2[월],R293,Table2[근무일자],"&lt;="&amp;D293)</f>
        <v>8</v>
      </c>
      <c r="Z293" s="29">
        <f>COUNTIFS(Table2[주민등록번호],O293,Table2[주간],S293,Table2[근무일자],"&lt;="&amp;D293)</f>
        <v>3</v>
      </c>
      <c r="AA293" s="29">
        <f>SUMIFS(Table2[근로
시간],Table2[주민등록번호],O293,Table2[주간],S293,Table2[근무일자],"&lt;="&amp;D293)*24</f>
        <v>24</v>
      </c>
      <c r="AB293" s="29" t="str">
        <f>IF(AND(Y293&gt;=8,COUNTIFS(Table2[주민등록번호],O293,Table2[근무일자],"&gt;="&amp;EOMONTH(D293,-2)+1,Table2[근무일자],"&lt;="&amp;EOMONTH(D293,-1)+1)&gt;0),"V","")</f>
        <v>V</v>
      </c>
      <c r="AC293" s="94" cm="1">
        <f t="array" ref="AC293">IF(AD293&lt;&gt;"",AD293,_xlfn.XLOOKUP(1,(D293&lt;=Table7[End])*(E293=Table7[근무처])*(F293=Table7[업무]),Table7[시급],0,0))</f>
        <v>10680</v>
      </c>
      <c r="AD293" s="95"/>
      <c r="AE293" s="94">
        <f t="shared" si="60"/>
        <v>85440</v>
      </c>
      <c r="AF293" s="96" cm="1">
        <f t="array" ref="AF293">IF(AND(AA293&gt;=15,(AA293-U293*24)&lt;=40),IF(Z293&gt;=_xlfn.XLOOKUP(1,(D293&lt;=Table7[End])*(E293=Table7[근무처])*(F293=Table7[업무]),Table7[주휴적용일],0,0),1,0)+_xlfn.XLOOKUP(1,(Table2[주간]=Table2[[#This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2</v>
      </c>
      <c r="AG293" s="96" cm="1">
        <f t="array" ref="AG293">MAX((_xlfn.IFS(AF293=0,0,AF293=1,AA293,AF293&gt;1,U293*24)-IF(AA293&gt;40,AA293-40,0))/5,0)</f>
        <v>1.6</v>
      </c>
      <c r="AH293" s="94">
        <f t="shared" si="61"/>
        <v>17088</v>
      </c>
      <c r="AI293" s="33" cm="1">
        <f t="array" ref="AI293">IF(W293="",0,ROUND(AC293*U293*24*_xlfn.XLOOKUP(1,(D293&lt;=Table7[End])*(E293=Table7[근무처])*(F293=Table7[업무]),Table7[휴일인센티브],0,0),0))</f>
        <v>0</v>
      </c>
      <c r="AJ293" s="94" cm="1">
        <f t="array" ref="AJ293">ROUND(AC293*IF(U293&gt;=8/24,U293-8/24,0)*24*_xlfn.XLOOKUP(1,(D293&lt;=Table7[End])*(E293=Table7[근무처])*(F293=Table7[업무]),Table7[야간인센티브],0,0),0)</f>
        <v>0</v>
      </c>
      <c r="AK293" s="94" cm="1">
        <f t="array" ref="AK293">IF(V293=0,0,ROUND(AC293*V293*24*_xlfn.XLOOKUP(1,(D293&lt;=Table7[End])*(E293=Table7[근무처])*(F293=Table7[업무]),Table7[야간인센티브],0,0),0))</f>
        <v>0</v>
      </c>
      <c r="AL293" s="95"/>
      <c r="AM293" s="94">
        <f t="shared" si="62"/>
        <v>102528</v>
      </c>
      <c r="AN293" s="94" cm="1">
        <f t="array" ref="AN293">IF(AM293&gt;=_xlfn.XLOOKUP(TRUE,D293&lt;=Table5[End],Table5[비과세소득기준],0,0),AM293-_xlfn.XLOOKUP(TRUE,D293&lt;=Table5[End],Table5[비과세소득기준],0,0),0)</f>
        <v>0</v>
      </c>
      <c r="AO293" s="94" cm="1">
        <f t="array" ref="AO293">ROUNDDOWN(_xlfn.LET(_xlpm.setvalue,_xlfn.XLOOKUP(TRUE,D293&lt;=Table5[End],Table5[[요율]:[근로소득세액공제]],0,0),_xlpm.tax,AN293*PRODUCT((_xlpm.setvalue-{0,1})*{1,-1}),_xlpm.threshold,_xlfn.XLOOKUP(TRUE,D293&lt;=Table5[End],Table5[소액부징수기준],0,0),IF(_xlpm.tax&gt;=_xlpm.threshold,_xlpm.tax,0)),-1)</f>
        <v>0</v>
      </c>
      <c r="AP293" s="94">
        <f>ROUNDDOWN(Table2[[#This Row],[소득세]]*10%,-1)</f>
        <v>0</v>
      </c>
      <c r="AQ293" s="94">
        <f>IF(AB293="v",AM293+IF(Y293=8,SUMIFS(Table2[지급총액],Table2[주민등록번호],O293,Table2[월],R293,Table2[월간
근무일],"&lt;="&amp;8)-AM293,0),0)+_xlfn.NUMBERVALUE(AR293)</f>
        <v>820224</v>
      </c>
      <c r="AR293" s="95"/>
      <c r="AS293" s="94" cm="1">
        <f t="array" ref="AS293">ROUNDDOWN($AQ293*_xlfn.XLOOKUP(1,(AS$5=Table8[Type])*($D293&lt;=Table8[End]),Table8[요율],0,0),0)</f>
        <v>29076</v>
      </c>
      <c r="AT293" s="94" cm="1">
        <f t="array" ref="AT293">ROUNDDOWN(AS293*_xlfn.XLOOKUP(1,(AT$5=Table8[Type])*($D293&lt;=Table8[End]),Table8[요율],0,0),-1)</f>
        <v>3760</v>
      </c>
      <c r="AU293" s="94" cm="1">
        <f t="array" ref="AU293">ROUNDDOWN($AQ293*_xlfn.XLOOKUP(1,(AU$5=Table8[Type])*($D293&lt;=Table8[End]),Table8[요율],0,0),-1)</f>
        <v>36910</v>
      </c>
      <c r="AV293" s="94" cm="1">
        <f t="array" ref="AV293">ROUNDDOWN(AM293*_xlfn.XLOOKUP(1,(AV$5=Table8[Type])*($D293&lt;=Table8[End]),Table8[요율],0,0),-1)</f>
        <v>0</v>
      </c>
      <c r="AW293" s="94" cm="1">
        <f t="array" ref="AW293">_xlfn.XLOOKUP(1,(O293=Table2[주민등록번호])*(D293&gt;Table2[근무일자]),Table2[청구 Claim 
이월],0,0,-1)</f>
        <v>0</v>
      </c>
      <c r="AX293" s="95"/>
      <c r="AY293" s="94" cm="1">
        <f t="array" ref="AY293">MAX(SUM(AO293:AP293,AS293:AX293)-_xlfn.XLOOKUP(1,(D293&lt;=Table7[End])*(E293=Table7[근무처])*(F293=Table7[업무]),Table7[1일 공제 상한],0,0),0)</f>
        <v>0</v>
      </c>
      <c r="AZ293" s="94">
        <f t="shared" si="63"/>
        <v>69746</v>
      </c>
      <c r="BA293" s="94">
        <f t="shared" si="64"/>
        <v>32782</v>
      </c>
      <c r="BB293" s="97">
        <f t="shared" si="65"/>
        <v>0</v>
      </c>
      <c r="BC293" s="98"/>
      <c r="BD293" s="94">
        <f t="shared" si="66"/>
        <v>29076</v>
      </c>
      <c r="BE293" s="94">
        <f t="shared" si="67"/>
        <v>3760</v>
      </c>
      <c r="BF293" s="94">
        <f t="shared" si="68"/>
        <v>36910</v>
      </c>
      <c r="BG293" s="94">
        <f t="shared" si="69"/>
        <v>0</v>
      </c>
      <c r="BH293" s="94" cm="1">
        <f t="array" ref="BH293">ROUNDDOWN(AM293*_xlfn.XLOOKUP(1,(BH$5=Table8[Type])*($D293&lt;=Table8[End]),Table8[요율],0,0),-1)</f>
        <v>820</v>
      </c>
      <c r="BI293" s="93" t="str" cm="1">
        <f t="array" ref="BI293">_xlfn.XLOOKUP(1,(D293&lt;=Table7[End])*(E293=Table7[근무처])*(F293=Table7[업무]),Table7[지급옵션],0,0)</f>
        <v>차주 화</v>
      </c>
      <c r="BJ293" s="83">
        <f>IF(BK293&lt;&gt;"",BK293,IFERROR(D293+_xlfn.NUMBERVALUE(RIGHT(BI293,1)),D293-WEEKDAY(D293)+CHOOSE(MATCH(RIGHT(BI293),{"일","월","화","수","목","금","토"},0),8,9,10,11,12,13,14)))</f>
        <v>45853</v>
      </c>
      <c r="BK293" s="99"/>
    </row>
    <row r="294" spans="2:63" x14ac:dyDescent="0.35">
      <c r="B294" s="20" t="str" cm="1">
        <f t="array" ref="B294">_xlfn.IFS(BB294&lt;&gt;BC294,"Claim확인",N294&lt;&gt;"OK","확인필요",TRUE,"")</f>
        <v/>
      </c>
      <c r="C294" s="21" t="str">
        <f t="shared" si="56"/>
        <v>010-3X6X-X4X7757X02XX284249</v>
      </c>
      <c r="D294" s="26">
        <v>45848</v>
      </c>
      <c r="E294" s="91" t="s">
        <v>255</v>
      </c>
      <c r="F294" s="25" t="s">
        <v>258</v>
      </c>
      <c r="G294" s="27" t="s">
        <v>283</v>
      </c>
      <c r="H294" s="25" t="s">
        <v>295</v>
      </c>
      <c r="I294" s="25"/>
      <c r="J294" s="25" t="s">
        <v>296</v>
      </c>
      <c r="K294" s="28">
        <v>0.91666666666666663</v>
      </c>
      <c r="L294" s="28">
        <v>0.22916666666666666</v>
      </c>
      <c r="M294" s="28">
        <v>2.0833333333333332E-2</v>
      </c>
      <c r="N294" s="25" t="s">
        <v>281</v>
      </c>
      <c r="O294" s="29" t="str">
        <f>_xlfn.XLOOKUP(Table2[[#This Row],[Key]],Table1[Key],Table1[주민등록번호],"",0)</f>
        <v>940XX41XX7X32</v>
      </c>
      <c r="P294" s="29">
        <f>_xlfn.XLOOKUP(Table2[[#This Row],[Key]],Table1[Key],Table1[비자],"",0)</f>
        <v>0</v>
      </c>
      <c r="Q294" s="29">
        <f>IF(P294=0,0,_xlfn.XLOOKUP(Table2[[#This Row],[Key]],Table1[Key],Table1[고용보험 여부],0,0))</f>
        <v>0</v>
      </c>
      <c r="R294" s="29" t="str">
        <f t="shared" si="57"/>
        <v>2507</v>
      </c>
      <c r="S294" s="30" t="str">
        <f>YEAR(Table2[[#This Row],[근무일자]])&amp;TEXT(WEEKNUM(Table2[[#This Row],[근무일자]]),"00")</f>
        <v>202528</v>
      </c>
      <c r="T294" s="31">
        <f>_xlfn.XLOOKUP(Table2[[#This Row],[Key]],Table1[Key],Table1[등록일],"",0)</f>
        <v>45751</v>
      </c>
      <c r="U294" s="32">
        <f t="shared" si="58"/>
        <v>0.2916666666666668</v>
      </c>
      <c r="V294" s="92">
        <f t="shared" si="59"/>
        <v>0.2916666666666668</v>
      </c>
      <c r="W294" s="100" t="str">
        <f>_xlfn.XLOOKUP(Table2[[#This Row],[근무일자]],Table3[Date],Table3[Holiday],"",0)</f>
        <v/>
      </c>
      <c r="X294" s="93">
        <f>IF(D294&lt;&gt;"",1,0)+IF(COUNTIFS(Table2[주민등록번호],O294,Table2[월],TEXT(EOMONTH(D294,-1),"YYMM"))&gt;0,1+IF(COUNTIFS(Table2[주민등록번호],O294,Table2[월],TEXT(EOMONTH(D294,-2),"YYMM"))&gt;0,1+IF(COUNTIFS(Table2[주민등록번호],O294,Table2[월],TEXT(EOMONTH(D294,-3),"YYMM"))&gt;0,1,0),0),0)</f>
        <v>4</v>
      </c>
      <c r="Y294" s="29">
        <f>COUNTIFS(Table2[주민등록번호],O294,Table2[월],R294,Table2[근무일자],"&lt;="&amp;D294)</f>
        <v>9</v>
      </c>
      <c r="Z294" s="29">
        <f>COUNTIFS(Table2[주민등록번호],O294,Table2[주간],S294,Table2[근무일자],"&lt;="&amp;D294)</f>
        <v>4</v>
      </c>
      <c r="AA294" s="29">
        <f>SUMIFS(Table2[근로
시간],Table2[주민등록번호],O294,Table2[주간],S294,Table2[근무일자],"&lt;="&amp;D294)*24</f>
        <v>31</v>
      </c>
      <c r="AB294" s="29" t="str">
        <f>IF(AND(Y294&gt;=8,COUNTIFS(Table2[주민등록번호],O294,Table2[근무일자],"&gt;="&amp;EOMONTH(D294,-2)+1,Table2[근무일자],"&lt;="&amp;EOMONTH(D294,-1)+1)&gt;0),"V","")</f>
        <v>V</v>
      </c>
      <c r="AC294" s="94" cm="1">
        <f t="array" ref="AC294">IF(AD294&lt;&gt;"",AD294,_xlfn.XLOOKUP(1,(D294&lt;=Table7[End])*(E294=Table7[근무처])*(F294=Table7[업무]),Table7[시급],0,0))</f>
        <v>10680</v>
      </c>
      <c r="AD294" s="95"/>
      <c r="AE294" s="94">
        <f t="shared" si="60"/>
        <v>74760</v>
      </c>
      <c r="AF294" s="96" cm="1">
        <f t="array" ref="AF294">IF(AND(AA294&gt;=15,(AA294-U294*24)&lt;=40),IF(Z294&gt;=_xlfn.XLOOKUP(1,(D294&lt;=Table7[End])*(E294=Table7[근무처])*(F294=Table7[업무]),Table7[주휴적용일],0,0),1,0)+_xlfn.XLOOKUP(1,(Table2[주간]=Table2[[#This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3</v>
      </c>
      <c r="AG294" s="96" cm="1">
        <f t="array" ref="AG294">MAX((_xlfn.IFS(AF294=0,0,AF294=1,AA294,AF294&gt;1,U294*24)-IF(AA294&gt;40,AA294-40,0))/5,0)</f>
        <v>1.4000000000000008</v>
      </c>
      <c r="AH294" s="94">
        <f t="shared" si="61"/>
        <v>14952</v>
      </c>
      <c r="AI294" s="33" cm="1">
        <f t="array" ref="AI294">IF(W294="",0,ROUND(AC294*U294*24*_xlfn.XLOOKUP(1,(D294&lt;=Table7[End])*(E294=Table7[근무처])*(F294=Table7[업무]),Table7[휴일인센티브],0,0),0))</f>
        <v>0</v>
      </c>
      <c r="AJ294" s="94" cm="1">
        <f t="array" ref="AJ294">ROUND(AC294*IF(U294&gt;=8/24,U294-8/24,0)*24*_xlfn.XLOOKUP(1,(D294&lt;=Table7[End])*(E294=Table7[근무처])*(F294=Table7[업무]),Table7[야간인센티브],0,0),0)</f>
        <v>0</v>
      </c>
      <c r="AK294" s="94" cm="1">
        <f t="array" ref="AK294">IF(V294=0,0,ROUND(AC294*V294*24*_xlfn.XLOOKUP(1,(D294&lt;=Table7[End])*(E294=Table7[근무처])*(F294=Table7[업무]),Table7[야간인센티브],0,0),0))</f>
        <v>37380</v>
      </c>
      <c r="AL294" s="95"/>
      <c r="AM294" s="94">
        <f t="shared" si="62"/>
        <v>127092</v>
      </c>
      <c r="AN294" s="94" cm="1">
        <f t="array" ref="AN294">IF(AM294&gt;=_xlfn.XLOOKUP(TRUE,D294&lt;=Table5[End],Table5[비과세소득기준],0,0),AM294-_xlfn.XLOOKUP(TRUE,D294&lt;=Table5[End],Table5[비과세소득기준],0,0),0)</f>
        <v>0</v>
      </c>
      <c r="AO294" s="94" cm="1">
        <f t="array" ref="AO294">ROUNDDOWN(_xlfn.LET(_xlpm.setvalue,_xlfn.XLOOKUP(TRUE,D294&lt;=Table5[End],Table5[[요율]:[근로소득세액공제]],0,0),_xlpm.tax,AN294*PRODUCT((_xlpm.setvalue-{0,1})*{1,-1}),_xlpm.threshold,_xlfn.XLOOKUP(TRUE,D294&lt;=Table5[End],Table5[소액부징수기준],0,0),IF(_xlpm.tax&gt;=_xlpm.threshold,_xlpm.tax,0)),-1)</f>
        <v>0</v>
      </c>
      <c r="AP294" s="94">
        <f>ROUNDDOWN(Table2[[#This Row],[소득세]]*10%,-1)</f>
        <v>0</v>
      </c>
      <c r="AQ294" s="94">
        <f>IF(AB294="v",AM294+IF(Y294=8,SUMIFS(Table2[지급총액],Table2[주민등록번호],O294,Table2[월],R294,Table2[월간
근무일],"&lt;="&amp;8)-AM294,0),0)+_xlfn.NUMBERVALUE(AR294)</f>
        <v>127092</v>
      </c>
      <c r="AR294" s="95"/>
      <c r="AS294" s="94" cm="1">
        <f t="array" ref="AS294">ROUNDDOWN($AQ294*_xlfn.XLOOKUP(1,(AS$5=Table8[Type])*($D294&lt;=Table8[End]),Table8[요율],0,0),0)</f>
        <v>4505</v>
      </c>
      <c r="AT294" s="94" cm="1">
        <f t="array" ref="AT294">ROUNDDOWN(AS294*_xlfn.XLOOKUP(1,(AT$5=Table8[Type])*($D294&lt;=Table8[End]),Table8[요율],0,0),-1)</f>
        <v>580</v>
      </c>
      <c r="AU294" s="94" cm="1">
        <f t="array" ref="AU294">ROUNDDOWN($AQ294*_xlfn.XLOOKUP(1,(AU$5=Table8[Type])*($D294&lt;=Table8[End]),Table8[요율],0,0),-1)</f>
        <v>5710</v>
      </c>
      <c r="AV294" s="94" cm="1">
        <f t="array" ref="AV294">ROUNDDOWN(AM294*_xlfn.XLOOKUP(1,(AV$5=Table8[Type])*($D294&lt;=Table8[End]),Table8[요율],0,0),-1)</f>
        <v>0</v>
      </c>
      <c r="AW294" s="94" cm="1">
        <f t="array" ref="AW294">_xlfn.XLOOKUP(1,(O294=Table2[주민등록번호])*(D294&gt;Table2[근무일자]),Table2[청구 Claim 
이월],0,0,-1)</f>
        <v>0</v>
      </c>
      <c r="AX294" s="95"/>
      <c r="AY294" s="94" cm="1">
        <f t="array" ref="AY294">MAX(SUM(AO294:AP294,AS294:AX294)-_xlfn.XLOOKUP(1,(D294&lt;=Table7[End])*(E294=Table7[근무처])*(F294=Table7[업무]),Table7[1일 공제 상한],0,0),0)</f>
        <v>0</v>
      </c>
      <c r="AZ294" s="94">
        <f t="shared" si="63"/>
        <v>10795</v>
      </c>
      <c r="BA294" s="94">
        <f t="shared" si="64"/>
        <v>116297</v>
      </c>
      <c r="BB294" s="97">
        <f t="shared" si="65"/>
        <v>0</v>
      </c>
      <c r="BC294" s="98"/>
      <c r="BD294" s="94">
        <f t="shared" si="66"/>
        <v>4505</v>
      </c>
      <c r="BE294" s="94">
        <f t="shared" si="67"/>
        <v>580</v>
      </c>
      <c r="BF294" s="94">
        <f t="shared" si="68"/>
        <v>5710</v>
      </c>
      <c r="BG294" s="94">
        <f t="shared" si="69"/>
        <v>0</v>
      </c>
      <c r="BH294" s="94" cm="1">
        <f t="array" ref="BH294">ROUNDDOWN(AM294*_xlfn.XLOOKUP(1,(BH$5=Table8[Type])*($D294&lt;=Table8[End]),Table8[요율],0,0),-1)</f>
        <v>1010</v>
      </c>
      <c r="BI294" s="93" t="str" cm="1">
        <f t="array" ref="BI294">_xlfn.XLOOKUP(1,(D294&lt;=Table7[End])*(E294=Table7[근무처])*(F294=Table7[업무]),Table7[지급옵션],0,0)</f>
        <v>차주 화</v>
      </c>
      <c r="BJ294" s="83">
        <f>IF(BK294&lt;&gt;"",BK294,IFERROR(D294+_xlfn.NUMBERVALUE(RIGHT(BI294,1)),D294-WEEKDAY(D294)+CHOOSE(MATCH(RIGHT(BI294),{"일","월","화","수","목","금","토"},0),8,9,10,11,12,13,14)))</f>
        <v>45853</v>
      </c>
      <c r="BK294" s="99"/>
    </row>
    <row r="295" spans="2:63" x14ac:dyDescent="0.35">
      <c r="B295" s="20" t="str" cm="1">
        <f t="array" ref="B295">_xlfn.IFS(BB295&lt;&gt;BC295,"Claim확인",N295&lt;&gt;"OK","확인필요",TRUE,"")</f>
        <v/>
      </c>
      <c r="C295" s="21" t="str">
        <f t="shared" si="56"/>
        <v>010-3X6X-X4X7757X02XX284249</v>
      </c>
      <c r="D295" s="26">
        <v>45849</v>
      </c>
      <c r="E295" s="91" t="s">
        <v>255</v>
      </c>
      <c r="F295" s="25" t="s">
        <v>258</v>
      </c>
      <c r="G295" s="27" t="s">
        <v>283</v>
      </c>
      <c r="H295" s="25" t="s">
        <v>295</v>
      </c>
      <c r="I295" s="25"/>
      <c r="J295" s="25" t="s">
        <v>296</v>
      </c>
      <c r="K295" s="28">
        <v>0.91666666666666663</v>
      </c>
      <c r="L295" s="28">
        <v>0.22916666666666666</v>
      </c>
      <c r="M295" s="28">
        <v>2.0833333333333332E-2</v>
      </c>
      <c r="N295" s="25" t="s">
        <v>281</v>
      </c>
      <c r="O295" s="29" t="str">
        <f>_xlfn.XLOOKUP(Table2[[#This Row],[Key]],Table1[Key],Table1[주민등록번호],"",0)</f>
        <v>940XX41XX7X32</v>
      </c>
      <c r="P295" s="29">
        <f>_xlfn.XLOOKUP(Table2[[#This Row],[Key]],Table1[Key],Table1[비자],"",0)</f>
        <v>0</v>
      </c>
      <c r="Q295" s="29">
        <f>IF(P295=0,0,_xlfn.XLOOKUP(Table2[[#This Row],[Key]],Table1[Key],Table1[고용보험 여부],0,0))</f>
        <v>0</v>
      </c>
      <c r="R295" s="29" t="str">
        <f t="shared" si="57"/>
        <v>2507</v>
      </c>
      <c r="S295" s="30" t="str">
        <f>YEAR(Table2[[#This Row],[근무일자]])&amp;TEXT(WEEKNUM(Table2[[#This Row],[근무일자]]),"00")</f>
        <v>202528</v>
      </c>
      <c r="T295" s="31">
        <f>_xlfn.XLOOKUP(Table2[[#This Row],[Key]],Table1[Key],Table1[등록일],"",0)</f>
        <v>45751</v>
      </c>
      <c r="U295" s="32">
        <f t="shared" si="58"/>
        <v>0.2916666666666668</v>
      </c>
      <c r="V295" s="92">
        <f t="shared" si="59"/>
        <v>0.2916666666666668</v>
      </c>
      <c r="W295" s="100" t="str">
        <f>_xlfn.XLOOKUP(Table2[[#This Row],[근무일자]],Table3[Date],Table3[Holiday],"",0)</f>
        <v/>
      </c>
      <c r="X295" s="93">
        <f>IF(D295&lt;&gt;"",1,0)+IF(COUNTIFS(Table2[주민등록번호],O295,Table2[월],TEXT(EOMONTH(D295,-1),"YYMM"))&gt;0,1+IF(COUNTIFS(Table2[주민등록번호],O295,Table2[월],TEXT(EOMONTH(D295,-2),"YYMM"))&gt;0,1+IF(COUNTIFS(Table2[주민등록번호],O295,Table2[월],TEXT(EOMONTH(D295,-3),"YYMM"))&gt;0,1,0),0),0)</f>
        <v>4</v>
      </c>
      <c r="Y295" s="29">
        <f>COUNTIFS(Table2[주민등록번호],O295,Table2[월],R295,Table2[근무일자],"&lt;="&amp;D295)</f>
        <v>10</v>
      </c>
      <c r="Z295" s="29">
        <f>COUNTIFS(Table2[주민등록번호],O295,Table2[주간],S295,Table2[근무일자],"&lt;="&amp;D295)</f>
        <v>5</v>
      </c>
      <c r="AA295" s="29">
        <f>SUMIFS(Table2[근로
시간],Table2[주민등록번호],O295,Table2[주간],S295,Table2[근무일자],"&lt;="&amp;D295)*24</f>
        <v>38</v>
      </c>
      <c r="AB295" s="29" t="str">
        <f>IF(AND(Y295&gt;=8,COUNTIFS(Table2[주민등록번호],O295,Table2[근무일자],"&gt;="&amp;EOMONTH(D295,-2)+1,Table2[근무일자],"&lt;="&amp;EOMONTH(D295,-1)+1)&gt;0),"V","")</f>
        <v>V</v>
      </c>
      <c r="AC295" s="94" cm="1">
        <f t="array" ref="AC295">IF(AD295&lt;&gt;"",AD295,_xlfn.XLOOKUP(1,(D295&lt;=Table7[End])*(E295=Table7[근무처])*(F295=Table7[업무]),Table7[시급],0,0))</f>
        <v>10680</v>
      </c>
      <c r="AD295" s="95"/>
      <c r="AE295" s="94">
        <f t="shared" si="60"/>
        <v>74760</v>
      </c>
      <c r="AF295" s="96" cm="1">
        <f t="array" ref="AF295">IF(AND(AA295&gt;=15,(AA295-U295*24)&lt;=40),IF(Z295&gt;=_xlfn.XLOOKUP(1,(D295&lt;=Table7[End])*(E295=Table7[근무처])*(F295=Table7[업무]),Table7[주휴적용일],0,0),1,0)+_xlfn.XLOOKUP(1,(Table2[주간]=Table2[[#This Row],[주간]])*(Table2[근무일자]&lt;Table2[[#This Row],[근무일자]])*(Table2[주민등록번호]=Table2[[#This Row],[주민등록번호]]),Table2[주휴적용],0,0,-1),0)</f>
        <v>4</v>
      </c>
      <c r="AG295" s="96" cm="1">
        <f t="array" ref="AG295">MAX((_xlfn.IFS(AF295=0,0,AF295=1,AA295,AF295&gt;1,U295*24)-IF(AA295&gt;40,AA295-40,0))/5,0)</f>
        <v>1.4000000000000008</v>
      </c>
      <c r="AH295" s="94">
        <f t="shared" si="61"/>
        <v>14952</v>
      </c>
      <c r="AI295" s="33" cm="1">
        <f t="array" ref="AI295">IF(W295="",0,ROUND(AC295*U295*24*_xlfn.XLOOKUP(1,(D295&lt;=Table7[End])*(E295=Table7[근무처])*(F295=Table7[업무]),Table7[휴일인센티브],0,0),0))</f>
        <v>0</v>
      </c>
      <c r="AJ295" s="94" cm="1">
        <f t="array" ref="AJ295">ROUND(AC295*IF(U295&gt;=8/24,U295-8/24,0)*24*_xlfn.XLOOKUP(1,(D295&lt;=Table7[End])*(E295=Table7[근무처])*(F295=Table7[업무]),Table7[야간인센티브],0,0),0)</f>
        <v>0</v>
      </c>
      <c r="AK295" s="94" cm="1">
        <f t="array" ref="AK295">IF(V295=0,0,ROUND(AC295*V295*24*_xlfn.XLOOKUP(1,(D295&lt;=Table7[End])*(E295=Table7[근무처])*(F295=Table7[업무]),Table7[야간인센티브],0,0),0))</f>
        <v>37380</v>
      </c>
      <c r="AL295" s="95"/>
      <c r="AM295" s="94">
        <f t="shared" si="62"/>
        <v>127092</v>
      </c>
      <c r="AN295" s="94" cm="1">
        <f t="array" ref="AN295">IF(AM295&gt;=_xlfn.XLOOKUP(TRUE,D295&lt;=Table5[End],Table5[비과세소득기준],0,0),AM295-_xlfn.XLOOKUP(TRUE,D295&lt;=Table5[End],Table5[비과세소득기준],0,0),0)</f>
        <v>0</v>
      </c>
      <c r="AO295" s="94" cm="1">
        <f t="array" ref="AO295">ROUNDDOWN(_xlfn.LET(_xlpm.setvalue,_xlfn.XLOOKUP(TRUE,D295&lt;=Table5[End],Table5[[요율]:[근로소득세액공제]],0,0),_xlpm.tax,AN295*PRODUCT((_xlpm.setvalue-{0,1})*{1,-1}),_xlpm.threshold,_xlfn.XLOOKUP(TRUE,D295&lt;=Table5[End],Table5[소액부징수기준],0,0),IF(_xlpm.tax&gt;=_xlpm.threshold,_xlpm.tax,0)),-1)</f>
        <v>0</v>
      </c>
      <c r="AP295" s="94">
        <f>ROUNDDOWN(Table2[[#This Row],[소득세]]*10%,-1)</f>
        <v>0</v>
      </c>
      <c r="AQ295" s="94">
        <f>IF(AB295="v",AM295+IF(Y295=8,SUMIFS(Table2[지급총액],Table2[주민등록번호],O295,Table2[월],R295,Table2[월간
근무일],"&lt;="&amp;8)-AM295,0),0)+_xlfn.NUMBERVALUE(AR295)</f>
        <v>127092</v>
      </c>
      <c r="AR295" s="95"/>
      <c r="AS295" s="94" cm="1">
        <f t="array" ref="AS295">ROUNDDOWN($AQ295*_xlfn.XLOOKUP(1,(AS$5=Table8[Type])*($D295&lt;=Table8[End]),Table8[요율],0,0),0)</f>
        <v>4505</v>
      </c>
      <c r="AT295" s="94" cm="1">
        <f t="array" ref="AT295">ROUNDDOWN(AS295*_xlfn.XLOOKUP(1,(AT$5=Table8[Type])*($D295&lt;=Table8[End]),Table8[요율],0,0),-1)</f>
        <v>580</v>
      </c>
      <c r="AU295" s="94" cm="1">
        <f t="array" ref="AU295">ROUNDDOWN($AQ295*_xlfn.XLOOKUP(1,(AU$5=Table8[Type])*($D295&lt;=Table8[End]),Table8[요율],0,0),-1)</f>
        <v>5710</v>
      </c>
      <c r="AV295" s="94" cm="1">
        <f t="array" ref="AV295">ROUNDDOWN(AM295*_xlfn.XLOOKUP(1,(AV$5=Table8[Type])*($D295&lt;=Table8[End]),Table8[요율],0,0),-1)</f>
        <v>0</v>
      </c>
      <c r="AW295" s="94" cm="1">
        <f t="array" ref="AW295">_xlfn.XLOOKUP(1,(O295=Table2[주민등록번호])*(D295&gt;Table2[근무일자]),Table2[청구 Claim 
이월],0,0,-1)</f>
        <v>0</v>
      </c>
      <c r="AX295" s="95"/>
      <c r="AY295" s="94" cm="1">
        <f t="array" ref="AY295">MAX(SUM(AO295:AP295,AS295:AX295)-_xlfn.XLOOKUP(1,(D295&lt;=Table7[End])*(E295=Table7[근무처])*(F295=Table7[업무]),Table7[1일 공제 상한],0,0),0)</f>
        <v>0</v>
      </c>
      <c r="AZ295" s="94">
        <f t="shared" si="63"/>
        <v>10795</v>
      </c>
      <c r="BA295" s="94">
        <f t="shared" si="64"/>
        <v>116297</v>
      </c>
      <c r="BB295" s="97">
        <f t="shared" si="65"/>
        <v>0</v>
      </c>
      <c r="BC295" s="98"/>
      <c r="BD295" s="94">
        <f t="shared" si="66"/>
        <v>4505</v>
      </c>
      <c r="BE295" s="94">
        <f t="shared" si="67"/>
        <v>580</v>
      </c>
      <c r="BF295" s="94">
        <f t="shared" si="68"/>
        <v>5710</v>
      </c>
      <c r="BG295" s="94">
        <f t="shared" si="69"/>
        <v>0</v>
      </c>
      <c r="BH295" s="94" cm="1">
        <f t="array" ref="BH295">ROUNDDOWN(AM295*_xlfn.XLOOKUP(1,(BH$5=Table8[Type])*($D295&lt;=Table8[End]),Table8[요율],0,0),-1)</f>
        <v>1010</v>
      </c>
      <c r="BI295" s="93" t="str" cm="1">
        <f t="array" ref="BI295">_xlfn.XLOOKUP(1,(D295&lt;=Table7[End])*(E295=Table7[근무처])*(F295=Table7[업무]),Table7[지급옵션],0,0)</f>
        <v>차주 화</v>
      </c>
      <c r="BJ295" s="83">
        <f>IF(BK295&lt;&gt;"",BK295,IFERROR(D295+_xlfn.NUMBERVALUE(RIGHT(BI295,1)),D295-WEEKDAY(D295)+CHOOSE(MATCH(RIGHT(BI295),{"일","월","화","수","목","금","토"},0),8,9,10,11,12,13,14)))</f>
        <v>45853</v>
      </c>
      <c r="BK295" s="9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8F2F-9809-43A6-8FF2-B62759BC3052}">
  <sheetPr codeName="Sheet6">
    <tabColor theme="7" tint="0.79998168889431442"/>
  </sheetPr>
  <dimension ref="A1"/>
  <sheetViews>
    <sheetView workbookViewId="0"/>
  </sheetViews>
  <sheetFormatPr defaultRowHeight="15.6" x14ac:dyDescent="0.3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FEC4-C282-4BB0-8CB4-AF3C3219A35B}">
  <sheetPr codeName="Sheet7"/>
  <dimension ref="B2:S26"/>
  <sheetViews>
    <sheetView showGridLines="0" workbookViewId="0">
      <selection activeCell="I38" sqref="I38"/>
    </sheetView>
  </sheetViews>
  <sheetFormatPr defaultRowHeight="15.6" x14ac:dyDescent="0.35"/>
  <cols>
    <col min="2" max="2" width="11.33203125" bestFit="1" customWidth="1"/>
    <col min="3" max="3" width="6.88671875" bestFit="1" customWidth="1"/>
    <col min="4" max="4" width="5.109375" bestFit="1" customWidth="1"/>
    <col min="5" max="5" width="6.5546875" bestFit="1" customWidth="1"/>
    <col min="6" max="6" width="15.33203125" bestFit="1" customWidth="1"/>
    <col min="7" max="7" width="11.44140625" bestFit="1" customWidth="1"/>
    <col min="8" max="9" width="11.109375" bestFit="1" customWidth="1"/>
    <col min="10" max="10" width="8.5546875" bestFit="1" customWidth="1"/>
    <col min="11" max="11" width="11.33203125" bestFit="1" customWidth="1"/>
    <col min="13" max="13" width="7.6640625" bestFit="1" customWidth="1"/>
    <col min="14" max="14" width="5.44140625" bestFit="1" customWidth="1"/>
    <col min="15" max="15" width="6.5546875" bestFit="1" customWidth="1"/>
    <col min="16" max="16" width="15.33203125" bestFit="1" customWidth="1"/>
    <col min="17" max="17" width="5.109375" bestFit="1" customWidth="1"/>
    <col min="18" max="18" width="16.88671875" bestFit="1" customWidth="1"/>
    <col min="19" max="19" width="11.109375" bestFit="1" customWidth="1"/>
  </cols>
  <sheetData>
    <row r="2" spans="2:19" x14ac:dyDescent="0.35">
      <c r="F2" t="s">
        <v>338</v>
      </c>
      <c r="G2" s="107">
        <v>45797</v>
      </c>
    </row>
    <row r="3" spans="2:19" x14ac:dyDescent="0.35">
      <c r="F3" t="s">
        <v>324</v>
      </c>
    </row>
    <row r="4" spans="2:19" x14ac:dyDescent="0.35">
      <c r="F4" s="191"/>
      <c r="G4" s="191" t="s">
        <v>254</v>
      </c>
      <c r="H4" s="191" t="s">
        <v>256</v>
      </c>
      <c r="I4" s="191" t="s">
        <v>326</v>
      </c>
    </row>
    <row r="5" spans="2:19" x14ac:dyDescent="0.35">
      <c r="F5" t="s">
        <v>327</v>
      </c>
      <c r="G5" s="106" cm="1">
        <f t="array" ref="G5">IFERROR(SUM(1*(LEN(_xlfn.UNIQUE(_xlfn._xlws.FILTER(Table2[계좌번호],(Table2[지급일]=$G$2)*(Table2[근무처]=G$4))))&gt;0)),0)</f>
        <v>1</v>
      </c>
      <c r="H5" s="106" cm="1">
        <f t="array" ref="H5">IFERROR(SUM(1*(LEN(_xlfn.UNIQUE(_xlfn._xlws.FILTER(Table2[계좌번호],(Table2[지급일]=$G$2)*(Table2[근무처]=H$4))))&gt;0)),0)</f>
        <v>4</v>
      </c>
      <c r="I5" s="106">
        <f>G5+H5</f>
        <v>5</v>
      </c>
    </row>
    <row r="6" spans="2:19" x14ac:dyDescent="0.35">
      <c r="F6" t="s">
        <v>328</v>
      </c>
      <c r="G6" s="106">
        <f>SUMIFS(Table2[근로
시간],Table2[근무처],G$4,Table2[지급일],$G$2)*24</f>
        <v>4.9999999999999991</v>
      </c>
      <c r="H6" s="106">
        <f>SUMIFS(Table2[근로
시간],Table2[근무처],H$4,Table2[지급일],$G$2)*24</f>
        <v>119.99999999999997</v>
      </c>
      <c r="I6" s="106">
        <f>G6+H6</f>
        <v>124.99999999999997</v>
      </c>
    </row>
    <row r="7" spans="2:19" x14ac:dyDescent="0.35">
      <c r="F7" t="s">
        <v>325</v>
      </c>
      <c r="G7" s="106">
        <f>SUMIFS(Table2[실지급액],Table2[근무처],G$4,Table2[지급일],$G$2)</f>
        <v>0</v>
      </c>
      <c r="H7" s="106">
        <f>SUMIFS(Table2[실지급액],Table2[근무처],H$4,Table2[지급일],$G$2)</f>
        <v>1353019</v>
      </c>
      <c r="I7" s="106">
        <f>G7+H7</f>
        <v>1353019</v>
      </c>
    </row>
    <row r="9" spans="2:19" x14ac:dyDescent="0.35">
      <c r="I9" s="106">
        <f>SUM(I11:I26)</f>
        <v>1353019</v>
      </c>
      <c r="S9" s="106">
        <f>SUM(S11:S26)</f>
        <v>1353019</v>
      </c>
    </row>
    <row r="10" spans="2:19" x14ac:dyDescent="0.35">
      <c r="B10" s="101" t="s">
        <v>29</v>
      </c>
      <c r="C10" s="101" t="s">
        <v>103</v>
      </c>
      <c r="D10" s="101" t="s">
        <v>30</v>
      </c>
      <c r="E10" s="101" t="s">
        <v>31</v>
      </c>
      <c r="F10" s="101" t="s">
        <v>15</v>
      </c>
      <c r="G10" s="102" t="s">
        <v>44</v>
      </c>
      <c r="H10" s="103" t="s">
        <v>51</v>
      </c>
      <c r="I10" s="104" t="s">
        <v>52</v>
      </c>
      <c r="J10" s="105" t="s">
        <v>249</v>
      </c>
      <c r="K10" s="104" t="s">
        <v>59</v>
      </c>
      <c r="M10" s="101" t="s">
        <v>103</v>
      </c>
      <c r="N10" s="101" t="s">
        <v>30</v>
      </c>
      <c r="O10" s="101" t="s">
        <v>31</v>
      </c>
      <c r="P10" s="101" t="s">
        <v>15</v>
      </c>
      <c r="Q10" s="101" t="s">
        <v>323</v>
      </c>
      <c r="R10" s="101" t="s">
        <v>19</v>
      </c>
      <c r="S10" s="102" t="s">
        <v>44</v>
      </c>
    </row>
    <row r="11" spans="2:19" x14ac:dyDescent="0.35">
      <c r="B11" s="85" cm="1">
        <f t="array" ref="B11:K26">_xlfn.CHOOSECOLS(_xlfn._xlws.FILTER(Table2[[근무일자]:[Adjustment
지급일]],Table2[지급일]=G2),1,2,3,4,5,36,49,50,58,59)</f>
        <v>45788</v>
      </c>
      <c r="C11" t="str">
        <v>B</v>
      </c>
      <c r="D11" t="str">
        <v>HUB</v>
      </c>
      <c r="E11" t="str">
        <v>조X희</v>
      </c>
      <c r="F11" t="str">
        <v>010-2X2X-X2X2</v>
      </c>
      <c r="G11" s="106">
        <v>85440</v>
      </c>
      <c r="H11" s="106">
        <v>0</v>
      </c>
      <c r="I11" s="106">
        <v>85440</v>
      </c>
      <c r="J11" t="str">
        <v>차주 화</v>
      </c>
      <c r="K11" s="85">
        <v>45797</v>
      </c>
      <c r="M11" t="str" cm="1">
        <f t="array" ref="M11:R15">_xlfn.UNIQUE(_xlfn.CHOOSECOLS(_xlfn._xlws.FILTER(Table2[[근무일자]:[Adjustment
지급일]],Table2[지급일]=G2),2,3,4,5,6,7))</f>
        <v>B</v>
      </c>
      <c r="N11" t="str">
        <v>HUB</v>
      </c>
      <c r="O11" t="str">
        <v>조X희</v>
      </c>
      <c r="P11" t="str">
        <v>010-2X2X-X2X2</v>
      </c>
      <c r="Q11">
        <v>0</v>
      </c>
      <c r="R11" t="str">
        <v>945X02XX268466</v>
      </c>
      <c r="S11" s="106">
        <f>SUMIFS(Table2[실지급액],Table2[계좌번호],R11,Table2[지급일],$G$2,Table2[근무처],M11)</f>
        <v>205056</v>
      </c>
    </row>
    <row r="12" spans="2:19" x14ac:dyDescent="0.35">
      <c r="B12" s="85">
        <v>45788</v>
      </c>
      <c r="C12" t="str">
        <v>B</v>
      </c>
      <c r="D12" t="str">
        <v>HUB</v>
      </c>
      <c r="E12" t="str">
        <v>서X은</v>
      </c>
      <c r="F12" t="str">
        <v>010-5X0X-X6X5</v>
      </c>
      <c r="G12" s="106">
        <v>85440</v>
      </c>
      <c r="H12" s="106">
        <v>0</v>
      </c>
      <c r="I12" s="106">
        <v>85440</v>
      </c>
      <c r="J12" t="str">
        <v>차주 화</v>
      </c>
      <c r="K12" s="85">
        <v>45797</v>
      </c>
      <c r="M12" t="str">
        <v>B</v>
      </c>
      <c r="N12" t="str">
        <v>HUB</v>
      </c>
      <c r="O12" t="str">
        <v>서X은</v>
      </c>
      <c r="P12" t="str">
        <v>010-5X0X-X6X5</v>
      </c>
      <c r="Q12">
        <v>0</v>
      </c>
      <c r="R12" t="str">
        <v>010X57XX685907</v>
      </c>
      <c r="S12" s="106">
        <f>SUMIFS(Table2[실지급액],Table2[계좌번호],R12,Table2[지급일],$G$2,Table2[근무처],M12)</f>
        <v>307584</v>
      </c>
    </row>
    <row r="13" spans="2:19" x14ac:dyDescent="0.35">
      <c r="B13" s="85">
        <v>45789</v>
      </c>
      <c r="C13" t="str">
        <v>B</v>
      </c>
      <c r="D13" t="str">
        <v>HUB</v>
      </c>
      <c r="E13" t="str">
        <v>정X동</v>
      </c>
      <c r="F13" t="str">
        <v>010-6X1X-X3X0</v>
      </c>
      <c r="G13" s="106">
        <v>85440</v>
      </c>
      <c r="H13" s="106">
        <v>0</v>
      </c>
      <c r="I13" s="106">
        <v>85440</v>
      </c>
      <c r="J13" t="str">
        <v>차주 화</v>
      </c>
      <c r="K13" s="85">
        <v>45797</v>
      </c>
      <c r="M13" t="str">
        <v>B</v>
      </c>
      <c r="N13" t="str">
        <v>HUB</v>
      </c>
      <c r="O13" t="str">
        <v>정X동</v>
      </c>
      <c r="P13" t="str">
        <v>010-6X1X-X3X0</v>
      </c>
      <c r="Q13">
        <v>0</v>
      </c>
      <c r="R13" t="str">
        <v>333X04XX46879</v>
      </c>
      <c r="S13" s="106">
        <f>SUMIFS(Table2[실지급액],Table2[계좌번호],R13,Table2[지급일],$G$2,Table2[근무처],M13)</f>
        <v>331652</v>
      </c>
    </row>
    <row r="14" spans="2:19" x14ac:dyDescent="0.35">
      <c r="B14" s="85">
        <v>45789</v>
      </c>
      <c r="C14" t="str">
        <v>B</v>
      </c>
      <c r="D14" t="str">
        <v>HUB</v>
      </c>
      <c r="E14" t="str">
        <v>김X석</v>
      </c>
      <c r="F14" t="str">
        <v>010-3X6X-X4X7</v>
      </c>
      <c r="G14" s="106">
        <v>85440</v>
      </c>
      <c r="H14" s="106">
        <v>0</v>
      </c>
      <c r="I14" s="106">
        <v>85440</v>
      </c>
      <c r="J14" t="str">
        <v>차주 화</v>
      </c>
      <c r="K14" s="85">
        <v>45797</v>
      </c>
      <c r="M14" t="str">
        <v>B</v>
      </c>
      <c r="N14" t="str">
        <v>HUB</v>
      </c>
      <c r="O14" t="str">
        <v>김X석</v>
      </c>
      <c r="P14" t="str">
        <v>010-3X6X-X4X7</v>
      </c>
      <c r="Q14">
        <v>0</v>
      </c>
      <c r="R14" t="str">
        <v>757X02XX284249</v>
      </c>
      <c r="S14" s="106">
        <f>SUMIFS(Table2[실지급액],Table2[계좌번호],R14,Table2[지급일],$G$2,Table2[근무처],M14)</f>
        <v>508727</v>
      </c>
    </row>
    <row r="15" spans="2:19" x14ac:dyDescent="0.35">
      <c r="B15" s="85">
        <v>45789</v>
      </c>
      <c r="C15" t="str">
        <v>B</v>
      </c>
      <c r="D15" t="str">
        <v>HUB</v>
      </c>
      <c r="E15" t="str">
        <v>조X희</v>
      </c>
      <c r="F15" t="str">
        <v>010-2X2X-X2X2</v>
      </c>
      <c r="G15" s="106">
        <v>119616</v>
      </c>
      <c r="H15" s="106">
        <v>0</v>
      </c>
      <c r="I15" s="106">
        <v>119616</v>
      </c>
      <c r="J15" t="str">
        <v>차주 화</v>
      </c>
      <c r="K15" s="85">
        <v>45797</v>
      </c>
      <c r="M15" t="str">
        <v>A</v>
      </c>
      <c r="N15" t="str">
        <v>FC</v>
      </c>
      <c r="O15" t="str">
        <v>조X희</v>
      </c>
      <c r="P15" t="str">
        <v>010-2X2X-X2X2</v>
      </c>
      <c r="Q15">
        <v>0</v>
      </c>
      <c r="R15" t="str">
        <v>945X02XX268466</v>
      </c>
      <c r="S15" s="106">
        <f>SUMIFS(Table2[실지급액],Table2[계좌번호],R15,Table2[지급일],$G$2,Table2[근무처],M15)</f>
        <v>0</v>
      </c>
    </row>
    <row r="16" spans="2:19" x14ac:dyDescent="0.35">
      <c r="B16" s="85">
        <v>45789</v>
      </c>
      <c r="C16" t="str">
        <v>B</v>
      </c>
      <c r="D16" t="str">
        <v>HUB</v>
      </c>
      <c r="E16" t="str">
        <v>서X은</v>
      </c>
      <c r="F16" t="str">
        <v>010-5X0X-X6X5</v>
      </c>
      <c r="G16" s="106">
        <v>119616</v>
      </c>
      <c r="H16" s="106">
        <v>0</v>
      </c>
      <c r="I16" s="106">
        <v>119616</v>
      </c>
      <c r="J16" t="str">
        <v>차주 화</v>
      </c>
      <c r="K16" s="85">
        <v>45797</v>
      </c>
      <c r="S16" s="106">
        <f>SUMIFS(Table2[실지급액],Table2[계좌번호],R16,Table2[지급일],$G$2,Table2[근무처],M16)</f>
        <v>0</v>
      </c>
    </row>
    <row r="17" spans="2:19" x14ac:dyDescent="0.35">
      <c r="B17" s="85">
        <v>45790</v>
      </c>
      <c r="C17" t="str">
        <v>B</v>
      </c>
      <c r="D17" t="str">
        <v>HUB</v>
      </c>
      <c r="E17" t="str">
        <v>정X동</v>
      </c>
      <c r="F17" t="str">
        <v>010-6X1X-X3X0</v>
      </c>
      <c r="G17" s="106">
        <v>119616</v>
      </c>
      <c r="H17" s="106">
        <v>0</v>
      </c>
      <c r="I17" s="106">
        <v>119616</v>
      </c>
      <c r="J17" t="str">
        <v>차주 화</v>
      </c>
      <c r="K17" s="85">
        <v>45797</v>
      </c>
      <c r="M17" s="129"/>
      <c r="S17" s="106">
        <f>SUMIFS(Table2[실지급액],Table2[계좌번호],R17,Table2[지급일],$G$2,Table2[근무처],M17)</f>
        <v>0</v>
      </c>
    </row>
    <row r="18" spans="2:19" x14ac:dyDescent="0.35">
      <c r="B18" s="85">
        <v>45790</v>
      </c>
      <c r="C18" t="str">
        <v>B</v>
      </c>
      <c r="D18" t="str">
        <v>HUB</v>
      </c>
      <c r="E18" t="str">
        <v>김X석</v>
      </c>
      <c r="F18" t="str">
        <v>010-3X6X-X4X7</v>
      </c>
      <c r="G18" s="106">
        <v>119616</v>
      </c>
      <c r="H18" s="106">
        <v>0</v>
      </c>
      <c r="I18" s="106">
        <v>119616</v>
      </c>
      <c r="J18" t="str">
        <v>차주 화</v>
      </c>
      <c r="K18" s="85">
        <v>45797</v>
      </c>
      <c r="S18" s="106">
        <f>SUMIFS(Table2[실지급액],Table2[계좌번호],R18,Table2[지급일],$G$2,Table2[근무처],M18)</f>
        <v>0</v>
      </c>
    </row>
    <row r="19" spans="2:19" x14ac:dyDescent="0.35">
      <c r="B19" s="85">
        <v>45790</v>
      </c>
      <c r="C19" t="str">
        <v>B</v>
      </c>
      <c r="D19" t="str">
        <v>HUB</v>
      </c>
      <c r="E19" t="str">
        <v>서X은</v>
      </c>
      <c r="F19" t="str">
        <v>010-5X0X-X6X5</v>
      </c>
      <c r="G19" s="106">
        <v>102528</v>
      </c>
      <c r="H19" s="106">
        <v>0</v>
      </c>
      <c r="I19" s="106">
        <v>102528</v>
      </c>
      <c r="J19" t="str">
        <v>차주 화</v>
      </c>
      <c r="K19" s="85">
        <v>45797</v>
      </c>
      <c r="S19" s="106">
        <f>SUMIFS(Table2[실지급액],Table2[계좌번호],R19,Table2[지급일],$G$2,Table2[근무처],M19)</f>
        <v>0</v>
      </c>
    </row>
    <row r="20" spans="2:19" x14ac:dyDescent="0.35">
      <c r="B20" s="85">
        <v>45791</v>
      </c>
      <c r="C20" t="str">
        <v>B</v>
      </c>
      <c r="D20" t="str">
        <v>HUB</v>
      </c>
      <c r="E20" t="str">
        <v>정X동</v>
      </c>
      <c r="F20" t="str">
        <v>010-6X1X-X3X0</v>
      </c>
      <c r="G20" s="106">
        <v>102528</v>
      </c>
      <c r="H20" s="106">
        <v>69746</v>
      </c>
      <c r="I20" s="106">
        <v>32782</v>
      </c>
      <c r="J20" t="str">
        <v>차주 화</v>
      </c>
      <c r="K20" s="85">
        <v>45797</v>
      </c>
      <c r="S20" s="106">
        <f>SUMIFS(Table2[실지급액],Table2[계좌번호],R20,Table2[지급일],$G$2,Table2[근무처],M20)</f>
        <v>0</v>
      </c>
    </row>
    <row r="21" spans="2:19" x14ac:dyDescent="0.35">
      <c r="B21" s="85">
        <v>45791</v>
      </c>
      <c r="C21" t="str">
        <v>B</v>
      </c>
      <c r="D21" t="str">
        <v>HUB</v>
      </c>
      <c r="E21" t="str">
        <v>김X석</v>
      </c>
      <c r="F21" t="str">
        <v>010-3X6X-X4X7</v>
      </c>
      <c r="G21" s="106">
        <v>102528</v>
      </c>
      <c r="H21" s="106">
        <v>0</v>
      </c>
      <c r="I21" s="106">
        <v>102528</v>
      </c>
      <c r="J21" t="str">
        <v>차주 화</v>
      </c>
      <c r="K21" s="85">
        <v>45797</v>
      </c>
      <c r="S21" s="106">
        <f>SUMIFS(Table2[실지급액],Table2[계좌번호],R21,Table2[지급일],$G$2,Table2[근무처],M21)</f>
        <v>0</v>
      </c>
    </row>
    <row r="22" spans="2:19" x14ac:dyDescent="0.35">
      <c r="B22" s="85">
        <v>45792</v>
      </c>
      <c r="C22" t="str">
        <v>B</v>
      </c>
      <c r="D22" t="str">
        <v>HUB</v>
      </c>
      <c r="E22" t="str">
        <v>정X동</v>
      </c>
      <c r="F22" t="str">
        <v>010-6X1X-X3X0</v>
      </c>
      <c r="G22" s="106">
        <v>102528</v>
      </c>
      <c r="H22" s="106">
        <v>8714</v>
      </c>
      <c r="I22" s="106">
        <v>93814</v>
      </c>
      <c r="J22" t="str">
        <v>차주 화</v>
      </c>
      <c r="K22" s="85">
        <v>45797</v>
      </c>
      <c r="S22" s="106">
        <f>SUMIFS(Table2[실지급액],Table2[계좌번호],R22,Table2[지급일],$G$2,Table2[근무처],M22)</f>
        <v>0</v>
      </c>
    </row>
    <row r="23" spans="2:19" x14ac:dyDescent="0.35">
      <c r="B23" s="85">
        <v>45792</v>
      </c>
      <c r="C23" t="str">
        <v>B</v>
      </c>
      <c r="D23" t="str">
        <v>HUB</v>
      </c>
      <c r="E23" t="str">
        <v>김X석</v>
      </c>
      <c r="F23" t="str">
        <v>010-3X6X-X4X7</v>
      </c>
      <c r="G23" s="106">
        <v>102528</v>
      </c>
      <c r="H23" s="106">
        <v>73381</v>
      </c>
      <c r="I23" s="106">
        <v>29147</v>
      </c>
      <c r="J23" t="str">
        <v>차주 화</v>
      </c>
      <c r="K23" s="85">
        <v>45797</v>
      </c>
      <c r="S23" s="106">
        <f>SUMIFS(Table2[실지급액],Table2[계좌번호],R23,Table2[지급일],$G$2,Table2[근무처],M23)</f>
        <v>0</v>
      </c>
    </row>
    <row r="24" spans="2:19" x14ac:dyDescent="0.35">
      <c r="B24" s="85">
        <v>45793</v>
      </c>
      <c r="C24" t="str">
        <v>B</v>
      </c>
      <c r="D24" t="str">
        <v>HUB</v>
      </c>
      <c r="E24" t="str">
        <v>김X석</v>
      </c>
      <c r="F24" t="str">
        <v>010-3X6X-X4X7</v>
      </c>
      <c r="G24" s="106">
        <v>102528</v>
      </c>
      <c r="H24" s="106">
        <v>8714</v>
      </c>
      <c r="I24" s="106">
        <v>93814</v>
      </c>
      <c r="J24" t="str">
        <v>차주 화</v>
      </c>
      <c r="K24" s="85">
        <v>45797</v>
      </c>
      <c r="S24" s="106">
        <f>SUMIFS(Table2[실지급액],Table2[계좌번호],R24,Table2[지급일],$G$2,Table2[근무처],M24)</f>
        <v>0</v>
      </c>
    </row>
    <row r="25" spans="2:19" x14ac:dyDescent="0.35">
      <c r="B25" s="85">
        <v>45794</v>
      </c>
      <c r="C25" t="str">
        <v>B</v>
      </c>
      <c r="D25" t="str">
        <v>HUB</v>
      </c>
      <c r="E25" t="str">
        <v>김X석</v>
      </c>
      <c r="F25" t="str">
        <v>010-3X6X-X4X7</v>
      </c>
      <c r="G25" s="106">
        <v>85440</v>
      </c>
      <c r="H25" s="106">
        <v>7258</v>
      </c>
      <c r="I25" s="106">
        <v>78182</v>
      </c>
      <c r="J25" t="str">
        <v>차주 화</v>
      </c>
      <c r="K25" s="85">
        <v>45797</v>
      </c>
      <c r="S25" s="106">
        <f>SUMIFS(Table2[실지급액],Table2[계좌번호],R25,Table2[지급일],$G$2,Table2[근무처],M25)</f>
        <v>0</v>
      </c>
    </row>
    <row r="26" spans="2:19" x14ac:dyDescent="0.35">
      <c r="B26" s="85">
        <v>45795</v>
      </c>
      <c r="C26" t="str">
        <v>A</v>
      </c>
      <c r="D26" t="str">
        <v>FC</v>
      </c>
      <c r="E26" t="str">
        <v>조X희</v>
      </c>
      <c r="F26" t="str">
        <v>010-2X2X-X2X2</v>
      </c>
      <c r="G26" s="106">
        <v>50150</v>
      </c>
      <c r="H26" s="106">
        <v>72558</v>
      </c>
      <c r="I26" s="106">
        <v>0</v>
      </c>
      <c r="J26" t="str">
        <v>D+2</v>
      </c>
      <c r="K26" s="85">
        <v>45797</v>
      </c>
      <c r="S26" s="106">
        <f>SUMIFS(Table2[실지급액],Table2[계좌번호],R26,Table2[지급일],$G$2,Table2[근무처],M26)</f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2EBD-B534-4B10-9B21-4F59EC081FAA}">
  <sheetPr codeName="Sheet8"/>
  <dimension ref="A1:BD17"/>
  <sheetViews>
    <sheetView showGridLines="0" workbookViewId="0">
      <selection activeCell="G8" sqref="G8"/>
    </sheetView>
  </sheetViews>
  <sheetFormatPr defaultRowHeight="15.6" x14ac:dyDescent="0.35"/>
  <cols>
    <col min="2" max="2" width="5.44140625" bestFit="1" customWidth="1"/>
    <col min="3" max="3" width="20.88671875" bestFit="1" customWidth="1"/>
    <col min="4" max="4" width="7.33203125" bestFit="1" customWidth="1"/>
    <col min="6" max="6" width="13.109375" bestFit="1" customWidth="1"/>
    <col min="7" max="7" width="14.88671875" bestFit="1" customWidth="1"/>
    <col min="8" max="8" width="10.5546875" bestFit="1" customWidth="1"/>
    <col min="9" max="9" width="12.6640625" bestFit="1" customWidth="1"/>
    <col min="11" max="19" width="4.6640625" bestFit="1" customWidth="1"/>
    <col min="20" max="41" width="5.88671875" bestFit="1" customWidth="1"/>
    <col min="46" max="46" width="11.109375" bestFit="1" customWidth="1"/>
    <col min="47" max="47" width="13.109375" bestFit="1" customWidth="1"/>
    <col min="51" max="51" width="7.33203125" bestFit="1" customWidth="1"/>
    <col min="53" max="53" width="11.109375" bestFit="1" customWidth="1"/>
    <col min="54" max="54" width="7.33203125" bestFit="1" customWidth="1"/>
    <col min="55" max="55" width="11.109375" bestFit="1" customWidth="1"/>
  </cols>
  <sheetData>
    <row r="1" spans="1:56" x14ac:dyDescent="0.35">
      <c r="C1" s="195" t="str">
        <f>TEXT(C2,"YYMM")</f>
        <v>2505</v>
      </c>
      <c r="E1" s="192" t="str" cm="1">
        <f t="array" ref="E1:E3">_xlfn.UNIQUE(Table7[[#All],[근무처]:[근무처]])</f>
        <v>근무처</v>
      </c>
      <c r="F1" s="192" t="s">
        <v>308</v>
      </c>
      <c r="G1" s="192" t="s">
        <v>309</v>
      </c>
    </row>
    <row r="2" spans="1:56" x14ac:dyDescent="0.35">
      <c r="B2" s="198" t="s">
        <v>339</v>
      </c>
      <c r="C2" s="196">
        <v>45778</v>
      </c>
      <c r="E2" s="193" t="str">
        <v>A</v>
      </c>
      <c r="F2" s="193" cm="1">
        <f t="array" ref="F2">IFERROR(SUM(1*(LEN(_xlfn.UNIQUE(_xlfn._xlws.FILTER(Table2[주민등록번호],(Table2[월]=$C$1)*(Table2[근무처]=$E2))))&gt;0)),0)</f>
        <v>3</v>
      </c>
      <c r="G2" s="194">
        <f>SUMIFS(Table2[지급총액],Table2[근무처],$E2,Table2[월],$C$1)</f>
        <v>762280</v>
      </c>
    </row>
    <row r="3" spans="1:56" x14ac:dyDescent="0.35">
      <c r="C3" s="197">
        <f>EOMONTH(C2,0)</f>
        <v>45808</v>
      </c>
      <c r="E3" s="193" t="str">
        <v>B</v>
      </c>
      <c r="F3" s="193" cm="1">
        <f t="array" ref="F3">SUM(1*(LEN(_xlfn.UNIQUE(_xlfn._xlws.FILTER(Table2[주민등록번호],(Table2[월]=$C$1)*(Table2[근무처]=$E3))))&gt;0))</f>
        <v>7</v>
      </c>
      <c r="G3" s="194">
        <f>SUMIFS(Table2[지급총액],Table2[근무처],$E3,Table2[월],$C$1)</f>
        <v>5876136</v>
      </c>
    </row>
    <row r="4" spans="1:56" x14ac:dyDescent="0.35">
      <c r="C4" s="85"/>
    </row>
    <row r="9" spans="1:56" x14ac:dyDescent="0.35">
      <c r="A9" t="s">
        <v>329</v>
      </c>
    </row>
    <row r="10" spans="1:56" ht="62.4" x14ac:dyDescent="0.35">
      <c r="A10" s="109" t="s">
        <v>224</v>
      </c>
      <c r="B10" s="110" t="s">
        <v>225</v>
      </c>
      <c r="C10" s="110" t="s">
        <v>226</v>
      </c>
      <c r="D10" s="110" t="s">
        <v>227</v>
      </c>
      <c r="E10" s="111" t="s">
        <v>228</v>
      </c>
      <c r="F10" s="111" t="s">
        <v>229</v>
      </c>
      <c r="G10" s="112" t="s">
        <v>230</v>
      </c>
      <c r="H10" s="112" t="s">
        <v>231</v>
      </c>
      <c r="I10" s="112" t="s">
        <v>232</v>
      </c>
      <c r="J10" s="111" t="s">
        <v>233</v>
      </c>
      <c r="K10" s="118">
        <f>C2</f>
        <v>45778</v>
      </c>
      <c r="L10" s="118">
        <f>IF(MONTH($C$2)=MONTH(K10+1),K10+1,"")</f>
        <v>45779</v>
      </c>
      <c r="M10" s="118">
        <f t="shared" ref="M10:AO10" si="0">IF(MONTH($C$2)=MONTH(L10+1),L10+1,"")</f>
        <v>45780</v>
      </c>
      <c r="N10" s="118">
        <f t="shared" si="0"/>
        <v>45781</v>
      </c>
      <c r="O10" s="118">
        <f t="shared" si="0"/>
        <v>45782</v>
      </c>
      <c r="P10" s="118">
        <f t="shared" si="0"/>
        <v>45783</v>
      </c>
      <c r="Q10" s="118">
        <f t="shared" si="0"/>
        <v>45784</v>
      </c>
      <c r="R10" s="118">
        <f t="shared" si="0"/>
        <v>45785</v>
      </c>
      <c r="S10" s="118">
        <f t="shared" si="0"/>
        <v>45786</v>
      </c>
      <c r="T10" s="118">
        <f t="shared" si="0"/>
        <v>45787</v>
      </c>
      <c r="U10" s="118">
        <f t="shared" si="0"/>
        <v>45788</v>
      </c>
      <c r="V10" s="118">
        <f t="shared" si="0"/>
        <v>45789</v>
      </c>
      <c r="W10" s="118">
        <f t="shared" si="0"/>
        <v>45790</v>
      </c>
      <c r="X10" s="118">
        <f t="shared" si="0"/>
        <v>45791</v>
      </c>
      <c r="Y10" s="118">
        <f t="shared" si="0"/>
        <v>45792</v>
      </c>
      <c r="Z10" s="118">
        <f t="shared" si="0"/>
        <v>45793</v>
      </c>
      <c r="AA10" s="118">
        <f t="shared" si="0"/>
        <v>45794</v>
      </c>
      <c r="AB10" s="118">
        <f t="shared" si="0"/>
        <v>45795</v>
      </c>
      <c r="AC10" s="118">
        <f t="shared" si="0"/>
        <v>45796</v>
      </c>
      <c r="AD10" s="118">
        <f t="shared" si="0"/>
        <v>45797</v>
      </c>
      <c r="AE10" s="118">
        <f t="shared" si="0"/>
        <v>45798</v>
      </c>
      <c r="AF10" s="118">
        <f t="shared" si="0"/>
        <v>45799</v>
      </c>
      <c r="AG10" s="118">
        <f t="shared" si="0"/>
        <v>45800</v>
      </c>
      <c r="AH10" s="118">
        <f t="shared" si="0"/>
        <v>45801</v>
      </c>
      <c r="AI10" s="118">
        <f t="shared" si="0"/>
        <v>45802</v>
      </c>
      <c r="AJ10" s="118">
        <f t="shared" si="0"/>
        <v>45803</v>
      </c>
      <c r="AK10" s="118">
        <f t="shared" si="0"/>
        <v>45804</v>
      </c>
      <c r="AL10" s="118">
        <f t="shared" si="0"/>
        <v>45805</v>
      </c>
      <c r="AM10" s="118">
        <f t="shared" si="0"/>
        <v>45806</v>
      </c>
      <c r="AN10" s="118">
        <f t="shared" si="0"/>
        <v>45807</v>
      </c>
      <c r="AO10" s="118">
        <f t="shared" si="0"/>
        <v>45808</v>
      </c>
      <c r="AP10" s="110" t="s">
        <v>234</v>
      </c>
      <c r="AQ10" s="113" t="s">
        <v>235</v>
      </c>
      <c r="AR10" s="114" t="s">
        <v>236</v>
      </c>
      <c r="AS10" s="115" t="s">
        <v>237</v>
      </c>
      <c r="AT10" s="111" t="s">
        <v>238</v>
      </c>
      <c r="AU10" s="111" t="s">
        <v>239</v>
      </c>
      <c r="AV10" s="115" t="s">
        <v>240</v>
      </c>
      <c r="AW10" s="115" t="s">
        <v>241</v>
      </c>
      <c r="AX10" s="116" t="s">
        <v>242</v>
      </c>
      <c r="AY10" s="116" t="s">
        <v>243</v>
      </c>
      <c r="AZ10" s="116" t="s">
        <v>244</v>
      </c>
      <c r="BA10" s="117" t="s">
        <v>245</v>
      </c>
      <c r="BB10" s="117" t="s">
        <v>246</v>
      </c>
      <c r="BC10" s="117" t="s">
        <v>247</v>
      </c>
      <c r="BD10" s="115" t="s">
        <v>248</v>
      </c>
    </row>
    <row r="11" spans="1:56" x14ac:dyDescent="0.35">
      <c r="A11">
        <f>IF(C11&lt;&gt;"",5,"")</f>
        <v>5</v>
      </c>
      <c r="B11" t="str" cm="1">
        <f t="array" ref="B11:C17">_xlfn.UNIQUE(_xlfn.CHOOSECOLS(_xlfn._xlws.FILTER(Table2[[이름]:[주민등록번호]],Table2[월]=TEXT(C2,"YYMM")),1,9))</f>
        <v>김X아</v>
      </c>
      <c r="C11" t="str">
        <v>990XX62XX3X13</v>
      </c>
      <c r="D11" t="str">
        <f>TEXT($C$2,"YYYYMM")</f>
        <v>202505</v>
      </c>
      <c r="K11" cm="1">
        <f t="array" ref="K11">SUM(($C11=Table2[주민등록번호])*(K$10=Table2[근무일자])*1)</f>
        <v>1</v>
      </c>
      <c r="L11" cm="1">
        <f t="array" ref="L11">SUM(($C11=Table2[주민등록번호])*(L$10=Table2[근무일자])*1)</f>
        <v>0</v>
      </c>
      <c r="M11" cm="1">
        <f t="array" ref="M11">SUM(($C11=Table2[주민등록번호])*(M$10=Table2[근무일자])*1)</f>
        <v>1</v>
      </c>
      <c r="N11" cm="1">
        <f t="array" ref="N11">SUM(($C11=Table2[주민등록번호])*(N$10=Table2[근무일자])*1)</f>
        <v>1</v>
      </c>
      <c r="O11" cm="1">
        <f t="array" ref="O11">SUM(($C11=Table2[주민등록번호])*(O$10=Table2[근무일자])*1)</f>
        <v>1</v>
      </c>
      <c r="P11" cm="1">
        <f t="array" ref="P11">SUM(($C11=Table2[주민등록번호])*(P$10=Table2[근무일자])*1)</f>
        <v>1</v>
      </c>
      <c r="Q11" cm="1">
        <f t="array" ref="Q11">SUM(($C11=Table2[주민등록번호])*(Q$10=Table2[근무일자])*1)</f>
        <v>0</v>
      </c>
      <c r="R11" cm="1">
        <f t="array" ref="R11">SUM(($C11=Table2[주민등록번호])*(R$10=Table2[근무일자])*1)</f>
        <v>0</v>
      </c>
      <c r="S11" cm="1">
        <f t="array" ref="S11">SUM(($C11=Table2[주민등록번호])*(S$10=Table2[근무일자])*1)</f>
        <v>0</v>
      </c>
      <c r="T11" cm="1">
        <f t="array" ref="T11">SUM(($C11=Table2[주민등록번호])*(T$10=Table2[근무일자])*1)</f>
        <v>0</v>
      </c>
      <c r="U11" cm="1">
        <f t="array" ref="U11">SUM(($C11=Table2[주민등록번호])*(U$10=Table2[근무일자])*1)</f>
        <v>0</v>
      </c>
      <c r="V11" cm="1">
        <f t="array" ref="V11">SUM(($C11=Table2[주민등록번호])*(V$10=Table2[근무일자])*1)</f>
        <v>0</v>
      </c>
      <c r="W11" cm="1">
        <f t="array" ref="W11">SUM(($C11=Table2[주민등록번호])*(W$10=Table2[근무일자])*1)</f>
        <v>0</v>
      </c>
      <c r="X11" cm="1">
        <f t="array" ref="X11">SUM(($C11=Table2[주민등록번호])*(X$10=Table2[근무일자])*1)</f>
        <v>0</v>
      </c>
      <c r="Y11" cm="1">
        <f t="array" ref="Y11">SUM(($C11=Table2[주민등록번호])*(Y$10=Table2[근무일자])*1)</f>
        <v>0</v>
      </c>
      <c r="Z11" cm="1">
        <f t="array" ref="Z11">SUM(($C11=Table2[주민등록번호])*(Z$10=Table2[근무일자])*1)</f>
        <v>0</v>
      </c>
      <c r="AA11" cm="1">
        <f t="array" ref="AA11">SUM(($C11=Table2[주민등록번호])*(AA$10=Table2[근무일자])*1)</f>
        <v>0</v>
      </c>
      <c r="AB11" cm="1">
        <f t="array" ref="AB11">SUM(($C11=Table2[주민등록번호])*(AB$10=Table2[근무일자])*1)</f>
        <v>0</v>
      </c>
      <c r="AC11" cm="1">
        <f t="array" ref="AC11">SUM(($C11=Table2[주민등록번호])*(AC$10=Table2[근무일자])*1)</f>
        <v>0</v>
      </c>
      <c r="AD11" cm="1">
        <f t="array" ref="AD11">SUM(($C11=Table2[주민등록번호])*(AD$10=Table2[근무일자])*1)</f>
        <v>0</v>
      </c>
      <c r="AE11" cm="1">
        <f t="array" ref="AE11">SUM(($C11=Table2[주민등록번호])*(AE$10=Table2[근무일자])*1)</f>
        <v>0</v>
      </c>
      <c r="AF11" cm="1">
        <f t="array" ref="AF11">SUM(($C11=Table2[주민등록번호])*(AF$10=Table2[근무일자])*1)</f>
        <v>0</v>
      </c>
      <c r="AG11" cm="1">
        <f t="array" ref="AG11">SUM(($C11=Table2[주민등록번호])*(AG$10=Table2[근무일자])*1)</f>
        <v>0</v>
      </c>
      <c r="AH11" cm="1">
        <f t="array" ref="AH11">SUM(($C11=Table2[주민등록번호])*(AH$10=Table2[근무일자])*1)</f>
        <v>0</v>
      </c>
      <c r="AI11" cm="1">
        <f t="array" ref="AI11">SUM(($C11=Table2[주민등록번호])*(AI$10=Table2[근무일자])*1)</f>
        <v>0</v>
      </c>
      <c r="AJ11" cm="1">
        <f t="array" ref="AJ11">SUM(($C11=Table2[주민등록번호])*(AJ$10=Table2[근무일자])*1)</f>
        <v>0</v>
      </c>
      <c r="AK11" cm="1">
        <f t="array" ref="AK11">SUM(($C11=Table2[주민등록번호])*(AK$10=Table2[근무일자])*1)</f>
        <v>0</v>
      </c>
      <c r="AL11" cm="1">
        <f t="array" ref="AL11">SUM(($C11=Table2[주민등록번호])*(AL$10=Table2[근무일자])*1)</f>
        <v>0</v>
      </c>
      <c r="AM11" cm="1">
        <f t="array" ref="AM11">SUM(($C11=Table2[주민등록번호])*(AM$10=Table2[근무일자])*1)</f>
        <v>0</v>
      </c>
      <c r="AN11" cm="1">
        <f t="array" ref="AN11">SUM(($C11=Table2[주민등록번호])*(AN$10=Table2[근무일자])*1)</f>
        <v>0</v>
      </c>
      <c r="AO11" cm="1">
        <f t="array" ref="AO11">SUM(($C11=Table2[주민등록번호])*(AO$10=Table2[근무일자])*1)</f>
        <v>0</v>
      </c>
      <c r="AP11">
        <f>SUM(K11:AO11)</f>
        <v>5</v>
      </c>
      <c r="AQ11">
        <f>ROUND(SUMIFS(Table2[근로
시간],Table2[주민등록번호],$C11,Table2[월],TEXT($C$2,"YYMM"))*24/AP11,1)</f>
        <v>8</v>
      </c>
      <c r="AS11">
        <f>SUMIFS(Table2[지급총액],Table2[주민등록번호],$C11,Table2[월],$C$1)</f>
        <v>615168</v>
      </c>
      <c r="AT11" s="106">
        <f>AS11</f>
        <v>615168</v>
      </c>
      <c r="AX11" t="str">
        <f>IF(C11&lt;&gt;"","Y","")</f>
        <v>Y</v>
      </c>
    </row>
    <row r="12" spans="1:56" x14ac:dyDescent="0.35">
      <c r="A12">
        <f t="shared" ref="A12:A17" si="1">IF(C12&lt;&gt;"",5,"")</f>
        <v>5</v>
      </c>
      <c r="B12" t="str">
        <v>김X석</v>
      </c>
      <c r="C12" t="str">
        <v>960XX51XX9X15</v>
      </c>
      <c r="D12" t="str">
        <f t="shared" ref="D12:D17" si="2">TEXT($C$2,"YYYYMM")</f>
        <v>202505</v>
      </c>
      <c r="K12" cm="1">
        <f t="array" ref="K12">SUM(($C12=Table2[주민등록번호])*(K$10=Table2[근무일자])*1)</f>
        <v>1</v>
      </c>
      <c r="L12" cm="1">
        <f t="array" ref="L12">SUM(($C12=Table2[주민등록번호])*(L$10=Table2[근무일자])*1)</f>
        <v>1</v>
      </c>
      <c r="M12" cm="1">
        <f t="array" ref="M12">SUM(($C12=Table2[주민등록번호])*(M$10=Table2[근무일자])*1)</f>
        <v>1</v>
      </c>
      <c r="N12" cm="1">
        <f t="array" ref="N12">SUM(($C12=Table2[주민등록번호])*(N$10=Table2[근무일자])*1)</f>
        <v>1</v>
      </c>
      <c r="O12" cm="1">
        <f t="array" ref="O12">SUM(($C12=Table2[주민등록번호])*(O$10=Table2[근무일자])*1)</f>
        <v>1</v>
      </c>
      <c r="P12" cm="1">
        <f t="array" ref="P12">SUM(($C12=Table2[주민등록번호])*(P$10=Table2[근무일자])*1)</f>
        <v>1</v>
      </c>
      <c r="Q12" cm="1">
        <f t="array" ref="Q12">SUM(($C12=Table2[주민등록번호])*(Q$10=Table2[근무일자])*1)</f>
        <v>1</v>
      </c>
      <c r="R12" cm="1">
        <f t="array" ref="R12">SUM(($C12=Table2[주민등록번호])*(R$10=Table2[근무일자])*1)</f>
        <v>0</v>
      </c>
      <c r="S12" cm="1">
        <f t="array" ref="S12">SUM(($C12=Table2[주민등록번호])*(S$10=Table2[근무일자])*1)</f>
        <v>0</v>
      </c>
      <c r="T12" cm="1">
        <f t="array" ref="T12">SUM(($C12=Table2[주민등록번호])*(T$10=Table2[근무일자])*1)</f>
        <v>0</v>
      </c>
      <c r="U12" cm="1">
        <f t="array" ref="U12">SUM(($C12=Table2[주민등록번호])*(U$10=Table2[근무일자])*1)</f>
        <v>0</v>
      </c>
      <c r="V12" cm="1">
        <f t="array" ref="V12">SUM(($C12=Table2[주민등록번호])*(V$10=Table2[근무일자])*1)</f>
        <v>0</v>
      </c>
      <c r="W12" cm="1">
        <f t="array" ref="W12">SUM(($C12=Table2[주민등록번호])*(W$10=Table2[근무일자])*1)</f>
        <v>0</v>
      </c>
      <c r="X12" cm="1">
        <f t="array" ref="X12">SUM(($C12=Table2[주민등록번호])*(X$10=Table2[근무일자])*1)</f>
        <v>0</v>
      </c>
      <c r="Y12" cm="1">
        <f t="array" ref="Y12">SUM(($C12=Table2[주민등록번호])*(Y$10=Table2[근무일자])*1)</f>
        <v>0</v>
      </c>
      <c r="Z12" cm="1">
        <f t="array" ref="Z12">SUM(($C12=Table2[주민등록번호])*(Z$10=Table2[근무일자])*1)</f>
        <v>0</v>
      </c>
      <c r="AA12" cm="1">
        <f t="array" ref="AA12">SUM(($C12=Table2[주민등록번호])*(AA$10=Table2[근무일자])*1)</f>
        <v>0</v>
      </c>
      <c r="AB12" cm="1">
        <f t="array" ref="AB12">SUM(($C12=Table2[주민등록번호])*(AB$10=Table2[근무일자])*1)</f>
        <v>0</v>
      </c>
      <c r="AC12" cm="1">
        <f t="array" ref="AC12">SUM(($C12=Table2[주민등록번호])*(AC$10=Table2[근무일자])*1)</f>
        <v>0</v>
      </c>
      <c r="AD12" cm="1">
        <f t="array" ref="AD12">SUM(($C12=Table2[주민등록번호])*(AD$10=Table2[근무일자])*1)</f>
        <v>0</v>
      </c>
      <c r="AE12" cm="1">
        <f t="array" ref="AE12">SUM(($C12=Table2[주민등록번호])*(AE$10=Table2[근무일자])*1)</f>
        <v>0</v>
      </c>
      <c r="AF12" cm="1">
        <f t="array" ref="AF12">SUM(($C12=Table2[주민등록번호])*(AF$10=Table2[근무일자])*1)</f>
        <v>0</v>
      </c>
      <c r="AG12" cm="1">
        <f t="array" ref="AG12">SUM(($C12=Table2[주민등록번호])*(AG$10=Table2[근무일자])*1)</f>
        <v>0</v>
      </c>
      <c r="AH12" cm="1">
        <f t="array" ref="AH12">SUM(($C12=Table2[주민등록번호])*(AH$10=Table2[근무일자])*1)</f>
        <v>0</v>
      </c>
      <c r="AI12" cm="1">
        <f t="array" ref="AI12">SUM(($C12=Table2[주민등록번호])*(AI$10=Table2[근무일자])*1)</f>
        <v>0</v>
      </c>
      <c r="AJ12" cm="1">
        <f t="array" ref="AJ12">SUM(($C12=Table2[주민등록번호])*(AJ$10=Table2[근무일자])*1)</f>
        <v>0</v>
      </c>
      <c r="AK12" cm="1">
        <f t="array" ref="AK12">SUM(($C12=Table2[주민등록번호])*(AK$10=Table2[근무일자])*1)</f>
        <v>0</v>
      </c>
      <c r="AL12" cm="1">
        <f t="array" ref="AL12">SUM(($C12=Table2[주민등록번호])*(AL$10=Table2[근무일자])*1)</f>
        <v>0</v>
      </c>
      <c r="AM12" cm="1">
        <f t="array" ref="AM12">SUM(($C12=Table2[주민등록번호])*(AM$10=Table2[근무일자])*1)</f>
        <v>0</v>
      </c>
      <c r="AN12" cm="1">
        <f t="array" ref="AN12">SUM(($C12=Table2[주민등록번호])*(AN$10=Table2[근무일자])*1)</f>
        <v>0</v>
      </c>
      <c r="AO12" cm="1">
        <f t="array" ref="AO12">SUM(($C12=Table2[주민등록번호])*(AO$10=Table2[근무일자])*1)</f>
        <v>0</v>
      </c>
      <c r="AP12">
        <f t="shared" ref="AP12:AP17" si="3">SUM(K12:AO12)</f>
        <v>7</v>
      </c>
      <c r="AQ12">
        <f>ROUND(SUMIFS(Table2[근로
시간],Table2[주민등록번호],$C12,Table2[월],TEXT($C$2,"YYMM"))*24/AP12,1)</f>
        <v>8</v>
      </c>
      <c r="AS12">
        <f>SUMIFS(Table2[지급총액],Table2[주민등록번호],$C12,Table2[월],$C$1)</f>
        <v>803136</v>
      </c>
      <c r="AT12" s="106">
        <f t="shared" ref="AT12:AT17" si="4">AS12</f>
        <v>803136</v>
      </c>
      <c r="AX12" t="str">
        <f t="shared" ref="AX12:AX17" si="5">IF(C12&lt;&gt;"","Y","")</f>
        <v>Y</v>
      </c>
    </row>
    <row r="13" spans="1:56" x14ac:dyDescent="0.35">
      <c r="A13">
        <f t="shared" si="1"/>
        <v>5</v>
      </c>
      <c r="B13" t="str">
        <v>정X동</v>
      </c>
      <c r="C13" t="str">
        <v>971XX61XX9X25</v>
      </c>
      <c r="D13" t="str">
        <f t="shared" si="2"/>
        <v>202505</v>
      </c>
      <c r="K13" cm="1">
        <f t="array" ref="K13">SUM(($C13=Table2[주민등록번호])*(K$10=Table2[근무일자])*1)</f>
        <v>1</v>
      </c>
      <c r="L13" cm="1">
        <f t="array" ref="L13">SUM(($C13=Table2[주민등록번호])*(L$10=Table2[근무일자])*1)</f>
        <v>1</v>
      </c>
      <c r="M13" cm="1">
        <f t="array" ref="M13">SUM(($C13=Table2[주민등록번호])*(M$10=Table2[근무일자])*1)</f>
        <v>0</v>
      </c>
      <c r="N13" cm="1">
        <f t="array" ref="N13">SUM(($C13=Table2[주민등록번호])*(N$10=Table2[근무일자])*1)</f>
        <v>0</v>
      </c>
      <c r="O13" cm="1">
        <f t="array" ref="O13">SUM(($C13=Table2[주민등록번호])*(O$10=Table2[근무일자])*1)</f>
        <v>0</v>
      </c>
      <c r="P13" cm="1">
        <f t="array" ref="P13">SUM(($C13=Table2[주민등록번호])*(P$10=Table2[근무일자])*1)</f>
        <v>0</v>
      </c>
      <c r="Q13" cm="1">
        <f t="array" ref="Q13">SUM(($C13=Table2[주민등록번호])*(Q$10=Table2[근무일자])*1)</f>
        <v>1</v>
      </c>
      <c r="R13" cm="1">
        <f t="array" ref="R13">SUM(($C13=Table2[주민등록번호])*(R$10=Table2[근무일자])*1)</f>
        <v>1</v>
      </c>
      <c r="S13" cm="1">
        <f t="array" ref="S13">SUM(($C13=Table2[주민등록번호])*(S$10=Table2[근무일자])*1)</f>
        <v>1</v>
      </c>
      <c r="T13" cm="1">
        <f t="array" ref="T13">SUM(($C13=Table2[주민등록번호])*(T$10=Table2[근무일자])*1)</f>
        <v>0</v>
      </c>
      <c r="U13" cm="1">
        <f t="array" ref="U13">SUM(($C13=Table2[주민등록번호])*(U$10=Table2[근무일자])*1)</f>
        <v>0</v>
      </c>
      <c r="V13" cm="1">
        <f t="array" ref="V13">SUM(($C13=Table2[주민등록번호])*(V$10=Table2[근무일자])*1)</f>
        <v>1</v>
      </c>
      <c r="W13" cm="1">
        <f t="array" ref="W13">SUM(($C13=Table2[주민등록번호])*(W$10=Table2[근무일자])*1)</f>
        <v>1</v>
      </c>
      <c r="X13" cm="1">
        <f t="array" ref="X13">SUM(($C13=Table2[주민등록번호])*(X$10=Table2[근무일자])*1)</f>
        <v>1</v>
      </c>
      <c r="Y13" cm="1">
        <f t="array" ref="Y13">SUM(($C13=Table2[주민등록번호])*(Y$10=Table2[근무일자])*1)</f>
        <v>1</v>
      </c>
      <c r="Z13" cm="1">
        <f t="array" ref="Z13">SUM(($C13=Table2[주민등록번호])*(Z$10=Table2[근무일자])*1)</f>
        <v>0</v>
      </c>
      <c r="AA13" cm="1">
        <f t="array" ref="AA13">SUM(($C13=Table2[주민등록번호])*(AA$10=Table2[근무일자])*1)</f>
        <v>0</v>
      </c>
      <c r="AB13" cm="1">
        <f t="array" ref="AB13">SUM(($C13=Table2[주민등록번호])*(AB$10=Table2[근무일자])*1)</f>
        <v>0</v>
      </c>
      <c r="AC13" cm="1">
        <f t="array" ref="AC13">SUM(($C13=Table2[주민등록번호])*(AC$10=Table2[근무일자])*1)</f>
        <v>0</v>
      </c>
      <c r="AD13" cm="1">
        <f t="array" ref="AD13">SUM(($C13=Table2[주민등록번호])*(AD$10=Table2[근무일자])*1)</f>
        <v>0</v>
      </c>
      <c r="AE13" cm="1">
        <f t="array" ref="AE13">SUM(($C13=Table2[주민등록번호])*(AE$10=Table2[근무일자])*1)</f>
        <v>0</v>
      </c>
      <c r="AF13" cm="1">
        <f t="array" ref="AF13">SUM(($C13=Table2[주민등록번호])*(AF$10=Table2[근무일자])*1)</f>
        <v>0</v>
      </c>
      <c r="AG13" cm="1">
        <f t="array" ref="AG13">SUM(($C13=Table2[주민등록번호])*(AG$10=Table2[근무일자])*1)</f>
        <v>0</v>
      </c>
      <c r="AH13" cm="1">
        <f t="array" ref="AH13">SUM(($C13=Table2[주민등록번호])*(AH$10=Table2[근무일자])*1)</f>
        <v>0</v>
      </c>
      <c r="AI13" cm="1">
        <f t="array" ref="AI13">SUM(($C13=Table2[주민등록번호])*(AI$10=Table2[근무일자])*1)</f>
        <v>0</v>
      </c>
      <c r="AJ13" cm="1">
        <f t="array" ref="AJ13">SUM(($C13=Table2[주민등록번호])*(AJ$10=Table2[근무일자])*1)</f>
        <v>0</v>
      </c>
      <c r="AK13" cm="1">
        <f t="array" ref="AK13">SUM(($C13=Table2[주민등록번호])*(AK$10=Table2[근무일자])*1)</f>
        <v>0</v>
      </c>
      <c r="AL13" cm="1">
        <f t="array" ref="AL13">SUM(($C13=Table2[주민등록번호])*(AL$10=Table2[근무일자])*1)</f>
        <v>0</v>
      </c>
      <c r="AM13" cm="1">
        <f t="array" ref="AM13">SUM(($C13=Table2[주민등록번호])*(AM$10=Table2[근무일자])*1)</f>
        <v>0</v>
      </c>
      <c r="AN13" cm="1">
        <f t="array" ref="AN13">SUM(($C13=Table2[주민등록번호])*(AN$10=Table2[근무일자])*1)</f>
        <v>0</v>
      </c>
      <c r="AO13" cm="1">
        <f t="array" ref="AO13">SUM(($C13=Table2[주민등록번호])*(AO$10=Table2[근무일자])*1)</f>
        <v>0</v>
      </c>
      <c r="AP13">
        <f t="shared" si="3"/>
        <v>9</v>
      </c>
      <c r="AQ13">
        <f>ROUND(SUMIFS(Table2[근로
시간],Table2[주민등록번호],$C13,Table2[월],TEXT($C$2,"YYMM"))*24/AP13,1)</f>
        <v>8</v>
      </c>
      <c r="AS13">
        <f>SUMIFS(Table2[지급총액],Table2[주민등록번호],$C13,Table2[월],$C$1)</f>
        <v>922752</v>
      </c>
      <c r="AT13" s="106">
        <f t="shared" si="4"/>
        <v>922752</v>
      </c>
      <c r="AX13" t="str">
        <f t="shared" si="5"/>
        <v>Y</v>
      </c>
    </row>
    <row r="14" spans="1:56" x14ac:dyDescent="0.35">
      <c r="A14">
        <f t="shared" si="1"/>
        <v>5</v>
      </c>
      <c r="B14" t="str">
        <v>조X희</v>
      </c>
      <c r="C14" t="str">
        <v>980XX81XX7X17</v>
      </c>
      <c r="D14" t="str">
        <f t="shared" si="2"/>
        <v>202505</v>
      </c>
      <c r="K14" cm="1">
        <f t="array" ref="K14">SUM(($C14=Table2[주민등록번호])*(K$10=Table2[근무일자])*1)</f>
        <v>0</v>
      </c>
      <c r="L14" cm="1">
        <f t="array" ref="L14">SUM(($C14=Table2[주민등록번호])*(L$10=Table2[근무일자])*1)</f>
        <v>0</v>
      </c>
      <c r="M14" cm="1">
        <f t="array" ref="M14">SUM(($C14=Table2[주민등록번호])*(M$10=Table2[근무일자])*1)</f>
        <v>0</v>
      </c>
      <c r="N14" cm="1">
        <f t="array" ref="N14">SUM(($C14=Table2[주민등록번호])*(N$10=Table2[근무일자])*1)</f>
        <v>1</v>
      </c>
      <c r="O14" cm="1">
        <f t="array" ref="O14">SUM(($C14=Table2[주민등록번호])*(O$10=Table2[근무일자])*1)</f>
        <v>1</v>
      </c>
      <c r="P14" cm="1">
        <f t="array" ref="P14">SUM(($C14=Table2[주민등록번호])*(P$10=Table2[근무일자])*1)</f>
        <v>1</v>
      </c>
      <c r="Q14" cm="1">
        <f t="array" ref="Q14">SUM(($C14=Table2[주민등록번호])*(Q$10=Table2[근무일자])*1)</f>
        <v>0</v>
      </c>
      <c r="R14" cm="1">
        <f t="array" ref="R14">SUM(($C14=Table2[주민등록번호])*(R$10=Table2[근무일자])*1)</f>
        <v>0</v>
      </c>
      <c r="S14" cm="1">
        <f t="array" ref="S14">SUM(($C14=Table2[주민등록번호])*(S$10=Table2[근무일자])*1)</f>
        <v>1</v>
      </c>
      <c r="T14" cm="1">
        <f t="array" ref="T14">SUM(($C14=Table2[주민등록번호])*(T$10=Table2[근무일자])*1)</f>
        <v>1</v>
      </c>
      <c r="U14" cm="1">
        <f t="array" ref="U14">SUM(($C14=Table2[주민등록번호])*(U$10=Table2[근무일자])*1)</f>
        <v>1</v>
      </c>
      <c r="V14" cm="1">
        <f t="array" ref="V14">SUM(($C14=Table2[주민등록번호])*(V$10=Table2[근무일자])*1)</f>
        <v>1</v>
      </c>
      <c r="W14" cm="1">
        <f t="array" ref="W14">SUM(($C14=Table2[주민등록번호])*(W$10=Table2[근무일자])*1)</f>
        <v>0</v>
      </c>
      <c r="X14" cm="1">
        <f t="array" ref="X14">SUM(($C14=Table2[주민등록번호])*(X$10=Table2[근무일자])*1)</f>
        <v>0</v>
      </c>
      <c r="Y14" cm="1">
        <f t="array" ref="Y14">SUM(($C14=Table2[주민등록번호])*(Y$10=Table2[근무일자])*1)</f>
        <v>0</v>
      </c>
      <c r="Z14" cm="1">
        <f t="array" ref="Z14">SUM(($C14=Table2[주민등록번호])*(Z$10=Table2[근무일자])*1)</f>
        <v>0</v>
      </c>
      <c r="AA14" cm="1">
        <f t="array" ref="AA14">SUM(($C14=Table2[주민등록번호])*(AA$10=Table2[근무일자])*1)</f>
        <v>0</v>
      </c>
      <c r="AB14" cm="1">
        <f t="array" ref="AB14">SUM(($C14=Table2[주민등록번호])*(AB$10=Table2[근무일자])*1)</f>
        <v>1</v>
      </c>
      <c r="AC14" cm="1">
        <f t="array" ref="AC14">SUM(($C14=Table2[주민등록번호])*(AC$10=Table2[근무일자])*1)</f>
        <v>0</v>
      </c>
      <c r="AD14" cm="1">
        <f t="array" ref="AD14">SUM(($C14=Table2[주민등록번호])*(AD$10=Table2[근무일자])*1)</f>
        <v>0</v>
      </c>
      <c r="AE14" cm="1">
        <f t="array" ref="AE14">SUM(($C14=Table2[주민등록번호])*(AE$10=Table2[근무일자])*1)</f>
        <v>0</v>
      </c>
      <c r="AF14" cm="1">
        <f t="array" ref="AF14">SUM(($C14=Table2[주민등록번호])*(AF$10=Table2[근무일자])*1)</f>
        <v>0</v>
      </c>
      <c r="AG14" cm="1">
        <f t="array" ref="AG14">SUM(($C14=Table2[주민등록번호])*(AG$10=Table2[근무일자])*1)</f>
        <v>0</v>
      </c>
      <c r="AH14" cm="1">
        <f t="array" ref="AH14">SUM(($C14=Table2[주민등록번호])*(AH$10=Table2[근무일자])*1)</f>
        <v>0</v>
      </c>
      <c r="AI14" cm="1">
        <f t="array" ref="AI14">SUM(($C14=Table2[주민등록번호])*(AI$10=Table2[근무일자])*1)</f>
        <v>0</v>
      </c>
      <c r="AJ14" cm="1">
        <f t="array" ref="AJ14">SUM(($C14=Table2[주민등록번호])*(AJ$10=Table2[근무일자])*1)</f>
        <v>0</v>
      </c>
      <c r="AK14" cm="1">
        <f t="array" ref="AK14">SUM(($C14=Table2[주민등록번호])*(AK$10=Table2[근무일자])*1)</f>
        <v>0</v>
      </c>
      <c r="AL14" cm="1">
        <f t="array" ref="AL14">SUM(($C14=Table2[주민등록번호])*(AL$10=Table2[근무일자])*1)</f>
        <v>0</v>
      </c>
      <c r="AM14" cm="1">
        <f t="array" ref="AM14">SUM(($C14=Table2[주민등록번호])*(AM$10=Table2[근무일자])*1)</f>
        <v>0</v>
      </c>
      <c r="AN14" cm="1">
        <f t="array" ref="AN14">SUM(($C14=Table2[주민등록번호])*(AN$10=Table2[근무일자])*1)</f>
        <v>0</v>
      </c>
      <c r="AO14" cm="1">
        <f t="array" ref="AO14">SUM(($C14=Table2[주민등록번호])*(AO$10=Table2[근무일자])*1)</f>
        <v>0</v>
      </c>
      <c r="AP14">
        <f t="shared" si="3"/>
        <v>8</v>
      </c>
      <c r="AQ14">
        <f>ROUND(SUMIFS(Table2[근로
시간],Table2[주민등록번호],$C14,Table2[월],TEXT($C$2,"YYMM"))*24/AP14,1)</f>
        <v>7.6</v>
      </c>
      <c r="AS14">
        <f>SUMIFS(Table2[지급총액],Table2[주민등록번호],$C14,Table2[월],$C$1)</f>
        <v>853286</v>
      </c>
      <c r="AT14" s="106">
        <f t="shared" si="4"/>
        <v>853286</v>
      </c>
      <c r="AX14" t="str">
        <f t="shared" si="5"/>
        <v>Y</v>
      </c>
    </row>
    <row r="15" spans="1:56" x14ac:dyDescent="0.35">
      <c r="A15">
        <f t="shared" si="1"/>
        <v>5</v>
      </c>
      <c r="B15" t="str">
        <v>서X은</v>
      </c>
      <c r="C15" t="str">
        <v>980XX82XX3X25</v>
      </c>
      <c r="D15" t="str">
        <f t="shared" si="2"/>
        <v>202505</v>
      </c>
      <c r="K15" cm="1">
        <f t="array" ref="K15">SUM(($C15=Table2[주민등록번호])*(K$10=Table2[근무일자])*1)</f>
        <v>0</v>
      </c>
      <c r="L15" cm="1">
        <f t="array" ref="L15">SUM(($C15=Table2[주민등록번호])*(L$10=Table2[근무일자])*1)</f>
        <v>0</v>
      </c>
      <c r="M15" cm="1">
        <f t="array" ref="M15">SUM(($C15=Table2[주민등록번호])*(M$10=Table2[근무일자])*1)</f>
        <v>0</v>
      </c>
      <c r="N15" cm="1">
        <f t="array" ref="N15">SUM(($C15=Table2[주민등록번호])*(N$10=Table2[근무일자])*1)</f>
        <v>1</v>
      </c>
      <c r="O15" cm="1">
        <f t="array" ref="O15">SUM(($C15=Table2[주민등록번호])*(O$10=Table2[근무일자])*1)</f>
        <v>1</v>
      </c>
      <c r="P15" cm="1">
        <f t="array" ref="P15">SUM(($C15=Table2[주민등록번호])*(P$10=Table2[근무일자])*1)</f>
        <v>0</v>
      </c>
      <c r="Q15" cm="1">
        <f t="array" ref="Q15">SUM(($C15=Table2[주민등록번호])*(Q$10=Table2[근무일자])*1)</f>
        <v>0</v>
      </c>
      <c r="R15" cm="1">
        <f t="array" ref="R15">SUM(($C15=Table2[주민등록번호])*(R$10=Table2[근무일자])*1)</f>
        <v>0</v>
      </c>
      <c r="S15" cm="1">
        <f t="array" ref="S15">SUM(($C15=Table2[주민등록번호])*(S$10=Table2[근무일자])*1)</f>
        <v>0</v>
      </c>
      <c r="T15" cm="1">
        <f t="array" ref="T15">SUM(($C15=Table2[주민등록번호])*(T$10=Table2[근무일자])*1)</f>
        <v>0</v>
      </c>
      <c r="U15" cm="1">
        <f t="array" ref="U15">SUM(($C15=Table2[주민등록번호])*(U$10=Table2[근무일자])*1)</f>
        <v>1</v>
      </c>
      <c r="V15" cm="1">
        <f t="array" ref="V15">SUM(($C15=Table2[주민등록번호])*(V$10=Table2[근무일자])*1)</f>
        <v>1</v>
      </c>
      <c r="W15" cm="1">
        <f t="array" ref="W15">SUM(($C15=Table2[주민등록번호])*(W$10=Table2[근무일자])*1)</f>
        <v>1</v>
      </c>
      <c r="X15" cm="1">
        <f t="array" ref="X15">SUM(($C15=Table2[주민등록번호])*(X$10=Table2[근무일자])*1)</f>
        <v>0</v>
      </c>
      <c r="Y15" cm="1">
        <f t="array" ref="Y15">SUM(($C15=Table2[주민등록번호])*(Y$10=Table2[근무일자])*1)</f>
        <v>0</v>
      </c>
      <c r="Z15" cm="1">
        <f t="array" ref="Z15">SUM(($C15=Table2[주민등록번호])*(Z$10=Table2[근무일자])*1)</f>
        <v>0</v>
      </c>
      <c r="AA15" cm="1">
        <f t="array" ref="AA15">SUM(($C15=Table2[주민등록번호])*(AA$10=Table2[근무일자])*1)</f>
        <v>0</v>
      </c>
      <c r="AB15" cm="1">
        <f t="array" ref="AB15">SUM(($C15=Table2[주민등록번호])*(AB$10=Table2[근무일자])*1)</f>
        <v>0</v>
      </c>
      <c r="AC15" cm="1">
        <f t="array" ref="AC15">SUM(($C15=Table2[주민등록번호])*(AC$10=Table2[근무일자])*1)</f>
        <v>1</v>
      </c>
      <c r="AD15" cm="1">
        <f t="array" ref="AD15">SUM(($C15=Table2[주민등록번호])*(AD$10=Table2[근무일자])*1)</f>
        <v>1</v>
      </c>
      <c r="AE15" cm="1">
        <f t="array" ref="AE15">SUM(($C15=Table2[주민등록번호])*(AE$10=Table2[근무일자])*1)</f>
        <v>0</v>
      </c>
      <c r="AF15" cm="1">
        <f t="array" ref="AF15">SUM(($C15=Table2[주민등록번호])*(AF$10=Table2[근무일자])*1)</f>
        <v>0</v>
      </c>
      <c r="AG15" cm="1">
        <f t="array" ref="AG15">SUM(($C15=Table2[주민등록번호])*(AG$10=Table2[근무일자])*1)</f>
        <v>0</v>
      </c>
      <c r="AH15" cm="1">
        <f t="array" ref="AH15">SUM(($C15=Table2[주민등록번호])*(AH$10=Table2[근무일자])*1)</f>
        <v>0</v>
      </c>
      <c r="AI15" cm="1">
        <f t="array" ref="AI15">SUM(($C15=Table2[주민등록번호])*(AI$10=Table2[근무일자])*1)</f>
        <v>0</v>
      </c>
      <c r="AJ15" cm="1">
        <f t="array" ref="AJ15">SUM(($C15=Table2[주민등록번호])*(AJ$10=Table2[근무일자])*1)</f>
        <v>0</v>
      </c>
      <c r="AK15" cm="1">
        <f t="array" ref="AK15">SUM(($C15=Table2[주민등록번호])*(AK$10=Table2[근무일자])*1)</f>
        <v>1</v>
      </c>
      <c r="AL15" cm="1">
        <f t="array" ref="AL15">SUM(($C15=Table2[주민등록번호])*(AL$10=Table2[근무일자])*1)</f>
        <v>0</v>
      </c>
      <c r="AM15" cm="1">
        <f t="array" ref="AM15">SUM(($C15=Table2[주민등록번호])*(AM$10=Table2[근무일자])*1)</f>
        <v>0</v>
      </c>
      <c r="AN15" cm="1">
        <f t="array" ref="AN15">SUM(($C15=Table2[주민등록번호])*(AN$10=Table2[근무일자])*1)</f>
        <v>0</v>
      </c>
      <c r="AO15" cm="1">
        <f t="array" ref="AO15">SUM(($C15=Table2[주민등록번호])*(AO$10=Table2[근무일자])*1)</f>
        <v>0</v>
      </c>
      <c r="AP15">
        <f t="shared" si="3"/>
        <v>8</v>
      </c>
      <c r="AQ15">
        <f>ROUND(SUMIFS(Table2[근로
시간],Table2[주민등록번호],$C15,Table2[월],TEXT($C$2,"YYMM"))*24/AP15,1)</f>
        <v>7.6</v>
      </c>
      <c r="AS15">
        <f>SUMIFS(Table2[지급총액],Table2[주민등록번호],$C15,Table2[월],$C$1)</f>
        <v>769240</v>
      </c>
      <c r="AT15" s="106">
        <f t="shared" si="4"/>
        <v>769240</v>
      </c>
      <c r="AX15" t="str">
        <f t="shared" si="5"/>
        <v>Y</v>
      </c>
    </row>
    <row r="16" spans="1:56" x14ac:dyDescent="0.35">
      <c r="A16">
        <f t="shared" si="1"/>
        <v>5</v>
      </c>
      <c r="B16" t="str">
        <v>김X석</v>
      </c>
      <c r="C16" t="str">
        <v>940XX41XX7X32</v>
      </c>
      <c r="D16" t="str">
        <f t="shared" si="2"/>
        <v>202505</v>
      </c>
      <c r="K16" cm="1">
        <f t="array" ref="K16">SUM(($C16=Table2[주민등록번호])*(K$10=Table2[근무일자])*1)</f>
        <v>0</v>
      </c>
      <c r="L16" cm="1">
        <f t="array" ref="L16">SUM(($C16=Table2[주민등록번호])*(L$10=Table2[근무일자])*1)</f>
        <v>0</v>
      </c>
      <c r="M16" cm="1">
        <f t="array" ref="M16">SUM(($C16=Table2[주민등록번호])*(M$10=Table2[근무일자])*1)</f>
        <v>0</v>
      </c>
      <c r="N16" cm="1">
        <f t="array" ref="N16">SUM(($C16=Table2[주민등록번호])*(N$10=Table2[근무일자])*1)</f>
        <v>0</v>
      </c>
      <c r="O16" cm="1">
        <f t="array" ref="O16">SUM(($C16=Table2[주민등록번호])*(O$10=Table2[근무일자])*1)</f>
        <v>0</v>
      </c>
      <c r="P16" cm="1">
        <f t="array" ref="P16">SUM(($C16=Table2[주민등록번호])*(P$10=Table2[근무일자])*1)</f>
        <v>1</v>
      </c>
      <c r="Q16" cm="1">
        <f t="array" ref="Q16">SUM(($C16=Table2[주민등록번호])*(Q$10=Table2[근무일자])*1)</f>
        <v>1</v>
      </c>
      <c r="R16" cm="1">
        <f t="array" ref="R16">SUM(($C16=Table2[주민등록번호])*(R$10=Table2[근무일자])*1)</f>
        <v>1</v>
      </c>
      <c r="S16" cm="1">
        <f t="array" ref="S16">SUM(($C16=Table2[주민등록번호])*(S$10=Table2[근무일자])*1)</f>
        <v>0</v>
      </c>
      <c r="T16" cm="1">
        <f t="array" ref="T16">SUM(($C16=Table2[주민등록번호])*(T$10=Table2[근무일자])*1)</f>
        <v>1</v>
      </c>
      <c r="U16" cm="1">
        <f t="array" ref="U16">SUM(($C16=Table2[주민등록번호])*(U$10=Table2[근무일자])*1)</f>
        <v>0</v>
      </c>
      <c r="V16" cm="1">
        <f t="array" ref="V16">SUM(($C16=Table2[주민등록번호])*(V$10=Table2[근무일자])*1)</f>
        <v>1</v>
      </c>
      <c r="W16" cm="1">
        <f t="array" ref="W16">SUM(($C16=Table2[주민등록번호])*(W$10=Table2[근무일자])*1)</f>
        <v>1</v>
      </c>
      <c r="X16" cm="1">
        <f t="array" ref="X16">SUM(($C16=Table2[주민등록번호])*(X$10=Table2[근무일자])*1)</f>
        <v>1</v>
      </c>
      <c r="Y16" cm="1">
        <f t="array" ref="Y16">SUM(($C16=Table2[주민등록번호])*(Y$10=Table2[근무일자])*1)</f>
        <v>1</v>
      </c>
      <c r="Z16" cm="1">
        <f t="array" ref="Z16">SUM(($C16=Table2[주민등록번호])*(Z$10=Table2[근무일자])*1)</f>
        <v>1</v>
      </c>
      <c r="AA16" cm="1">
        <f t="array" ref="AA16">SUM(($C16=Table2[주민등록번호])*(AA$10=Table2[근무일자])*1)</f>
        <v>1</v>
      </c>
      <c r="AB16" cm="1">
        <f t="array" ref="AB16">SUM(($C16=Table2[주민등록번호])*(AB$10=Table2[근무일자])*1)</f>
        <v>0</v>
      </c>
      <c r="AC16" cm="1">
        <f t="array" ref="AC16">SUM(($C16=Table2[주민등록번호])*(AC$10=Table2[근무일자])*1)</f>
        <v>1</v>
      </c>
      <c r="AD16" cm="1">
        <f t="array" ref="AD16">SUM(($C16=Table2[주민등록번호])*(AD$10=Table2[근무일자])*1)</f>
        <v>0</v>
      </c>
      <c r="AE16" cm="1">
        <f t="array" ref="AE16">SUM(($C16=Table2[주민등록번호])*(AE$10=Table2[근무일자])*1)</f>
        <v>1</v>
      </c>
      <c r="AF16" cm="1">
        <f t="array" ref="AF16">SUM(($C16=Table2[주민등록번호])*(AF$10=Table2[근무일자])*1)</f>
        <v>1</v>
      </c>
      <c r="AG16" cm="1">
        <f t="array" ref="AG16">SUM(($C16=Table2[주민등록번호])*(AG$10=Table2[근무일자])*1)</f>
        <v>1</v>
      </c>
      <c r="AH16" cm="1">
        <f t="array" ref="AH16">SUM(($C16=Table2[주민등록번호])*(AH$10=Table2[근무일자])*1)</f>
        <v>1</v>
      </c>
      <c r="AI16" cm="1">
        <f t="array" ref="AI16">SUM(($C16=Table2[주민등록번호])*(AI$10=Table2[근무일자])*1)</f>
        <v>1</v>
      </c>
      <c r="AJ16" cm="1">
        <f t="array" ref="AJ16">SUM(($C16=Table2[주민등록번호])*(AJ$10=Table2[근무일자])*1)</f>
        <v>1</v>
      </c>
      <c r="AK16" cm="1">
        <f t="array" ref="AK16">SUM(($C16=Table2[주민등록번호])*(AK$10=Table2[근무일자])*1)</f>
        <v>1</v>
      </c>
      <c r="AL16" cm="1">
        <f t="array" ref="AL16">SUM(($C16=Table2[주민등록번호])*(AL$10=Table2[근무일자])*1)</f>
        <v>0</v>
      </c>
      <c r="AM16" cm="1">
        <f t="array" ref="AM16">SUM(($C16=Table2[주민등록번호])*(AM$10=Table2[근무일자])*1)</f>
        <v>1</v>
      </c>
      <c r="AN16" cm="1">
        <f t="array" ref="AN16">SUM(($C16=Table2[주민등록번호])*(AN$10=Table2[근무일자])*1)</f>
        <v>0</v>
      </c>
      <c r="AO16" cm="1">
        <f t="array" ref="AO16">SUM(($C16=Table2[주민등록번호])*(AO$10=Table2[근무일자])*1)</f>
        <v>1</v>
      </c>
      <c r="AP16">
        <f t="shared" si="3"/>
        <v>20</v>
      </c>
      <c r="AQ16">
        <f>ROUND(SUMIFS(Table2[근로
시간],Table2[주민등록번호],$C16,Table2[월],TEXT($C$2,"YYMM"))*24/AP16,1)</f>
        <v>7.8</v>
      </c>
      <c r="AS16">
        <f>SUMIFS(Table2[지급총액],Table2[주민등록번호],$C16,Table2[월],$C$1)</f>
        <v>2037744</v>
      </c>
      <c r="AT16" s="106">
        <f t="shared" si="4"/>
        <v>2037744</v>
      </c>
      <c r="AX16" t="str">
        <f t="shared" si="5"/>
        <v>Y</v>
      </c>
    </row>
    <row r="17" spans="1:50" x14ac:dyDescent="0.35">
      <c r="A17">
        <f t="shared" si="1"/>
        <v>5</v>
      </c>
      <c r="B17" t="str">
        <v>김X우</v>
      </c>
      <c r="C17" t="str">
        <v>931XX31XX3X14</v>
      </c>
      <c r="D17" t="str">
        <f t="shared" si="2"/>
        <v>202505</v>
      </c>
      <c r="K17" cm="1">
        <f t="array" ref="K17">SUM(($C17=Table2[주민등록번호])*(K$10=Table2[근무일자])*1)</f>
        <v>0</v>
      </c>
      <c r="L17" cm="1">
        <f t="array" ref="L17">SUM(($C17=Table2[주민등록번호])*(L$10=Table2[근무일자])*1)</f>
        <v>0</v>
      </c>
      <c r="M17" cm="1">
        <f t="array" ref="M17">SUM(($C17=Table2[주민등록번호])*(M$10=Table2[근무일자])*1)</f>
        <v>0</v>
      </c>
      <c r="N17" cm="1">
        <f t="array" ref="N17">SUM(($C17=Table2[주민등록번호])*(N$10=Table2[근무일자])*1)</f>
        <v>0</v>
      </c>
      <c r="O17" cm="1">
        <f t="array" ref="O17">SUM(($C17=Table2[주민등록번호])*(O$10=Table2[근무일자])*1)</f>
        <v>0</v>
      </c>
      <c r="P17" cm="1">
        <f t="array" ref="P17">SUM(($C17=Table2[주민등록번호])*(P$10=Table2[근무일자])*1)</f>
        <v>0</v>
      </c>
      <c r="Q17" cm="1">
        <f t="array" ref="Q17">SUM(($C17=Table2[주민등록번호])*(Q$10=Table2[근무일자])*1)</f>
        <v>0</v>
      </c>
      <c r="R17" cm="1">
        <f t="array" ref="R17">SUM(($C17=Table2[주민등록번호])*(R$10=Table2[근무일자])*1)</f>
        <v>0</v>
      </c>
      <c r="S17" cm="1">
        <f t="array" ref="S17">SUM(($C17=Table2[주민등록번호])*(S$10=Table2[근무일자])*1)</f>
        <v>0</v>
      </c>
      <c r="T17" cm="1">
        <f t="array" ref="T17">SUM(($C17=Table2[주민등록번호])*(T$10=Table2[근무일자])*1)</f>
        <v>1</v>
      </c>
      <c r="U17" cm="1">
        <f t="array" ref="U17">SUM(($C17=Table2[주민등록번호])*(U$10=Table2[근무일자])*1)</f>
        <v>0</v>
      </c>
      <c r="V17" cm="1">
        <f t="array" ref="V17">SUM(($C17=Table2[주민등록번호])*(V$10=Table2[근무일자])*1)</f>
        <v>0</v>
      </c>
      <c r="W17" cm="1">
        <f t="array" ref="W17">SUM(($C17=Table2[주민등록번호])*(W$10=Table2[근무일자])*1)</f>
        <v>0</v>
      </c>
      <c r="X17" cm="1">
        <f t="array" ref="X17">SUM(($C17=Table2[주민등록번호])*(X$10=Table2[근무일자])*1)</f>
        <v>0</v>
      </c>
      <c r="Y17" cm="1">
        <f t="array" ref="Y17">SUM(($C17=Table2[주민등록번호])*(Y$10=Table2[근무일자])*1)</f>
        <v>0</v>
      </c>
      <c r="Z17" cm="1">
        <f t="array" ref="Z17">SUM(($C17=Table2[주민등록번호])*(Z$10=Table2[근무일자])*1)</f>
        <v>1</v>
      </c>
      <c r="AA17" cm="1">
        <f t="array" ref="AA17">SUM(($C17=Table2[주민등록번호])*(AA$10=Table2[근무일자])*1)</f>
        <v>0</v>
      </c>
      <c r="AB17" cm="1">
        <f t="array" ref="AB17">SUM(($C17=Table2[주민등록번호])*(AB$10=Table2[근무일자])*1)</f>
        <v>0</v>
      </c>
      <c r="AC17" cm="1">
        <f t="array" ref="AC17">SUM(($C17=Table2[주민등록번호])*(AC$10=Table2[근무일자])*1)</f>
        <v>0</v>
      </c>
      <c r="AD17" cm="1">
        <f t="array" ref="AD17">SUM(($C17=Table2[주민등록번호])*(AD$10=Table2[근무일자])*1)</f>
        <v>1</v>
      </c>
      <c r="AE17" cm="1">
        <f t="array" ref="AE17">SUM(($C17=Table2[주민등록번호])*(AE$10=Table2[근무일자])*1)</f>
        <v>1</v>
      </c>
      <c r="AF17" cm="1">
        <f t="array" ref="AF17">SUM(($C17=Table2[주민등록번호])*(AF$10=Table2[근무일자])*1)</f>
        <v>1</v>
      </c>
      <c r="AG17" cm="1">
        <f t="array" ref="AG17">SUM(($C17=Table2[주민등록번호])*(AG$10=Table2[근무일자])*1)</f>
        <v>0</v>
      </c>
      <c r="AH17" cm="1">
        <f t="array" ref="AH17">SUM(($C17=Table2[주민등록번호])*(AH$10=Table2[근무일자])*1)</f>
        <v>1</v>
      </c>
      <c r="AI17" cm="1">
        <f t="array" ref="AI17">SUM(($C17=Table2[주민등록번호])*(AI$10=Table2[근무일자])*1)</f>
        <v>1</v>
      </c>
      <c r="AJ17" cm="1">
        <f t="array" ref="AJ17">SUM(($C17=Table2[주민등록번호])*(AJ$10=Table2[근무일자])*1)</f>
        <v>1</v>
      </c>
      <c r="AK17" cm="1">
        <f t="array" ref="AK17">SUM(($C17=Table2[주민등록번호])*(AK$10=Table2[근무일자])*1)</f>
        <v>1</v>
      </c>
      <c r="AL17" cm="1">
        <f t="array" ref="AL17">SUM(($C17=Table2[주민등록번호])*(AL$10=Table2[근무일자])*1)</f>
        <v>0</v>
      </c>
      <c r="AM17" cm="1">
        <f t="array" ref="AM17">SUM(($C17=Table2[주민등록번호])*(AM$10=Table2[근무일자])*1)</f>
        <v>1</v>
      </c>
      <c r="AN17" cm="1">
        <f t="array" ref="AN17">SUM(($C17=Table2[주민등록번호])*(AN$10=Table2[근무일자])*1)</f>
        <v>1</v>
      </c>
      <c r="AO17" cm="1">
        <f t="array" ref="AO17">SUM(($C17=Table2[주민등록번호])*(AO$10=Table2[근무일자])*1)</f>
        <v>0</v>
      </c>
      <c r="AP17">
        <f t="shared" si="3"/>
        <v>11</v>
      </c>
      <c r="AQ17">
        <f>ROUND(SUMIFS(Table2[근로
시간],Table2[주민등록번호],$C17,Table2[월],TEXT($C$2,"YYMM"))*24/AP17,1)</f>
        <v>5.3</v>
      </c>
      <c r="AS17">
        <f>SUMIFS(Table2[지급총액],Table2[주민등록번호],$C17,Table2[월],$C$1)</f>
        <v>637090</v>
      </c>
      <c r="AT17" s="106">
        <f t="shared" si="4"/>
        <v>637090</v>
      </c>
      <c r="AX17" t="str">
        <f t="shared" si="5"/>
        <v>Y</v>
      </c>
    </row>
  </sheetData>
  <phoneticPr fontId="1" type="noConversion"/>
  <dataValidations count="18">
    <dataValidation allowBlank="1" showInputMessage="1" showErrorMessage="1" prompt="피보험기간 중 &quot;보수지급의 기초가 된 일수&quot;" sqref="AR10" xr:uid="{BE70EF2F-7299-43ED-BD4F-06EFA169AEEC}"/>
    <dataValidation allowBlank="1" showInputMessage="1" showErrorMessage="1" prompt="일자리안정자금 신청여부를 입력_x000a_1 : 예_x000a_0 : 아니오" sqref="BD10" xr:uid="{22EF7F01-004A-4E0A-BCB7-006A861C586C}"/>
    <dataValidation allowBlank="1" showInputMessage="1" showErrorMessage="1" prompt="*보험료부과구분부호 (해당자만 기재)_x000a_ 보험료부과구분 코드 시트 참조_x000a_" sqref="AV10:AW10" xr:uid="{11B5D8C1-C6B7-4B1F-A59F-ECA4B6110FFC}"/>
    <dataValidation allowBlank="1" showInputMessage="1" showErrorMessage="1" prompt="고용보험, 산재보험 구분_x000a_- 1 : 산재보험,  _x000a_  3 : 고용보험, _x000a_  5 : 산재,고용보험" sqref="A10" xr:uid="{64EC9C31-71C9-4470-A451-D27BD35F90AC}"/>
    <dataValidation allowBlank="1" showInputMessage="1" showErrorMessage="1" prompt="*상실(이직)사유코드 시트 참조 (코드 변경 검토)_x000a_1. 회사의 사정에 의한 이직 (폐업, 공사중단, 공사종료, 계약기간 만료 등)_x000a_2. 부득이한 개인 사정에 의한 이직 (질병ㆍ부상, 출산 등)_x000a_3. 기타 개인사정에 의한 이직 (전직, 자영업을 위한 이직 등)" sqref="AU10" xr:uid="{0ABA6B75-E432-4D2A-B448-AF1DE1FDE7A7}"/>
    <dataValidation allowBlank="1" showInputMessage="1" showErrorMessage="1" prompt="-&quot;근로기준법&quot; 제2조에 따른 임금으로서, 해당 월에 발생된 금액 기재" sqref="AT10" xr:uid="{D3E450F0-1A11-4E68-A518-7A0211D0C0F1}"/>
    <dataValidation allowBlank="1" showInputMessage="1" showErrorMessage="1" prompt="-&quot;소득세법&quot; 제20조에 따른 근로소득에서 같은 법 제12조제3호에 따른 비과세 근로소득을 뺀 금액으로서, _x000a_  해당 월에 발생된 금액" sqref="AS10" xr:uid="{6C39E586-F66E-45E8-AB1A-66D66E6A9BF9}"/>
    <dataValidation allowBlank="1" showInputMessage="1" showErrorMessage="1" prompt="일평균근무시간" sqref="AQ10" xr:uid="{9AF800E2-57CF-4CDA-8C65-95C53A727635}"/>
    <dataValidation allowBlank="1" showInputMessage="1" showErrorMessage="1" prompt="-한달간 근로한 일 수" sqref="AP10" xr:uid="{14D1098F-1731-420E-A51D-4BACE9BA79DB}"/>
    <dataValidation allowBlank="1" showInputMessage="1" showErrorMessage="1" prompt="-근로한 날짜에 &quot;1&quot; 기재" sqref="K10:AO10" xr:uid="{56D9A825-E2A4-4898-B9A2-321E8597B5D3}"/>
    <dataValidation allowBlank="1" showInputMessage="1" showErrorMessage="1" prompt="*한국고용직업분류 중 소분류(119개) 직종현황 참고하여 기재" sqref="J10" xr:uid="{C0B5C14E-6422-4253-94DC-D2A998E3799C}"/>
    <dataValidation allowBlank="1" showInputMessage="1" showErrorMessage="1" prompt="*체류자격코드 시트 참조" sqref="F10" xr:uid="{89BC2FD9-ACDC-475D-B453-1577EC982EB5}"/>
    <dataValidation allowBlank="1" showInputMessage="1" showErrorMessage="1" prompt="-근로자의 국적코드 (국적코드시트 참조)" sqref="E10" xr:uid="{0B2C51BC-0B4D-4C3A-91A2-AFD17AE10771}"/>
    <dataValidation allowBlank="1" showInputMessage="1" showErrorMessage="1" prompt="근로신고 확인신고서에 신고할 해당 년월을 기재 (등록된 근로자는 모두 동일한 년월을 기재함)_x000a_-YYYYMM 형식으로 기재 (예: 2010년2월의 경우 &quot;201002&quot;로 기재)" sqref="D10" xr:uid="{E9A29C86-2660-4976-BEDC-0098119E1296}"/>
    <dataValidation allowBlank="1" showInputMessage="1" showErrorMessage="1" prompt="-1234561234567 형식" sqref="C10" xr:uid="{C382C504-7304-4F52-BE37-38BCA5AB147A}"/>
    <dataValidation allowBlank="1" showInputMessage="1" showErrorMessage="1" prompt="-지역번호 (휴대폰의 경우 01x)" sqref="G10" xr:uid="{1E3E81BA-2647-4B5A-8460-85B1EBC2DA28}"/>
    <dataValidation allowBlank="1" showInputMessage="1" showErrorMessage="1" prompt="-국번" sqref="H10" xr:uid="{5579311B-2307-4759-BA50-96F1E7B16CAA}"/>
    <dataValidation allowBlank="1" showInputMessage="1" showErrorMessage="1" prompt="-전화번호 뒷자리" sqref="I10" xr:uid="{60A200CE-755F-4DAE-A557-E6ECB43FD1D8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E74A-F192-4915-88B3-777507B5F2BB}">
  <sheetPr codeName="Sheet9"/>
  <dimension ref="A1"/>
  <sheetViews>
    <sheetView workbookViewId="0">
      <selection activeCell="D40" sqref="D40"/>
    </sheetView>
  </sheetViews>
  <sheetFormatPr defaultRowHeight="15.6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Regulation</vt:lpstr>
      <vt:lpstr>0.Setting</vt:lpstr>
      <vt:lpstr>1.EE_List</vt:lpstr>
      <vt:lpstr>2.WorkLog</vt:lpstr>
      <vt:lpstr>3.Payslip</vt:lpstr>
      <vt:lpstr>4.PaySummary</vt:lpstr>
      <vt:lpstr>5.Tax_SI</vt:lpstr>
      <vt:lpstr>6.Accounting</vt:lpstr>
    </vt:vector>
  </TitlesOfParts>
  <Company>INGKA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Shin</dc:creator>
  <cp:lastModifiedBy>남 지아</cp:lastModifiedBy>
  <dcterms:created xsi:type="dcterms:W3CDTF">2025-10-20T08:31:06Z</dcterms:created>
  <dcterms:modified xsi:type="dcterms:W3CDTF">2025-10-30T21:58:18Z</dcterms:modified>
</cp:coreProperties>
</file>