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jects\SteamCracking\"/>
    </mc:Choice>
  </mc:AlternateContent>
  <bookViews>
    <workbookView xWindow="0" yWindow="0" windowWidth="17256" windowHeight="6900"/>
  </bookViews>
  <sheets>
    <sheet name="rxns" sheetId="1" r:id="rId1"/>
    <sheet name="CPI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6" i="1"/>
  <c r="N11" i="1"/>
  <c r="N9" i="1"/>
  <c r="O11" i="1"/>
  <c r="P13" i="1" l="1"/>
  <c r="N4" i="2"/>
  <c r="O4" i="2"/>
  <c r="P4" i="2"/>
  <c r="Q4" i="2"/>
  <c r="R4" i="2"/>
  <c r="S4" i="2"/>
  <c r="T4" i="2"/>
  <c r="N5" i="2"/>
  <c r="O5" i="2"/>
  <c r="P5" i="2"/>
  <c r="Q5" i="2"/>
  <c r="R5" i="2"/>
  <c r="S5" i="2"/>
  <c r="T5" i="2"/>
  <c r="N6" i="2"/>
  <c r="O6" i="2"/>
  <c r="P6" i="2"/>
  <c r="Q6" i="2"/>
  <c r="R6" i="2"/>
  <c r="S6" i="2"/>
  <c r="T6" i="2"/>
  <c r="O3" i="2"/>
  <c r="P3" i="2"/>
  <c r="Q3" i="2"/>
  <c r="R3" i="2"/>
  <c r="S3" i="2"/>
  <c r="T3" i="2"/>
  <c r="N3" i="2"/>
  <c r="N5" i="1"/>
  <c r="P6" i="1"/>
  <c r="Q6" i="1" s="1"/>
  <c r="P5" i="1"/>
  <c r="Q5" i="1" s="1"/>
  <c r="B14" i="1" l="1"/>
  <c r="V4" i="2"/>
  <c r="V3" i="2"/>
  <c r="V6" i="2"/>
  <c r="V5" i="2"/>
</calcChain>
</file>

<file path=xl/sharedStrings.xml><?xml version="1.0" encoding="utf-8"?>
<sst xmlns="http://schemas.openxmlformats.org/spreadsheetml/2006/main" count="43" uniqueCount="31">
  <si>
    <t>E</t>
  </si>
  <si>
    <t>[kcal/mol]</t>
  </si>
  <si>
    <t>[kJ/mol]</t>
  </si>
  <si>
    <t>C2H6 --&gt; C2H4 + H2</t>
  </si>
  <si>
    <t>C3H8 --&gt; C3H6 + H2</t>
  </si>
  <si>
    <t>[l/(mol*s)]</t>
  </si>
  <si>
    <t>[kJ/kgmole]</t>
  </si>
  <si>
    <t>Components</t>
  </si>
  <si>
    <t>Source</t>
  </si>
  <si>
    <t>Temperature units</t>
  </si>
  <si>
    <t>Property units</t>
  </si>
  <si>
    <t>PROPANE</t>
  </si>
  <si>
    <t>USER-PURE37</t>
  </si>
  <si>
    <t>K</t>
  </si>
  <si>
    <t>cal/mol-K</t>
  </si>
  <si>
    <t>HYDROGEN</t>
  </si>
  <si>
    <t>ETHANE</t>
  </si>
  <si>
    <t>ETHYLENE</t>
  </si>
  <si>
    <t>log10k0</t>
  </si>
  <si>
    <t>k0</t>
  </si>
  <si>
    <t>name</t>
  </si>
  <si>
    <t>reagents</t>
  </si>
  <si>
    <t>stoic</t>
  </si>
  <si>
    <t>dH</t>
  </si>
  <si>
    <t>string for db</t>
  </si>
  <si>
    <t>ETAHNE</t>
  </si>
  <si>
    <t>H2</t>
  </si>
  <si>
    <t>137.06780078125</t>
  </si>
  <si>
    <t>terrasug</t>
  </si>
  <si>
    <t>C3H8 --&gt; CH3* + C2H5*</t>
  </si>
  <si>
    <t>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</si>
</sst>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tabSelected="1" topLeftCell="I1" workbookViewId="0">
      <selection activeCell="P14" sqref="P14"/>
    </sheetView>
  </sheetViews>
  <sheetFormatPr defaultRowHeight="14.4" x14ac:dyDescent="0.3"/>
  <cols>
    <col min="14" max="14" width="12" bestFit="1" customWidth="1"/>
  </cols>
  <sheetData>
    <row r="2" spans="2:19" x14ac:dyDescent="0.3">
      <c r="C2" t="s">
        <v>20</v>
      </c>
      <c r="D2" t="s">
        <v>21</v>
      </c>
      <c r="H2" t="s">
        <v>22</v>
      </c>
      <c r="L2" t="s">
        <v>23</v>
      </c>
      <c r="M2" t="s">
        <v>18</v>
      </c>
      <c r="N2" t="s">
        <v>19</v>
      </c>
      <c r="O2" t="s">
        <v>0</v>
      </c>
      <c r="S2" t="s">
        <v>24</v>
      </c>
    </row>
    <row r="3" spans="2:19" x14ac:dyDescent="0.3">
      <c r="L3" t="s">
        <v>2</v>
      </c>
      <c r="N3" t="s">
        <v>5</v>
      </c>
      <c r="O3" t="s">
        <v>1</v>
      </c>
      <c r="P3" t="s">
        <v>2</v>
      </c>
      <c r="Q3" t="s">
        <v>6</v>
      </c>
    </row>
    <row r="4" spans="2:19" x14ac:dyDescent="0.3">
      <c r="D4">
        <v>1</v>
      </c>
      <c r="E4">
        <v>2</v>
      </c>
      <c r="F4">
        <v>3</v>
      </c>
      <c r="G4">
        <v>4</v>
      </c>
      <c r="H4">
        <v>1</v>
      </c>
      <c r="I4">
        <v>2</v>
      </c>
      <c r="J4">
        <v>3</v>
      </c>
      <c r="K4">
        <v>4</v>
      </c>
    </row>
    <row r="5" spans="2:19" x14ac:dyDescent="0.3">
      <c r="B5" t="s">
        <v>3</v>
      </c>
      <c r="D5" t="s">
        <v>25</v>
      </c>
      <c r="E5" t="s">
        <v>17</v>
      </c>
      <c r="F5" t="s">
        <v>26</v>
      </c>
      <c r="H5">
        <v>-1</v>
      </c>
      <c r="I5">
        <v>1</v>
      </c>
      <c r="J5">
        <v>1</v>
      </c>
      <c r="L5" t="s">
        <v>27</v>
      </c>
      <c r="M5">
        <v>13.9</v>
      </c>
      <c r="N5">
        <f>10^M5</f>
        <v>79432823472428.328</v>
      </c>
      <c r="O5">
        <v>71</v>
      </c>
      <c r="P5">
        <f>O5*4.1868</f>
        <v>297.26279999999997</v>
      </c>
      <c r="Q5">
        <f>P5*1000</f>
        <v>297262.8</v>
      </c>
    </row>
    <row r="6" spans="2:19" x14ac:dyDescent="0.3">
      <c r="B6" t="s">
        <v>4</v>
      </c>
      <c r="M6">
        <v>8.9</v>
      </c>
      <c r="N6">
        <f>10^M6</f>
        <v>794328234.72428453</v>
      </c>
      <c r="O6">
        <v>38</v>
      </c>
      <c r="P6">
        <f>O6*4.1868</f>
        <v>159.0984</v>
      </c>
      <c r="Q6">
        <f>P6*1000</f>
        <v>159098.4</v>
      </c>
    </row>
    <row r="8" spans="2:19" x14ac:dyDescent="0.3">
      <c r="B8" t="s">
        <v>30</v>
      </c>
    </row>
    <row r="9" spans="2:19" x14ac:dyDescent="0.3">
      <c r="B9" t="s">
        <v>29</v>
      </c>
      <c r="M9">
        <v>16.850000000000001</v>
      </c>
      <c r="N9">
        <f>10^M9</f>
        <v>7.0794578438414472E+16</v>
      </c>
      <c r="O9">
        <v>86</v>
      </c>
    </row>
    <row r="10" spans="2:19" x14ac:dyDescent="0.3">
      <c r="B10" t="s">
        <v>28</v>
      </c>
    </row>
    <row r="11" spans="2:19" x14ac:dyDescent="0.3">
      <c r="B11" t="s">
        <v>29</v>
      </c>
      <c r="M11">
        <v>17.100000000000001</v>
      </c>
      <c r="N11">
        <f>10^M11</f>
        <v>1.2589254117941763E+17</v>
      </c>
      <c r="O11">
        <f>84000/1000</f>
        <v>84</v>
      </c>
    </row>
    <row r="12" spans="2:19" x14ac:dyDescent="0.3">
      <c r="N12">
        <f>EXP(M11)</f>
        <v>26695351.310742743</v>
      </c>
    </row>
    <row r="13" spans="2:19" x14ac:dyDescent="0.3">
      <c r="P13" s="1">
        <f>(N9-N11)/N11</f>
        <v>-0.43765867480964959</v>
      </c>
    </row>
    <row r="14" spans="2:19" x14ac:dyDescent="0.3">
      <c r="B14" t="str">
        <f>CONCATENATE("Reaction('",B5,"', ",
"[",D5,", ",E5,IF(COUNTA(D5:G5)=2,"]",IF(COUNTA(D5:G5)=3,CONCATENATE(", ",F5,"], "),IF(COUNTA(D5:G5)=4,CONCATENATE(", ",F5,", ",G5,"], "),NA()))),
"[",H5,", ",I5,IF(COUNTA(D5:G5)=2,"]",IF(COUNTA(D5:G5)=3,CONCATENATE(", ",J5,"], "),IF(COUNTA(D5:G5)=4,CONCATENATE(", ",J5,", ",K5,"], "),NA()))),
"[",H5,", ",I5,IF(COUNTA(D5:G5)=2,"]",IF(COUNTA(D5:G5)=3,CONCATENATE(", ",J5,"], "),IF(COUNTA(D5:G5)=4,CONCATENATE(", ",J5,", ",K5,"], "),NA()))),
L5,", ",
REPLACE(N5,FIND(",",N5),1,"."),", ",
REPLACE(P5,FIND(",",P5),1,"."),") "
)</f>
        <v xml:space="preserve">Reaction('C2H6 --&gt; C2H4 + H2', [ETAHNE, ETHYLENE, H2], [-1, 1, 1], [-1, 1, 1], 137.06780078125, 79432823472428.3, 297.2628) 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"/>
  <sheetViews>
    <sheetView topLeftCell="B1" workbookViewId="0">
      <selection activeCell="K7" sqref="K7"/>
    </sheetView>
  </sheetViews>
  <sheetFormatPr defaultRowHeight="14.4" x14ac:dyDescent="0.3"/>
  <sheetData>
    <row r="2" spans="2:22" x14ac:dyDescent="0.3">
      <c r="B2" t="s">
        <v>7</v>
      </c>
      <c r="C2" t="s">
        <v>8</v>
      </c>
      <c r="D2" t="s">
        <v>9</v>
      </c>
      <c r="E2" t="s">
        <v>10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</row>
    <row r="3" spans="2:22" x14ac:dyDescent="0.3">
      <c r="B3" t="s">
        <v>11</v>
      </c>
      <c r="C3" t="s">
        <v>12</v>
      </c>
      <c r="D3" t="s">
        <v>13</v>
      </c>
      <c r="E3" t="s">
        <v>14</v>
      </c>
      <c r="F3">
        <v>14.205120859999999</v>
      </c>
      <c r="G3">
        <v>30.240278969999999</v>
      </c>
      <c r="H3">
        <v>844.31</v>
      </c>
      <c r="I3">
        <v>20.580156680000002</v>
      </c>
      <c r="J3">
        <v>2482.6999999999998</v>
      </c>
      <c r="K3">
        <v>298.14999999999998</v>
      </c>
      <c r="L3">
        <v>1500</v>
      </c>
      <c r="N3" t="str">
        <f>IFERROR(REPLACE(F3,FIND(",",F3),1,"."),F3)</f>
        <v>14.20512086</v>
      </c>
      <c r="O3" t="str">
        <f t="shared" ref="O3:T3" si="0">IFERROR(REPLACE(G3,FIND(",",G3),1,"."),G3)</f>
        <v>30.24027897</v>
      </c>
      <c r="P3" t="str">
        <f t="shared" si="0"/>
        <v>844.31</v>
      </c>
      <c r="Q3" t="str">
        <f t="shared" si="0"/>
        <v>20.58015668</v>
      </c>
      <c r="R3" t="str">
        <f t="shared" si="0"/>
        <v>2482.7</v>
      </c>
      <c r="S3" t="str">
        <f t="shared" si="0"/>
        <v>298.15</v>
      </c>
      <c r="T3">
        <f t="shared" si="0"/>
        <v>1500</v>
      </c>
      <c r="V3" t="str">
        <f>CONCATENATE("[",N3,", ",O3,", ",P3,", ",Q3,", ",R3,", ",S3,", ",T3,"]")</f>
        <v>[14.20512086, 30.24027897, 844.31, 20.58015668, 2482.7, 298.15, 1500]</v>
      </c>
    </row>
    <row r="4" spans="2:22" x14ac:dyDescent="0.3">
      <c r="B4" t="s">
        <v>15</v>
      </c>
      <c r="C4" t="s">
        <v>12</v>
      </c>
      <c r="D4" t="s">
        <v>13</v>
      </c>
      <c r="E4" t="s">
        <v>14</v>
      </c>
      <c r="F4">
        <v>6.5962071269999996</v>
      </c>
      <c r="G4">
        <v>2.2833667719999999</v>
      </c>
      <c r="H4">
        <v>2466</v>
      </c>
      <c r="I4">
        <v>0.89806057130000005</v>
      </c>
      <c r="J4">
        <v>567.6</v>
      </c>
      <c r="K4">
        <v>250</v>
      </c>
      <c r="L4">
        <v>1500</v>
      </c>
      <c r="N4" t="str">
        <f t="shared" ref="N4:N6" si="1">IFERROR(REPLACE(F4,FIND(",",F4),1,"."),F4)</f>
        <v>6.596207127</v>
      </c>
      <c r="O4" t="str">
        <f t="shared" ref="O4:O6" si="2">IFERROR(REPLACE(G4,FIND(",",G4),1,"."),G4)</f>
        <v>2.283366772</v>
      </c>
      <c r="P4">
        <f t="shared" ref="P4:P6" si="3">IFERROR(REPLACE(H4,FIND(",",H4),1,"."),H4)</f>
        <v>2466</v>
      </c>
      <c r="Q4" t="str">
        <f t="shared" ref="Q4:Q6" si="4">IFERROR(REPLACE(I4,FIND(",",I4),1,"."),I4)</f>
        <v>0.8980605713</v>
      </c>
      <c r="R4" t="str">
        <f t="shared" ref="R4:R6" si="5">IFERROR(REPLACE(J4,FIND(",",J4),1,"."),J4)</f>
        <v>567.6</v>
      </c>
      <c r="S4">
        <f t="shared" ref="S4:S6" si="6">IFERROR(REPLACE(K4,FIND(",",K4),1,"."),K4)</f>
        <v>250</v>
      </c>
      <c r="T4">
        <f t="shared" ref="T4:T6" si="7">IFERROR(REPLACE(L4,FIND(",",L4),1,"."),L4)</f>
        <v>1500</v>
      </c>
      <c r="V4" t="str">
        <f t="shared" ref="V4:V6" si="8">CONCATENATE("[",N4,", ",O4,", ",P4,", ",Q4,", ",R4,", ",S4,", ",T4,"]")</f>
        <v>[6.596207127, 2.283366772, 2466, 0.8980605713, 567.6, 250, 1500]</v>
      </c>
    </row>
    <row r="5" spans="2:22" x14ac:dyDescent="0.3">
      <c r="B5" t="s">
        <v>16</v>
      </c>
      <c r="C5" t="s">
        <v>12</v>
      </c>
      <c r="D5" t="s">
        <v>13</v>
      </c>
      <c r="E5" t="s">
        <v>14</v>
      </c>
      <c r="F5">
        <v>10.570364</v>
      </c>
      <c r="G5">
        <v>20.239084739999999</v>
      </c>
      <c r="H5">
        <v>872.24</v>
      </c>
      <c r="I5">
        <v>16.03372504</v>
      </c>
      <c r="J5">
        <v>2430.4</v>
      </c>
      <c r="K5">
        <v>298.14999999999998</v>
      </c>
      <c r="L5">
        <v>1500</v>
      </c>
      <c r="N5" t="str">
        <f t="shared" si="1"/>
        <v>10.570364</v>
      </c>
      <c r="O5" t="str">
        <f t="shared" si="2"/>
        <v>20.23908474</v>
      </c>
      <c r="P5" t="str">
        <f t="shared" si="3"/>
        <v>872.24</v>
      </c>
      <c r="Q5" t="str">
        <f t="shared" si="4"/>
        <v>16.03372504</v>
      </c>
      <c r="R5" t="str">
        <f t="shared" si="5"/>
        <v>2430.4</v>
      </c>
      <c r="S5" t="str">
        <f t="shared" si="6"/>
        <v>298.15</v>
      </c>
      <c r="T5">
        <f t="shared" si="7"/>
        <v>1500</v>
      </c>
      <c r="V5" t="str">
        <f t="shared" si="8"/>
        <v>[10.570364, 20.23908474, 872.24, 16.03372504, 2430.4, 298.15, 1500]</v>
      </c>
    </row>
    <row r="6" spans="2:22" x14ac:dyDescent="0.3">
      <c r="B6" t="s">
        <v>17</v>
      </c>
      <c r="C6" t="s">
        <v>12</v>
      </c>
      <c r="D6" t="s">
        <v>13</v>
      </c>
      <c r="E6" t="s">
        <v>14</v>
      </c>
      <c r="F6">
        <v>7.9726760289999996</v>
      </c>
      <c r="G6">
        <v>22.640202540000001</v>
      </c>
      <c r="H6">
        <v>1596</v>
      </c>
      <c r="I6">
        <v>13.1604089</v>
      </c>
      <c r="J6">
        <v>740.8</v>
      </c>
      <c r="K6">
        <v>60</v>
      </c>
      <c r="L6">
        <v>1500</v>
      </c>
      <c r="N6" t="str">
        <f t="shared" si="1"/>
        <v>7.972676029</v>
      </c>
      <c r="O6" t="str">
        <f t="shared" si="2"/>
        <v>22.64020254</v>
      </c>
      <c r="P6">
        <f t="shared" si="3"/>
        <v>1596</v>
      </c>
      <c r="Q6" t="str">
        <f t="shared" si="4"/>
        <v>13.1604089</v>
      </c>
      <c r="R6" t="str">
        <f t="shared" si="5"/>
        <v>740.8</v>
      </c>
      <c r="S6">
        <f t="shared" si="6"/>
        <v>60</v>
      </c>
      <c r="T6">
        <f t="shared" si="7"/>
        <v>1500</v>
      </c>
      <c r="V6" t="str">
        <f t="shared" si="8"/>
        <v>[7.972676029, 22.64020254, 1596, 13.1604089, 740.8, 60, 1500]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rxns</vt:lpstr>
      <vt:lpstr>CPIG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2022-07-30T16:45:48Z</dcterms:created>
  <dcterms:modified xsi:type="dcterms:W3CDTF">2023-01-06T08:56:06Z</dcterms:modified>
</cp:coreProperties>
</file>